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50" yWindow="570" windowWidth="28455" windowHeight="11955" firstSheet="29" activeTab="29"/>
  </bookViews>
  <sheets>
    <sheet name="REP_EST" sheetId="3" state="hidden" r:id="rId1"/>
    <sheet name="BDEST" sheetId="4" state="hidden" r:id="rId2"/>
    <sheet name="REP_FNDE" sheetId="5" state="hidden" r:id="rId3"/>
    <sheet name="REP_FNDE_REL" sheetId="6" state="hidden" r:id="rId4"/>
    <sheet name="BASE_FNDE2" sheetId="7" state="hidden" r:id="rId5"/>
    <sheet name="BASE_FNDE1" sheetId="8" state="hidden" r:id="rId6"/>
    <sheet name="BASE_FNDE3" sheetId="9" state="hidden" r:id="rId7"/>
    <sheet name="BASE_FNDE5" sheetId="10" state="hidden" r:id="rId8"/>
    <sheet name="BASE_FNDE4" sheetId="11" state="hidden" r:id="rId9"/>
    <sheet name="BASE_FNDE6" sheetId="12" state="hidden" r:id="rId10"/>
    <sheet name="BASE_FNDE7" sheetId="13" state="hidden" r:id="rId11"/>
    <sheet name="BASE_FNDE8" sheetId="14" state="hidden" r:id="rId12"/>
    <sheet name="BASE_FNDE9" sheetId="15" state="hidden" r:id="rId13"/>
    <sheet name="BASE_FNDE10" sheetId="16" state="hidden" r:id="rId14"/>
    <sheet name="TRANSP. FNDE" sheetId="17" state="hidden" r:id="rId15"/>
    <sheet name="BASET_1" sheetId="19" state="hidden" r:id="rId16"/>
    <sheet name="BASET_2" sheetId="20" state="hidden" r:id="rId17"/>
    <sheet name="BASET_3" sheetId="21" state="hidden" r:id="rId18"/>
    <sheet name="BASET_4" sheetId="22" state="hidden" r:id="rId19"/>
    <sheet name="BASET_5" sheetId="23" state="hidden" r:id="rId20"/>
    <sheet name="BASET_6" sheetId="24" state="hidden" r:id="rId21"/>
    <sheet name="BASET_7" sheetId="25" state="hidden" r:id="rId22"/>
    <sheet name="BASET_TI1" sheetId="28" state="hidden" r:id="rId23"/>
    <sheet name="BASET_TI2" sheetId="29" state="hidden" r:id="rId24"/>
    <sheet name="BASET_TI3" sheetId="30" state="hidden" r:id="rId25"/>
    <sheet name="BASET_TI5" sheetId="31" state="hidden" r:id="rId26"/>
    <sheet name="BASET_TI6" sheetId="32" state="hidden" r:id="rId27"/>
    <sheet name="BASET_TI7" sheetId="33" state="hidden" r:id="rId28"/>
    <sheet name="BASET_TI4" sheetId="35" state="hidden" r:id="rId29"/>
    <sheet name="REP_EST_PJA" sheetId="36" r:id="rId30"/>
    <sheet name="BASET_PJA1" sheetId="37" state="hidden" r:id="rId31"/>
    <sheet name="BASET_PJA2" sheetId="38" state="hidden" r:id="rId32"/>
    <sheet name="Página26" sheetId="40" state="hidden" r:id="rId33"/>
    <sheet name="Página27" sheetId="41" state="hidden" r:id="rId34"/>
    <sheet name="Página28" sheetId="42" state="hidden" r:id="rId35"/>
    <sheet name="PER_CAPITA" sheetId="43" state="hidden" r:id="rId36"/>
    <sheet name="Exercicio" sheetId="44" state="hidden" r:id="rId37"/>
    <sheet name="AUX" sheetId="45" state="hidden" r:id="rId38"/>
    <sheet name="Página32" sheetId="46" state="hidden" r:id="rId39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29" hidden="1">REP_EST_PJA!$A$5:$J$7</definedName>
    <definedName name="_xlnm._FilterDatabase" localSheetId="2" hidden="1">REP_FNDE!$A$6:$T$413</definedName>
    <definedName name="_xlnm._FilterDatabase" localSheetId="3" hidden="1">REP_FNDE_REL!$A$5:$U$415</definedName>
    <definedName name="_xlnm._FilterDatabase" localSheetId="14" hidden="1">'TRANSP. FNDE'!$A$3:$I$994</definedName>
    <definedName name="iDados">#REF!</definedName>
    <definedName name="iDados_JA">#REF!</definedName>
    <definedName name="iMaisEd">#REF!</definedName>
    <definedName name="iParam">PER_CAPITA!$A$4:$I$35</definedName>
    <definedName name="iRep2" localSheetId="2">REP_FNDE!$A$7:$W$412</definedName>
    <definedName name="iRep2">REP_EST!$A$7:$Z$412</definedName>
    <definedName name="iRepConsult" localSheetId="0">REP_EST!$A$6:$Z$412</definedName>
    <definedName name="iRepConsult" localSheetId="2">REP_FNDE!$A$6:$V$412</definedName>
    <definedName name="iSinal">AUX!$M$4:$M$10</definedName>
    <definedName name="iTipoEstabelecimento">AUX!$B$4:$B$13</definedName>
    <definedName name="iTiposEst">AUX!$B$4:$B$17</definedName>
    <definedName name="percA">PER_CAPITA!$G$19</definedName>
    <definedName name="percAgricola">PER_CAPITA!$I$19</definedName>
    <definedName name="Z_CDEB8851_9ACA_4F4F_A6C6_C0C729B8AD4C_.wvu.FilterData" localSheetId="1" hidden="1">BDEST!$P$6:$Z$413</definedName>
    <definedName name="Z_CDEB8851_9ACA_4F4F_A6C6_C0C729B8AD4C_.wvu.FilterData" localSheetId="0" hidden="1">REP_EST!$A$1:$Z$912</definedName>
    <definedName name="Z_CDEB8851_9ACA_4F4F_A6C6_C0C729B8AD4C_.wvu.FilterData" localSheetId="29" hidden="1">REP_EST_PJA!$C$5:$J$7</definedName>
    <definedName name="Z_CDEB8851_9ACA_4F4F_A6C6_C0C729B8AD4C_.wvu.FilterData" localSheetId="2" hidden="1">REP_FNDE!$A$1:$W$912</definedName>
    <definedName name="Z_CDEB8851_9ACA_4F4F_A6C6_C0C729B8AD4C_.wvu.FilterData" localSheetId="3" hidden="1">REP_FNDE_REL!$C$5:$U$370</definedName>
  </definedNames>
  <calcPr calcId="125725"/>
  <customWorkbookViews>
    <customWorkbookView name="Filtro 1" guid="{CDEB8851-9ACA-4F4F-A6C6-C0C729B8AD4C}" maximized="1" windowWidth="0" windowHeight="0" activeSheetId="0"/>
    <customWorkbookView name="Elaine" guid="{E3A43B2B-DBA1-4652-8166-30FB5B1762FC}" maximized="1" windowWidth="0" windowHeight="0" activeSheetId="0"/>
  </customWorkbookViews>
</workbook>
</file>

<file path=xl/calcChain.xml><?xml version="1.0" encoding="utf-8"?>
<calcChain xmlns="http://schemas.openxmlformats.org/spreadsheetml/2006/main">
  <c r="J19" i="45"/>
  <c r="A48" i="44"/>
  <c r="B37"/>
  <c r="B36"/>
  <c r="B35"/>
  <c r="B34"/>
  <c r="B33"/>
  <c r="A29"/>
  <c r="B29" s="1"/>
  <c r="A23"/>
  <c r="K1"/>
  <c r="J23" i="43"/>
  <c r="I23"/>
  <c r="H23"/>
  <c r="G23"/>
  <c r="F23"/>
  <c r="I22"/>
  <c r="G22"/>
  <c r="J22" s="1"/>
  <c r="F22"/>
  <c r="H22" s="1"/>
  <c r="J21"/>
  <c r="G21"/>
  <c r="I21" s="1"/>
  <c r="F21"/>
  <c r="H21" s="1"/>
  <c r="J20"/>
  <c r="H20"/>
  <c r="G20"/>
  <c r="I20" s="1"/>
  <c r="F20"/>
  <c r="H19"/>
  <c r="G19"/>
  <c r="F19"/>
  <c r="J18"/>
  <c r="I18"/>
  <c r="G18"/>
  <c r="F18"/>
  <c r="H18" s="1"/>
  <c r="G17"/>
  <c r="F17"/>
  <c r="H17" s="1"/>
  <c r="G16"/>
  <c r="F16"/>
  <c r="H16" s="1"/>
  <c r="J15"/>
  <c r="I15"/>
  <c r="H15"/>
  <c r="G15"/>
  <c r="F15"/>
  <c r="G14"/>
  <c r="I14" s="1"/>
  <c r="F14"/>
  <c r="H14" s="1"/>
  <c r="H13"/>
  <c r="L10" s="1"/>
  <c r="G13"/>
  <c r="F13"/>
  <c r="G12"/>
  <c r="I12" s="1"/>
  <c r="F12"/>
  <c r="H12" s="1"/>
  <c r="K11"/>
  <c r="J11"/>
  <c r="I11"/>
  <c r="H11"/>
  <c r="G11"/>
  <c r="F11"/>
  <c r="J10"/>
  <c r="H10"/>
  <c r="G10"/>
  <c r="I10" s="1"/>
  <c r="F10"/>
  <c r="I9"/>
  <c r="G9"/>
  <c r="F9"/>
  <c r="J9" s="1"/>
  <c r="H8"/>
  <c r="G8"/>
  <c r="F8"/>
  <c r="J7"/>
  <c r="K7" s="1"/>
  <c r="I7"/>
  <c r="G7"/>
  <c r="F7"/>
  <c r="H7" s="1"/>
  <c r="J6"/>
  <c r="H6"/>
  <c r="G6"/>
  <c r="I6" s="1"/>
  <c r="F6"/>
  <c r="I5"/>
  <c r="H5"/>
  <c r="G5"/>
  <c r="F5"/>
  <c r="J5" s="1"/>
  <c r="M4"/>
  <c r="M3"/>
  <c r="O2"/>
  <c r="C4" i="36"/>
  <c r="J3"/>
  <c r="I3"/>
  <c r="H3"/>
  <c r="T4" i="5"/>
  <c r="T1" s="1"/>
  <c r="S4"/>
  <c r="S1" s="1"/>
  <c r="R4"/>
  <c r="Q4"/>
  <c r="Q1" s="1"/>
  <c r="P4"/>
  <c r="P1" s="1"/>
  <c r="O4"/>
  <c r="O1" s="1"/>
  <c r="N4"/>
  <c r="M4"/>
  <c r="M1" s="1"/>
  <c r="K4"/>
  <c r="K1" s="1"/>
  <c r="J4"/>
  <c r="J1" s="1"/>
  <c r="I4"/>
  <c r="I1" s="1"/>
  <c r="H4"/>
  <c r="A2" s="1"/>
  <c r="R1"/>
  <c r="N1"/>
  <c r="D1"/>
  <c r="Z4" i="3"/>
  <c r="Z1" s="1"/>
  <c r="Y4"/>
  <c r="Y1" s="1"/>
  <c r="X4"/>
  <c r="X1" s="1"/>
  <c r="W4"/>
  <c r="W1" s="1"/>
  <c r="U4"/>
  <c r="U1" s="1"/>
  <c r="R4"/>
  <c r="R1" s="1"/>
  <c r="Q4"/>
  <c r="Q1" s="1"/>
  <c r="O4"/>
  <c r="O1" s="1"/>
  <c r="N4"/>
  <c r="N1" s="1"/>
  <c r="M4"/>
  <c r="L4"/>
  <c r="L1" s="1"/>
  <c r="J4"/>
  <c r="J1" s="1"/>
  <c r="I4"/>
  <c r="I1" s="1"/>
  <c r="H4"/>
  <c r="M1"/>
  <c r="H1"/>
  <c r="H1" i="5" l="1"/>
  <c r="U5" i="6" a="1"/>
  <c r="I1" i="8" a="1"/>
  <c r="I1" i="7" a="1"/>
  <c r="I1" i="11" a="1"/>
  <c r="I1" i="10" a="1"/>
  <c r="I1" i="9" a="1"/>
  <c r="I1" i="13" a="1"/>
  <c r="I1" i="12" a="1"/>
  <c r="I1" i="16" a="1"/>
  <c r="I1" i="15" a="1"/>
  <c r="I1" i="14" a="1"/>
  <c r="I1" i="21" a="1"/>
  <c r="I1" i="20" a="1"/>
  <c r="I1" i="19" a="1"/>
  <c r="I1" i="28" a="1"/>
  <c r="I1" i="24" a="1"/>
  <c r="I1" i="23" a="1"/>
  <c r="I1" i="22" a="1"/>
  <c r="I1" i="25" a="1"/>
  <c r="I1" i="30" a="1"/>
  <c r="I1" i="29" a="1"/>
  <c r="I1" i="31" a="1"/>
  <c r="I1" i="32" a="1"/>
  <c r="I1" i="33" a="1"/>
  <c r="I1" i="35" a="1"/>
  <c r="I1" i="38" a="1"/>
  <c r="I1" i="37" a="1"/>
  <c r="I17" i="43"/>
  <c r="T4" i="3" s="1"/>
  <c r="T1" s="1"/>
  <c r="J17" i="43"/>
  <c r="N4"/>
  <c r="I19"/>
  <c r="V4" i="3" s="1"/>
  <c r="V1" s="1"/>
  <c r="J19" i="43"/>
  <c r="H9"/>
  <c r="L4" i="5" s="1"/>
  <c r="L1" s="1"/>
  <c r="J12" i="43"/>
  <c r="K12" s="1"/>
  <c r="J14"/>
  <c r="I16"/>
  <c r="S4" i="3" s="1"/>
  <c r="S1" s="1"/>
  <c r="J16" i="43"/>
  <c r="K9"/>
  <c r="K10"/>
  <c r="K14"/>
  <c r="K5"/>
  <c r="K6"/>
  <c r="I8"/>
  <c r="K4" i="3" s="1"/>
  <c r="K1" s="1"/>
  <c r="J8" i="43"/>
  <c r="K8" s="1"/>
  <c r="I13"/>
  <c r="P4" i="3" s="1"/>
  <c r="P1" s="1"/>
  <c r="J13" i="43"/>
  <c r="K13" s="1"/>
  <c r="I999" i="33" l="1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990"/>
  <c r="I977"/>
  <c r="I964"/>
  <c r="I952"/>
  <c r="I938"/>
  <c r="I926"/>
  <c r="I913"/>
  <c r="I900"/>
  <c r="I888"/>
  <c r="I874"/>
  <c r="I862"/>
  <c r="I849"/>
  <c r="I836"/>
  <c r="I824"/>
  <c r="I810"/>
  <c r="I798"/>
  <c r="I785"/>
  <c r="I772"/>
  <c r="I760"/>
  <c r="I746"/>
  <c r="I734"/>
  <c r="I721"/>
  <c r="I708"/>
  <c r="I696"/>
  <c r="I682"/>
  <c r="I670"/>
  <c r="I657"/>
  <c r="I644"/>
  <c r="I632"/>
  <c r="I618"/>
  <c r="I606"/>
  <c r="I593"/>
  <c r="I580"/>
  <c r="I568"/>
  <c r="I554"/>
  <c r="I542"/>
  <c r="I529"/>
  <c r="I516"/>
  <c r="I504"/>
  <c r="I490"/>
  <c r="I478"/>
  <c r="I465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2"/>
  <c r="I978"/>
  <c r="I966"/>
  <c r="I953"/>
  <c r="I940"/>
  <c r="I928"/>
  <c r="I914"/>
  <c r="I902"/>
  <c r="I889"/>
  <c r="I876"/>
  <c r="I864"/>
  <c r="I850"/>
  <c r="I838"/>
  <c r="I825"/>
  <c r="I812"/>
  <c r="I800"/>
  <c r="I786"/>
  <c r="I774"/>
  <c r="I761"/>
  <c r="I748"/>
  <c r="I736"/>
  <c r="I722"/>
  <c r="I710"/>
  <c r="I697"/>
  <c r="I684"/>
  <c r="I672"/>
  <c r="I658"/>
  <c r="I646"/>
  <c r="I633"/>
  <c r="I620"/>
  <c r="I608"/>
  <c r="I594"/>
  <c r="I582"/>
  <c r="I569"/>
  <c r="I556"/>
  <c r="I544"/>
  <c r="I530"/>
  <c r="I518"/>
  <c r="I505"/>
  <c r="I492"/>
  <c r="I480"/>
  <c r="I466"/>
  <c r="I454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3"/>
  <c r="I980"/>
  <c r="I968"/>
  <c r="I954"/>
  <c r="I942"/>
  <c r="I929"/>
  <c r="I916"/>
  <c r="I904"/>
  <c r="I890"/>
  <c r="I878"/>
  <c r="I865"/>
  <c r="I852"/>
  <c r="I840"/>
  <c r="I826"/>
  <c r="I814"/>
  <c r="I801"/>
  <c r="I788"/>
  <c r="I776"/>
  <c r="I762"/>
  <c r="I750"/>
  <c r="I737"/>
  <c r="I724"/>
  <c r="I712"/>
  <c r="I698"/>
  <c r="I686"/>
  <c r="I673"/>
  <c r="I660"/>
  <c r="I648"/>
  <c r="I634"/>
  <c r="I622"/>
  <c r="I609"/>
  <c r="I596"/>
  <c r="I584"/>
  <c r="I570"/>
  <c r="I558"/>
  <c r="I545"/>
  <c r="I532"/>
  <c r="I520"/>
  <c r="I506"/>
  <c r="I494"/>
  <c r="I481"/>
  <c r="I468"/>
  <c r="I456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4"/>
  <c r="I982"/>
  <c r="I969"/>
  <c r="I956"/>
  <c r="I944"/>
  <c r="I930"/>
  <c r="I918"/>
  <c r="I905"/>
  <c r="I892"/>
  <c r="I880"/>
  <c r="I866"/>
  <c r="I854"/>
  <c r="I841"/>
  <c r="I828"/>
  <c r="I816"/>
  <c r="I802"/>
  <c r="I790"/>
  <c r="I777"/>
  <c r="I764"/>
  <c r="I752"/>
  <c r="I738"/>
  <c r="I726"/>
  <c r="I713"/>
  <c r="I700"/>
  <c r="I688"/>
  <c r="I674"/>
  <c r="I662"/>
  <c r="I649"/>
  <c r="I636"/>
  <c r="I624"/>
  <c r="I610"/>
  <c r="I598"/>
  <c r="I585"/>
  <c r="I572"/>
  <c r="I560"/>
  <c r="I546"/>
  <c r="I534"/>
  <c r="I521"/>
  <c r="I508"/>
  <c r="I496"/>
  <c r="I482"/>
  <c r="I470"/>
  <c r="I457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6"/>
  <c r="I984"/>
  <c r="I970"/>
  <c r="I958"/>
  <c r="I945"/>
  <c r="I932"/>
  <c r="I920"/>
  <c r="I906"/>
  <c r="I894"/>
  <c r="I881"/>
  <c r="I868"/>
  <c r="I856"/>
  <c r="I842"/>
  <c r="I830"/>
  <c r="I817"/>
  <c r="I804"/>
  <c r="I792"/>
  <c r="I778"/>
  <c r="I766"/>
  <c r="I753"/>
  <c r="I740"/>
  <c r="I728"/>
  <c r="I714"/>
  <c r="I702"/>
  <c r="I689"/>
  <c r="I676"/>
  <c r="I664"/>
  <c r="I650"/>
  <c r="I638"/>
  <c r="I625"/>
  <c r="I612"/>
  <c r="I600"/>
  <c r="I586"/>
  <c r="I574"/>
  <c r="I561"/>
  <c r="I548"/>
  <c r="I536"/>
  <c r="I522"/>
  <c r="I510"/>
  <c r="I497"/>
  <c r="I484"/>
  <c r="I472"/>
  <c r="I458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74"/>
  <c r="I937"/>
  <c r="I908"/>
  <c r="I872"/>
  <c r="I834"/>
  <c r="I806"/>
  <c r="I769"/>
  <c r="I732"/>
  <c r="I704"/>
  <c r="I666"/>
  <c r="I630"/>
  <c r="I601"/>
  <c r="I564"/>
  <c r="I528"/>
  <c r="I498"/>
  <c r="I462"/>
  <c r="I435"/>
  <c r="I417"/>
  <c r="I394"/>
  <c r="I371"/>
  <c r="I353"/>
  <c r="I330"/>
  <c r="I307"/>
  <c r="I289"/>
  <c r="I266"/>
  <c r="I243"/>
  <c r="I225"/>
  <c r="I202"/>
  <c r="I179"/>
  <c r="I161"/>
  <c r="I138"/>
  <c r="I115"/>
  <c r="I97"/>
  <c r="I74"/>
  <c r="I51"/>
  <c r="I33"/>
  <c r="I10"/>
  <c r="I976"/>
  <c r="I946"/>
  <c r="I910"/>
  <c r="I873"/>
  <c r="I844"/>
  <c r="I808"/>
  <c r="I770"/>
  <c r="I742"/>
  <c r="I705"/>
  <c r="I668"/>
  <c r="I640"/>
  <c r="I602"/>
  <c r="I566"/>
  <c r="I537"/>
  <c r="I500"/>
  <c r="I464"/>
  <c r="I441"/>
  <c r="I418"/>
  <c r="I395"/>
  <c r="I377"/>
  <c r="I354"/>
  <c r="I331"/>
  <c r="I313"/>
  <c r="I290"/>
  <c r="I267"/>
  <c r="I249"/>
  <c r="I226"/>
  <c r="I203"/>
  <c r="I185"/>
  <c r="I162"/>
  <c r="I139"/>
  <c r="I121"/>
  <c r="I98"/>
  <c r="I75"/>
  <c r="I57"/>
  <c r="I34"/>
  <c r="I11"/>
  <c r="I985"/>
  <c r="I948"/>
  <c r="I912"/>
  <c r="I882"/>
  <c r="I846"/>
  <c r="I809"/>
  <c r="I780"/>
  <c r="I744"/>
  <c r="I706"/>
  <c r="I678"/>
  <c r="I641"/>
  <c r="I604"/>
  <c r="I576"/>
  <c r="I538"/>
  <c r="I502"/>
  <c r="I473"/>
  <c r="I442"/>
  <c r="I419"/>
  <c r="I401"/>
  <c r="I378"/>
  <c r="I355"/>
  <c r="I337"/>
  <c r="I314"/>
  <c r="I291"/>
  <c r="I273"/>
  <c r="I250"/>
  <c r="I227"/>
  <c r="I209"/>
  <c r="I186"/>
  <c r="I163"/>
  <c r="I145"/>
  <c r="I122"/>
  <c r="I99"/>
  <c r="I81"/>
  <c r="I58"/>
  <c r="I35"/>
  <c r="I17"/>
  <c r="I986"/>
  <c r="I950"/>
  <c r="I921"/>
  <c r="I884"/>
  <c r="I848"/>
  <c r="I818"/>
  <c r="I782"/>
  <c r="I745"/>
  <c r="I716"/>
  <c r="I680"/>
  <c r="I642"/>
  <c r="I614"/>
  <c r="I577"/>
  <c r="I540"/>
  <c r="I512"/>
  <c r="I474"/>
  <c r="I443"/>
  <c r="I425"/>
  <c r="I402"/>
  <c r="I379"/>
  <c r="I361"/>
  <c r="I338"/>
  <c r="I315"/>
  <c r="I297"/>
  <c r="I274"/>
  <c r="I251"/>
  <c r="I233"/>
  <c r="I210"/>
  <c r="I187"/>
  <c r="I169"/>
  <c r="I146"/>
  <c r="I123"/>
  <c r="I105"/>
  <c r="I82"/>
  <c r="I59"/>
  <c r="I41"/>
  <c r="I18"/>
  <c r="I998"/>
  <c r="I961"/>
  <c r="I924"/>
  <c r="I896"/>
  <c r="I858"/>
  <c r="I822"/>
  <c r="I793"/>
  <c r="I756"/>
  <c r="I720"/>
  <c r="I690"/>
  <c r="I654"/>
  <c r="I617"/>
  <c r="I588"/>
  <c r="I552"/>
  <c r="I514"/>
  <c r="I486"/>
  <c r="I450"/>
  <c r="I427"/>
  <c r="I409"/>
  <c r="I386"/>
  <c r="I363"/>
  <c r="I345"/>
  <c r="I322"/>
  <c r="I299"/>
  <c r="I281"/>
  <c r="I258"/>
  <c r="I235"/>
  <c r="I217"/>
  <c r="I194"/>
  <c r="I171"/>
  <c r="I153"/>
  <c r="I130"/>
  <c r="I107"/>
  <c r="I89"/>
  <c r="I66"/>
  <c r="I43"/>
  <c r="I25"/>
  <c r="I2"/>
  <c r="I934"/>
  <c r="I833"/>
  <c r="I754"/>
  <c r="I656"/>
  <c r="I562"/>
  <c r="I476"/>
  <c r="I410"/>
  <c r="I347"/>
  <c r="I298"/>
  <c r="I241"/>
  <c r="I178"/>
  <c r="I129"/>
  <c r="I67"/>
  <c r="I9"/>
  <c r="I936"/>
  <c r="I857"/>
  <c r="I758"/>
  <c r="I665"/>
  <c r="I578"/>
  <c r="I488"/>
  <c r="I411"/>
  <c r="I362"/>
  <c r="I305"/>
  <c r="I242"/>
  <c r="I193"/>
  <c r="I131"/>
  <c r="I73"/>
  <c r="I19"/>
  <c r="I960"/>
  <c r="I860"/>
  <c r="I768"/>
  <c r="I681"/>
  <c r="I590"/>
  <c r="I489"/>
  <c r="I426"/>
  <c r="I369"/>
  <c r="I306"/>
  <c r="I257"/>
  <c r="I195"/>
  <c r="I137"/>
  <c r="I83"/>
  <c r="I26"/>
  <c r="I962"/>
  <c r="I870"/>
  <c r="I784"/>
  <c r="I692"/>
  <c r="I592"/>
  <c r="I513"/>
  <c r="I433"/>
  <c r="I370"/>
  <c r="I321"/>
  <c r="I259"/>
  <c r="I201"/>
  <c r="I147"/>
  <c r="I90"/>
  <c r="I27"/>
  <c r="I972"/>
  <c r="I886"/>
  <c r="I794"/>
  <c r="I694"/>
  <c r="I616"/>
  <c r="I524"/>
  <c r="I434"/>
  <c r="I385"/>
  <c r="I323"/>
  <c r="I265"/>
  <c r="I211"/>
  <c r="I154"/>
  <c r="I91"/>
  <c r="I42"/>
  <c r="I988"/>
  <c r="I897"/>
  <c r="I796"/>
  <c r="I718"/>
  <c r="I626"/>
  <c r="I526"/>
  <c r="I449"/>
  <c r="I387"/>
  <c r="I329"/>
  <c r="I275"/>
  <c r="I218"/>
  <c r="I155"/>
  <c r="I106"/>
  <c r="I49"/>
  <c r="I1000"/>
  <c r="I898"/>
  <c r="I820"/>
  <c r="I729"/>
  <c r="I628"/>
  <c r="I550"/>
  <c r="I451"/>
  <c r="I393"/>
  <c r="I339"/>
  <c r="I282"/>
  <c r="I219"/>
  <c r="I170"/>
  <c r="I113"/>
  <c r="I50"/>
  <c r="I460"/>
  <c r="I3"/>
  <c r="I553"/>
  <c r="I65"/>
  <c r="I652"/>
  <c r="I114"/>
  <c r="I730"/>
  <c r="I177"/>
  <c r="I832"/>
  <c r="I234"/>
  <c r="I922"/>
  <c r="I283"/>
  <c r="I346"/>
  <c r="I403"/>
  <c r="I995" i="1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6"/>
  <c r="I966"/>
  <c r="I945"/>
  <c r="I922"/>
  <c r="I902"/>
  <c r="I881"/>
  <c r="I858"/>
  <c r="I838"/>
  <c r="I817"/>
  <c r="I794"/>
  <c r="I774"/>
  <c r="I753"/>
  <c r="I730"/>
  <c r="I710"/>
  <c r="I689"/>
  <c r="I666"/>
  <c r="I646"/>
  <c r="I625"/>
  <c r="I602"/>
  <c r="I582"/>
  <c r="I561"/>
  <c r="I538"/>
  <c r="I518"/>
  <c r="I497"/>
  <c r="I474"/>
  <c r="I454"/>
  <c r="I433"/>
  <c r="I410"/>
  <c r="I390"/>
  <c r="I369"/>
  <c r="I346"/>
  <c r="I326"/>
  <c r="I305"/>
  <c r="I282"/>
  <c r="I262"/>
  <c r="I241"/>
  <c r="I218"/>
  <c r="I198"/>
  <c r="I177"/>
  <c r="I154"/>
  <c r="I134"/>
  <c r="I113"/>
  <c r="I90"/>
  <c r="I70"/>
  <c r="I49"/>
  <c r="I26"/>
  <c r="I6"/>
  <c r="I990"/>
  <c r="I969"/>
  <c r="I946"/>
  <c r="I926"/>
  <c r="I905"/>
  <c r="I882"/>
  <c r="I862"/>
  <c r="I841"/>
  <c r="I818"/>
  <c r="I798"/>
  <c r="I777"/>
  <c r="I754"/>
  <c r="I734"/>
  <c r="I713"/>
  <c r="I690"/>
  <c r="I670"/>
  <c r="I649"/>
  <c r="I626"/>
  <c r="I606"/>
  <c r="I585"/>
  <c r="I562"/>
  <c r="I542"/>
  <c r="I521"/>
  <c r="I498"/>
  <c r="I478"/>
  <c r="I457"/>
  <c r="I434"/>
  <c r="I414"/>
  <c r="I393"/>
  <c r="I370"/>
  <c r="I350"/>
  <c r="I329"/>
  <c r="I306"/>
  <c r="I286"/>
  <c r="I265"/>
  <c r="I242"/>
  <c r="I222"/>
  <c r="I201"/>
  <c r="I178"/>
  <c r="I158"/>
  <c r="I137"/>
  <c r="I114"/>
  <c r="I94"/>
  <c r="I73"/>
  <c r="I50"/>
  <c r="I30"/>
  <c r="I9"/>
  <c r="I993"/>
  <c r="I970"/>
  <c r="I950"/>
  <c r="I929"/>
  <c r="I906"/>
  <c r="I886"/>
  <c r="I865"/>
  <c r="I842"/>
  <c r="I822"/>
  <c r="I801"/>
  <c r="I778"/>
  <c r="I758"/>
  <c r="I737"/>
  <c r="I714"/>
  <c r="I694"/>
  <c r="I673"/>
  <c r="I650"/>
  <c r="I630"/>
  <c r="I609"/>
  <c r="I586"/>
  <c r="I566"/>
  <c r="I545"/>
  <c r="I522"/>
  <c r="I502"/>
  <c r="I481"/>
  <c r="I458"/>
  <c r="I438"/>
  <c r="I417"/>
  <c r="I394"/>
  <c r="I374"/>
  <c r="I353"/>
  <c r="I330"/>
  <c r="I310"/>
  <c r="I289"/>
  <c r="I266"/>
  <c r="I246"/>
  <c r="I225"/>
  <c r="I202"/>
  <c r="I182"/>
  <c r="I161"/>
  <c r="I138"/>
  <c r="I118"/>
  <c r="I97"/>
  <c r="I74"/>
  <c r="I54"/>
  <c r="I33"/>
  <c r="I10"/>
  <c r="I994"/>
  <c r="I974"/>
  <c r="I953"/>
  <c r="I930"/>
  <c r="I910"/>
  <c r="I889"/>
  <c r="I866"/>
  <c r="I846"/>
  <c r="I825"/>
  <c r="I802"/>
  <c r="I782"/>
  <c r="I761"/>
  <c r="I738"/>
  <c r="I718"/>
  <c r="I697"/>
  <c r="I674"/>
  <c r="I654"/>
  <c r="I633"/>
  <c r="I610"/>
  <c r="I590"/>
  <c r="I569"/>
  <c r="I546"/>
  <c r="I526"/>
  <c r="I505"/>
  <c r="I482"/>
  <c r="I462"/>
  <c r="I441"/>
  <c r="I418"/>
  <c r="I398"/>
  <c r="I377"/>
  <c r="I354"/>
  <c r="I334"/>
  <c r="I313"/>
  <c r="I290"/>
  <c r="I270"/>
  <c r="I249"/>
  <c r="I226"/>
  <c r="I206"/>
  <c r="I185"/>
  <c r="I162"/>
  <c r="I142"/>
  <c r="I121"/>
  <c r="I98"/>
  <c r="I78"/>
  <c r="I57"/>
  <c r="I34"/>
  <c r="I14"/>
  <c r="I998"/>
  <c r="I977"/>
  <c r="I954"/>
  <c r="I934"/>
  <c r="I913"/>
  <c r="I890"/>
  <c r="I870"/>
  <c r="I849"/>
  <c r="I826"/>
  <c r="I806"/>
  <c r="I785"/>
  <c r="I762"/>
  <c r="I742"/>
  <c r="I721"/>
  <c r="I698"/>
  <c r="I678"/>
  <c r="I657"/>
  <c r="I634"/>
  <c r="I614"/>
  <c r="I593"/>
  <c r="I570"/>
  <c r="I550"/>
  <c r="I529"/>
  <c r="I506"/>
  <c r="I486"/>
  <c r="I465"/>
  <c r="I442"/>
  <c r="I422"/>
  <c r="I401"/>
  <c r="I378"/>
  <c r="I358"/>
  <c r="I337"/>
  <c r="I314"/>
  <c r="I294"/>
  <c r="I273"/>
  <c r="I250"/>
  <c r="I230"/>
  <c r="I209"/>
  <c r="I186"/>
  <c r="I166"/>
  <c r="I145"/>
  <c r="I122"/>
  <c r="I102"/>
  <c r="I81"/>
  <c r="I58"/>
  <c r="I38"/>
  <c r="I17"/>
  <c r="I978"/>
  <c r="I958"/>
  <c r="I937"/>
  <c r="I914"/>
  <c r="I894"/>
  <c r="I873"/>
  <c r="I850"/>
  <c r="I830"/>
  <c r="I809"/>
  <c r="I786"/>
  <c r="I766"/>
  <c r="I745"/>
  <c r="I722"/>
  <c r="I702"/>
  <c r="I681"/>
  <c r="I658"/>
  <c r="I638"/>
  <c r="I617"/>
  <c r="I594"/>
  <c r="I574"/>
  <c r="I553"/>
  <c r="I530"/>
  <c r="I510"/>
  <c r="I489"/>
  <c r="I466"/>
  <c r="I446"/>
  <c r="I425"/>
  <c r="I402"/>
  <c r="I382"/>
  <c r="I361"/>
  <c r="I338"/>
  <c r="I318"/>
  <c r="I297"/>
  <c r="I274"/>
  <c r="I254"/>
  <c r="I233"/>
  <c r="I210"/>
  <c r="I190"/>
  <c r="I169"/>
  <c r="I146"/>
  <c r="I126"/>
  <c r="I105"/>
  <c r="I82"/>
  <c r="I62"/>
  <c r="I41"/>
  <c r="I18"/>
  <c r="I982"/>
  <c r="I961"/>
  <c r="I938"/>
  <c r="I918"/>
  <c r="I897"/>
  <c r="I874"/>
  <c r="I854"/>
  <c r="I833"/>
  <c r="I810"/>
  <c r="I790"/>
  <c r="I769"/>
  <c r="I746"/>
  <c r="I726"/>
  <c r="I705"/>
  <c r="I682"/>
  <c r="I662"/>
  <c r="I641"/>
  <c r="I618"/>
  <c r="I598"/>
  <c r="I577"/>
  <c r="I554"/>
  <c r="I534"/>
  <c r="I513"/>
  <c r="I490"/>
  <c r="I470"/>
  <c r="I449"/>
  <c r="I426"/>
  <c r="I406"/>
  <c r="I385"/>
  <c r="I362"/>
  <c r="I342"/>
  <c r="I321"/>
  <c r="I298"/>
  <c r="I278"/>
  <c r="I257"/>
  <c r="I234"/>
  <c r="I214"/>
  <c r="I193"/>
  <c r="I170"/>
  <c r="I150"/>
  <c r="I129"/>
  <c r="I106"/>
  <c r="I86"/>
  <c r="I65"/>
  <c r="I42"/>
  <c r="I22"/>
  <c r="I985"/>
  <c r="I962"/>
  <c r="I942"/>
  <c r="I921"/>
  <c r="I898"/>
  <c r="I878"/>
  <c r="I857"/>
  <c r="I834"/>
  <c r="I814"/>
  <c r="I793"/>
  <c r="I770"/>
  <c r="I750"/>
  <c r="I729"/>
  <c r="I706"/>
  <c r="I686"/>
  <c r="I665"/>
  <c r="I642"/>
  <c r="I622"/>
  <c r="I601"/>
  <c r="I578"/>
  <c r="I558"/>
  <c r="I537"/>
  <c r="I514"/>
  <c r="I494"/>
  <c r="I473"/>
  <c r="I450"/>
  <c r="I430"/>
  <c r="I409"/>
  <c r="I386"/>
  <c r="I366"/>
  <c r="I345"/>
  <c r="I322"/>
  <c r="I302"/>
  <c r="I281"/>
  <c r="I258"/>
  <c r="I238"/>
  <c r="I217"/>
  <c r="I194"/>
  <c r="I174"/>
  <c r="I153"/>
  <c r="I130"/>
  <c r="I110"/>
  <c r="I89"/>
  <c r="I66"/>
  <c r="I46"/>
  <c r="I25"/>
  <c r="I2"/>
  <c r="I993" i="8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98" i="3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73"/>
  <c r="I909"/>
  <c r="I845"/>
  <c r="I781"/>
  <c r="I717"/>
  <c r="I653"/>
  <c r="I589"/>
  <c r="I525"/>
  <c r="I461"/>
  <c r="I397"/>
  <c r="I333"/>
  <c r="I269"/>
  <c r="I205"/>
  <c r="I141"/>
  <c r="I77"/>
  <c r="I13"/>
  <c r="I981"/>
  <c r="I917"/>
  <c r="I853"/>
  <c r="I789"/>
  <c r="I725"/>
  <c r="I661"/>
  <c r="I597"/>
  <c r="I533"/>
  <c r="I469"/>
  <c r="I405"/>
  <c r="I341"/>
  <c r="I277"/>
  <c r="I213"/>
  <c r="I149"/>
  <c r="I85"/>
  <c r="I21"/>
  <c r="I989"/>
  <c r="I925"/>
  <c r="I861"/>
  <c r="I797"/>
  <c r="I733"/>
  <c r="I669"/>
  <c r="I605"/>
  <c r="I541"/>
  <c r="I477"/>
  <c r="I413"/>
  <c r="I349"/>
  <c r="I285"/>
  <c r="I221"/>
  <c r="I157"/>
  <c r="I93"/>
  <c r="I29"/>
  <c r="I997"/>
  <c r="I933"/>
  <c r="I869"/>
  <c r="I805"/>
  <c r="I741"/>
  <c r="I677"/>
  <c r="I613"/>
  <c r="I549"/>
  <c r="I485"/>
  <c r="I421"/>
  <c r="I357"/>
  <c r="I293"/>
  <c r="I229"/>
  <c r="I165"/>
  <c r="I101"/>
  <c r="I37"/>
  <c r="I941"/>
  <c r="I877"/>
  <c r="I813"/>
  <c r="I749"/>
  <c r="I685"/>
  <c r="I621"/>
  <c r="I557"/>
  <c r="I493"/>
  <c r="I429"/>
  <c r="I365"/>
  <c r="I301"/>
  <c r="I237"/>
  <c r="I173"/>
  <c r="I109"/>
  <c r="I45"/>
  <c r="I949"/>
  <c r="I885"/>
  <c r="I821"/>
  <c r="I757"/>
  <c r="I693"/>
  <c r="I629"/>
  <c r="I565"/>
  <c r="I501"/>
  <c r="I437"/>
  <c r="I373"/>
  <c r="I309"/>
  <c r="I245"/>
  <c r="I181"/>
  <c r="I117"/>
  <c r="I53"/>
  <c r="I957"/>
  <c r="I893"/>
  <c r="I829"/>
  <c r="I765"/>
  <c r="I701"/>
  <c r="I637"/>
  <c r="I573"/>
  <c r="I509"/>
  <c r="I445"/>
  <c r="I381"/>
  <c r="I317"/>
  <c r="I253"/>
  <c r="I189"/>
  <c r="I125"/>
  <c r="I61"/>
  <c r="I581"/>
  <c r="I69"/>
  <c r="I645"/>
  <c r="I133"/>
  <c r="I709"/>
  <c r="I197"/>
  <c r="I773"/>
  <c r="I261"/>
  <c r="I837"/>
  <c r="I325"/>
  <c r="I517"/>
  <c r="I901"/>
  <c r="I965"/>
  <c r="I5"/>
  <c r="I389"/>
  <c r="I453"/>
  <c r="I998" i="24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33"/>
  <c r="I869"/>
  <c r="I805"/>
  <c r="I741"/>
  <c r="I677"/>
  <c r="I613"/>
  <c r="I549"/>
  <c r="I485"/>
  <c r="I421"/>
  <c r="I357"/>
  <c r="I293"/>
  <c r="I229"/>
  <c r="I165"/>
  <c r="I101"/>
  <c r="I37"/>
  <c r="I941"/>
  <c r="I877"/>
  <c r="I813"/>
  <c r="I749"/>
  <c r="I685"/>
  <c r="I621"/>
  <c r="I557"/>
  <c r="I493"/>
  <c r="I429"/>
  <c r="I365"/>
  <c r="I301"/>
  <c r="I237"/>
  <c r="I173"/>
  <c r="I109"/>
  <c r="I45"/>
  <c r="I949"/>
  <c r="I885"/>
  <c r="I821"/>
  <c r="I757"/>
  <c r="I693"/>
  <c r="I629"/>
  <c r="I565"/>
  <c r="I501"/>
  <c r="I437"/>
  <c r="I373"/>
  <c r="I309"/>
  <c r="I245"/>
  <c r="I181"/>
  <c r="I117"/>
  <c r="I53"/>
  <c r="I957"/>
  <c r="I893"/>
  <c r="I829"/>
  <c r="I765"/>
  <c r="I701"/>
  <c r="I637"/>
  <c r="I573"/>
  <c r="I509"/>
  <c r="I445"/>
  <c r="I381"/>
  <c r="I317"/>
  <c r="I253"/>
  <c r="I189"/>
  <c r="I125"/>
  <c r="I61"/>
  <c r="I965"/>
  <c r="I901"/>
  <c r="I837"/>
  <c r="I773"/>
  <c r="I709"/>
  <c r="I645"/>
  <c r="I581"/>
  <c r="I517"/>
  <c r="I453"/>
  <c r="I389"/>
  <c r="I325"/>
  <c r="I261"/>
  <c r="I197"/>
  <c r="I133"/>
  <c r="I69"/>
  <c r="I5"/>
  <c r="I973"/>
  <c r="I909"/>
  <c r="I845"/>
  <c r="I781"/>
  <c r="I717"/>
  <c r="I653"/>
  <c r="I589"/>
  <c r="I525"/>
  <c r="I461"/>
  <c r="I397"/>
  <c r="I333"/>
  <c r="I269"/>
  <c r="I205"/>
  <c r="I141"/>
  <c r="I77"/>
  <c r="I13"/>
  <c r="I981"/>
  <c r="I917"/>
  <c r="I853"/>
  <c r="I789"/>
  <c r="I725"/>
  <c r="I661"/>
  <c r="I597"/>
  <c r="I533"/>
  <c r="I469"/>
  <c r="I405"/>
  <c r="I341"/>
  <c r="I277"/>
  <c r="I213"/>
  <c r="I149"/>
  <c r="I85"/>
  <c r="I21"/>
  <c r="I669"/>
  <c r="I157"/>
  <c r="I733"/>
  <c r="I221"/>
  <c r="I797"/>
  <c r="I285"/>
  <c r="I861"/>
  <c r="I349"/>
  <c r="I925"/>
  <c r="I413"/>
  <c r="I989"/>
  <c r="I477"/>
  <c r="I541"/>
  <c r="I29"/>
  <c r="I93"/>
  <c r="I605"/>
  <c r="I999" i="23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6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814"/>
  <c r="I558"/>
  <c r="I302"/>
  <c r="I46"/>
  <c r="I846"/>
  <c r="I590"/>
  <c r="I334"/>
  <c r="I78"/>
  <c r="I878"/>
  <c r="I622"/>
  <c r="I366"/>
  <c r="I110"/>
  <c r="I910"/>
  <c r="I654"/>
  <c r="I398"/>
  <c r="I142"/>
  <c r="I942"/>
  <c r="I686"/>
  <c r="I430"/>
  <c r="I174"/>
  <c r="I974"/>
  <c r="I718"/>
  <c r="I462"/>
  <c r="I206"/>
  <c r="I750"/>
  <c r="I494"/>
  <c r="I238"/>
  <c r="I14"/>
  <c r="I270"/>
  <c r="I526"/>
  <c r="I782"/>
  <c r="I997" i="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0"/>
  <c r="I962"/>
  <c r="I939"/>
  <c r="I916"/>
  <c r="I898"/>
  <c r="I875"/>
  <c r="I852"/>
  <c r="I834"/>
  <c r="I811"/>
  <c r="I788"/>
  <c r="I770"/>
  <c r="I747"/>
  <c r="I724"/>
  <c r="I706"/>
  <c r="I683"/>
  <c r="I660"/>
  <c r="I642"/>
  <c r="I619"/>
  <c r="I596"/>
  <c r="I578"/>
  <c r="I555"/>
  <c r="I532"/>
  <c r="I514"/>
  <c r="I491"/>
  <c r="I468"/>
  <c r="I450"/>
  <c r="I427"/>
  <c r="I404"/>
  <c r="I386"/>
  <c r="I363"/>
  <c r="I340"/>
  <c r="I322"/>
  <c r="I299"/>
  <c r="I276"/>
  <c r="I258"/>
  <c r="I235"/>
  <c r="I212"/>
  <c r="I194"/>
  <c r="I171"/>
  <c r="I148"/>
  <c r="I130"/>
  <c r="I107"/>
  <c r="I84"/>
  <c r="I66"/>
  <c r="I43"/>
  <c r="I20"/>
  <c r="I2"/>
  <c r="I986"/>
  <c r="I963"/>
  <c r="I940"/>
  <c r="I922"/>
  <c r="I899"/>
  <c r="I876"/>
  <c r="I858"/>
  <c r="I835"/>
  <c r="I812"/>
  <c r="I794"/>
  <c r="I771"/>
  <c r="I748"/>
  <c r="I730"/>
  <c r="I707"/>
  <c r="I684"/>
  <c r="I666"/>
  <c r="I643"/>
  <c r="I620"/>
  <c r="I602"/>
  <c r="I579"/>
  <c r="I556"/>
  <c r="I538"/>
  <c r="I515"/>
  <c r="I492"/>
  <c r="I474"/>
  <c r="I451"/>
  <c r="I428"/>
  <c r="I410"/>
  <c r="I387"/>
  <c r="I364"/>
  <c r="I346"/>
  <c r="I323"/>
  <c r="I300"/>
  <c r="I282"/>
  <c r="I259"/>
  <c r="I236"/>
  <c r="I218"/>
  <c r="I195"/>
  <c r="I172"/>
  <c r="I154"/>
  <c r="I131"/>
  <c r="I108"/>
  <c r="I90"/>
  <c r="I67"/>
  <c r="I44"/>
  <c r="I26"/>
  <c r="I3"/>
  <c r="I987"/>
  <c r="I964"/>
  <c r="I946"/>
  <c r="I923"/>
  <c r="I900"/>
  <c r="I882"/>
  <c r="I859"/>
  <c r="I836"/>
  <c r="I818"/>
  <c r="I795"/>
  <c r="I772"/>
  <c r="I754"/>
  <c r="I731"/>
  <c r="I708"/>
  <c r="I690"/>
  <c r="I667"/>
  <c r="I644"/>
  <c r="I626"/>
  <c r="I603"/>
  <c r="I580"/>
  <c r="I562"/>
  <c r="I539"/>
  <c r="I516"/>
  <c r="I498"/>
  <c r="I475"/>
  <c r="I452"/>
  <c r="I434"/>
  <c r="I411"/>
  <c r="I388"/>
  <c r="I370"/>
  <c r="I347"/>
  <c r="I324"/>
  <c r="I306"/>
  <c r="I283"/>
  <c r="I260"/>
  <c r="I242"/>
  <c r="I219"/>
  <c r="I196"/>
  <c r="I178"/>
  <c r="I155"/>
  <c r="I132"/>
  <c r="I114"/>
  <c r="I91"/>
  <c r="I68"/>
  <c r="I50"/>
  <c r="I27"/>
  <c r="I4"/>
  <c r="I988"/>
  <c r="I970"/>
  <c r="I947"/>
  <c r="I924"/>
  <c r="I906"/>
  <c r="I883"/>
  <c r="I860"/>
  <c r="I842"/>
  <c r="I819"/>
  <c r="I796"/>
  <c r="I778"/>
  <c r="I755"/>
  <c r="I732"/>
  <c r="I714"/>
  <c r="I691"/>
  <c r="I668"/>
  <c r="I650"/>
  <c r="I627"/>
  <c r="I604"/>
  <c r="I586"/>
  <c r="I563"/>
  <c r="I540"/>
  <c r="I522"/>
  <c r="I499"/>
  <c r="I476"/>
  <c r="I458"/>
  <c r="I435"/>
  <c r="I412"/>
  <c r="I394"/>
  <c r="I371"/>
  <c r="I348"/>
  <c r="I330"/>
  <c r="I307"/>
  <c r="I284"/>
  <c r="I266"/>
  <c r="I243"/>
  <c r="I220"/>
  <c r="I202"/>
  <c r="I179"/>
  <c r="I156"/>
  <c r="I138"/>
  <c r="I115"/>
  <c r="I92"/>
  <c r="I74"/>
  <c r="I51"/>
  <c r="I28"/>
  <c r="I10"/>
  <c r="I994"/>
  <c r="I971"/>
  <c r="I948"/>
  <c r="I930"/>
  <c r="I907"/>
  <c r="I884"/>
  <c r="I866"/>
  <c r="I843"/>
  <c r="I820"/>
  <c r="I802"/>
  <c r="I779"/>
  <c r="I756"/>
  <c r="I738"/>
  <c r="I715"/>
  <c r="I692"/>
  <c r="I674"/>
  <c r="I651"/>
  <c r="I628"/>
  <c r="I610"/>
  <c r="I587"/>
  <c r="I564"/>
  <c r="I546"/>
  <c r="I523"/>
  <c r="I500"/>
  <c r="I482"/>
  <c r="I459"/>
  <c r="I436"/>
  <c r="I418"/>
  <c r="I395"/>
  <c r="I372"/>
  <c r="I354"/>
  <c r="I331"/>
  <c r="I308"/>
  <c r="I290"/>
  <c r="I267"/>
  <c r="I244"/>
  <c r="I226"/>
  <c r="I203"/>
  <c r="I180"/>
  <c r="I162"/>
  <c r="I139"/>
  <c r="I116"/>
  <c r="I98"/>
  <c r="I75"/>
  <c r="I52"/>
  <c r="I34"/>
  <c r="I11"/>
  <c r="I995"/>
  <c r="I972"/>
  <c r="I954"/>
  <c r="I931"/>
  <c r="I908"/>
  <c r="I890"/>
  <c r="I867"/>
  <c r="I844"/>
  <c r="I826"/>
  <c r="I803"/>
  <c r="I780"/>
  <c r="I762"/>
  <c r="I739"/>
  <c r="I716"/>
  <c r="I698"/>
  <c r="I675"/>
  <c r="I652"/>
  <c r="I634"/>
  <c r="I611"/>
  <c r="I588"/>
  <c r="I570"/>
  <c r="I547"/>
  <c r="I524"/>
  <c r="I506"/>
  <c r="I483"/>
  <c r="I460"/>
  <c r="I442"/>
  <c r="I419"/>
  <c r="I396"/>
  <c r="I378"/>
  <c r="I355"/>
  <c r="I332"/>
  <c r="I314"/>
  <c r="I291"/>
  <c r="I268"/>
  <c r="I250"/>
  <c r="I227"/>
  <c r="I204"/>
  <c r="I186"/>
  <c r="I163"/>
  <c r="I140"/>
  <c r="I122"/>
  <c r="I99"/>
  <c r="I76"/>
  <c r="I58"/>
  <c r="I35"/>
  <c r="I12"/>
  <c r="I996"/>
  <c r="I978"/>
  <c r="I955"/>
  <c r="I932"/>
  <c r="I914"/>
  <c r="I891"/>
  <c r="I868"/>
  <c r="I850"/>
  <c r="I827"/>
  <c r="I804"/>
  <c r="I786"/>
  <c r="I763"/>
  <c r="I740"/>
  <c r="I722"/>
  <c r="I699"/>
  <c r="I676"/>
  <c r="I658"/>
  <c r="I635"/>
  <c r="I612"/>
  <c r="I594"/>
  <c r="I571"/>
  <c r="I548"/>
  <c r="I530"/>
  <c r="I507"/>
  <c r="I484"/>
  <c r="I466"/>
  <c r="I443"/>
  <c r="I420"/>
  <c r="I402"/>
  <c r="I379"/>
  <c r="I356"/>
  <c r="I338"/>
  <c r="I315"/>
  <c r="I292"/>
  <c r="I274"/>
  <c r="I251"/>
  <c r="I228"/>
  <c r="I210"/>
  <c r="I187"/>
  <c r="I164"/>
  <c r="I146"/>
  <c r="I123"/>
  <c r="I100"/>
  <c r="I82"/>
  <c r="I59"/>
  <c r="I36"/>
  <c r="I18"/>
  <c r="I979"/>
  <c r="I956"/>
  <c r="I938"/>
  <c r="I915"/>
  <c r="I892"/>
  <c r="I874"/>
  <c r="I851"/>
  <c r="I828"/>
  <c r="I810"/>
  <c r="I787"/>
  <c r="I764"/>
  <c r="I746"/>
  <c r="I723"/>
  <c r="I700"/>
  <c r="I682"/>
  <c r="I659"/>
  <c r="I636"/>
  <c r="I618"/>
  <c r="I595"/>
  <c r="I572"/>
  <c r="I554"/>
  <c r="I531"/>
  <c r="I508"/>
  <c r="I490"/>
  <c r="I467"/>
  <c r="I444"/>
  <c r="I426"/>
  <c r="I403"/>
  <c r="I380"/>
  <c r="I362"/>
  <c r="I339"/>
  <c r="I316"/>
  <c r="I298"/>
  <c r="I275"/>
  <c r="I252"/>
  <c r="I234"/>
  <c r="I211"/>
  <c r="I188"/>
  <c r="I170"/>
  <c r="I147"/>
  <c r="I124"/>
  <c r="I106"/>
  <c r="I83"/>
  <c r="I60"/>
  <c r="I42"/>
  <c r="I19"/>
  <c r="I996" i="35"/>
  <c r="I993"/>
  <c r="I985"/>
  <c r="I999"/>
  <c r="I989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1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2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4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7"/>
  <c r="I987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8"/>
  <c r="I965"/>
  <c r="I945"/>
  <c r="I923"/>
  <c r="I901"/>
  <c r="I881"/>
  <c r="I859"/>
  <c r="I837"/>
  <c r="I817"/>
  <c r="I795"/>
  <c r="I773"/>
  <c r="I753"/>
  <c r="I731"/>
  <c r="I709"/>
  <c r="I689"/>
  <c r="I667"/>
  <c r="I645"/>
  <c r="I625"/>
  <c r="I603"/>
  <c r="I581"/>
  <c r="I561"/>
  <c r="I539"/>
  <c r="I517"/>
  <c r="I497"/>
  <c r="I475"/>
  <c r="I453"/>
  <c r="I433"/>
  <c r="I411"/>
  <c r="I389"/>
  <c r="I369"/>
  <c r="I347"/>
  <c r="I325"/>
  <c r="I305"/>
  <c r="I283"/>
  <c r="I261"/>
  <c r="I241"/>
  <c r="I219"/>
  <c r="I197"/>
  <c r="I177"/>
  <c r="I155"/>
  <c r="I133"/>
  <c r="I113"/>
  <c r="I91"/>
  <c r="I69"/>
  <c r="I49"/>
  <c r="I27"/>
  <c r="I5"/>
  <c r="I990"/>
  <c r="I969"/>
  <c r="I947"/>
  <c r="I925"/>
  <c r="I905"/>
  <c r="I883"/>
  <c r="I861"/>
  <c r="I841"/>
  <c r="I819"/>
  <c r="I797"/>
  <c r="I777"/>
  <c r="I755"/>
  <c r="I733"/>
  <c r="I713"/>
  <c r="I691"/>
  <c r="I669"/>
  <c r="I649"/>
  <c r="I627"/>
  <c r="I605"/>
  <c r="I585"/>
  <c r="I563"/>
  <c r="I541"/>
  <c r="I521"/>
  <c r="I499"/>
  <c r="I477"/>
  <c r="I457"/>
  <c r="I435"/>
  <c r="I413"/>
  <c r="I393"/>
  <c r="I371"/>
  <c r="I349"/>
  <c r="I329"/>
  <c r="I307"/>
  <c r="I285"/>
  <c r="I265"/>
  <c r="I243"/>
  <c r="I221"/>
  <c r="I201"/>
  <c r="I179"/>
  <c r="I157"/>
  <c r="I137"/>
  <c r="I115"/>
  <c r="I93"/>
  <c r="I73"/>
  <c r="I51"/>
  <c r="I29"/>
  <c r="I9"/>
  <c r="I995"/>
  <c r="I971"/>
  <c r="I949"/>
  <c r="I929"/>
  <c r="I907"/>
  <c r="I885"/>
  <c r="I865"/>
  <c r="I843"/>
  <c r="I821"/>
  <c r="I801"/>
  <c r="I779"/>
  <c r="I757"/>
  <c r="I737"/>
  <c r="I715"/>
  <c r="I693"/>
  <c r="I673"/>
  <c r="I651"/>
  <c r="I629"/>
  <c r="I609"/>
  <c r="I587"/>
  <c r="I565"/>
  <c r="I545"/>
  <c r="I523"/>
  <c r="I501"/>
  <c r="I481"/>
  <c r="I459"/>
  <c r="I437"/>
  <c r="I417"/>
  <c r="I395"/>
  <c r="I373"/>
  <c r="I353"/>
  <c r="I331"/>
  <c r="I309"/>
  <c r="I289"/>
  <c r="I267"/>
  <c r="I245"/>
  <c r="I225"/>
  <c r="I203"/>
  <c r="I181"/>
  <c r="I161"/>
  <c r="I139"/>
  <c r="I117"/>
  <c r="I97"/>
  <c r="I75"/>
  <c r="I53"/>
  <c r="I33"/>
  <c r="I11"/>
  <c r="I998"/>
  <c r="I973"/>
  <c r="I953"/>
  <c r="I931"/>
  <c r="I909"/>
  <c r="I889"/>
  <c r="I867"/>
  <c r="I845"/>
  <c r="I825"/>
  <c r="I803"/>
  <c r="I781"/>
  <c r="I761"/>
  <c r="I739"/>
  <c r="I717"/>
  <c r="I697"/>
  <c r="I675"/>
  <c r="I653"/>
  <c r="I633"/>
  <c r="I611"/>
  <c r="I589"/>
  <c r="I569"/>
  <c r="I547"/>
  <c r="I525"/>
  <c r="I505"/>
  <c r="I483"/>
  <c r="I461"/>
  <c r="I441"/>
  <c r="I419"/>
  <c r="I397"/>
  <c r="I377"/>
  <c r="I355"/>
  <c r="I333"/>
  <c r="I313"/>
  <c r="I291"/>
  <c r="I269"/>
  <c r="I249"/>
  <c r="I227"/>
  <c r="I205"/>
  <c r="I185"/>
  <c r="I163"/>
  <c r="I141"/>
  <c r="I121"/>
  <c r="I99"/>
  <c r="I77"/>
  <c r="I57"/>
  <c r="I35"/>
  <c r="I13"/>
  <c r="I1000"/>
  <c r="I977"/>
  <c r="I955"/>
  <c r="I933"/>
  <c r="I913"/>
  <c r="I891"/>
  <c r="I869"/>
  <c r="I849"/>
  <c r="I827"/>
  <c r="I805"/>
  <c r="I785"/>
  <c r="I763"/>
  <c r="I741"/>
  <c r="I721"/>
  <c r="I699"/>
  <c r="I677"/>
  <c r="I657"/>
  <c r="I635"/>
  <c r="I613"/>
  <c r="I593"/>
  <c r="I571"/>
  <c r="I549"/>
  <c r="I529"/>
  <c r="I507"/>
  <c r="I485"/>
  <c r="I465"/>
  <c r="I443"/>
  <c r="I421"/>
  <c r="I401"/>
  <c r="I379"/>
  <c r="I357"/>
  <c r="I337"/>
  <c r="I315"/>
  <c r="I293"/>
  <c r="I273"/>
  <c r="I251"/>
  <c r="I229"/>
  <c r="I209"/>
  <c r="I187"/>
  <c r="I165"/>
  <c r="I145"/>
  <c r="I123"/>
  <c r="I101"/>
  <c r="I81"/>
  <c r="I59"/>
  <c r="I37"/>
  <c r="I17"/>
  <c r="I939"/>
  <c r="I877"/>
  <c r="I829"/>
  <c r="I769"/>
  <c r="I707"/>
  <c r="I659"/>
  <c r="I597"/>
  <c r="I537"/>
  <c r="I489"/>
  <c r="I427"/>
  <c r="I365"/>
  <c r="I317"/>
  <c r="I257"/>
  <c r="I195"/>
  <c r="I147"/>
  <c r="I85"/>
  <c r="I25"/>
  <c r="I941"/>
  <c r="I893"/>
  <c r="I833"/>
  <c r="I771"/>
  <c r="I723"/>
  <c r="I661"/>
  <c r="I601"/>
  <c r="I553"/>
  <c r="I491"/>
  <c r="I429"/>
  <c r="I381"/>
  <c r="I321"/>
  <c r="I259"/>
  <c r="I211"/>
  <c r="I149"/>
  <c r="I89"/>
  <c r="I41"/>
  <c r="I957"/>
  <c r="I897"/>
  <c r="I835"/>
  <c r="I787"/>
  <c r="I725"/>
  <c r="I665"/>
  <c r="I617"/>
  <c r="I555"/>
  <c r="I493"/>
  <c r="I445"/>
  <c r="I385"/>
  <c r="I323"/>
  <c r="I275"/>
  <c r="I213"/>
  <c r="I153"/>
  <c r="I105"/>
  <c r="I43"/>
  <c r="I961"/>
  <c r="I899"/>
  <c r="I851"/>
  <c r="I789"/>
  <c r="I729"/>
  <c r="I681"/>
  <c r="I619"/>
  <c r="I557"/>
  <c r="I509"/>
  <c r="I449"/>
  <c r="I387"/>
  <c r="I339"/>
  <c r="I277"/>
  <c r="I217"/>
  <c r="I169"/>
  <c r="I107"/>
  <c r="I45"/>
  <c r="I963"/>
  <c r="I915"/>
  <c r="I853"/>
  <c r="I793"/>
  <c r="I745"/>
  <c r="I683"/>
  <c r="I621"/>
  <c r="I573"/>
  <c r="I513"/>
  <c r="I451"/>
  <c r="I403"/>
  <c r="I341"/>
  <c r="I281"/>
  <c r="I233"/>
  <c r="I171"/>
  <c r="I109"/>
  <c r="I61"/>
  <c r="I979"/>
  <c r="I917"/>
  <c r="I857"/>
  <c r="I809"/>
  <c r="I747"/>
  <c r="I685"/>
  <c r="I637"/>
  <c r="I577"/>
  <c r="I515"/>
  <c r="I467"/>
  <c r="I405"/>
  <c r="I345"/>
  <c r="I297"/>
  <c r="I235"/>
  <c r="I173"/>
  <c r="I125"/>
  <c r="I65"/>
  <c r="I3"/>
  <c r="I937"/>
  <c r="I705"/>
  <c r="I473"/>
  <c r="I253"/>
  <c r="I21"/>
  <c r="I981"/>
  <c r="I749"/>
  <c r="I531"/>
  <c r="I299"/>
  <c r="I67"/>
  <c r="I986"/>
  <c r="I765"/>
  <c r="I533"/>
  <c r="I301"/>
  <c r="I83"/>
  <c r="I811"/>
  <c r="I579"/>
  <c r="I361"/>
  <c r="I129"/>
  <c r="I813"/>
  <c r="I595"/>
  <c r="I363"/>
  <c r="I131"/>
  <c r="I873"/>
  <c r="I641"/>
  <c r="I409"/>
  <c r="I189"/>
  <c r="I875"/>
  <c r="I643"/>
  <c r="I425"/>
  <c r="I193"/>
  <c r="I19"/>
  <c r="I237"/>
  <c r="I469"/>
  <c r="I701"/>
  <c r="I921"/>
  <c r="I996" i="14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63"/>
  <c r="I943"/>
  <c r="I922"/>
  <c r="I899"/>
  <c r="I879"/>
  <c r="I858"/>
  <c r="I835"/>
  <c r="I815"/>
  <c r="I794"/>
  <c r="I771"/>
  <c r="I751"/>
  <c r="I730"/>
  <c r="I707"/>
  <c r="I687"/>
  <c r="I666"/>
  <c r="I643"/>
  <c r="I623"/>
  <c r="I602"/>
  <c r="I579"/>
  <c r="I559"/>
  <c r="I538"/>
  <c r="I515"/>
  <c r="I495"/>
  <c r="I474"/>
  <c r="I451"/>
  <c r="I431"/>
  <c r="I410"/>
  <c r="I387"/>
  <c r="I367"/>
  <c r="I346"/>
  <c r="I323"/>
  <c r="I303"/>
  <c r="I282"/>
  <c r="I259"/>
  <c r="I239"/>
  <c r="I218"/>
  <c r="I195"/>
  <c r="I175"/>
  <c r="I154"/>
  <c r="I131"/>
  <c r="I111"/>
  <c r="I90"/>
  <c r="I67"/>
  <c r="I47"/>
  <c r="I26"/>
  <c r="I3"/>
  <c r="I987"/>
  <c r="I967"/>
  <c r="I946"/>
  <c r="I923"/>
  <c r="I903"/>
  <c r="I882"/>
  <c r="I859"/>
  <c r="I839"/>
  <c r="I818"/>
  <c r="I795"/>
  <c r="I775"/>
  <c r="I754"/>
  <c r="I731"/>
  <c r="I711"/>
  <c r="I690"/>
  <c r="I667"/>
  <c r="I647"/>
  <c r="I626"/>
  <c r="I603"/>
  <c r="I583"/>
  <c r="I562"/>
  <c r="I539"/>
  <c r="I519"/>
  <c r="I498"/>
  <c r="I475"/>
  <c r="I455"/>
  <c r="I434"/>
  <c r="I411"/>
  <c r="I391"/>
  <c r="I370"/>
  <c r="I347"/>
  <c r="I327"/>
  <c r="I306"/>
  <c r="I283"/>
  <c r="I263"/>
  <c r="I242"/>
  <c r="I219"/>
  <c r="I199"/>
  <c r="I178"/>
  <c r="I155"/>
  <c r="I135"/>
  <c r="I114"/>
  <c r="I91"/>
  <c r="I71"/>
  <c r="I50"/>
  <c r="I27"/>
  <c r="I7"/>
  <c r="I991"/>
  <c r="I970"/>
  <c r="I947"/>
  <c r="I927"/>
  <c r="I906"/>
  <c r="I883"/>
  <c r="I863"/>
  <c r="I842"/>
  <c r="I819"/>
  <c r="I799"/>
  <c r="I778"/>
  <c r="I755"/>
  <c r="I735"/>
  <c r="I714"/>
  <c r="I691"/>
  <c r="I671"/>
  <c r="I650"/>
  <c r="I627"/>
  <c r="I607"/>
  <c r="I586"/>
  <c r="I563"/>
  <c r="I543"/>
  <c r="I522"/>
  <c r="I499"/>
  <c r="I479"/>
  <c r="I458"/>
  <c r="I435"/>
  <c r="I415"/>
  <c r="I394"/>
  <c r="I371"/>
  <c r="I351"/>
  <c r="I330"/>
  <c r="I307"/>
  <c r="I287"/>
  <c r="I266"/>
  <c r="I243"/>
  <c r="I223"/>
  <c r="I202"/>
  <c r="I179"/>
  <c r="I159"/>
  <c r="I138"/>
  <c r="I115"/>
  <c r="I95"/>
  <c r="I74"/>
  <c r="I51"/>
  <c r="I31"/>
  <c r="I10"/>
  <c r="I994"/>
  <c r="I971"/>
  <c r="I951"/>
  <c r="I930"/>
  <c r="I907"/>
  <c r="I887"/>
  <c r="I866"/>
  <c r="I843"/>
  <c r="I823"/>
  <c r="I802"/>
  <c r="I779"/>
  <c r="I759"/>
  <c r="I738"/>
  <c r="I715"/>
  <c r="I695"/>
  <c r="I674"/>
  <c r="I651"/>
  <c r="I631"/>
  <c r="I610"/>
  <c r="I587"/>
  <c r="I567"/>
  <c r="I546"/>
  <c r="I523"/>
  <c r="I503"/>
  <c r="I482"/>
  <c r="I459"/>
  <c r="I439"/>
  <c r="I418"/>
  <c r="I395"/>
  <c r="I375"/>
  <c r="I354"/>
  <c r="I331"/>
  <c r="I311"/>
  <c r="I290"/>
  <c r="I267"/>
  <c r="I247"/>
  <c r="I226"/>
  <c r="I203"/>
  <c r="I183"/>
  <c r="I162"/>
  <c r="I139"/>
  <c r="I119"/>
  <c r="I98"/>
  <c r="I75"/>
  <c r="I55"/>
  <c r="I34"/>
  <c r="I11"/>
  <c r="I995"/>
  <c r="I975"/>
  <c r="I954"/>
  <c r="I931"/>
  <c r="I911"/>
  <c r="I890"/>
  <c r="I867"/>
  <c r="I847"/>
  <c r="I826"/>
  <c r="I803"/>
  <c r="I783"/>
  <c r="I762"/>
  <c r="I739"/>
  <c r="I719"/>
  <c r="I698"/>
  <c r="I675"/>
  <c r="I655"/>
  <c r="I634"/>
  <c r="I611"/>
  <c r="I591"/>
  <c r="I570"/>
  <c r="I547"/>
  <c r="I527"/>
  <c r="I506"/>
  <c r="I483"/>
  <c r="I463"/>
  <c r="I442"/>
  <c r="I419"/>
  <c r="I399"/>
  <c r="I378"/>
  <c r="I355"/>
  <c r="I335"/>
  <c r="I314"/>
  <c r="I291"/>
  <c r="I271"/>
  <c r="I250"/>
  <c r="I227"/>
  <c r="I207"/>
  <c r="I186"/>
  <c r="I163"/>
  <c r="I143"/>
  <c r="I122"/>
  <c r="I99"/>
  <c r="I79"/>
  <c r="I58"/>
  <c r="I35"/>
  <c r="I15"/>
  <c r="I999"/>
  <c r="I978"/>
  <c r="I955"/>
  <c r="I935"/>
  <c r="I914"/>
  <c r="I891"/>
  <c r="I871"/>
  <c r="I850"/>
  <c r="I827"/>
  <c r="I807"/>
  <c r="I786"/>
  <c r="I763"/>
  <c r="I743"/>
  <c r="I722"/>
  <c r="I699"/>
  <c r="I679"/>
  <c r="I658"/>
  <c r="I635"/>
  <c r="I615"/>
  <c r="I594"/>
  <c r="I571"/>
  <c r="I551"/>
  <c r="I530"/>
  <c r="I507"/>
  <c r="I487"/>
  <c r="I466"/>
  <c r="I443"/>
  <c r="I423"/>
  <c r="I402"/>
  <c r="I379"/>
  <c r="I359"/>
  <c r="I338"/>
  <c r="I315"/>
  <c r="I295"/>
  <c r="I274"/>
  <c r="I251"/>
  <c r="I231"/>
  <c r="I210"/>
  <c r="I187"/>
  <c r="I167"/>
  <c r="I146"/>
  <c r="I123"/>
  <c r="I103"/>
  <c r="I82"/>
  <c r="I59"/>
  <c r="I39"/>
  <c r="I18"/>
  <c r="I983"/>
  <c r="I962"/>
  <c r="I939"/>
  <c r="I919"/>
  <c r="I898"/>
  <c r="I875"/>
  <c r="I855"/>
  <c r="I834"/>
  <c r="I811"/>
  <c r="I791"/>
  <c r="I770"/>
  <c r="I747"/>
  <c r="I727"/>
  <c r="I706"/>
  <c r="I683"/>
  <c r="I663"/>
  <c r="I642"/>
  <c r="I619"/>
  <c r="I599"/>
  <c r="I578"/>
  <c r="I555"/>
  <c r="I535"/>
  <c r="I514"/>
  <c r="I491"/>
  <c r="I471"/>
  <c r="I450"/>
  <c r="I427"/>
  <c r="I407"/>
  <c r="I386"/>
  <c r="I363"/>
  <c r="I343"/>
  <c r="I322"/>
  <c r="I299"/>
  <c r="I279"/>
  <c r="I258"/>
  <c r="I235"/>
  <c r="I215"/>
  <c r="I194"/>
  <c r="I171"/>
  <c r="I151"/>
  <c r="I130"/>
  <c r="I107"/>
  <c r="I87"/>
  <c r="I66"/>
  <c r="I43"/>
  <c r="I23"/>
  <c r="I2"/>
  <c r="I915"/>
  <c r="I746"/>
  <c r="I575"/>
  <c r="I403"/>
  <c r="I234"/>
  <c r="I63"/>
  <c r="I938"/>
  <c r="I767"/>
  <c r="I595"/>
  <c r="I426"/>
  <c r="I255"/>
  <c r="I83"/>
  <c r="I959"/>
  <c r="I787"/>
  <c r="I618"/>
  <c r="I447"/>
  <c r="I275"/>
  <c r="I106"/>
  <c r="I979"/>
  <c r="I810"/>
  <c r="I639"/>
  <c r="I467"/>
  <c r="I298"/>
  <c r="I127"/>
  <c r="I831"/>
  <c r="I659"/>
  <c r="I490"/>
  <c r="I319"/>
  <c r="I147"/>
  <c r="I851"/>
  <c r="I682"/>
  <c r="I511"/>
  <c r="I339"/>
  <c r="I170"/>
  <c r="I874"/>
  <c r="I703"/>
  <c r="I531"/>
  <c r="I362"/>
  <c r="I191"/>
  <c r="I19"/>
  <c r="I895"/>
  <c r="I723"/>
  <c r="I554"/>
  <c r="I383"/>
  <c r="I211"/>
  <c r="I42"/>
  <c r="I993" i="11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962"/>
  <c r="I898"/>
  <c r="I834"/>
  <c r="I770"/>
  <c r="I706"/>
  <c r="I642"/>
  <c r="I578"/>
  <c r="I514"/>
  <c r="I450"/>
  <c r="I386"/>
  <c r="I322"/>
  <c r="I258"/>
  <c r="I194"/>
  <c r="I130"/>
  <c r="I98"/>
  <c r="I66"/>
  <c r="I34"/>
  <c r="I2"/>
  <c r="I970"/>
  <c r="I906"/>
  <c r="I842"/>
  <c r="I778"/>
  <c r="I714"/>
  <c r="I650"/>
  <c r="I586"/>
  <c r="I522"/>
  <c r="I458"/>
  <c r="I394"/>
  <c r="I330"/>
  <c r="I266"/>
  <c r="I202"/>
  <c r="I138"/>
  <c r="I104"/>
  <c r="I72"/>
  <c r="I40"/>
  <c r="I8"/>
  <c r="I978"/>
  <c r="I914"/>
  <c r="I850"/>
  <c r="I786"/>
  <c r="I722"/>
  <c r="I658"/>
  <c r="I594"/>
  <c r="I530"/>
  <c r="I466"/>
  <c r="I402"/>
  <c r="I338"/>
  <c r="I274"/>
  <c r="I210"/>
  <c r="I146"/>
  <c r="I106"/>
  <c r="I74"/>
  <c r="I42"/>
  <c r="I10"/>
  <c r="I986"/>
  <c r="I922"/>
  <c r="I858"/>
  <c r="I794"/>
  <c r="I730"/>
  <c r="I666"/>
  <c r="I602"/>
  <c r="I538"/>
  <c r="I474"/>
  <c r="I410"/>
  <c r="I346"/>
  <c r="I282"/>
  <c r="I218"/>
  <c r="I154"/>
  <c r="I112"/>
  <c r="I80"/>
  <c r="I48"/>
  <c r="I16"/>
  <c r="I994"/>
  <c r="I930"/>
  <c r="I866"/>
  <c r="I802"/>
  <c r="I738"/>
  <c r="I674"/>
  <c r="I610"/>
  <c r="I546"/>
  <c r="I482"/>
  <c r="I418"/>
  <c r="I354"/>
  <c r="I290"/>
  <c r="I226"/>
  <c r="I162"/>
  <c r="I114"/>
  <c r="I82"/>
  <c r="I50"/>
  <c r="I18"/>
  <c r="I938"/>
  <c r="I874"/>
  <c r="I810"/>
  <c r="I746"/>
  <c r="I682"/>
  <c r="I618"/>
  <c r="I554"/>
  <c r="I490"/>
  <c r="I426"/>
  <c r="I362"/>
  <c r="I298"/>
  <c r="I234"/>
  <c r="I170"/>
  <c r="I120"/>
  <c r="I88"/>
  <c r="I56"/>
  <c r="I24"/>
  <c r="I946"/>
  <c r="I882"/>
  <c r="I818"/>
  <c r="I754"/>
  <c r="I690"/>
  <c r="I626"/>
  <c r="I562"/>
  <c r="I498"/>
  <c r="I434"/>
  <c r="I370"/>
  <c r="I306"/>
  <c r="I242"/>
  <c r="I178"/>
  <c r="I122"/>
  <c r="I90"/>
  <c r="I58"/>
  <c r="I26"/>
  <c r="I954"/>
  <c r="I890"/>
  <c r="I826"/>
  <c r="I762"/>
  <c r="I698"/>
  <c r="I634"/>
  <c r="I570"/>
  <c r="I506"/>
  <c r="I442"/>
  <c r="I378"/>
  <c r="I314"/>
  <c r="I250"/>
  <c r="I186"/>
  <c r="I128"/>
  <c r="I96"/>
  <c r="I64"/>
  <c r="I32"/>
  <c r="I1"/>
  <c r="I999" i="37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79"/>
  <c r="I958"/>
  <c r="I938"/>
  <c r="I915"/>
  <c r="I894"/>
  <c r="I874"/>
  <c r="I851"/>
  <c r="I830"/>
  <c r="I810"/>
  <c r="I787"/>
  <c r="I766"/>
  <c r="I746"/>
  <c r="I723"/>
  <c r="I702"/>
  <c r="I682"/>
  <c r="I659"/>
  <c r="I638"/>
  <c r="I618"/>
  <c r="I595"/>
  <c r="I574"/>
  <c r="I554"/>
  <c r="I531"/>
  <c r="I510"/>
  <c r="I490"/>
  <c r="I467"/>
  <c r="I446"/>
  <c r="I426"/>
  <c r="I403"/>
  <c r="I382"/>
  <c r="I362"/>
  <c r="I339"/>
  <c r="I318"/>
  <c r="I298"/>
  <c r="I275"/>
  <c r="I254"/>
  <c r="I234"/>
  <c r="I211"/>
  <c r="I190"/>
  <c r="I170"/>
  <c r="I147"/>
  <c r="I126"/>
  <c r="I106"/>
  <c r="I83"/>
  <c r="I62"/>
  <c r="I42"/>
  <c r="I19"/>
  <c r="I982"/>
  <c r="I962"/>
  <c r="I939"/>
  <c r="I918"/>
  <c r="I898"/>
  <c r="I875"/>
  <c r="I854"/>
  <c r="I834"/>
  <c r="I811"/>
  <c r="I790"/>
  <c r="I770"/>
  <c r="I986"/>
  <c r="I963"/>
  <c r="I942"/>
  <c r="I922"/>
  <c r="I899"/>
  <c r="I878"/>
  <c r="I858"/>
  <c r="I835"/>
  <c r="I814"/>
  <c r="I794"/>
  <c r="I771"/>
  <c r="I750"/>
  <c r="I730"/>
  <c r="I707"/>
  <c r="I686"/>
  <c r="I666"/>
  <c r="I643"/>
  <c r="I622"/>
  <c r="I602"/>
  <c r="I579"/>
  <c r="I558"/>
  <c r="I538"/>
  <c r="I515"/>
  <c r="I494"/>
  <c r="I474"/>
  <c r="I451"/>
  <c r="I430"/>
  <c r="I410"/>
  <c r="I387"/>
  <c r="I366"/>
  <c r="I346"/>
  <c r="I323"/>
  <c r="I302"/>
  <c r="I282"/>
  <c r="I259"/>
  <c r="I238"/>
  <c r="I218"/>
  <c r="I195"/>
  <c r="I174"/>
  <c r="I154"/>
  <c r="I131"/>
  <c r="I110"/>
  <c r="I90"/>
  <c r="I67"/>
  <c r="I46"/>
  <c r="I26"/>
  <c r="I3"/>
  <c r="I987"/>
  <c r="I966"/>
  <c r="I946"/>
  <c r="I923"/>
  <c r="I902"/>
  <c r="I882"/>
  <c r="I859"/>
  <c r="I838"/>
  <c r="I818"/>
  <c r="I795"/>
  <c r="I774"/>
  <c r="I754"/>
  <c r="I731"/>
  <c r="I710"/>
  <c r="I690"/>
  <c r="I667"/>
  <c r="I646"/>
  <c r="I626"/>
  <c r="I603"/>
  <c r="I582"/>
  <c r="I562"/>
  <c r="I539"/>
  <c r="I518"/>
  <c r="I498"/>
  <c r="I475"/>
  <c r="I454"/>
  <c r="I434"/>
  <c r="I411"/>
  <c r="I390"/>
  <c r="I370"/>
  <c r="I347"/>
  <c r="I326"/>
  <c r="I306"/>
  <c r="I283"/>
  <c r="I262"/>
  <c r="I242"/>
  <c r="I219"/>
  <c r="I198"/>
  <c r="I178"/>
  <c r="I155"/>
  <c r="I134"/>
  <c r="I114"/>
  <c r="I91"/>
  <c r="I70"/>
  <c r="I50"/>
  <c r="I27"/>
  <c r="I6"/>
  <c r="I990"/>
  <c r="I970"/>
  <c r="I947"/>
  <c r="I926"/>
  <c r="I906"/>
  <c r="I883"/>
  <c r="I862"/>
  <c r="I842"/>
  <c r="I819"/>
  <c r="I798"/>
  <c r="I778"/>
  <c r="I755"/>
  <c r="I734"/>
  <c r="I714"/>
  <c r="I691"/>
  <c r="I670"/>
  <c r="I650"/>
  <c r="I627"/>
  <c r="I606"/>
  <c r="I586"/>
  <c r="I563"/>
  <c r="I542"/>
  <c r="I522"/>
  <c r="I499"/>
  <c r="I478"/>
  <c r="I458"/>
  <c r="I435"/>
  <c r="I414"/>
  <c r="I394"/>
  <c r="I371"/>
  <c r="I350"/>
  <c r="I330"/>
  <c r="I307"/>
  <c r="I286"/>
  <c r="I266"/>
  <c r="I243"/>
  <c r="I222"/>
  <c r="I202"/>
  <c r="I179"/>
  <c r="I158"/>
  <c r="I138"/>
  <c r="I115"/>
  <c r="I94"/>
  <c r="I74"/>
  <c r="I51"/>
  <c r="I30"/>
  <c r="I10"/>
  <c r="I994"/>
  <c r="I971"/>
  <c r="I950"/>
  <c r="I930"/>
  <c r="I995"/>
  <c r="I974"/>
  <c r="I954"/>
  <c r="I931"/>
  <c r="I910"/>
  <c r="I890"/>
  <c r="I867"/>
  <c r="I846"/>
  <c r="I826"/>
  <c r="I803"/>
  <c r="I782"/>
  <c r="I762"/>
  <c r="I739"/>
  <c r="I718"/>
  <c r="I698"/>
  <c r="I675"/>
  <c r="I654"/>
  <c r="I634"/>
  <c r="I611"/>
  <c r="I590"/>
  <c r="I570"/>
  <c r="I547"/>
  <c r="I526"/>
  <c r="I506"/>
  <c r="I483"/>
  <c r="I462"/>
  <c r="I442"/>
  <c r="I419"/>
  <c r="I398"/>
  <c r="I378"/>
  <c r="I355"/>
  <c r="I334"/>
  <c r="I314"/>
  <c r="I291"/>
  <c r="I270"/>
  <c r="I250"/>
  <c r="I227"/>
  <c r="I206"/>
  <c r="I186"/>
  <c r="I163"/>
  <c r="I142"/>
  <c r="I122"/>
  <c r="I99"/>
  <c r="I78"/>
  <c r="I58"/>
  <c r="I35"/>
  <c r="I14"/>
  <c r="I891"/>
  <c r="I806"/>
  <c r="I738"/>
  <c r="I678"/>
  <c r="I619"/>
  <c r="I566"/>
  <c r="I507"/>
  <c r="I450"/>
  <c r="I395"/>
  <c r="I338"/>
  <c r="I278"/>
  <c r="I226"/>
  <c r="I166"/>
  <c r="I107"/>
  <c r="I54"/>
  <c r="I907"/>
  <c r="I822"/>
  <c r="I742"/>
  <c r="I683"/>
  <c r="I630"/>
  <c r="I571"/>
  <c r="I514"/>
  <c r="I459"/>
  <c r="I402"/>
  <c r="I342"/>
  <c r="I290"/>
  <c r="I230"/>
  <c r="I171"/>
  <c r="I118"/>
  <c r="I59"/>
  <c r="I2"/>
  <c r="I914"/>
  <c r="I827"/>
  <c r="I747"/>
  <c r="I694"/>
  <c r="I635"/>
  <c r="I578"/>
  <c r="I523"/>
  <c r="I466"/>
  <c r="I406"/>
  <c r="I354"/>
  <c r="I294"/>
  <c r="I235"/>
  <c r="I182"/>
  <c r="I123"/>
  <c r="I66"/>
  <c r="I11"/>
  <c r="I934"/>
  <c r="I843"/>
  <c r="I758"/>
  <c r="I699"/>
  <c r="I642"/>
  <c r="I587"/>
  <c r="I530"/>
  <c r="I470"/>
  <c r="I418"/>
  <c r="I358"/>
  <c r="I299"/>
  <c r="I246"/>
  <c r="I187"/>
  <c r="I130"/>
  <c r="I75"/>
  <c r="I18"/>
  <c r="I955"/>
  <c r="I850"/>
  <c r="I763"/>
  <c r="I706"/>
  <c r="I651"/>
  <c r="I594"/>
  <c r="I534"/>
  <c r="I482"/>
  <c r="I422"/>
  <c r="I363"/>
  <c r="I310"/>
  <c r="I251"/>
  <c r="I194"/>
  <c r="I139"/>
  <c r="I82"/>
  <c r="I22"/>
  <c r="I978"/>
  <c r="I722"/>
  <c r="I555"/>
  <c r="I427"/>
  <c r="I267"/>
  <c r="I102"/>
  <c r="I998"/>
  <c r="I726"/>
  <c r="I598"/>
  <c r="I438"/>
  <c r="I274"/>
  <c r="I146"/>
  <c r="I779"/>
  <c r="I610"/>
  <c r="I443"/>
  <c r="I315"/>
  <c r="I150"/>
  <c r="I786"/>
  <c r="I614"/>
  <c r="I486"/>
  <c r="I322"/>
  <c r="I162"/>
  <c r="I34"/>
  <c r="I802"/>
  <c r="I658"/>
  <c r="I491"/>
  <c r="I331"/>
  <c r="I203"/>
  <c r="I38"/>
  <c r="I866"/>
  <c r="I662"/>
  <c r="I502"/>
  <c r="I374"/>
  <c r="I210"/>
  <c r="I43"/>
  <c r="I715"/>
  <c r="I98"/>
  <c r="I870"/>
  <c r="I214"/>
  <c r="I886"/>
  <c r="I258"/>
  <c r="I379"/>
  <c r="I386"/>
  <c r="I546"/>
  <c r="I550"/>
  <c r="I86"/>
  <c r="I674"/>
  <c r="I1000" i="22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5"/>
  <c r="I975"/>
  <c r="I954"/>
  <c r="I931"/>
  <c r="I911"/>
  <c r="I890"/>
  <c r="I867"/>
  <c r="I847"/>
  <c r="I826"/>
  <c r="I803"/>
  <c r="I783"/>
  <c r="I762"/>
  <c r="I739"/>
  <c r="I719"/>
  <c r="I698"/>
  <c r="I675"/>
  <c r="I655"/>
  <c r="I634"/>
  <c r="I611"/>
  <c r="I591"/>
  <c r="I570"/>
  <c r="I547"/>
  <c r="I527"/>
  <c r="I506"/>
  <c r="I483"/>
  <c r="I463"/>
  <c r="I442"/>
  <c r="I419"/>
  <c r="I399"/>
  <c r="I378"/>
  <c r="I355"/>
  <c r="I335"/>
  <c r="I314"/>
  <c r="I291"/>
  <c r="I271"/>
  <c r="I250"/>
  <c r="I227"/>
  <c r="I207"/>
  <c r="I186"/>
  <c r="I163"/>
  <c r="I143"/>
  <c r="I122"/>
  <c r="I99"/>
  <c r="I79"/>
  <c r="I58"/>
  <c r="I35"/>
  <c r="I15"/>
  <c r="I999"/>
  <c r="I978"/>
  <c r="I955"/>
  <c r="I935"/>
  <c r="I914"/>
  <c r="I891"/>
  <c r="I871"/>
  <c r="I850"/>
  <c r="I827"/>
  <c r="I807"/>
  <c r="I786"/>
  <c r="I763"/>
  <c r="I743"/>
  <c r="I722"/>
  <c r="I699"/>
  <c r="I679"/>
  <c r="I658"/>
  <c r="I635"/>
  <c r="I615"/>
  <c r="I594"/>
  <c r="I571"/>
  <c r="I551"/>
  <c r="I530"/>
  <c r="I507"/>
  <c r="I487"/>
  <c r="I466"/>
  <c r="I443"/>
  <c r="I423"/>
  <c r="I402"/>
  <c r="I379"/>
  <c r="I359"/>
  <c r="I338"/>
  <c r="I315"/>
  <c r="I295"/>
  <c r="I274"/>
  <c r="I251"/>
  <c r="I231"/>
  <c r="I210"/>
  <c r="I187"/>
  <c r="I167"/>
  <c r="I146"/>
  <c r="I123"/>
  <c r="I103"/>
  <c r="I82"/>
  <c r="I59"/>
  <c r="I39"/>
  <c r="I18"/>
  <c r="I979"/>
  <c r="I959"/>
  <c r="I938"/>
  <c r="I915"/>
  <c r="I895"/>
  <c r="I874"/>
  <c r="I851"/>
  <c r="I831"/>
  <c r="I810"/>
  <c r="I787"/>
  <c r="I767"/>
  <c r="I746"/>
  <c r="I723"/>
  <c r="I703"/>
  <c r="I682"/>
  <c r="I659"/>
  <c r="I639"/>
  <c r="I618"/>
  <c r="I595"/>
  <c r="I575"/>
  <c r="I554"/>
  <c r="I531"/>
  <c r="I511"/>
  <c r="I490"/>
  <c r="I467"/>
  <c r="I447"/>
  <c r="I426"/>
  <c r="I403"/>
  <c r="I383"/>
  <c r="I362"/>
  <c r="I339"/>
  <c r="I319"/>
  <c r="I298"/>
  <c r="I275"/>
  <c r="I255"/>
  <c r="I234"/>
  <c r="I211"/>
  <c r="I191"/>
  <c r="I170"/>
  <c r="I147"/>
  <c r="I127"/>
  <c r="I106"/>
  <c r="I83"/>
  <c r="I63"/>
  <c r="I42"/>
  <c r="I19"/>
  <c r="I983"/>
  <c r="I962"/>
  <c r="I939"/>
  <c r="I919"/>
  <c r="I898"/>
  <c r="I875"/>
  <c r="I855"/>
  <c r="I834"/>
  <c r="I811"/>
  <c r="I791"/>
  <c r="I770"/>
  <c r="I747"/>
  <c r="I727"/>
  <c r="I706"/>
  <c r="I683"/>
  <c r="I663"/>
  <c r="I642"/>
  <c r="I619"/>
  <c r="I599"/>
  <c r="I578"/>
  <c r="I555"/>
  <c r="I535"/>
  <c r="I514"/>
  <c r="I491"/>
  <c r="I471"/>
  <c r="I450"/>
  <c r="I427"/>
  <c r="I407"/>
  <c r="I386"/>
  <c r="I363"/>
  <c r="I343"/>
  <c r="I322"/>
  <c r="I299"/>
  <c r="I279"/>
  <c r="I258"/>
  <c r="I235"/>
  <c r="I215"/>
  <c r="I194"/>
  <c r="I171"/>
  <c r="I151"/>
  <c r="I130"/>
  <c r="I107"/>
  <c r="I87"/>
  <c r="I66"/>
  <c r="I43"/>
  <c r="I23"/>
  <c r="I2"/>
  <c r="I986"/>
  <c r="I963"/>
  <c r="I943"/>
  <c r="I922"/>
  <c r="I899"/>
  <c r="I879"/>
  <c r="I858"/>
  <c r="I835"/>
  <c r="I815"/>
  <c r="I794"/>
  <c r="I771"/>
  <c r="I751"/>
  <c r="I730"/>
  <c r="I707"/>
  <c r="I687"/>
  <c r="I666"/>
  <c r="I643"/>
  <c r="I623"/>
  <c r="I602"/>
  <c r="I579"/>
  <c r="I559"/>
  <c r="I538"/>
  <c r="I515"/>
  <c r="I495"/>
  <c r="I474"/>
  <c r="I451"/>
  <c r="I431"/>
  <c r="I410"/>
  <c r="I387"/>
  <c r="I367"/>
  <c r="I346"/>
  <c r="I323"/>
  <c r="I303"/>
  <c r="I282"/>
  <c r="I259"/>
  <c r="I239"/>
  <c r="I218"/>
  <c r="I195"/>
  <c r="I175"/>
  <c r="I154"/>
  <c r="I131"/>
  <c r="I111"/>
  <c r="I90"/>
  <c r="I67"/>
  <c r="I47"/>
  <c r="I26"/>
  <c r="I3"/>
  <c r="I987"/>
  <c r="I967"/>
  <c r="I946"/>
  <c r="I923"/>
  <c r="I903"/>
  <c r="I882"/>
  <c r="I859"/>
  <c r="I839"/>
  <c r="I818"/>
  <c r="I795"/>
  <c r="I775"/>
  <c r="I754"/>
  <c r="I731"/>
  <c r="I711"/>
  <c r="I690"/>
  <c r="I667"/>
  <c r="I647"/>
  <c r="I626"/>
  <c r="I603"/>
  <c r="I583"/>
  <c r="I562"/>
  <c r="I539"/>
  <c r="I519"/>
  <c r="I498"/>
  <c r="I475"/>
  <c r="I455"/>
  <c r="I434"/>
  <c r="I411"/>
  <c r="I391"/>
  <c r="I370"/>
  <c r="I347"/>
  <c r="I327"/>
  <c r="I306"/>
  <c r="I283"/>
  <c r="I263"/>
  <c r="I242"/>
  <c r="I219"/>
  <c r="I199"/>
  <c r="I178"/>
  <c r="I155"/>
  <c r="I135"/>
  <c r="I114"/>
  <c r="I91"/>
  <c r="I71"/>
  <c r="I50"/>
  <c r="I27"/>
  <c r="I7"/>
  <c r="I991"/>
  <c r="I970"/>
  <c r="I947"/>
  <c r="I927"/>
  <c r="I906"/>
  <c r="I883"/>
  <c r="I863"/>
  <c r="I842"/>
  <c r="I819"/>
  <c r="I799"/>
  <c r="I778"/>
  <c r="I755"/>
  <c r="I735"/>
  <c r="I714"/>
  <c r="I691"/>
  <c r="I671"/>
  <c r="I650"/>
  <c r="I627"/>
  <c r="I607"/>
  <c r="I586"/>
  <c r="I563"/>
  <c r="I543"/>
  <c r="I522"/>
  <c r="I499"/>
  <c r="I479"/>
  <c r="I458"/>
  <c r="I435"/>
  <c r="I415"/>
  <c r="I394"/>
  <c r="I371"/>
  <c r="I351"/>
  <c r="I330"/>
  <c r="I307"/>
  <c r="I287"/>
  <c r="I266"/>
  <c r="I243"/>
  <c r="I223"/>
  <c r="I202"/>
  <c r="I179"/>
  <c r="I159"/>
  <c r="I138"/>
  <c r="I115"/>
  <c r="I95"/>
  <c r="I74"/>
  <c r="I51"/>
  <c r="I31"/>
  <c r="I10"/>
  <c r="I971"/>
  <c r="I802"/>
  <c r="I631"/>
  <c r="I459"/>
  <c r="I290"/>
  <c r="I119"/>
  <c r="I994"/>
  <c r="I823"/>
  <c r="I651"/>
  <c r="I482"/>
  <c r="I311"/>
  <c r="I139"/>
  <c r="I843"/>
  <c r="I674"/>
  <c r="I503"/>
  <c r="I331"/>
  <c r="I162"/>
  <c r="I866"/>
  <c r="I695"/>
  <c r="I523"/>
  <c r="I354"/>
  <c r="I183"/>
  <c r="I11"/>
  <c r="I887"/>
  <c r="I715"/>
  <c r="I546"/>
  <c r="I375"/>
  <c r="I203"/>
  <c r="I34"/>
  <c r="I907"/>
  <c r="I738"/>
  <c r="I567"/>
  <c r="I395"/>
  <c r="I226"/>
  <c r="I55"/>
  <c r="I930"/>
  <c r="I759"/>
  <c r="I587"/>
  <c r="I418"/>
  <c r="I247"/>
  <c r="I75"/>
  <c r="I98"/>
  <c r="I267"/>
  <c r="I439"/>
  <c r="I610"/>
  <c r="I779"/>
  <c r="I951"/>
  <c r="I993" i="25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2"/>
  <c r="I974"/>
  <c r="I951"/>
  <c r="I928"/>
  <c r="I910"/>
  <c r="I887"/>
  <c r="I864"/>
  <c r="I846"/>
  <c r="I823"/>
  <c r="I800"/>
  <c r="I782"/>
  <c r="I759"/>
  <c r="I736"/>
  <c r="I718"/>
  <c r="I695"/>
  <c r="I672"/>
  <c r="I654"/>
  <c r="I631"/>
  <c r="I608"/>
  <c r="I590"/>
  <c r="I567"/>
  <c r="I544"/>
  <c r="I526"/>
  <c r="I503"/>
  <c r="I480"/>
  <c r="I462"/>
  <c r="I439"/>
  <c r="I416"/>
  <c r="I398"/>
  <c r="I375"/>
  <c r="I352"/>
  <c r="I334"/>
  <c r="I311"/>
  <c r="I288"/>
  <c r="I270"/>
  <c r="I247"/>
  <c r="I224"/>
  <c r="I206"/>
  <c r="I183"/>
  <c r="I160"/>
  <c r="I142"/>
  <c r="I119"/>
  <c r="I96"/>
  <c r="I78"/>
  <c r="I55"/>
  <c r="I32"/>
  <c r="I14"/>
  <c r="I998"/>
  <c r="I975"/>
  <c r="I952"/>
  <c r="I934"/>
  <c r="I911"/>
  <c r="I888"/>
  <c r="I870"/>
  <c r="I847"/>
  <c r="I824"/>
  <c r="I806"/>
  <c r="I783"/>
  <c r="I760"/>
  <c r="I742"/>
  <c r="I719"/>
  <c r="I696"/>
  <c r="I678"/>
  <c r="I655"/>
  <c r="I632"/>
  <c r="I614"/>
  <c r="I591"/>
  <c r="I568"/>
  <c r="I550"/>
  <c r="I527"/>
  <c r="I504"/>
  <c r="I486"/>
  <c r="I463"/>
  <c r="I440"/>
  <c r="I422"/>
  <c r="I399"/>
  <c r="I376"/>
  <c r="I358"/>
  <c r="I335"/>
  <c r="I312"/>
  <c r="I294"/>
  <c r="I271"/>
  <c r="I248"/>
  <c r="I230"/>
  <c r="I207"/>
  <c r="I184"/>
  <c r="I166"/>
  <c r="I143"/>
  <c r="I120"/>
  <c r="I102"/>
  <c r="I79"/>
  <c r="I56"/>
  <c r="I38"/>
  <c r="I15"/>
  <c r="I999"/>
  <c r="I976"/>
  <c r="I958"/>
  <c r="I935"/>
  <c r="I912"/>
  <c r="I894"/>
  <c r="I871"/>
  <c r="I848"/>
  <c r="I830"/>
  <c r="I807"/>
  <c r="I784"/>
  <c r="I766"/>
  <c r="I743"/>
  <c r="I720"/>
  <c r="I702"/>
  <c r="I679"/>
  <c r="I656"/>
  <c r="I638"/>
  <c r="I615"/>
  <c r="I592"/>
  <c r="I574"/>
  <c r="I551"/>
  <c r="I528"/>
  <c r="I510"/>
  <c r="I487"/>
  <c r="I464"/>
  <c r="I446"/>
  <c r="I423"/>
  <c r="I400"/>
  <c r="I382"/>
  <c r="I359"/>
  <c r="I336"/>
  <c r="I318"/>
  <c r="I295"/>
  <c r="I272"/>
  <c r="I254"/>
  <c r="I231"/>
  <c r="I208"/>
  <c r="I190"/>
  <c r="I167"/>
  <c r="I144"/>
  <c r="I126"/>
  <c r="I103"/>
  <c r="I80"/>
  <c r="I62"/>
  <c r="I39"/>
  <c r="I16"/>
  <c r="I1000"/>
  <c r="I982"/>
  <c r="I959"/>
  <c r="I936"/>
  <c r="I918"/>
  <c r="I895"/>
  <c r="I872"/>
  <c r="I854"/>
  <c r="I831"/>
  <c r="I808"/>
  <c r="I790"/>
  <c r="I767"/>
  <c r="I744"/>
  <c r="I726"/>
  <c r="I703"/>
  <c r="I680"/>
  <c r="I662"/>
  <c r="I639"/>
  <c r="I616"/>
  <c r="I598"/>
  <c r="I575"/>
  <c r="I552"/>
  <c r="I534"/>
  <c r="I511"/>
  <c r="I488"/>
  <c r="I470"/>
  <c r="I447"/>
  <c r="I424"/>
  <c r="I406"/>
  <c r="I383"/>
  <c r="I360"/>
  <c r="I342"/>
  <c r="I319"/>
  <c r="I296"/>
  <c r="I278"/>
  <c r="I255"/>
  <c r="I232"/>
  <c r="I214"/>
  <c r="I191"/>
  <c r="I168"/>
  <c r="I150"/>
  <c r="I127"/>
  <c r="I104"/>
  <c r="I86"/>
  <c r="I63"/>
  <c r="I40"/>
  <c r="I22"/>
  <c r="I983"/>
  <c r="I960"/>
  <c r="I942"/>
  <c r="I919"/>
  <c r="I896"/>
  <c r="I878"/>
  <c r="I855"/>
  <c r="I832"/>
  <c r="I814"/>
  <c r="I791"/>
  <c r="I768"/>
  <c r="I750"/>
  <c r="I727"/>
  <c r="I704"/>
  <c r="I686"/>
  <c r="I663"/>
  <c r="I640"/>
  <c r="I622"/>
  <c r="I599"/>
  <c r="I576"/>
  <c r="I558"/>
  <c r="I535"/>
  <c r="I512"/>
  <c r="I494"/>
  <c r="I471"/>
  <c r="I448"/>
  <c r="I430"/>
  <c r="I407"/>
  <c r="I384"/>
  <c r="I366"/>
  <c r="I343"/>
  <c r="I320"/>
  <c r="I302"/>
  <c r="I279"/>
  <c r="I256"/>
  <c r="I238"/>
  <c r="I215"/>
  <c r="I192"/>
  <c r="I174"/>
  <c r="I151"/>
  <c r="I128"/>
  <c r="I110"/>
  <c r="I87"/>
  <c r="I64"/>
  <c r="I46"/>
  <c r="I23"/>
  <c r="I1"/>
  <c r="I984"/>
  <c r="I966"/>
  <c r="I943"/>
  <c r="I920"/>
  <c r="I902"/>
  <c r="I879"/>
  <c r="I856"/>
  <c r="I838"/>
  <c r="I815"/>
  <c r="I792"/>
  <c r="I774"/>
  <c r="I751"/>
  <c r="I728"/>
  <c r="I710"/>
  <c r="I687"/>
  <c r="I664"/>
  <c r="I646"/>
  <c r="I623"/>
  <c r="I600"/>
  <c r="I582"/>
  <c r="I559"/>
  <c r="I536"/>
  <c r="I518"/>
  <c r="I495"/>
  <c r="I472"/>
  <c r="I454"/>
  <c r="I431"/>
  <c r="I408"/>
  <c r="I390"/>
  <c r="I367"/>
  <c r="I344"/>
  <c r="I326"/>
  <c r="I303"/>
  <c r="I280"/>
  <c r="I262"/>
  <c r="I239"/>
  <c r="I216"/>
  <c r="I198"/>
  <c r="I175"/>
  <c r="I152"/>
  <c r="I134"/>
  <c r="I111"/>
  <c r="I88"/>
  <c r="I70"/>
  <c r="I47"/>
  <c r="I24"/>
  <c r="I6"/>
  <c r="I990"/>
  <c r="I967"/>
  <c r="I944"/>
  <c r="I926"/>
  <c r="I903"/>
  <c r="I880"/>
  <c r="I862"/>
  <c r="I839"/>
  <c r="I816"/>
  <c r="I798"/>
  <c r="I775"/>
  <c r="I752"/>
  <c r="I734"/>
  <c r="I711"/>
  <c r="I688"/>
  <c r="I670"/>
  <c r="I647"/>
  <c r="I624"/>
  <c r="I606"/>
  <c r="I583"/>
  <c r="I560"/>
  <c r="I542"/>
  <c r="I519"/>
  <c r="I496"/>
  <c r="I478"/>
  <c r="I455"/>
  <c r="I432"/>
  <c r="I414"/>
  <c r="I391"/>
  <c r="I368"/>
  <c r="I350"/>
  <c r="I327"/>
  <c r="I304"/>
  <c r="I286"/>
  <c r="I263"/>
  <c r="I240"/>
  <c r="I222"/>
  <c r="I199"/>
  <c r="I176"/>
  <c r="I158"/>
  <c r="I135"/>
  <c r="I112"/>
  <c r="I94"/>
  <c r="I71"/>
  <c r="I48"/>
  <c r="I30"/>
  <c r="I7"/>
  <c r="I991"/>
  <c r="I822"/>
  <c r="I648"/>
  <c r="I479"/>
  <c r="I310"/>
  <c r="I136"/>
  <c r="I840"/>
  <c r="I671"/>
  <c r="I502"/>
  <c r="I328"/>
  <c r="I159"/>
  <c r="I863"/>
  <c r="I694"/>
  <c r="I520"/>
  <c r="I351"/>
  <c r="I182"/>
  <c r="I8"/>
  <c r="I886"/>
  <c r="I712"/>
  <c r="I543"/>
  <c r="I374"/>
  <c r="I200"/>
  <c r="I31"/>
  <c r="I904"/>
  <c r="I735"/>
  <c r="I566"/>
  <c r="I392"/>
  <c r="I223"/>
  <c r="I54"/>
  <c r="I927"/>
  <c r="I758"/>
  <c r="I584"/>
  <c r="I415"/>
  <c r="I246"/>
  <c r="I72"/>
  <c r="I950"/>
  <c r="I776"/>
  <c r="I607"/>
  <c r="I438"/>
  <c r="I264"/>
  <c r="I95"/>
  <c r="I968"/>
  <c r="I118"/>
  <c r="I287"/>
  <c r="I456"/>
  <c r="I630"/>
  <c r="I799"/>
  <c r="I996" i="10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995"/>
  <c r="I979"/>
  <c r="I963"/>
  <c r="I947"/>
  <c r="I931"/>
  <c r="I915"/>
  <c r="I899"/>
  <c r="I883"/>
  <c r="I867"/>
  <c r="I851"/>
  <c r="I839"/>
  <c r="I826"/>
  <c r="I814"/>
  <c r="I801"/>
  <c r="I787"/>
  <c r="I775"/>
  <c r="I762"/>
  <c r="I750"/>
  <c r="I737"/>
  <c r="I723"/>
  <c r="I711"/>
  <c r="I698"/>
  <c r="I686"/>
  <c r="I673"/>
  <c r="I659"/>
  <c r="I647"/>
  <c r="I634"/>
  <c r="I622"/>
  <c r="I611"/>
  <c r="I601"/>
  <c r="I590"/>
  <c r="I579"/>
  <c r="I569"/>
  <c r="I558"/>
  <c r="I547"/>
  <c r="I537"/>
  <c r="I526"/>
  <c r="I515"/>
  <c r="I505"/>
  <c r="I494"/>
  <c r="I483"/>
  <c r="I473"/>
  <c r="I462"/>
  <c r="I451"/>
  <c r="I441"/>
  <c r="I430"/>
  <c r="I419"/>
  <c r="I409"/>
  <c r="I398"/>
  <c r="I387"/>
  <c r="I377"/>
  <c r="I366"/>
  <c r="I355"/>
  <c r="I345"/>
  <c r="I334"/>
  <c r="I323"/>
  <c r="I313"/>
  <c r="I302"/>
  <c r="I291"/>
  <c r="I281"/>
  <c r="I270"/>
  <c r="I259"/>
  <c r="I249"/>
  <c r="I238"/>
  <c r="I227"/>
  <c r="I217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8"/>
  <c r="I982"/>
  <c r="I966"/>
  <c r="I950"/>
  <c r="I934"/>
  <c r="I918"/>
  <c r="I902"/>
  <c r="I886"/>
  <c r="I870"/>
  <c r="I854"/>
  <c r="I841"/>
  <c r="I827"/>
  <c r="I815"/>
  <c r="I802"/>
  <c r="I790"/>
  <c r="I777"/>
  <c r="I763"/>
  <c r="I751"/>
  <c r="I738"/>
  <c r="I726"/>
  <c r="I713"/>
  <c r="I699"/>
  <c r="I687"/>
  <c r="I674"/>
  <c r="I662"/>
  <c r="I649"/>
  <c r="I635"/>
  <c r="I623"/>
  <c r="I613"/>
  <c r="I602"/>
  <c r="I591"/>
  <c r="I581"/>
  <c r="I570"/>
  <c r="I559"/>
  <c r="I549"/>
  <c r="I538"/>
  <c r="I527"/>
  <c r="I517"/>
  <c r="I506"/>
  <c r="I495"/>
  <c r="I485"/>
  <c r="I474"/>
  <c r="I463"/>
  <c r="I453"/>
  <c r="I442"/>
  <c r="I431"/>
  <c r="I421"/>
  <c r="I410"/>
  <c r="I399"/>
  <c r="I389"/>
  <c r="I378"/>
  <c r="I367"/>
  <c r="I357"/>
  <c r="I346"/>
  <c r="I335"/>
  <c r="I325"/>
  <c r="I314"/>
  <c r="I303"/>
  <c r="I293"/>
  <c r="I282"/>
  <c r="I271"/>
  <c r="I261"/>
  <c r="I250"/>
  <c r="I239"/>
  <c r="I229"/>
  <c r="I218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5"/>
  <c r="I969"/>
  <c r="I953"/>
  <c r="I937"/>
  <c r="I921"/>
  <c r="I905"/>
  <c r="I889"/>
  <c r="I873"/>
  <c r="I857"/>
  <c r="I842"/>
  <c r="I830"/>
  <c r="I817"/>
  <c r="I803"/>
  <c r="I791"/>
  <c r="I778"/>
  <c r="I766"/>
  <c r="I753"/>
  <c r="I739"/>
  <c r="I727"/>
  <c r="I714"/>
  <c r="I702"/>
  <c r="I689"/>
  <c r="I675"/>
  <c r="I663"/>
  <c r="I650"/>
  <c r="I638"/>
  <c r="I625"/>
  <c r="I614"/>
  <c r="I603"/>
  <c r="I593"/>
  <c r="I582"/>
  <c r="I571"/>
  <c r="I561"/>
  <c r="I550"/>
  <c r="I539"/>
  <c r="I529"/>
  <c r="I518"/>
  <c r="I507"/>
  <c r="I497"/>
  <c r="I486"/>
  <c r="I475"/>
  <c r="I465"/>
  <c r="I454"/>
  <c r="I443"/>
  <c r="I433"/>
  <c r="I422"/>
  <c r="I411"/>
  <c r="I401"/>
  <c r="I390"/>
  <c r="I379"/>
  <c r="I369"/>
  <c r="I358"/>
  <c r="I347"/>
  <c r="I337"/>
  <c r="I326"/>
  <c r="I315"/>
  <c r="I305"/>
  <c r="I294"/>
  <c r="I283"/>
  <c r="I273"/>
  <c r="I262"/>
  <c r="I251"/>
  <c r="I241"/>
  <c r="I230"/>
  <c r="I219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70"/>
  <c r="I954"/>
  <c r="I938"/>
  <c r="I922"/>
  <c r="I906"/>
  <c r="I890"/>
  <c r="I874"/>
  <c r="I858"/>
  <c r="I843"/>
  <c r="I831"/>
  <c r="I818"/>
  <c r="I806"/>
  <c r="I793"/>
  <c r="I779"/>
  <c r="I767"/>
  <c r="I754"/>
  <c r="I742"/>
  <c r="I729"/>
  <c r="I715"/>
  <c r="I703"/>
  <c r="I690"/>
  <c r="I678"/>
  <c r="I665"/>
  <c r="I651"/>
  <c r="I639"/>
  <c r="I626"/>
  <c r="I615"/>
  <c r="I605"/>
  <c r="I594"/>
  <c r="I583"/>
  <c r="I573"/>
  <c r="I562"/>
  <c r="I551"/>
  <c r="I541"/>
  <c r="I530"/>
  <c r="I519"/>
  <c r="I509"/>
  <c r="I498"/>
  <c r="I487"/>
  <c r="I477"/>
  <c r="I466"/>
  <c r="I455"/>
  <c r="I445"/>
  <c r="I434"/>
  <c r="I423"/>
  <c r="I413"/>
  <c r="I402"/>
  <c r="I391"/>
  <c r="I381"/>
  <c r="I370"/>
  <c r="I359"/>
  <c r="I349"/>
  <c r="I338"/>
  <c r="I327"/>
  <c r="I317"/>
  <c r="I306"/>
  <c r="I295"/>
  <c r="I285"/>
  <c r="I274"/>
  <c r="I263"/>
  <c r="I253"/>
  <c r="I242"/>
  <c r="I231"/>
  <c r="I221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7"/>
  <c r="I971"/>
  <c r="I955"/>
  <c r="I939"/>
  <c r="I923"/>
  <c r="I907"/>
  <c r="I891"/>
  <c r="I875"/>
  <c r="I859"/>
  <c r="I846"/>
  <c r="I833"/>
  <c r="I819"/>
  <c r="I807"/>
  <c r="I794"/>
  <c r="I782"/>
  <c r="I769"/>
  <c r="I755"/>
  <c r="I743"/>
  <c r="I730"/>
  <c r="I718"/>
  <c r="I705"/>
  <c r="I691"/>
  <c r="I679"/>
  <c r="I666"/>
  <c r="I654"/>
  <c r="I641"/>
  <c r="I627"/>
  <c r="I617"/>
  <c r="I606"/>
  <c r="I595"/>
  <c r="I585"/>
  <c r="I574"/>
  <c r="I563"/>
  <c r="I553"/>
  <c r="I542"/>
  <c r="I531"/>
  <c r="I521"/>
  <c r="I510"/>
  <c r="I499"/>
  <c r="I489"/>
  <c r="I478"/>
  <c r="I467"/>
  <c r="I457"/>
  <c r="I446"/>
  <c r="I435"/>
  <c r="I425"/>
  <c r="I414"/>
  <c r="I403"/>
  <c r="I393"/>
  <c r="I382"/>
  <c r="I371"/>
  <c r="I361"/>
  <c r="I350"/>
  <c r="I339"/>
  <c r="I329"/>
  <c r="I318"/>
  <c r="I307"/>
  <c r="I297"/>
  <c r="I286"/>
  <c r="I275"/>
  <c r="I265"/>
  <c r="I254"/>
  <c r="I243"/>
  <c r="I233"/>
  <c r="I222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0"/>
  <c r="I974"/>
  <c r="I958"/>
  <c r="I942"/>
  <c r="I926"/>
  <c r="I910"/>
  <c r="I894"/>
  <c r="I878"/>
  <c r="I862"/>
  <c r="I847"/>
  <c r="I834"/>
  <c r="I822"/>
  <c r="I809"/>
  <c r="I795"/>
  <c r="I783"/>
  <c r="I770"/>
  <c r="I758"/>
  <c r="I745"/>
  <c r="I731"/>
  <c r="I719"/>
  <c r="I706"/>
  <c r="I694"/>
  <c r="I681"/>
  <c r="I667"/>
  <c r="I655"/>
  <c r="I642"/>
  <c r="I630"/>
  <c r="I618"/>
  <c r="I607"/>
  <c r="I597"/>
  <c r="I586"/>
  <c r="I575"/>
  <c r="I565"/>
  <c r="I554"/>
  <c r="I543"/>
  <c r="I533"/>
  <c r="I522"/>
  <c r="I511"/>
  <c r="I501"/>
  <c r="I490"/>
  <c r="I479"/>
  <c r="I469"/>
  <c r="I458"/>
  <c r="I447"/>
  <c r="I437"/>
  <c r="I426"/>
  <c r="I415"/>
  <c r="I405"/>
  <c r="I394"/>
  <c r="I383"/>
  <c r="I373"/>
  <c r="I362"/>
  <c r="I351"/>
  <c r="I341"/>
  <c r="I330"/>
  <c r="I319"/>
  <c r="I309"/>
  <c r="I298"/>
  <c r="I287"/>
  <c r="I277"/>
  <c r="I266"/>
  <c r="I255"/>
  <c r="I245"/>
  <c r="I234"/>
  <c r="I223"/>
  <c r="I213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3"/>
  <c r="I977"/>
  <c r="I961"/>
  <c r="I945"/>
  <c r="I929"/>
  <c r="I913"/>
  <c r="I897"/>
  <c r="I881"/>
  <c r="I865"/>
  <c r="I849"/>
  <c r="I835"/>
  <c r="I823"/>
  <c r="I810"/>
  <c r="I798"/>
  <c r="I785"/>
  <c r="I771"/>
  <c r="I759"/>
  <c r="I746"/>
  <c r="I734"/>
  <c r="I721"/>
  <c r="I707"/>
  <c r="I695"/>
  <c r="I682"/>
  <c r="I670"/>
  <c r="I657"/>
  <c r="I643"/>
  <c r="I631"/>
  <c r="I619"/>
  <c r="I609"/>
  <c r="I598"/>
  <c r="I587"/>
  <c r="I577"/>
  <c r="I566"/>
  <c r="I555"/>
  <c r="I545"/>
  <c r="I534"/>
  <c r="I523"/>
  <c r="I513"/>
  <c r="I502"/>
  <c r="I491"/>
  <c r="I481"/>
  <c r="I470"/>
  <c r="I459"/>
  <c r="I449"/>
  <c r="I438"/>
  <c r="I427"/>
  <c r="I417"/>
  <c r="I406"/>
  <c r="I395"/>
  <c r="I385"/>
  <c r="I374"/>
  <c r="I363"/>
  <c r="I353"/>
  <c r="I342"/>
  <c r="I331"/>
  <c r="I321"/>
  <c r="I310"/>
  <c r="I299"/>
  <c r="I289"/>
  <c r="I278"/>
  <c r="I267"/>
  <c r="I257"/>
  <c r="I246"/>
  <c r="I235"/>
  <c r="I225"/>
  <c r="I214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4"/>
  <c r="I978"/>
  <c r="I962"/>
  <c r="I946"/>
  <c r="I930"/>
  <c r="I914"/>
  <c r="I898"/>
  <c r="I882"/>
  <c r="I866"/>
  <c r="I850"/>
  <c r="I838"/>
  <c r="I825"/>
  <c r="I811"/>
  <c r="I799"/>
  <c r="I786"/>
  <c r="I774"/>
  <c r="I761"/>
  <c r="I747"/>
  <c r="I735"/>
  <c r="I722"/>
  <c r="I710"/>
  <c r="I697"/>
  <c r="I683"/>
  <c r="I671"/>
  <c r="I658"/>
  <c r="I646"/>
  <c r="I633"/>
  <c r="I621"/>
  <c r="I610"/>
  <c r="I599"/>
  <c r="I589"/>
  <c r="I578"/>
  <c r="I567"/>
  <c r="I557"/>
  <c r="I546"/>
  <c r="I535"/>
  <c r="I525"/>
  <c r="I514"/>
  <c r="I503"/>
  <c r="I493"/>
  <c r="I482"/>
  <c r="I471"/>
  <c r="I461"/>
  <c r="I450"/>
  <c r="I439"/>
  <c r="I429"/>
  <c r="I418"/>
  <c r="I407"/>
  <c r="I397"/>
  <c r="I386"/>
  <c r="I375"/>
  <c r="I365"/>
  <c r="I354"/>
  <c r="I343"/>
  <c r="I333"/>
  <c r="I322"/>
  <c r="I311"/>
  <c r="I301"/>
  <c r="I290"/>
  <c r="I279"/>
  <c r="I269"/>
  <c r="I258"/>
  <c r="I247"/>
  <c r="I237"/>
  <c r="I226"/>
  <c r="I215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6" i="30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979"/>
  <c r="I960"/>
  <c r="I938"/>
  <c r="I915"/>
  <c r="I896"/>
  <c r="I874"/>
  <c r="I851"/>
  <c r="I832"/>
  <c r="I810"/>
  <c r="I787"/>
  <c r="I768"/>
  <c r="I746"/>
  <c r="I723"/>
  <c r="I704"/>
  <c r="I682"/>
  <c r="I659"/>
  <c r="I640"/>
  <c r="I618"/>
  <c r="I595"/>
  <c r="I576"/>
  <c r="I554"/>
  <c r="I531"/>
  <c r="I512"/>
  <c r="I490"/>
  <c r="I467"/>
  <c r="I448"/>
  <c r="I426"/>
  <c r="I403"/>
  <c r="I384"/>
  <c r="I362"/>
  <c r="I339"/>
  <c r="I320"/>
  <c r="I298"/>
  <c r="I275"/>
  <c r="I256"/>
  <c r="I234"/>
  <c r="I211"/>
  <c r="I192"/>
  <c r="I170"/>
  <c r="I147"/>
  <c r="I130"/>
  <c r="I121"/>
  <c r="I113"/>
  <c r="I105"/>
  <c r="I97"/>
  <c r="I89"/>
  <c r="I81"/>
  <c r="I73"/>
  <c r="I65"/>
  <c r="I57"/>
  <c r="I49"/>
  <c r="I41"/>
  <c r="I33"/>
  <c r="I25"/>
  <c r="I17"/>
  <c r="I9"/>
  <c r="I986"/>
  <c r="I963"/>
  <c r="I944"/>
  <c r="I922"/>
  <c r="I899"/>
  <c r="I880"/>
  <c r="I858"/>
  <c r="I835"/>
  <c r="I816"/>
  <c r="I794"/>
  <c r="I771"/>
  <c r="I752"/>
  <c r="I730"/>
  <c r="I707"/>
  <c r="I688"/>
  <c r="I666"/>
  <c r="I643"/>
  <c r="I624"/>
  <c r="I602"/>
  <c r="I579"/>
  <c r="I560"/>
  <c r="I538"/>
  <c r="I515"/>
  <c r="I496"/>
  <c r="I474"/>
  <c r="I451"/>
  <c r="I432"/>
  <c r="I410"/>
  <c r="I387"/>
  <c r="I368"/>
  <c r="I346"/>
  <c r="I323"/>
  <c r="I304"/>
  <c r="I282"/>
  <c r="I259"/>
  <c r="I240"/>
  <c r="I218"/>
  <c r="I195"/>
  <c r="I176"/>
  <c r="I154"/>
  <c r="I133"/>
  <c r="I123"/>
  <c r="I115"/>
  <c r="I107"/>
  <c r="I99"/>
  <c r="I91"/>
  <c r="I83"/>
  <c r="I75"/>
  <c r="I67"/>
  <c r="I59"/>
  <c r="I51"/>
  <c r="I43"/>
  <c r="I35"/>
  <c r="I27"/>
  <c r="I19"/>
  <c r="I11"/>
  <c r="I3"/>
  <c r="I987"/>
  <c r="I968"/>
  <c r="I946"/>
  <c r="I923"/>
  <c r="I904"/>
  <c r="I882"/>
  <c r="I859"/>
  <c r="I840"/>
  <c r="I818"/>
  <c r="I795"/>
  <c r="I776"/>
  <c r="I754"/>
  <c r="I731"/>
  <c r="I712"/>
  <c r="I690"/>
  <c r="I667"/>
  <c r="I648"/>
  <c r="I626"/>
  <c r="I603"/>
  <c r="I584"/>
  <c r="I562"/>
  <c r="I539"/>
  <c r="I520"/>
  <c r="I498"/>
  <c r="I475"/>
  <c r="I456"/>
  <c r="I434"/>
  <c r="I411"/>
  <c r="I392"/>
  <c r="I370"/>
  <c r="I347"/>
  <c r="I328"/>
  <c r="I306"/>
  <c r="I283"/>
  <c r="I264"/>
  <c r="I242"/>
  <c r="I219"/>
  <c r="I200"/>
  <c r="I178"/>
  <c r="I155"/>
  <c r="I136"/>
  <c r="I124"/>
  <c r="I116"/>
  <c r="I108"/>
  <c r="I100"/>
  <c r="I92"/>
  <c r="I84"/>
  <c r="I76"/>
  <c r="I68"/>
  <c r="I60"/>
  <c r="I52"/>
  <c r="I44"/>
  <c r="I36"/>
  <c r="I28"/>
  <c r="I20"/>
  <c r="I12"/>
  <c r="I4"/>
  <c r="I992"/>
  <c r="I970"/>
  <c r="I947"/>
  <c r="I928"/>
  <c r="I906"/>
  <c r="I883"/>
  <c r="I864"/>
  <c r="I842"/>
  <c r="I819"/>
  <c r="I800"/>
  <c r="I778"/>
  <c r="I755"/>
  <c r="I736"/>
  <c r="I714"/>
  <c r="I691"/>
  <c r="I672"/>
  <c r="I650"/>
  <c r="I627"/>
  <c r="I608"/>
  <c r="I586"/>
  <c r="I563"/>
  <c r="I544"/>
  <c r="I522"/>
  <c r="I499"/>
  <c r="I480"/>
  <c r="I458"/>
  <c r="I435"/>
  <c r="I416"/>
  <c r="I394"/>
  <c r="I371"/>
  <c r="I352"/>
  <c r="I330"/>
  <c r="I307"/>
  <c r="I288"/>
  <c r="I266"/>
  <c r="I243"/>
  <c r="I224"/>
  <c r="I202"/>
  <c r="I179"/>
  <c r="I160"/>
  <c r="I138"/>
  <c r="I125"/>
  <c r="I117"/>
  <c r="I109"/>
  <c r="I101"/>
  <c r="I93"/>
  <c r="I85"/>
  <c r="I77"/>
  <c r="I69"/>
  <c r="I61"/>
  <c r="I53"/>
  <c r="I45"/>
  <c r="I37"/>
  <c r="I29"/>
  <c r="I21"/>
  <c r="I13"/>
  <c r="I5"/>
  <c r="I994"/>
  <c r="I971"/>
  <c r="I952"/>
  <c r="I930"/>
  <c r="I907"/>
  <c r="I888"/>
  <c r="I866"/>
  <c r="I843"/>
  <c r="I824"/>
  <c r="I802"/>
  <c r="I779"/>
  <c r="I760"/>
  <c r="I738"/>
  <c r="I715"/>
  <c r="I696"/>
  <c r="I674"/>
  <c r="I651"/>
  <c r="I632"/>
  <c r="I610"/>
  <c r="I587"/>
  <c r="I568"/>
  <c r="I546"/>
  <c r="I523"/>
  <c r="I504"/>
  <c r="I482"/>
  <c r="I459"/>
  <c r="I440"/>
  <c r="I418"/>
  <c r="I395"/>
  <c r="I376"/>
  <c r="I354"/>
  <c r="I331"/>
  <c r="I312"/>
  <c r="I290"/>
  <c r="I267"/>
  <c r="I248"/>
  <c r="I226"/>
  <c r="I203"/>
  <c r="I184"/>
  <c r="I162"/>
  <c r="I139"/>
  <c r="I126"/>
  <c r="I118"/>
  <c r="I110"/>
  <c r="I102"/>
  <c r="I94"/>
  <c r="I86"/>
  <c r="I78"/>
  <c r="I70"/>
  <c r="I62"/>
  <c r="I54"/>
  <c r="I46"/>
  <c r="I38"/>
  <c r="I30"/>
  <c r="I22"/>
  <c r="I14"/>
  <c r="I6"/>
  <c r="I995"/>
  <c r="I976"/>
  <c r="I954"/>
  <c r="I931"/>
  <c r="I912"/>
  <c r="I890"/>
  <c r="I867"/>
  <c r="I848"/>
  <c r="I826"/>
  <c r="I803"/>
  <c r="I784"/>
  <c r="I762"/>
  <c r="I739"/>
  <c r="I720"/>
  <c r="I698"/>
  <c r="I675"/>
  <c r="I656"/>
  <c r="I634"/>
  <c r="I611"/>
  <c r="I592"/>
  <c r="I570"/>
  <c r="I547"/>
  <c r="I528"/>
  <c r="I506"/>
  <c r="I483"/>
  <c r="I464"/>
  <c r="I442"/>
  <c r="I419"/>
  <c r="I400"/>
  <c r="I378"/>
  <c r="I355"/>
  <c r="I336"/>
  <c r="I314"/>
  <c r="I291"/>
  <c r="I272"/>
  <c r="I250"/>
  <c r="I227"/>
  <c r="I208"/>
  <c r="I186"/>
  <c r="I163"/>
  <c r="I144"/>
  <c r="I127"/>
  <c r="I119"/>
  <c r="I111"/>
  <c r="I103"/>
  <c r="I95"/>
  <c r="I87"/>
  <c r="I79"/>
  <c r="I71"/>
  <c r="I63"/>
  <c r="I55"/>
  <c r="I47"/>
  <c r="I39"/>
  <c r="I31"/>
  <c r="I23"/>
  <c r="I15"/>
  <c r="I7"/>
  <c r="I1000"/>
  <c r="I914"/>
  <c r="I827"/>
  <c r="I744"/>
  <c r="I658"/>
  <c r="I571"/>
  <c r="I488"/>
  <c r="I402"/>
  <c r="I315"/>
  <c r="I232"/>
  <c r="I146"/>
  <c r="I104"/>
  <c r="I72"/>
  <c r="I40"/>
  <c r="I8"/>
  <c r="I920"/>
  <c r="I834"/>
  <c r="I747"/>
  <c r="I664"/>
  <c r="I578"/>
  <c r="I491"/>
  <c r="I408"/>
  <c r="I322"/>
  <c r="I235"/>
  <c r="I152"/>
  <c r="I106"/>
  <c r="I74"/>
  <c r="I42"/>
  <c r="I10"/>
  <c r="I936"/>
  <c r="I850"/>
  <c r="I763"/>
  <c r="I680"/>
  <c r="I594"/>
  <c r="I507"/>
  <c r="I424"/>
  <c r="I338"/>
  <c r="I251"/>
  <c r="I168"/>
  <c r="I112"/>
  <c r="I80"/>
  <c r="I48"/>
  <c r="I16"/>
  <c r="I939"/>
  <c r="I856"/>
  <c r="I770"/>
  <c r="I683"/>
  <c r="I600"/>
  <c r="I514"/>
  <c r="I427"/>
  <c r="I344"/>
  <c r="I258"/>
  <c r="I171"/>
  <c r="I114"/>
  <c r="I82"/>
  <c r="I50"/>
  <c r="I18"/>
  <c r="I955"/>
  <c r="I872"/>
  <c r="I786"/>
  <c r="I699"/>
  <c r="I616"/>
  <c r="I530"/>
  <c r="I443"/>
  <c r="I360"/>
  <c r="I274"/>
  <c r="I187"/>
  <c r="I120"/>
  <c r="I88"/>
  <c r="I56"/>
  <c r="I24"/>
  <c r="I962"/>
  <c r="I875"/>
  <c r="I792"/>
  <c r="I706"/>
  <c r="I619"/>
  <c r="I536"/>
  <c r="I450"/>
  <c r="I363"/>
  <c r="I280"/>
  <c r="I194"/>
  <c r="I122"/>
  <c r="I90"/>
  <c r="I58"/>
  <c r="I26"/>
  <c r="I978"/>
  <c r="I891"/>
  <c r="I808"/>
  <c r="I722"/>
  <c r="I635"/>
  <c r="I552"/>
  <c r="I466"/>
  <c r="I379"/>
  <c r="I296"/>
  <c r="I210"/>
  <c r="I128"/>
  <c r="I96"/>
  <c r="I64"/>
  <c r="I32"/>
  <c r="I1"/>
  <c r="I811"/>
  <c r="I131"/>
  <c r="I898"/>
  <c r="I216"/>
  <c r="I984"/>
  <c r="I299"/>
  <c r="I386"/>
  <c r="I472"/>
  <c r="I2"/>
  <c r="I555"/>
  <c r="I34"/>
  <c r="I642"/>
  <c r="I66"/>
  <c r="I98"/>
  <c r="I728"/>
  <c r="I1000" i="9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978"/>
  <c r="I914"/>
  <c r="I850"/>
  <c r="I786"/>
  <c r="I722"/>
  <c r="I658"/>
  <c r="I594"/>
  <c r="I530"/>
  <c r="I466"/>
  <c r="I402"/>
  <c r="I338"/>
  <c r="I274"/>
  <c r="I210"/>
  <c r="I146"/>
  <c r="I82"/>
  <c r="I18"/>
  <c r="U913" i="6"/>
  <c r="U905"/>
  <c r="U897"/>
  <c r="U889"/>
  <c r="U881"/>
  <c r="U873"/>
  <c r="U865"/>
  <c r="U857"/>
  <c r="U849"/>
  <c r="U841"/>
  <c r="U833"/>
  <c r="U825"/>
  <c r="U817"/>
  <c r="U809"/>
  <c r="U801"/>
  <c r="U793"/>
  <c r="U785"/>
  <c r="U777"/>
  <c r="U769"/>
  <c r="U761"/>
  <c r="U753"/>
  <c r="U745"/>
  <c r="U737"/>
  <c r="U729"/>
  <c r="U721"/>
  <c r="U713"/>
  <c r="U705"/>
  <c r="U697"/>
  <c r="U689"/>
  <c r="U681"/>
  <c r="U673"/>
  <c r="U665"/>
  <c r="U657"/>
  <c r="U649"/>
  <c r="U641"/>
  <c r="U633"/>
  <c r="U625"/>
  <c r="U617"/>
  <c r="U609"/>
  <c r="U601"/>
  <c r="U593"/>
  <c r="U585"/>
  <c r="U577"/>
  <c r="U569"/>
  <c r="U561"/>
  <c r="U553"/>
  <c r="U545"/>
  <c r="U537"/>
  <c r="U529"/>
  <c r="U521"/>
  <c r="U513"/>
  <c r="U505"/>
  <c r="U497"/>
  <c r="U489"/>
  <c r="U481"/>
  <c r="U473"/>
  <c r="U465"/>
  <c r="U457"/>
  <c r="U449"/>
  <c r="U441"/>
  <c r="U433"/>
  <c r="U425"/>
  <c r="U417"/>
  <c r="U914"/>
  <c r="U906"/>
  <c r="U898"/>
  <c r="U890"/>
  <c r="U882"/>
  <c r="U874"/>
  <c r="U866"/>
  <c r="U858"/>
  <c r="U850"/>
  <c r="U842"/>
  <c r="U834"/>
  <c r="U826"/>
  <c r="U818"/>
  <c r="U810"/>
  <c r="U802"/>
  <c r="U794"/>
  <c r="U786"/>
  <c r="U778"/>
  <c r="U770"/>
  <c r="U762"/>
  <c r="U754"/>
  <c r="U746"/>
  <c r="U738"/>
  <c r="U730"/>
  <c r="U722"/>
  <c r="U714"/>
  <c r="U706"/>
  <c r="U698"/>
  <c r="U690"/>
  <c r="U682"/>
  <c r="U674"/>
  <c r="U666"/>
  <c r="U658"/>
  <c r="U650"/>
  <c r="U642"/>
  <c r="U634"/>
  <c r="U626"/>
  <c r="U618"/>
  <c r="U610"/>
  <c r="U602"/>
  <c r="U594"/>
  <c r="U586"/>
  <c r="U578"/>
  <c r="U570"/>
  <c r="U562"/>
  <c r="U554"/>
  <c r="U546"/>
  <c r="U538"/>
  <c r="U530"/>
  <c r="U522"/>
  <c r="U514"/>
  <c r="U506"/>
  <c r="U498"/>
  <c r="U490"/>
  <c r="U482"/>
  <c r="U474"/>
  <c r="U466"/>
  <c r="U458"/>
  <c r="U450"/>
  <c r="U442"/>
  <c r="U434"/>
  <c r="U426"/>
  <c r="U418"/>
  <c r="U915"/>
  <c r="U907"/>
  <c r="U899"/>
  <c r="U891"/>
  <c r="U883"/>
  <c r="U875"/>
  <c r="U867"/>
  <c r="U859"/>
  <c r="U851"/>
  <c r="U843"/>
  <c r="U835"/>
  <c r="U827"/>
  <c r="U819"/>
  <c r="U811"/>
  <c r="U803"/>
  <c r="U795"/>
  <c r="U787"/>
  <c r="U779"/>
  <c r="U771"/>
  <c r="U763"/>
  <c r="U755"/>
  <c r="U747"/>
  <c r="U739"/>
  <c r="U731"/>
  <c r="U723"/>
  <c r="U715"/>
  <c r="U707"/>
  <c r="U699"/>
  <c r="U691"/>
  <c r="U683"/>
  <c r="U675"/>
  <c r="U667"/>
  <c r="U659"/>
  <c r="U651"/>
  <c r="U643"/>
  <c r="U635"/>
  <c r="U627"/>
  <c r="U619"/>
  <c r="U611"/>
  <c r="U603"/>
  <c r="U595"/>
  <c r="U587"/>
  <c r="U579"/>
  <c r="U571"/>
  <c r="U563"/>
  <c r="U555"/>
  <c r="U547"/>
  <c r="U539"/>
  <c r="U531"/>
  <c r="U523"/>
  <c r="U515"/>
  <c r="U507"/>
  <c r="U499"/>
  <c r="U491"/>
  <c r="U483"/>
  <c r="U475"/>
  <c r="U467"/>
  <c r="U459"/>
  <c r="U451"/>
  <c r="U443"/>
  <c r="U435"/>
  <c r="U427"/>
  <c r="U419"/>
  <c r="U916"/>
  <c r="U908"/>
  <c r="U900"/>
  <c r="U892"/>
  <c r="U884"/>
  <c r="U876"/>
  <c r="U868"/>
  <c r="U860"/>
  <c r="U852"/>
  <c r="U844"/>
  <c r="U836"/>
  <c r="U828"/>
  <c r="U820"/>
  <c r="U812"/>
  <c r="U804"/>
  <c r="U796"/>
  <c r="U788"/>
  <c r="U780"/>
  <c r="U772"/>
  <c r="U764"/>
  <c r="U756"/>
  <c r="U748"/>
  <c r="U740"/>
  <c r="U732"/>
  <c r="U724"/>
  <c r="U716"/>
  <c r="U708"/>
  <c r="U700"/>
  <c r="U692"/>
  <c r="U684"/>
  <c r="U676"/>
  <c r="U668"/>
  <c r="U660"/>
  <c r="U652"/>
  <c r="U644"/>
  <c r="U636"/>
  <c r="U628"/>
  <c r="U620"/>
  <c r="U612"/>
  <c r="U604"/>
  <c r="U596"/>
  <c r="U588"/>
  <c r="U580"/>
  <c r="U572"/>
  <c r="U564"/>
  <c r="U556"/>
  <c r="U548"/>
  <c r="U540"/>
  <c r="U532"/>
  <c r="U524"/>
  <c r="U516"/>
  <c r="U508"/>
  <c r="U500"/>
  <c r="U492"/>
  <c r="U484"/>
  <c r="U476"/>
  <c r="U468"/>
  <c r="U460"/>
  <c r="U452"/>
  <c r="U444"/>
  <c r="U436"/>
  <c r="U428"/>
  <c r="U420"/>
  <c r="U5"/>
  <c r="U917"/>
  <c r="U909"/>
  <c r="U901"/>
  <c r="U893"/>
  <c r="U885"/>
  <c r="U877"/>
  <c r="U869"/>
  <c r="U861"/>
  <c r="U853"/>
  <c r="U845"/>
  <c r="U837"/>
  <c r="U829"/>
  <c r="U821"/>
  <c r="U813"/>
  <c r="U805"/>
  <c r="U797"/>
  <c r="U789"/>
  <c r="U781"/>
  <c r="U773"/>
  <c r="U765"/>
  <c r="U757"/>
  <c r="U749"/>
  <c r="U741"/>
  <c r="U733"/>
  <c r="U725"/>
  <c r="U717"/>
  <c r="U709"/>
  <c r="U701"/>
  <c r="U693"/>
  <c r="U685"/>
  <c r="U677"/>
  <c r="U669"/>
  <c r="U661"/>
  <c r="U653"/>
  <c r="U645"/>
  <c r="U637"/>
  <c r="U629"/>
  <c r="U621"/>
  <c r="U613"/>
  <c r="U605"/>
  <c r="U597"/>
  <c r="U589"/>
  <c r="U581"/>
  <c r="U573"/>
  <c r="U565"/>
  <c r="U557"/>
  <c r="U549"/>
  <c r="U541"/>
  <c r="U533"/>
  <c r="U525"/>
  <c r="U517"/>
  <c r="U509"/>
  <c r="U501"/>
  <c r="U493"/>
  <c r="U485"/>
  <c r="U477"/>
  <c r="U469"/>
  <c r="U461"/>
  <c r="U453"/>
  <c r="U445"/>
  <c r="U437"/>
  <c r="U429"/>
  <c r="U421"/>
  <c r="U910"/>
  <c r="U902"/>
  <c r="U894"/>
  <c r="U886"/>
  <c r="U878"/>
  <c r="U870"/>
  <c r="U862"/>
  <c r="U854"/>
  <c r="U846"/>
  <c r="U838"/>
  <c r="U830"/>
  <c r="U822"/>
  <c r="U814"/>
  <c r="U806"/>
  <c r="U798"/>
  <c r="U790"/>
  <c r="U782"/>
  <c r="U774"/>
  <c r="U766"/>
  <c r="U758"/>
  <c r="U750"/>
  <c r="U742"/>
  <c r="U734"/>
  <c r="U726"/>
  <c r="U718"/>
  <c r="U710"/>
  <c r="U702"/>
  <c r="U694"/>
  <c r="U686"/>
  <c r="U678"/>
  <c r="U670"/>
  <c r="U662"/>
  <c r="U654"/>
  <c r="U646"/>
  <c r="U638"/>
  <c r="U630"/>
  <c r="U622"/>
  <c r="U614"/>
  <c r="U606"/>
  <c r="U598"/>
  <c r="U590"/>
  <c r="U582"/>
  <c r="U574"/>
  <c r="U566"/>
  <c r="U558"/>
  <c r="U550"/>
  <c r="U542"/>
  <c r="U534"/>
  <c r="U526"/>
  <c r="U518"/>
  <c r="U510"/>
  <c r="U502"/>
  <c r="U494"/>
  <c r="U486"/>
  <c r="U478"/>
  <c r="U470"/>
  <c r="U462"/>
  <c r="U454"/>
  <c r="U446"/>
  <c r="U438"/>
  <c r="U430"/>
  <c r="U422"/>
  <c r="U911"/>
  <c r="U903"/>
  <c r="U895"/>
  <c r="U887"/>
  <c r="U879"/>
  <c r="U871"/>
  <c r="U863"/>
  <c r="U855"/>
  <c r="U847"/>
  <c r="U839"/>
  <c r="U831"/>
  <c r="U823"/>
  <c r="U815"/>
  <c r="U807"/>
  <c r="U799"/>
  <c r="U791"/>
  <c r="U783"/>
  <c r="U775"/>
  <c r="U767"/>
  <c r="U759"/>
  <c r="U751"/>
  <c r="U743"/>
  <c r="U735"/>
  <c r="U727"/>
  <c r="U719"/>
  <c r="U711"/>
  <c r="U703"/>
  <c r="U695"/>
  <c r="U687"/>
  <c r="U679"/>
  <c r="U671"/>
  <c r="U663"/>
  <c r="U655"/>
  <c r="U647"/>
  <c r="U639"/>
  <c r="U631"/>
  <c r="U623"/>
  <c r="U615"/>
  <c r="U607"/>
  <c r="U599"/>
  <c r="U591"/>
  <c r="U583"/>
  <c r="U575"/>
  <c r="U567"/>
  <c r="U559"/>
  <c r="U551"/>
  <c r="U543"/>
  <c r="U535"/>
  <c r="U527"/>
  <c r="U519"/>
  <c r="U511"/>
  <c r="U503"/>
  <c r="U495"/>
  <c r="U487"/>
  <c r="U479"/>
  <c r="U471"/>
  <c r="U463"/>
  <c r="U455"/>
  <c r="U447"/>
  <c r="U439"/>
  <c r="U431"/>
  <c r="U423"/>
  <c r="U912"/>
  <c r="U904"/>
  <c r="U896"/>
  <c r="U888"/>
  <c r="U880"/>
  <c r="U872"/>
  <c r="U864"/>
  <c r="U856"/>
  <c r="U848"/>
  <c r="U840"/>
  <c r="U832"/>
  <c r="U824"/>
  <c r="U816"/>
  <c r="U808"/>
  <c r="U800"/>
  <c r="U792"/>
  <c r="U784"/>
  <c r="U776"/>
  <c r="U768"/>
  <c r="U760"/>
  <c r="U752"/>
  <c r="U744"/>
  <c r="U736"/>
  <c r="U728"/>
  <c r="U720"/>
  <c r="U712"/>
  <c r="U704"/>
  <c r="U696"/>
  <c r="U688"/>
  <c r="U680"/>
  <c r="U672"/>
  <c r="U664"/>
  <c r="U656"/>
  <c r="U648"/>
  <c r="U640"/>
  <c r="U632"/>
  <c r="U624"/>
  <c r="U616"/>
  <c r="U608"/>
  <c r="U600"/>
  <c r="U592"/>
  <c r="U584"/>
  <c r="U576"/>
  <c r="U568"/>
  <c r="U560"/>
  <c r="U552"/>
  <c r="U544"/>
  <c r="U536"/>
  <c r="U528"/>
  <c r="U520"/>
  <c r="U512"/>
  <c r="U504"/>
  <c r="U496"/>
  <c r="U488"/>
  <c r="U480"/>
  <c r="U472"/>
  <c r="U464"/>
  <c r="U456"/>
  <c r="U448"/>
  <c r="U440"/>
  <c r="U432"/>
  <c r="U424"/>
  <c r="I993" i="21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874"/>
  <c r="I746"/>
  <c r="I618"/>
  <c r="I529"/>
  <c r="I465"/>
  <c r="I401"/>
  <c r="I337"/>
  <c r="I273"/>
  <c r="I209"/>
  <c r="I145"/>
  <c r="I81"/>
  <c r="I17"/>
  <c r="I890"/>
  <c r="I762"/>
  <c r="I634"/>
  <c r="I537"/>
  <c r="I473"/>
  <c r="I409"/>
  <c r="I345"/>
  <c r="I281"/>
  <c r="I217"/>
  <c r="I153"/>
  <c r="I89"/>
  <c r="I25"/>
  <c r="I906"/>
  <c r="I778"/>
  <c r="I650"/>
  <c r="I545"/>
  <c r="I481"/>
  <c r="I417"/>
  <c r="I353"/>
  <c r="I289"/>
  <c r="I225"/>
  <c r="I161"/>
  <c r="I97"/>
  <c r="I33"/>
  <c r="I922"/>
  <c r="I794"/>
  <c r="I666"/>
  <c r="I553"/>
  <c r="I489"/>
  <c r="I425"/>
  <c r="I361"/>
  <c r="I297"/>
  <c r="I233"/>
  <c r="I169"/>
  <c r="I105"/>
  <c r="I41"/>
  <c r="I938"/>
  <c r="I810"/>
  <c r="I682"/>
  <c r="I561"/>
  <c r="I497"/>
  <c r="I433"/>
  <c r="I369"/>
  <c r="I305"/>
  <c r="I241"/>
  <c r="I177"/>
  <c r="I113"/>
  <c r="I49"/>
  <c r="I954"/>
  <c r="I826"/>
  <c r="I698"/>
  <c r="I570"/>
  <c r="I505"/>
  <c r="I441"/>
  <c r="I377"/>
  <c r="I313"/>
  <c r="I249"/>
  <c r="I185"/>
  <c r="I121"/>
  <c r="I57"/>
  <c r="I970"/>
  <c r="I842"/>
  <c r="I714"/>
  <c r="I586"/>
  <c r="I513"/>
  <c r="I449"/>
  <c r="I385"/>
  <c r="I321"/>
  <c r="I257"/>
  <c r="I193"/>
  <c r="I129"/>
  <c r="I65"/>
  <c r="I858"/>
  <c r="I201"/>
  <c r="I986"/>
  <c r="I265"/>
  <c r="I329"/>
  <c r="I393"/>
  <c r="I457"/>
  <c r="I521"/>
  <c r="I9"/>
  <c r="I602"/>
  <c r="I73"/>
  <c r="I137"/>
  <c r="I730"/>
  <c r="I996" i="29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78"/>
  <c r="I955"/>
  <c r="I937"/>
  <c r="I914"/>
  <c r="I891"/>
  <c r="I873"/>
  <c r="I850"/>
  <c r="I827"/>
  <c r="I809"/>
  <c r="I786"/>
  <c r="I763"/>
  <c r="I745"/>
  <c r="I722"/>
  <c r="I699"/>
  <c r="I681"/>
  <c r="I658"/>
  <c r="I635"/>
  <c r="I617"/>
  <c r="I594"/>
  <c r="I571"/>
  <c r="I553"/>
  <c r="I530"/>
  <c r="I507"/>
  <c r="I489"/>
  <c r="I466"/>
  <c r="I443"/>
  <c r="I425"/>
  <c r="I402"/>
  <c r="I379"/>
  <c r="I361"/>
  <c r="I338"/>
  <c r="I315"/>
  <c r="I297"/>
  <c r="I274"/>
  <c r="I251"/>
  <c r="I233"/>
  <c r="I210"/>
  <c r="I187"/>
  <c r="I169"/>
  <c r="I146"/>
  <c r="I123"/>
  <c r="I105"/>
  <c r="I82"/>
  <c r="I59"/>
  <c r="I41"/>
  <c r="I18"/>
  <c r="I979"/>
  <c r="I961"/>
  <c r="I938"/>
  <c r="I915"/>
  <c r="I897"/>
  <c r="I874"/>
  <c r="I851"/>
  <c r="I833"/>
  <c r="I810"/>
  <c r="I787"/>
  <c r="I769"/>
  <c r="I746"/>
  <c r="I723"/>
  <c r="I705"/>
  <c r="I682"/>
  <c r="I659"/>
  <c r="I641"/>
  <c r="I618"/>
  <c r="I595"/>
  <c r="I577"/>
  <c r="I554"/>
  <c r="I531"/>
  <c r="I513"/>
  <c r="I490"/>
  <c r="I467"/>
  <c r="I449"/>
  <c r="I426"/>
  <c r="I403"/>
  <c r="I385"/>
  <c r="I362"/>
  <c r="I339"/>
  <c r="I321"/>
  <c r="I298"/>
  <c r="I275"/>
  <c r="I257"/>
  <c r="I234"/>
  <c r="I211"/>
  <c r="I193"/>
  <c r="I170"/>
  <c r="I147"/>
  <c r="I129"/>
  <c r="I106"/>
  <c r="I83"/>
  <c r="I65"/>
  <c r="I42"/>
  <c r="I19"/>
  <c r="I985"/>
  <c r="I962"/>
  <c r="I939"/>
  <c r="I921"/>
  <c r="I898"/>
  <c r="I875"/>
  <c r="I857"/>
  <c r="I834"/>
  <c r="I811"/>
  <c r="I793"/>
  <c r="I770"/>
  <c r="I747"/>
  <c r="I729"/>
  <c r="I706"/>
  <c r="I683"/>
  <c r="I665"/>
  <c r="I642"/>
  <c r="I619"/>
  <c r="I601"/>
  <c r="I578"/>
  <c r="I555"/>
  <c r="I537"/>
  <c r="I514"/>
  <c r="I491"/>
  <c r="I473"/>
  <c r="I450"/>
  <c r="I427"/>
  <c r="I409"/>
  <c r="I386"/>
  <c r="I363"/>
  <c r="I345"/>
  <c r="I322"/>
  <c r="I299"/>
  <c r="I281"/>
  <c r="I258"/>
  <c r="I235"/>
  <c r="I217"/>
  <c r="I194"/>
  <c r="I171"/>
  <c r="I153"/>
  <c r="I130"/>
  <c r="I107"/>
  <c r="I89"/>
  <c r="I66"/>
  <c r="I43"/>
  <c r="I25"/>
  <c r="I2"/>
  <c r="I986"/>
  <c r="I963"/>
  <c r="I945"/>
  <c r="I922"/>
  <c r="I899"/>
  <c r="I881"/>
  <c r="I858"/>
  <c r="I835"/>
  <c r="I817"/>
  <c r="I794"/>
  <c r="I771"/>
  <c r="I753"/>
  <c r="I730"/>
  <c r="I707"/>
  <c r="I689"/>
  <c r="I666"/>
  <c r="I643"/>
  <c r="I625"/>
  <c r="I602"/>
  <c r="I579"/>
  <c r="I561"/>
  <c r="I538"/>
  <c r="I515"/>
  <c r="I497"/>
  <c r="I474"/>
  <c r="I451"/>
  <c r="I433"/>
  <c r="I410"/>
  <c r="I387"/>
  <c r="I369"/>
  <c r="I346"/>
  <c r="I323"/>
  <c r="I305"/>
  <c r="I282"/>
  <c r="I259"/>
  <c r="I241"/>
  <c r="I218"/>
  <c r="I195"/>
  <c r="I177"/>
  <c r="I154"/>
  <c r="I131"/>
  <c r="I113"/>
  <c r="I90"/>
  <c r="I67"/>
  <c r="I49"/>
  <c r="I26"/>
  <c r="I3"/>
  <c r="I987"/>
  <c r="I969"/>
  <c r="I946"/>
  <c r="I923"/>
  <c r="I905"/>
  <c r="I882"/>
  <c r="I859"/>
  <c r="I841"/>
  <c r="I818"/>
  <c r="I795"/>
  <c r="I777"/>
  <c r="I754"/>
  <c r="I731"/>
  <c r="I713"/>
  <c r="I690"/>
  <c r="I667"/>
  <c r="I649"/>
  <c r="I626"/>
  <c r="I603"/>
  <c r="I585"/>
  <c r="I562"/>
  <c r="I539"/>
  <c r="I521"/>
  <c r="I498"/>
  <c r="I475"/>
  <c r="I457"/>
  <c r="I434"/>
  <c r="I411"/>
  <c r="I393"/>
  <c r="I370"/>
  <c r="I347"/>
  <c r="I329"/>
  <c r="I306"/>
  <c r="I283"/>
  <c r="I265"/>
  <c r="I242"/>
  <c r="I219"/>
  <c r="I201"/>
  <c r="I178"/>
  <c r="I155"/>
  <c r="I137"/>
  <c r="I114"/>
  <c r="I91"/>
  <c r="I73"/>
  <c r="I50"/>
  <c r="I27"/>
  <c r="I9"/>
  <c r="I993"/>
  <c r="I970"/>
  <c r="I947"/>
  <c r="I929"/>
  <c r="I906"/>
  <c r="I883"/>
  <c r="I865"/>
  <c r="I842"/>
  <c r="I819"/>
  <c r="I801"/>
  <c r="I778"/>
  <c r="I755"/>
  <c r="I737"/>
  <c r="I714"/>
  <c r="I691"/>
  <c r="I673"/>
  <c r="I650"/>
  <c r="I627"/>
  <c r="I609"/>
  <c r="I586"/>
  <c r="I563"/>
  <c r="I545"/>
  <c r="I522"/>
  <c r="I499"/>
  <c r="I481"/>
  <c r="I458"/>
  <c r="I435"/>
  <c r="I417"/>
  <c r="I394"/>
  <c r="I371"/>
  <c r="I353"/>
  <c r="I330"/>
  <c r="I307"/>
  <c r="I289"/>
  <c r="I266"/>
  <c r="I243"/>
  <c r="I225"/>
  <c r="I202"/>
  <c r="I179"/>
  <c r="I161"/>
  <c r="I138"/>
  <c r="I115"/>
  <c r="I97"/>
  <c r="I74"/>
  <c r="I51"/>
  <c r="I33"/>
  <c r="I10"/>
  <c r="I994"/>
  <c r="I971"/>
  <c r="I953"/>
  <c r="I930"/>
  <c r="I907"/>
  <c r="I889"/>
  <c r="I866"/>
  <c r="I843"/>
  <c r="I825"/>
  <c r="I802"/>
  <c r="I779"/>
  <c r="I761"/>
  <c r="I738"/>
  <c r="I715"/>
  <c r="I697"/>
  <c r="I674"/>
  <c r="I651"/>
  <c r="I633"/>
  <c r="I610"/>
  <c r="I587"/>
  <c r="I569"/>
  <c r="I546"/>
  <c r="I523"/>
  <c r="I505"/>
  <c r="I482"/>
  <c r="I459"/>
  <c r="I441"/>
  <c r="I418"/>
  <c r="I395"/>
  <c r="I377"/>
  <c r="I354"/>
  <c r="I331"/>
  <c r="I313"/>
  <c r="I290"/>
  <c r="I267"/>
  <c r="I249"/>
  <c r="I226"/>
  <c r="I203"/>
  <c r="I185"/>
  <c r="I162"/>
  <c r="I139"/>
  <c r="I121"/>
  <c r="I98"/>
  <c r="I75"/>
  <c r="I57"/>
  <c r="I34"/>
  <c r="I11"/>
  <c r="I995"/>
  <c r="I826"/>
  <c r="I657"/>
  <c r="I483"/>
  <c r="I314"/>
  <c r="I145"/>
  <c r="I849"/>
  <c r="I675"/>
  <c r="I506"/>
  <c r="I337"/>
  <c r="I163"/>
  <c r="I867"/>
  <c r="I698"/>
  <c r="I529"/>
  <c r="I355"/>
  <c r="I186"/>
  <c r="I17"/>
  <c r="I890"/>
  <c r="I721"/>
  <c r="I547"/>
  <c r="I378"/>
  <c r="I209"/>
  <c r="I35"/>
  <c r="I913"/>
  <c r="I739"/>
  <c r="I570"/>
  <c r="I401"/>
  <c r="I227"/>
  <c r="I58"/>
  <c r="I931"/>
  <c r="I762"/>
  <c r="I593"/>
  <c r="I419"/>
  <c r="I250"/>
  <c r="I81"/>
  <c r="I954"/>
  <c r="I785"/>
  <c r="I611"/>
  <c r="I442"/>
  <c r="I273"/>
  <c r="I99"/>
  <c r="I291"/>
  <c r="I465"/>
  <c r="I634"/>
  <c r="I803"/>
  <c r="I977"/>
  <c r="I122"/>
  <c r="I995" i="20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850"/>
  <c r="I594"/>
  <c r="I338"/>
  <c r="I82"/>
  <c r="I906"/>
  <c r="I650"/>
  <c r="I394"/>
  <c r="I138"/>
  <c r="I914"/>
  <c r="I658"/>
  <c r="I402"/>
  <c r="I146"/>
  <c r="I970"/>
  <c r="I714"/>
  <c r="I458"/>
  <c r="I202"/>
  <c r="I978"/>
  <c r="I722"/>
  <c r="I466"/>
  <c r="I210"/>
  <c r="I778"/>
  <c r="I522"/>
  <c r="I266"/>
  <c r="I10"/>
  <c r="I786"/>
  <c r="I530"/>
  <c r="I274"/>
  <c r="I18"/>
  <c r="I74"/>
  <c r="I330"/>
  <c r="I586"/>
  <c r="I842"/>
  <c r="I994" i="13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4"/>
  <c r="I920"/>
  <c r="I856"/>
  <c r="I792"/>
  <c r="I728"/>
  <c r="I664"/>
  <c r="I600"/>
  <c r="I536"/>
  <c r="I472"/>
  <c r="I408"/>
  <c r="I344"/>
  <c r="I280"/>
  <c r="I216"/>
  <c r="I152"/>
  <c r="I88"/>
  <c r="I24"/>
  <c r="I992"/>
  <c r="I928"/>
  <c r="I864"/>
  <c r="I800"/>
  <c r="I736"/>
  <c r="I672"/>
  <c r="I608"/>
  <c r="I544"/>
  <c r="I480"/>
  <c r="I416"/>
  <c r="I352"/>
  <c r="I288"/>
  <c r="I224"/>
  <c r="I160"/>
  <c r="I96"/>
  <c r="I32"/>
  <c r="I1000"/>
  <c r="I936"/>
  <c r="I872"/>
  <c r="I808"/>
  <c r="I744"/>
  <c r="I680"/>
  <c r="I616"/>
  <c r="I552"/>
  <c r="I488"/>
  <c r="I424"/>
  <c r="I360"/>
  <c r="I296"/>
  <c r="I232"/>
  <c r="I168"/>
  <c r="I104"/>
  <c r="I40"/>
  <c r="I944"/>
  <c r="I880"/>
  <c r="I816"/>
  <c r="I752"/>
  <c r="I688"/>
  <c r="I624"/>
  <c r="I560"/>
  <c r="I496"/>
  <c r="I432"/>
  <c r="I368"/>
  <c r="I304"/>
  <c r="I240"/>
  <c r="I176"/>
  <c r="I112"/>
  <c r="I48"/>
  <c r="I952"/>
  <c r="I888"/>
  <c r="I824"/>
  <c r="I760"/>
  <c r="I696"/>
  <c r="I632"/>
  <c r="I568"/>
  <c r="I504"/>
  <c r="I440"/>
  <c r="I376"/>
  <c r="I312"/>
  <c r="I248"/>
  <c r="I184"/>
  <c r="I120"/>
  <c r="I56"/>
  <c r="I960"/>
  <c r="I896"/>
  <c r="I832"/>
  <c r="I768"/>
  <c r="I704"/>
  <c r="I640"/>
  <c r="I576"/>
  <c r="I512"/>
  <c r="I448"/>
  <c r="I384"/>
  <c r="I320"/>
  <c r="I256"/>
  <c r="I192"/>
  <c r="I128"/>
  <c r="I64"/>
  <c r="I1"/>
  <c r="I968"/>
  <c r="I904"/>
  <c r="I840"/>
  <c r="I776"/>
  <c r="I712"/>
  <c r="I648"/>
  <c r="I584"/>
  <c r="I520"/>
  <c r="I456"/>
  <c r="I392"/>
  <c r="I328"/>
  <c r="I264"/>
  <c r="I200"/>
  <c r="I136"/>
  <c r="I72"/>
  <c r="I8"/>
  <c r="I976"/>
  <c r="I912"/>
  <c r="I848"/>
  <c r="I784"/>
  <c r="I720"/>
  <c r="I656"/>
  <c r="I592"/>
  <c r="I528"/>
  <c r="I464"/>
  <c r="I400"/>
  <c r="I336"/>
  <c r="I272"/>
  <c r="I208"/>
  <c r="I144"/>
  <c r="I80"/>
  <c r="I16"/>
  <c r="I993" i="31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992"/>
  <c r="I979"/>
  <c r="I967"/>
  <c r="I954"/>
  <c r="I941"/>
  <c r="I928"/>
  <c r="I915"/>
  <c r="I903"/>
  <c r="I890"/>
  <c r="I877"/>
  <c r="I864"/>
  <c r="I851"/>
  <c r="I839"/>
  <c r="I826"/>
  <c r="I813"/>
  <c r="I800"/>
  <c r="I787"/>
  <c r="I775"/>
  <c r="I762"/>
  <c r="I749"/>
  <c r="I736"/>
  <c r="I723"/>
  <c r="I711"/>
  <c r="I698"/>
  <c r="I685"/>
  <c r="I672"/>
  <c r="I659"/>
  <c r="I647"/>
  <c r="I634"/>
  <c r="I621"/>
  <c r="I608"/>
  <c r="I595"/>
  <c r="I583"/>
  <c r="I570"/>
  <c r="I557"/>
  <c r="I544"/>
  <c r="I531"/>
  <c r="I521"/>
  <c r="I511"/>
  <c r="I499"/>
  <c r="I489"/>
  <c r="I479"/>
  <c r="I467"/>
  <c r="I457"/>
  <c r="I447"/>
  <c r="I437"/>
  <c r="I428"/>
  <c r="I419"/>
  <c r="I410"/>
  <c r="I401"/>
  <c r="I392"/>
  <c r="I383"/>
  <c r="I373"/>
  <c r="I364"/>
  <c r="I355"/>
  <c r="I346"/>
  <c r="I337"/>
  <c r="I328"/>
  <c r="I319"/>
  <c r="I309"/>
  <c r="I300"/>
  <c r="I291"/>
  <c r="I282"/>
  <c r="I273"/>
  <c r="I264"/>
  <c r="I255"/>
  <c r="I245"/>
  <c r="I236"/>
  <c r="I227"/>
  <c r="I218"/>
  <c r="I209"/>
  <c r="I200"/>
  <c r="I191"/>
  <c r="I181"/>
  <c r="I172"/>
  <c r="I163"/>
  <c r="I154"/>
  <c r="I145"/>
  <c r="I136"/>
  <c r="I127"/>
  <c r="I117"/>
  <c r="I108"/>
  <c r="I99"/>
  <c r="I90"/>
  <c r="I81"/>
  <c r="I72"/>
  <c r="I63"/>
  <c r="I53"/>
  <c r="I44"/>
  <c r="I35"/>
  <c r="I27"/>
  <c r="I19"/>
  <c r="I11"/>
  <c r="I3"/>
  <c r="I994"/>
  <c r="I981"/>
  <c r="I968"/>
  <c r="I955"/>
  <c r="I943"/>
  <c r="I930"/>
  <c r="I917"/>
  <c r="I904"/>
  <c r="I891"/>
  <c r="I879"/>
  <c r="I866"/>
  <c r="I853"/>
  <c r="I840"/>
  <c r="I827"/>
  <c r="I815"/>
  <c r="I802"/>
  <c r="I789"/>
  <c r="I776"/>
  <c r="I763"/>
  <c r="I751"/>
  <c r="I738"/>
  <c r="I725"/>
  <c r="I712"/>
  <c r="I699"/>
  <c r="I687"/>
  <c r="I674"/>
  <c r="I661"/>
  <c r="I648"/>
  <c r="I635"/>
  <c r="I623"/>
  <c r="I610"/>
  <c r="I597"/>
  <c r="I584"/>
  <c r="I571"/>
  <c r="I559"/>
  <c r="I546"/>
  <c r="I533"/>
  <c r="I522"/>
  <c r="I512"/>
  <c r="I501"/>
  <c r="I490"/>
  <c r="I480"/>
  <c r="I469"/>
  <c r="I458"/>
  <c r="I448"/>
  <c r="I439"/>
  <c r="I429"/>
  <c r="I420"/>
  <c r="I411"/>
  <c r="I402"/>
  <c r="I393"/>
  <c r="I384"/>
  <c r="I375"/>
  <c r="I365"/>
  <c r="I356"/>
  <c r="I347"/>
  <c r="I338"/>
  <c r="I329"/>
  <c r="I320"/>
  <c r="I311"/>
  <c r="I301"/>
  <c r="I292"/>
  <c r="I283"/>
  <c r="I274"/>
  <c r="I265"/>
  <c r="I256"/>
  <c r="I247"/>
  <c r="I237"/>
  <c r="I228"/>
  <c r="I219"/>
  <c r="I210"/>
  <c r="I201"/>
  <c r="I192"/>
  <c r="I183"/>
  <c r="I173"/>
  <c r="I164"/>
  <c r="I155"/>
  <c r="I146"/>
  <c r="I137"/>
  <c r="I128"/>
  <c r="I119"/>
  <c r="I109"/>
  <c r="I100"/>
  <c r="I91"/>
  <c r="I82"/>
  <c r="I73"/>
  <c r="I64"/>
  <c r="I55"/>
  <c r="I45"/>
  <c r="I36"/>
  <c r="I28"/>
  <c r="I20"/>
  <c r="I12"/>
  <c r="I4"/>
  <c r="I995"/>
  <c r="I983"/>
  <c r="I970"/>
  <c r="I957"/>
  <c r="I944"/>
  <c r="I931"/>
  <c r="I919"/>
  <c r="I906"/>
  <c r="I893"/>
  <c r="I880"/>
  <c r="I867"/>
  <c r="I855"/>
  <c r="I842"/>
  <c r="I829"/>
  <c r="I816"/>
  <c r="I803"/>
  <c r="I791"/>
  <c r="I778"/>
  <c r="I765"/>
  <c r="I752"/>
  <c r="I739"/>
  <c r="I727"/>
  <c r="I714"/>
  <c r="I701"/>
  <c r="I688"/>
  <c r="I675"/>
  <c r="I663"/>
  <c r="I650"/>
  <c r="I637"/>
  <c r="I624"/>
  <c r="I611"/>
  <c r="I599"/>
  <c r="I586"/>
  <c r="I573"/>
  <c r="I560"/>
  <c r="I547"/>
  <c r="I535"/>
  <c r="I523"/>
  <c r="I513"/>
  <c r="I503"/>
  <c r="I491"/>
  <c r="I481"/>
  <c r="I471"/>
  <c r="I459"/>
  <c r="I449"/>
  <c r="I440"/>
  <c r="I431"/>
  <c r="I421"/>
  <c r="I412"/>
  <c r="I403"/>
  <c r="I394"/>
  <c r="I385"/>
  <c r="I376"/>
  <c r="I367"/>
  <c r="I357"/>
  <c r="I348"/>
  <c r="I339"/>
  <c r="I330"/>
  <c r="I321"/>
  <c r="I312"/>
  <c r="I303"/>
  <c r="I293"/>
  <c r="I284"/>
  <c r="I275"/>
  <c r="I266"/>
  <c r="I257"/>
  <c r="I248"/>
  <c r="I239"/>
  <c r="I229"/>
  <c r="I220"/>
  <c r="I211"/>
  <c r="I202"/>
  <c r="I193"/>
  <c r="I184"/>
  <c r="I175"/>
  <c r="I165"/>
  <c r="I156"/>
  <c r="I147"/>
  <c r="I138"/>
  <c r="I129"/>
  <c r="I120"/>
  <c r="I111"/>
  <c r="I101"/>
  <c r="I92"/>
  <c r="I83"/>
  <c r="I74"/>
  <c r="I65"/>
  <c r="I56"/>
  <c r="I47"/>
  <c r="I37"/>
  <c r="I29"/>
  <c r="I21"/>
  <c r="I13"/>
  <c r="I5"/>
  <c r="I997"/>
  <c r="I984"/>
  <c r="I971"/>
  <c r="I959"/>
  <c r="I946"/>
  <c r="I933"/>
  <c r="I920"/>
  <c r="I907"/>
  <c r="I895"/>
  <c r="I882"/>
  <c r="I869"/>
  <c r="I856"/>
  <c r="I843"/>
  <c r="I831"/>
  <c r="I818"/>
  <c r="I805"/>
  <c r="I792"/>
  <c r="I779"/>
  <c r="I767"/>
  <c r="I754"/>
  <c r="I741"/>
  <c r="I728"/>
  <c r="I715"/>
  <c r="I703"/>
  <c r="I690"/>
  <c r="I677"/>
  <c r="I664"/>
  <c r="I651"/>
  <c r="I639"/>
  <c r="I626"/>
  <c r="I613"/>
  <c r="I600"/>
  <c r="I587"/>
  <c r="I575"/>
  <c r="I562"/>
  <c r="I549"/>
  <c r="I536"/>
  <c r="I525"/>
  <c r="I514"/>
  <c r="I504"/>
  <c r="I493"/>
  <c r="I482"/>
  <c r="I472"/>
  <c r="I461"/>
  <c r="I450"/>
  <c r="I441"/>
  <c r="I432"/>
  <c r="I423"/>
  <c r="I413"/>
  <c r="I404"/>
  <c r="I395"/>
  <c r="I386"/>
  <c r="I377"/>
  <c r="I368"/>
  <c r="I359"/>
  <c r="I349"/>
  <c r="I340"/>
  <c r="I331"/>
  <c r="I322"/>
  <c r="I313"/>
  <c r="I304"/>
  <c r="I295"/>
  <c r="I285"/>
  <c r="I276"/>
  <c r="I267"/>
  <c r="I258"/>
  <c r="I249"/>
  <c r="I240"/>
  <c r="I231"/>
  <c r="I221"/>
  <c r="I212"/>
  <c r="I203"/>
  <c r="I194"/>
  <c r="I185"/>
  <c r="I176"/>
  <c r="I167"/>
  <c r="I157"/>
  <c r="I148"/>
  <c r="I139"/>
  <c r="I130"/>
  <c r="I121"/>
  <c r="I112"/>
  <c r="I103"/>
  <c r="I93"/>
  <c r="I84"/>
  <c r="I75"/>
  <c r="I66"/>
  <c r="I57"/>
  <c r="I48"/>
  <c r="I39"/>
  <c r="I30"/>
  <c r="I22"/>
  <c r="I14"/>
  <c r="I6"/>
  <c r="I999"/>
  <c r="I986"/>
  <c r="I973"/>
  <c r="I960"/>
  <c r="I947"/>
  <c r="I935"/>
  <c r="I922"/>
  <c r="I909"/>
  <c r="I896"/>
  <c r="I883"/>
  <c r="I871"/>
  <c r="I858"/>
  <c r="I845"/>
  <c r="I832"/>
  <c r="I819"/>
  <c r="I807"/>
  <c r="I794"/>
  <c r="I781"/>
  <c r="I768"/>
  <c r="I1000"/>
  <c r="I987"/>
  <c r="I975"/>
  <c r="I962"/>
  <c r="I949"/>
  <c r="I936"/>
  <c r="I923"/>
  <c r="I911"/>
  <c r="I898"/>
  <c r="I885"/>
  <c r="I872"/>
  <c r="I859"/>
  <c r="I847"/>
  <c r="I834"/>
  <c r="I821"/>
  <c r="I808"/>
  <c r="I795"/>
  <c r="I783"/>
  <c r="I770"/>
  <c r="I757"/>
  <c r="I744"/>
  <c r="I731"/>
  <c r="I719"/>
  <c r="I706"/>
  <c r="I693"/>
  <c r="I680"/>
  <c r="I667"/>
  <c r="I655"/>
  <c r="I642"/>
  <c r="I629"/>
  <c r="I616"/>
  <c r="I603"/>
  <c r="I591"/>
  <c r="I578"/>
  <c r="I565"/>
  <c r="I552"/>
  <c r="I539"/>
  <c r="I528"/>
  <c r="I517"/>
  <c r="I506"/>
  <c r="I496"/>
  <c r="I485"/>
  <c r="I474"/>
  <c r="I464"/>
  <c r="I453"/>
  <c r="I443"/>
  <c r="I434"/>
  <c r="I425"/>
  <c r="I416"/>
  <c r="I407"/>
  <c r="I397"/>
  <c r="I388"/>
  <c r="I379"/>
  <c r="I370"/>
  <c r="I361"/>
  <c r="I352"/>
  <c r="I343"/>
  <c r="I333"/>
  <c r="I324"/>
  <c r="I315"/>
  <c r="I306"/>
  <c r="I297"/>
  <c r="I288"/>
  <c r="I279"/>
  <c r="I269"/>
  <c r="I260"/>
  <c r="I251"/>
  <c r="I242"/>
  <c r="I233"/>
  <c r="I224"/>
  <c r="I215"/>
  <c r="I205"/>
  <c r="I196"/>
  <c r="I187"/>
  <c r="I178"/>
  <c r="I169"/>
  <c r="I160"/>
  <c r="I151"/>
  <c r="I141"/>
  <c r="I132"/>
  <c r="I123"/>
  <c r="I114"/>
  <c r="I105"/>
  <c r="I96"/>
  <c r="I87"/>
  <c r="I77"/>
  <c r="I68"/>
  <c r="I59"/>
  <c r="I50"/>
  <c r="I41"/>
  <c r="I32"/>
  <c r="I24"/>
  <c r="I16"/>
  <c r="I8"/>
  <c r="I1"/>
  <c r="I951"/>
  <c r="I899"/>
  <c r="I848"/>
  <c r="I797"/>
  <c r="I747"/>
  <c r="I717"/>
  <c r="I682"/>
  <c r="I645"/>
  <c r="I615"/>
  <c r="I579"/>
  <c r="I543"/>
  <c r="I515"/>
  <c r="I487"/>
  <c r="I456"/>
  <c r="I433"/>
  <c r="I408"/>
  <c r="I381"/>
  <c r="I360"/>
  <c r="I335"/>
  <c r="I308"/>
  <c r="I287"/>
  <c r="I261"/>
  <c r="I235"/>
  <c r="I213"/>
  <c r="I188"/>
  <c r="I162"/>
  <c r="I140"/>
  <c r="I115"/>
  <c r="I89"/>
  <c r="I67"/>
  <c r="I42"/>
  <c r="I18"/>
  <c r="I952"/>
  <c r="I901"/>
  <c r="I850"/>
  <c r="I799"/>
  <c r="I755"/>
  <c r="I720"/>
  <c r="I683"/>
  <c r="I653"/>
  <c r="I618"/>
  <c r="I581"/>
  <c r="I551"/>
  <c r="I519"/>
  <c r="I488"/>
  <c r="I463"/>
  <c r="I435"/>
  <c r="I409"/>
  <c r="I387"/>
  <c r="I362"/>
  <c r="I336"/>
  <c r="I314"/>
  <c r="I289"/>
  <c r="I263"/>
  <c r="I241"/>
  <c r="I216"/>
  <c r="I189"/>
  <c r="I168"/>
  <c r="I143"/>
  <c r="I116"/>
  <c r="I95"/>
  <c r="I69"/>
  <c r="I43"/>
  <c r="I23"/>
  <c r="I963"/>
  <c r="I912"/>
  <c r="I861"/>
  <c r="I810"/>
  <c r="I759"/>
  <c r="I722"/>
  <c r="I691"/>
  <c r="I656"/>
  <c r="I619"/>
  <c r="I589"/>
  <c r="I554"/>
  <c r="I520"/>
  <c r="I495"/>
  <c r="I465"/>
  <c r="I436"/>
  <c r="I415"/>
  <c r="I389"/>
  <c r="I363"/>
  <c r="I341"/>
  <c r="I316"/>
  <c r="I290"/>
  <c r="I268"/>
  <c r="I243"/>
  <c r="I217"/>
  <c r="I195"/>
  <c r="I170"/>
  <c r="I144"/>
  <c r="I122"/>
  <c r="I97"/>
  <c r="I71"/>
  <c r="I49"/>
  <c r="I25"/>
  <c r="I2"/>
  <c r="I965"/>
  <c r="I914"/>
  <c r="I863"/>
  <c r="I811"/>
  <c r="I760"/>
  <c r="I730"/>
  <c r="I695"/>
  <c r="I658"/>
  <c r="I627"/>
  <c r="I592"/>
  <c r="I555"/>
  <c r="I527"/>
  <c r="I497"/>
  <c r="I466"/>
  <c r="I442"/>
  <c r="I417"/>
  <c r="I391"/>
  <c r="I369"/>
  <c r="I344"/>
  <c r="I317"/>
  <c r="I296"/>
  <c r="I271"/>
  <c r="I244"/>
  <c r="I223"/>
  <c r="I197"/>
  <c r="I171"/>
  <c r="I149"/>
  <c r="I124"/>
  <c r="I98"/>
  <c r="I76"/>
  <c r="I51"/>
  <c r="I26"/>
  <c r="I7"/>
  <c r="I976"/>
  <c r="I925"/>
  <c r="I874"/>
  <c r="I823"/>
  <c r="I771"/>
  <c r="I733"/>
  <c r="I696"/>
  <c r="I666"/>
  <c r="I631"/>
  <c r="I594"/>
  <c r="I563"/>
  <c r="I529"/>
  <c r="I498"/>
  <c r="I473"/>
  <c r="I444"/>
  <c r="I418"/>
  <c r="I396"/>
  <c r="I371"/>
  <c r="I345"/>
  <c r="I323"/>
  <c r="I298"/>
  <c r="I272"/>
  <c r="I250"/>
  <c r="I225"/>
  <c r="I199"/>
  <c r="I177"/>
  <c r="I152"/>
  <c r="I125"/>
  <c r="I104"/>
  <c r="I79"/>
  <c r="I52"/>
  <c r="I31"/>
  <c r="I9"/>
  <c r="I978"/>
  <c r="I927"/>
  <c r="I875"/>
  <c r="I824"/>
  <c r="I773"/>
  <c r="I735"/>
  <c r="I704"/>
  <c r="I669"/>
  <c r="I632"/>
  <c r="I602"/>
  <c r="I567"/>
  <c r="I530"/>
  <c r="I505"/>
  <c r="I475"/>
  <c r="I445"/>
  <c r="I424"/>
  <c r="I399"/>
  <c r="I372"/>
  <c r="I351"/>
  <c r="I325"/>
  <c r="I299"/>
  <c r="I277"/>
  <c r="I252"/>
  <c r="I226"/>
  <c r="I204"/>
  <c r="I179"/>
  <c r="I153"/>
  <c r="I131"/>
  <c r="I106"/>
  <c r="I80"/>
  <c r="I58"/>
  <c r="I33"/>
  <c r="I10"/>
  <c r="I989"/>
  <c r="I938"/>
  <c r="I887"/>
  <c r="I835"/>
  <c r="I784"/>
  <c r="I743"/>
  <c r="I707"/>
  <c r="I671"/>
  <c r="I640"/>
  <c r="I605"/>
  <c r="I568"/>
  <c r="I538"/>
  <c r="I507"/>
  <c r="I477"/>
  <c r="I451"/>
  <c r="I426"/>
  <c r="I400"/>
  <c r="I378"/>
  <c r="I353"/>
  <c r="I327"/>
  <c r="I305"/>
  <c r="I280"/>
  <c r="I253"/>
  <c r="I232"/>
  <c r="I207"/>
  <c r="I180"/>
  <c r="I159"/>
  <c r="I133"/>
  <c r="I107"/>
  <c r="I85"/>
  <c r="I60"/>
  <c r="I34"/>
  <c r="I15"/>
  <c r="I837"/>
  <c r="I541"/>
  <c r="I332"/>
  <c r="I135"/>
  <c r="I888"/>
  <c r="I576"/>
  <c r="I354"/>
  <c r="I161"/>
  <c r="I939"/>
  <c r="I607"/>
  <c r="I380"/>
  <c r="I186"/>
  <c r="I991"/>
  <c r="I643"/>
  <c r="I405"/>
  <c r="I208"/>
  <c r="I17"/>
  <c r="I679"/>
  <c r="I427"/>
  <c r="I234"/>
  <c r="I40"/>
  <c r="I709"/>
  <c r="I455"/>
  <c r="I259"/>
  <c r="I61"/>
  <c r="I746"/>
  <c r="I483"/>
  <c r="I281"/>
  <c r="I88"/>
  <c r="I113"/>
  <c r="I307"/>
  <c r="I509"/>
  <c r="I786"/>
  <c r="I996" i="19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46"/>
  <c r="I818"/>
  <c r="I690"/>
  <c r="I562"/>
  <c r="I434"/>
  <c r="I306"/>
  <c r="I178"/>
  <c r="I50"/>
  <c r="I971"/>
  <c r="I843"/>
  <c r="I715"/>
  <c r="I587"/>
  <c r="I459"/>
  <c r="I331"/>
  <c r="I203"/>
  <c r="I75"/>
  <c r="I978"/>
  <c r="I850"/>
  <c r="I722"/>
  <c r="I594"/>
  <c r="I466"/>
  <c r="I338"/>
  <c r="I210"/>
  <c r="I82"/>
  <c r="I875"/>
  <c r="I747"/>
  <c r="I619"/>
  <c r="I491"/>
  <c r="I363"/>
  <c r="I235"/>
  <c r="I107"/>
  <c r="I882"/>
  <c r="I754"/>
  <c r="I626"/>
  <c r="I498"/>
  <c r="I370"/>
  <c r="I242"/>
  <c r="I114"/>
  <c r="I907"/>
  <c r="I779"/>
  <c r="I651"/>
  <c r="I523"/>
  <c r="I395"/>
  <c r="I267"/>
  <c r="I139"/>
  <c r="I11"/>
  <c r="I914"/>
  <c r="I786"/>
  <c r="I658"/>
  <c r="I530"/>
  <c r="I402"/>
  <c r="I274"/>
  <c r="I146"/>
  <c r="I18"/>
  <c r="I171"/>
  <c r="I299"/>
  <c r="I427"/>
  <c r="I555"/>
  <c r="I683"/>
  <c r="I811"/>
  <c r="I939"/>
  <c r="I43"/>
  <c r="I1000" i="12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7" i="32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986"/>
  <c r="I963"/>
  <c r="I940"/>
  <c r="I922"/>
  <c r="I899"/>
  <c r="I876"/>
  <c r="I858"/>
  <c r="I835"/>
  <c r="I812"/>
  <c r="I794"/>
  <c r="I771"/>
  <c r="I748"/>
  <c r="I730"/>
  <c r="I707"/>
  <c r="I684"/>
  <c r="I666"/>
  <c r="I643"/>
  <c r="I620"/>
  <c r="I602"/>
  <c r="I579"/>
  <c r="I556"/>
  <c r="I538"/>
  <c r="I515"/>
  <c r="I492"/>
  <c r="I474"/>
  <c r="I451"/>
  <c r="I428"/>
  <c r="I410"/>
  <c r="I387"/>
  <c r="I369"/>
  <c r="I355"/>
  <c r="I344"/>
  <c r="I330"/>
  <c r="I318"/>
  <c r="I307"/>
  <c r="I297"/>
  <c r="I286"/>
  <c r="I275"/>
  <c r="I265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7"/>
  <c r="I964"/>
  <c r="I946"/>
  <c r="I923"/>
  <c r="I900"/>
  <c r="I882"/>
  <c r="I859"/>
  <c r="I836"/>
  <c r="I818"/>
  <c r="I795"/>
  <c r="I772"/>
  <c r="I754"/>
  <c r="I731"/>
  <c r="I708"/>
  <c r="I690"/>
  <c r="I667"/>
  <c r="I644"/>
  <c r="I626"/>
  <c r="I603"/>
  <c r="I580"/>
  <c r="I562"/>
  <c r="I539"/>
  <c r="I516"/>
  <c r="I498"/>
  <c r="I475"/>
  <c r="I452"/>
  <c r="I434"/>
  <c r="I411"/>
  <c r="I388"/>
  <c r="I370"/>
  <c r="I356"/>
  <c r="I345"/>
  <c r="I331"/>
  <c r="I320"/>
  <c r="I308"/>
  <c r="I298"/>
  <c r="I288"/>
  <c r="I276"/>
  <c r="I266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8"/>
  <c r="I970"/>
  <c r="I947"/>
  <c r="I924"/>
  <c r="I906"/>
  <c r="I883"/>
  <c r="I860"/>
  <c r="I842"/>
  <c r="I819"/>
  <c r="I796"/>
  <c r="I778"/>
  <c r="I755"/>
  <c r="I732"/>
  <c r="I714"/>
  <c r="I691"/>
  <c r="I668"/>
  <c r="I650"/>
  <c r="I627"/>
  <c r="I604"/>
  <c r="I586"/>
  <c r="I563"/>
  <c r="I540"/>
  <c r="I522"/>
  <c r="I499"/>
  <c r="I994"/>
  <c r="I971"/>
  <c r="I948"/>
  <c r="I930"/>
  <c r="I907"/>
  <c r="I884"/>
  <c r="I866"/>
  <c r="I843"/>
  <c r="I820"/>
  <c r="I802"/>
  <c r="I779"/>
  <c r="I756"/>
  <c r="I738"/>
  <c r="I715"/>
  <c r="I692"/>
  <c r="I674"/>
  <c r="I651"/>
  <c r="I628"/>
  <c r="I610"/>
  <c r="I587"/>
  <c r="I564"/>
  <c r="I546"/>
  <c r="I523"/>
  <c r="I500"/>
  <c r="I482"/>
  <c r="I459"/>
  <c r="I436"/>
  <c r="I418"/>
  <c r="I395"/>
  <c r="I372"/>
  <c r="I361"/>
  <c r="I347"/>
  <c r="I336"/>
  <c r="I322"/>
  <c r="I312"/>
  <c r="I300"/>
  <c r="I290"/>
  <c r="I280"/>
  <c r="I268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78"/>
  <c r="I955"/>
  <c r="I932"/>
  <c r="I914"/>
  <c r="I891"/>
  <c r="I868"/>
  <c r="I850"/>
  <c r="I827"/>
  <c r="I804"/>
  <c r="I786"/>
  <c r="I763"/>
  <c r="I740"/>
  <c r="I722"/>
  <c r="I699"/>
  <c r="I676"/>
  <c r="I658"/>
  <c r="I635"/>
  <c r="I612"/>
  <c r="I594"/>
  <c r="I571"/>
  <c r="I548"/>
  <c r="I530"/>
  <c r="I507"/>
  <c r="I484"/>
  <c r="I466"/>
  <c r="I443"/>
  <c r="I420"/>
  <c r="I402"/>
  <c r="I379"/>
  <c r="I363"/>
  <c r="I352"/>
  <c r="I338"/>
  <c r="I324"/>
  <c r="I314"/>
  <c r="I304"/>
  <c r="I292"/>
  <c r="I282"/>
  <c r="I272"/>
  <c r="I262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79"/>
  <c r="I916"/>
  <c r="I867"/>
  <c r="I810"/>
  <c r="I747"/>
  <c r="I698"/>
  <c r="I636"/>
  <c r="I578"/>
  <c r="I524"/>
  <c r="I468"/>
  <c r="I427"/>
  <c r="I386"/>
  <c r="I354"/>
  <c r="I329"/>
  <c r="I306"/>
  <c r="I284"/>
  <c r="I264"/>
  <c r="I247"/>
  <c r="I231"/>
  <c r="I215"/>
  <c r="I199"/>
  <c r="I183"/>
  <c r="I167"/>
  <c r="I151"/>
  <c r="I135"/>
  <c r="I119"/>
  <c r="I103"/>
  <c r="I87"/>
  <c r="I71"/>
  <c r="I55"/>
  <c r="I39"/>
  <c r="I23"/>
  <c r="I7"/>
  <c r="I980"/>
  <c r="I931"/>
  <c r="I874"/>
  <c r="I811"/>
  <c r="I762"/>
  <c r="I700"/>
  <c r="I642"/>
  <c r="I588"/>
  <c r="I531"/>
  <c r="I476"/>
  <c r="I435"/>
  <c r="I394"/>
  <c r="I360"/>
  <c r="I332"/>
  <c r="I310"/>
  <c r="I289"/>
  <c r="I267"/>
  <c r="I250"/>
  <c r="I234"/>
  <c r="I218"/>
  <c r="I202"/>
  <c r="I186"/>
  <c r="I170"/>
  <c r="I154"/>
  <c r="I138"/>
  <c r="I122"/>
  <c r="I106"/>
  <c r="I90"/>
  <c r="I74"/>
  <c r="I58"/>
  <c r="I42"/>
  <c r="I26"/>
  <c r="I10"/>
  <c r="I995"/>
  <c r="I938"/>
  <c r="I875"/>
  <c r="I826"/>
  <c r="I764"/>
  <c r="I706"/>
  <c r="I652"/>
  <c r="I595"/>
  <c r="I532"/>
  <c r="I483"/>
  <c r="I442"/>
  <c r="I396"/>
  <c r="I362"/>
  <c r="I337"/>
  <c r="I313"/>
  <c r="I291"/>
  <c r="I270"/>
  <c r="I252"/>
  <c r="I236"/>
  <c r="I220"/>
  <c r="I204"/>
  <c r="I188"/>
  <c r="I172"/>
  <c r="I156"/>
  <c r="I140"/>
  <c r="I124"/>
  <c r="I108"/>
  <c r="I92"/>
  <c r="I76"/>
  <c r="I60"/>
  <c r="I44"/>
  <c r="I28"/>
  <c r="I12"/>
  <c r="I939"/>
  <c r="I890"/>
  <c r="I828"/>
  <c r="I770"/>
  <c r="I716"/>
  <c r="I659"/>
  <c r="I596"/>
  <c r="I547"/>
  <c r="I490"/>
  <c r="I444"/>
  <c r="I403"/>
  <c r="I364"/>
  <c r="I339"/>
  <c r="I315"/>
  <c r="I294"/>
  <c r="I273"/>
  <c r="I254"/>
  <c r="I238"/>
  <c r="I222"/>
  <c r="I206"/>
  <c r="I190"/>
  <c r="I174"/>
  <c r="I158"/>
  <c r="I142"/>
  <c r="I126"/>
  <c r="I110"/>
  <c r="I94"/>
  <c r="I78"/>
  <c r="I62"/>
  <c r="I46"/>
  <c r="I30"/>
  <c r="I14"/>
  <c r="I954"/>
  <c r="I892"/>
  <c r="I834"/>
  <c r="I780"/>
  <c r="I723"/>
  <c r="I660"/>
  <c r="I611"/>
  <c r="I554"/>
  <c r="I491"/>
  <c r="I450"/>
  <c r="I404"/>
  <c r="I368"/>
  <c r="I340"/>
  <c r="I316"/>
  <c r="I296"/>
  <c r="I274"/>
  <c r="I255"/>
  <c r="I239"/>
  <c r="I223"/>
  <c r="I207"/>
  <c r="I191"/>
  <c r="I175"/>
  <c r="I159"/>
  <c r="I143"/>
  <c r="I127"/>
  <c r="I111"/>
  <c r="I95"/>
  <c r="I79"/>
  <c r="I63"/>
  <c r="I47"/>
  <c r="I31"/>
  <c r="I15"/>
  <c r="I956"/>
  <c r="I898"/>
  <c r="I844"/>
  <c r="I787"/>
  <c r="I724"/>
  <c r="I675"/>
  <c r="I618"/>
  <c r="I555"/>
  <c r="I506"/>
  <c r="I458"/>
  <c r="I412"/>
  <c r="I371"/>
  <c r="I346"/>
  <c r="I321"/>
  <c r="I299"/>
  <c r="I278"/>
  <c r="I258"/>
  <c r="I242"/>
  <c r="I226"/>
  <c r="I210"/>
  <c r="I194"/>
  <c r="I178"/>
  <c r="I162"/>
  <c r="I146"/>
  <c r="I130"/>
  <c r="I114"/>
  <c r="I98"/>
  <c r="I82"/>
  <c r="I66"/>
  <c r="I50"/>
  <c r="I34"/>
  <c r="I18"/>
  <c r="I2"/>
  <c r="I851"/>
  <c r="I619"/>
  <c r="I419"/>
  <c r="I302"/>
  <c r="I228"/>
  <c r="I164"/>
  <c r="I100"/>
  <c r="I36"/>
  <c r="I852"/>
  <c r="I634"/>
  <c r="I426"/>
  <c r="I305"/>
  <c r="I230"/>
  <c r="I166"/>
  <c r="I102"/>
  <c r="I38"/>
  <c r="I908"/>
  <c r="I682"/>
  <c r="I460"/>
  <c r="I323"/>
  <c r="I244"/>
  <c r="I180"/>
  <c r="I116"/>
  <c r="I52"/>
  <c r="I915"/>
  <c r="I683"/>
  <c r="I467"/>
  <c r="I328"/>
  <c r="I246"/>
  <c r="I182"/>
  <c r="I118"/>
  <c r="I54"/>
  <c r="I962"/>
  <c r="I739"/>
  <c r="I508"/>
  <c r="I348"/>
  <c r="I260"/>
  <c r="I196"/>
  <c r="I132"/>
  <c r="I68"/>
  <c r="I4"/>
  <c r="I972"/>
  <c r="I746"/>
  <c r="I514"/>
  <c r="I353"/>
  <c r="I263"/>
  <c r="I198"/>
  <c r="I134"/>
  <c r="I70"/>
  <c r="I6"/>
  <c r="I788"/>
  <c r="I570"/>
  <c r="I378"/>
  <c r="I281"/>
  <c r="I212"/>
  <c r="I148"/>
  <c r="I84"/>
  <c r="I20"/>
  <c r="I283"/>
  <c r="I380"/>
  <c r="I572"/>
  <c r="I803"/>
  <c r="I22"/>
  <c r="I86"/>
  <c r="I150"/>
  <c r="I214"/>
  <c r="I997" i="28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979"/>
  <c r="I956"/>
  <c r="I938"/>
  <c r="I915"/>
  <c r="I892"/>
  <c r="I874"/>
  <c r="I851"/>
  <c r="I828"/>
  <c r="I810"/>
  <c r="I787"/>
  <c r="I764"/>
  <c r="I754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63"/>
  <c r="I940"/>
  <c r="I922"/>
  <c r="I899"/>
  <c r="I876"/>
  <c r="I858"/>
  <c r="I835"/>
  <c r="I812"/>
  <c r="I794"/>
  <c r="I771"/>
  <c r="I756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7"/>
  <c r="I964"/>
  <c r="I946"/>
  <c r="I923"/>
  <c r="I900"/>
  <c r="I882"/>
  <c r="I859"/>
  <c r="I836"/>
  <c r="I818"/>
  <c r="I795"/>
  <c r="I772"/>
  <c r="I758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8"/>
  <c r="I970"/>
  <c r="I947"/>
  <c r="I924"/>
  <c r="I906"/>
  <c r="I883"/>
  <c r="I860"/>
  <c r="I842"/>
  <c r="I819"/>
  <c r="I796"/>
  <c r="I778"/>
  <c r="I759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4"/>
  <c r="I971"/>
  <c r="I948"/>
  <c r="I930"/>
  <c r="I907"/>
  <c r="I884"/>
  <c r="I866"/>
  <c r="I843"/>
  <c r="I820"/>
  <c r="I802"/>
  <c r="I779"/>
  <c r="I760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5"/>
  <c r="I972"/>
  <c r="I954"/>
  <c r="I931"/>
  <c r="I908"/>
  <c r="I890"/>
  <c r="I867"/>
  <c r="I844"/>
  <c r="I826"/>
  <c r="I803"/>
  <c r="I780"/>
  <c r="I762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32"/>
  <c r="I850"/>
  <c r="I763"/>
  <c r="I728"/>
  <c r="I696"/>
  <c r="I664"/>
  <c r="I632"/>
  <c r="I600"/>
  <c r="I568"/>
  <c r="I536"/>
  <c r="I504"/>
  <c r="I472"/>
  <c r="I440"/>
  <c r="I408"/>
  <c r="I376"/>
  <c r="I344"/>
  <c r="I312"/>
  <c r="I280"/>
  <c r="I248"/>
  <c r="I216"/>
  <c r="I184"/>
  <c r="I152"/>
  <c r="I120"/>
  <c r="I88"/>
  <c r="I56"/>
  <c r="I24"/>
  <c r="I939"/>
  <c r="I852"/>
  <c r="I770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55"/>
  <c r="I868"/>
  <c r="I786"/>
  <c r="I736"/>
  <c r="I704"/>
  <c r="I672"/>
  <c r="I640"/>
  <c r="I608"/>
  <c r="I576"/>
  <c r="I544"/>
  <c r="I512"/>
  <c r="I480"/>
  <c r="I448"/>
  <c r="I416"/>
  <c r="I384"/>
  <c r="I352"/>
  <c r="I320"/>
  <c r="I288"/>
  <c r="I256"/>
  <c r="I224"/>
  <c r="I192"/>
  <c r="I160"/>
  <c r="I128"/>
  <c r="I96"/>
  <c r="I64"/>
  <c r="I32"/>
  <c r="I1"/>
  <c r="I962"/>
  <c r="I875"/>
  <c r="I788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78"/>
  <c r="I891"/>
  <c r="I804"/>
  <c r="I744"/>
  <c r="I712"/>
  <c r="I680"/>
  <c r="I648"/>
  <c r="I616"/>
  <c r="I584"/>
  <c r="I552"/>
  <c r="I520"/>
  <c r="I488"/>
  <c r="I456"/>
  <c r="I424"/>
  <c r="I392"/>
  <c r="I360"/>
  <c r="I328"/>
  <c r="I296"/>
  <c r="I264"/>
  <c r="I232"/>
  <c r="I200"/>
  <c r="I168"/>
  <c r="I136"/>
  <c r="I104"/>
  <c r="I72"/>
  <c r="I40"/>
  <c r="I8"/>
  <c r="I980"/>
  <c r="I898"/>
  <c r="I811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96"/>
  <c r="I914"/>
  <c r="I827"/>
  <c r="I752"/>
  <c r="I720"/>
  <c r="I688"/>
  <c r="I656"/>
  <c r="I624"/>
  <c r="I592"/>
  <c r="I560"/>
  <c r="I528"/>
  <c r="I496"/>
  <c r="I464"/>
  <c r="I432"/>
  <c r="I400"/>
  <c r="I368"/>
  <c r="I336"/>
  <c r="I304"/>
  <c r="I272"/>
  <c r="I240"/>
  <c r="I208"/>
  <c r="I176"/>
  <c r="I144"/>
  <c r="I112"/>
  <c r="I80"/>
  <c r="I48"/>
  <c r="I16"/>
  <c r="I722"/>
  <c r="I466"/>
  <c r="I210"/>
  <c r="I755"/>
  <c r="I498"/>
  <c r="I242"/>
  <c r="I834"/>
  <c r="I530"/>
  <c r="I274"/>
  <c r="I18"/>
  <c r="I916"/>
  <c r="I562"/>
  <c r="I306"/>
  <c r="I50"/>
  <c r="I594"/>
  <c r="I338"/>
  <c r="I82"/>
  <c r="I626"/>
  <c r="I370"/>
  <c r="I114"/>
  <c r="I658"/>
  <c r="I402"/>
  <c r="I146"/>
  <c r="I178"/>
  <c r="I434"/>
  <c r="I690"/>
  <c r="I993" i="16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229"/>
  <c r="I197"/>
  <c r="I165"/>
  <c r="I133"/>
  <c r="I101"/>
  <c r="I69"/>
  <c r="I37"/>
  <c r="I5"/>
  <c r="I1000"/>
  <c r="I968"/>
  <c r="I936"/>
  <c r="I904"/>
  <c r="I872"/>
  <c r="I840"/>
  <c r="I808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232"/>
  <c r="I200"/>
  <c r="I168"/>
  <c r="I136"/>
  <c r="I104"/>
  <c r="I72"/>
  <c r="I40"/>
  <c r="I8"/>
  <c r="I973"/>
  <c r="I941"/>
  <c r="I909"/>
  <c r="I877"/>
  <c r="I845"/>
  <c r="I813"/>
  <c r="I781"/>
  <c r="I749"/>
  <c r="I717"/>
  <c r="I685"/>
  <c r="I653"/>
  <c r="I621"/>
  <c r="I589"/>
  <c r="I557"/>
  <c r="I525"/>
  <c r="I493"/>
  <c r="I461"/>
  <c r="I429"/>
  <c r="I397"/>
  <c r="I365"/>
  <c r="I333"/>
  <c r="I301"/>
  <c r="I269"/>
  <c r="I237"/>
  <c r="I205"/>
  <c r="I173"/>
  <c r="I141"/>
  <c r="I109"/>
  <c r="I77"/>
  <c r="I45"/>
  <c r="I13"/>
  <c r="I976"/>
  <c r="I944"/>
  <c r="I912"/>
  <c r="I880"/>
  <c r="I848"/>
  <c r="I816"/>
  <c r="I784"/>
  <c r="I752"/>
  <c r="I720"/>
  <c r="I688"/>
  <c r="I656"/>
  <c r="I624"/>
  <c r="I592"/>
  <c r="I560"/>
  <c r="I528"/>
  <c r="I496"/>
  <c r="I464"/>
  <c r="I432"/>
  <c r="I400"/>
  <c r="I368"/>
  <c r="I336"/>
  <c r="I304"/>
  <c r="I272"/>
  <c r="I240"/>
  <c r="I208"/>
  <c r="I176"/>
  <c r="I144"/>
  <c r="I112"/>
  <c r="I80"/>
  <c r="I48"/>
  <c r="I16"/>
  <c r="I981"/>
  <c r="I949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213"/>
  <c r="I181"/>
  <c r="I149"/>
  <c r="I117"/>
  <c r="I85"/>
  <c r="I53"/>
  <c r="I21"/>
  <c r="I984"/>
  <c r="I952"/>
  <c r="I920"/>
  <c r="I888"/>
  <c r="I856"/>
  <c r="I824"/>
  <c r="I792"/>
  <c r="I760"/>
  <c r="I728"/>
  <c r="I696"/>
  <c r="I664"/>
  <c r="I632"/>
  <c r="I600"/>
  <c r="I568"/>
  <c r="I536"/>
  <c r="I504"/>
  <c r="I472"/>
  <c r="I440"/>
  <c r="I408"/>
  <c r="I376"/>
  <c r="I344"/>
  <c r="I312"/>
  <c r="I280"/>
  <c r="I248"/>
  <c r="I216"/>
  <c r="I184"/>
  <c r="I152"/>
  <c r="I120"/>
  <c r="I88"/>
  <c r="I56"/>
  <c r="I24"/>
  <c r="I989"/>
  <c r="I957"/>
  <c r="I925"/>
  <c r="I893"/>
  <c r="I861"/>
  <c r="I829"/>
  <c r="I797"/>
  <c r="I765"/>
  <c r="I733"/>
  <c r="I701"/>
  <c r="I669"/>
  <c r="I637"/>
  <c r="I605"/>
  <c r="I573"/>
  <c r="I541"/>
  <c r="I509"/>
  <c r="I477"/>
  <c r="I445"/>
  <c r="I413"/>
  <c r="I381"/>
  <c r="I349"/>
  <c r="I317"/>
  <c r="I285"/>
  <c r="I253"/>
  <c r="I221"/>
  <c r="I189"/>
  <c r="I157"/>
  <c r="I125"/>
  <c r="I93"/>
  <c r="I61"/>
  <c r="I29"/>
  <c r="I992"/>
  <c r="I960"/>
  <c r="I928"/>
  <c r="I896"/>
  <c r="I864"/>
  <c r="I832"/>
  <c r="I800"/>
  <c r="I768"/>
  <c r="I736"/>
  <c r="I704"/>
  <c r="I672"/>
  <c r="I640"/>
  <c r="I608"/>
  <c r="I576"/>
  <c r="I544"/>
  <c r="I512"/>
  <c r="I480"/>
  <c r="I448"/>
  <c r="I416"/>
  <c r="I384"/>
  <c r="I352"/>
  <c r="I320"/>
  <c r="I288"/>
  <c r="I256"/>
  <c r="I224"/>
  <c r="I192"/>
  <c r="I160"/>
  <c r="I128"/>
  <c r="I96"/>
  <c r="I64"/>
  <c r="I32"/>
  <c r="I1"/>
  <c r="S6" i="4" l="1" a="1"/>
  <c r="K6" a="1"/>
  <c r="U6" a="1"/>
  <c r="L6" a="1"/>
  <c r="T6" a="1"/>
  <c r="N6" a="1"/>
  <c r="X6" a="1"/>
  <c r="M6" a="1"/>
  <c r="R6" a="1"/>
  <c r="W6" a="1"/>
  <c r="O6" a="1"/>
  <c r="Y6" a="1"/>
  <c r="P6" a="1"/>
  <c r="V6" a="1"/>
  <c r="Q6" a="1"/>
  <c r="Z6" a="1"/>
  <c r="X6"/>
  <c r="H209" i="46"/>
  <c r="F211"/>
  <c r="D213"/>
  <c r="B215"/>
  <c r="I216"/>
  <c r="G218"/>
  <c r="E220"/>
  <c r="C222"/>
  <c r="A224"/>
  <c r="H225"/>
  <c r="F227"/>
  <c r="D229"/>
  <c r="B231"/>
  <c r="I232"/>
  <c r="G234"/>
  <c r="E236"/>
  <c r="C238"/>
  <c r="A240"/>
  <c r="H241"/>
  <c r="F243"/>
  <c r="D245"/>
  <c r="B247"/>
  <c r="I248"/>
  <c r="G250"/>
  <c r="F195"/>
  <c r="D197"/>
  <c r="B199"/>
  <c r="I200"/>
  <c r="F204"/>
  <c r="H14" i="33"/>
  <c r="F35" i="28"/>
  <c r="F1" i="29"/>
  <c r="G266" i="46"/>
  <c r="E268"/>
  <c r="C270"/>
  <c r="A272"/>
  <c r="H273"/>
  <c r="F275"/>
  <c r="D277"/>
  <c r="B279"/>
  <c r="I280"/>
  <c r="G282"/>
  <c r="E284"/>
  <c r="C286"/>
  <c r="A288"/>
  <c r="H289"/>
  <c r="F291"/>
  <c r="D293"/>
  <c r="B295"/>
  <c r="I296"/>
  <c r="G298"/>
  <c r="E300"/>
  <c r="C302"/>
  <c r="A304"/>
  <c r="H305"/>
  <c r="F307"/>
  <c r="E252"/>
  <c r="C254"/>
  <c r="A256"/>
  <c r="H257"/>
  <c r="B310"/>
  <c r="A3" i="31"/>
  <c r="B2"/>
  <c r="F26" i="33"/>
  <c r="H323" i="46"/>
  <c r="F325"/>
  <c r="D327"/>
  <c r="B329"/>
  <c r="I330"/>
  <c r="G332"/>
  <c r="E334"/>
  <c r="C336"/>
  <c r="A338"/>
  <c r="H339"/>
  <c r="F341"/>
  <c r="D343"/>
  <c r="B345"/>
  <c r="I346"/>
  <c r="G348"/>
  <c r="E350"/>
  <c r="C352"/>
  <c r="A354"/>
  <c r="H355"/>
  <c r="F357"/>
  <c r="D359"/>
  <c r="B361"/>
  <c r="I362"/>
  <c r="G364"/>
  <c r="F309"/>
  <c r="D311"/>
  <c r="B313"/>
  <c r="I314"/>
  <c r="D228"/>
  <c r="A73" i="25"/>
  <c r="B86"/>
  <c r="B87"/>
  <c r="G380" i="46"/>
  <c r="E382"/>
  <c r="C384"/>
  <c r="A386"/>
  <c r="H387"/>
  <c r="F389"/>
  <c r="D391"/>
  <c r="B393"/>
  <c r="I394"/>
  <c r="G396"/>
  <c r="E398"/>
  <c r="C400"/>
  <c r="A402"/>
  <c r="H403"/>
  <c r="F405"/>
  <c r="D407"/>
  <c r="B409"/>
  <c r="I410"/>
  <c r="G412"/>
  <c r="H186"/>
  <c r="F188"/>
  <c r="D190"/>
  <c r="B192"/>
  <c r="I193"/>
  <c r="E366"/>
  <c r="C368"/>
  <c r="A370"/>
  <c r="H371"/>
  <c r="D192"/>
  <c r="D23" i="28"/>
  <c r="A18" i="25"/>
  <c r="A19"/>
  <c r="I209" i="46"/>
  <c r="G211"/>
  <c r="E213"/>
  <c r="C215"/>
  <c r="A217"/>
  <c r="H218"/>
  <c r="F220"/>
  <c r="D222"/>
  <c r="B224"/>
  <c r="I225"/>
  <c r="G227"/>
  <c r="E229"/>
  <c r="C231"/>
  <c r="A233"/>
  <c r="H234"/>
  <c r="F236"/>
  <c r="D238"/>
  <c r="B240"/>
  <c r="I241"/>
  <c r="G243"/>
  <c r="E245"/>
  <c r="C247"/>
  <c r="A249"/>
  <c r="H250"/>
  <c r="G195"/>
  <c r="E197"/>
  <c r="C199"/>
  <c r="A201"/>
  <c r="E205"/>
  <c r="H3" i="29"/>
  <c r="A82" i="25"/>
  <c r="A83"/>
  <c r="H266" i="46"/>
  <c r="F268"/>
  <c r="D270"/>
  <c r="B272"/>
  <c r="I273"/>
  <c r="G275"/>
  <c r="E277"/>
  <c r="C279"/>
  <c r="A281"/>
  <c r="H282"/>
  <c r="F284"/>
  <c r="D286"/>
  <c r="B288"/>
  <c r="I289"/>
  <c r="G291"/>
  <c r="E293"/>
  <c r="C295"/>
  <c r="A297"/>
  <c r="H298"/>
  <c r="F300"/>
  <c r="D302"/>
  <c r="B304"/>
  <c r="I305"/>
  <c r="G307"/>
  <c r="F252"/>
  <c r="D254"/>
  <c r="B256"/>
  <c r="I257"/>
  <c r="A311"/>
  <c r="G8" i="28"/>
  <c r="C2" i="30"/>
  <c r="B2" i="28"/>
  <c r="G323" i="46"/>
  <c r="E325"/>
  <c r="C327"/>
  <c r="A329"/>
  <c r="H330"/>
  <c r="F332"/>
  <c r="D334"/>
  <c r="B336"/>
  <c r="I337"/>
  <c r="G339"/>
  <c r="E341"/>
  <c r="C343"/>
  <c r="A345"/>
  <c r="H346"/>
  <c r="F348"/>
  <c r="D350"/>
  <c r="B352"/>
  <c r="I353"/>
  <c r="G355"/>
  <c r="E357"/>
  <c r="C359"/>
  <c r="A361"/>
  <c r="H362"/>
  <c r="F364"/>
  <c r="E309"/>
  <c r="C311"/>
  <c r="A313"/>
  <c r="H314"/>
  <c r="C221"/>
  <c r="F26" i="28"/>
  <c r="B1" i="31"/>
  <c r="D4" i="32"/>
  <c r="D382" i="46"/>
  <c r="F396"/>
  <c r="H410"/>
  <c r="B368"/>
  <c r="F29" i="28"/>
  <c r="F22"/>
  <c r="F23"/>
  <c r="F24"/>
  <c r="E261" i="46"/>
  <c r="B5" i="33"/>
  <c r="E8" i="29"/>
  <c r="E9"/>
  <c r="E2"/>
  <c r="F30" i="28"/>
  <c r="F31"/>
  <c r="F32"/>
  <c r="D318" i="46"/>
  <c r="B89"/>
  <c r="E4" i="28"/>
  <c r="E5"/>
  <c r="E10" i="29"/>
  <c r="E3"/>
  <c r="E4"/>
  <c r="E5"/>
  <c r="C375" i="46"/>
  <c r="B9" i="32"/>
  <c r="E12" i="28"/>
  <c r="E13"/>
  <c r="E6"/>
  <c r="E1" i="30"/>
  <c r="B3"/>
  <c r="H3" i="31"/>
  <c r="D315" i="46"/>
  <c r="B317"/>
  <c r="I318"/>
  <c r="G320"/>
  <c r="E322"/>
  <c r="C324"/>
  <c r="A326"/>
  <c r="H327"/>
  <c r="F329"/>
  <c r="D331"/>
  <c r="B333"/>
  <c r="I334"/>
  <c r="G336"/>
  <c r="E338"/>
  <c r="C340"/>
  <c r="A342"/>
  <c r="H343"/>
  <c r="F345"/>
  <c r="D347"/>
  <c r="B349"/>
  <c r="I350"/>
  <c r="G352"/>
  <c r="E354"/>
  <c r="C356"/>
  <c r="B301"/>
  <c r="I302"/>
  <c r="G304"/>
  <c r="E306"/>
  <c r="H202"/>
  <c r="D39"/>
  <c r="E2" i="35"/>
  <c r="H3"/>
  <c r="C372" i="46"/>
  <c r="A374"/>
  <c r="H375"/>
  <c r="F377"/>
  <c r="D379"/>
  <c r="B381"/>
  <c r="I382"/>
  <c r="G384"/>
  <c r="E386"/>
  <c r="C388"/>
  <c r="A390"/>
  <c r="H391"/>
  <c r="F393"/>
  <c r="D395"/>
  <c r="B397"/>
  <c r="I398"/>
  <c r="G400"/>
  <c r="E402"/>
  <c r="C404"/>
  <c r="A406"/>
  <c r="H407"/>
  <c r="F409"/>
  <c r="D411"/>
  <c r="B413"/>
  <c r="A358"/>
  <c r="H359"/>
  <c r="F361"/>
  <c r="D363"/>
  <c r="D308"/>
  <c r="F5" i="44"/>
  <c r="G2" i="33"/>
  <c r="G3"/>
  <c r="F323" i="46"/>
  <c r="D325"/>
  <c r="B327"/>
  <c r="I328"/>
  <c r="G330"/>
  <c r="E332"/>
  <c r="C334"/>
  <c r="A336"/>
  <c r="H337"/>
  <c r="F339"/>
  <c r="D341"/>
  <c r="B343"/>
  <c r="I344"/>
  <c r="G346"/>
  <c r="E348"/>
  <c r="C350"/>
  <c r="A352"/>
  <c r="H353"/>
  <c r="F355"/>
  <c r="D357"/>
  <c r="B359"/>
  <c r="I360"/>
  <c r="G362"/>
  <c r="E364"/>
  <c r="D309"/>
  <c r="B311"/>
  <c r="I312"/>
  <c r="G314"/>
  <c r="B214"/>
  <c r="D12" i="33"/>
  <c r="H9"/>
  <c r="D14"/>
  <c r="E380" i="46"/>
  <c r="C382"/>
  <c r="A384"/>
  <c r="H385"/>
  <c r="F387"/>
  <c r="D389"/>
  <c r="B391"/>
  <c r="I392"/>
  <c r="G394"/>
  <c r="E396"/>
  <c r="C398"/>
  <c r="A400"/>
  <c r="H401"/>
  <c r="F403"/>
  <c r="D405"/>
  <c r="B407"/>
  <c r="I408"/>
  <c r="G410"/>
  <c r="E412"/>
  <c r="D292"/>
  <c r="B294"/>
  <c r="I295"/>
  <c r="G297"/>
  <c r="E299"/>
  <c r="C366"/>
  <c r="A368"/>
  <c r="H369"/>
  <c r="F371"/>
  <c r="F190"/>
  <c r="D10" i="33"/>
  <c r="A16"/>
  <c r="F19"/>
  <c r="E315" i="46"/>
  <c r="C317"/>
  <c r="A319"/>
  <c r="H320"/>
  <c r="F322"/>
  <c r="D324"/>
  <c r="B326"/>
  <c r="I327"/>
  <c r="G329"/>
  <c r="E331"/>
  <c r="C333"/>
  <c r="A335"/>
  <c r="H336"/>
  <c r="F338"/>
  <c r="D340"/>
  <c r="B342"/>
  <c r="I343"/>
  <c r="G345"/>
  <c r="E347"/>
  <c r="C349"/>
  <c r="A351"/>
  <c r="H352"/>
  <c r="F354"/>
  <c r="D356"/>
  <c r="C301"/>
  <c r="A303"/>
  <c r="H304"/>
  <c r="F306"/>
  <c r="G203"/>
  <c r="E13" i="33"/>
  <c r="F27"/>
  <c r="H29"/>
  <c r="D372" i="46"/>
  <c r="B374"/>
  <c r="I375"/>
  <c r="G377"/>
  <c r="E379"/>
  <c r="C381"/>
  <c r="A383"/>
  <c r="H384"/>
  <c r="F386"/>
  <c r="D388"/>
  <c r="B390"/>
  <c r="I391"/>
  <c r="G393"/>
  <c r="E395"/>
  <c r="C397"/>
  <c r="A399"/>
  <c r="H400"/>
  <c r="F402"/>
  <c r="D404"/>
  <c r="B406"/>
  <c r="I407"/>
  <c r="G409"/>
  <c r="E411"/>
  <c r="C413"/>
  <c r="B358"/>
  <c r="I359"/>
  <c r="G361"/>
  <c r="E363"/>
  <c r="C309"/>
  <c r="E192"/>
  <c r="A25" i="33"/>
  <c r="A27"/>
  <c r="F201" i="46"/>
  <c r="D203"/>
  <c r="B205"/>
  <c r="I206"/>
  <c r="G208"/>
  <c r="E210"/>
  <c r="C212"/>
  <c r="A214"/>
  <c r="H215"/>
  <c r="F217"/>
  <c r="D219"/>
  <c r="B221"/>
  <c r="I222"/>
  <c r="G224"/>
  <c r="E226"/>
  <c r="C228"/>
  <c r="A230"/>
  <c r="H231"/>
  <c r="F233"/>
  <c r="D235"/>
  <c r="B237"/>
  <c r="I238"/>
  <c r="G240"/>
  <c r="E242"/>
  <c r="D187"/>
  <c r="B189"/>
  <c r="I190"/>
  <c r="G192"/>
  <c r="A207"/>
  <c r="B29" i="33"/>
  <c r="E22"/>
  <c r="E23"/>
  <c r="F380" i="46"/>
  <c r="H394"/>
  <c r="A409"/>
  <c r="D366"/>
  <c r="B32" i="33"/>
  <c r="B25"/>
  <c r="B26"/>
  <c r="B27"/>
  <c r="G259" i="46"/>
  <c r="B7" i="35"/>
  <c r="B11" i="37"/>
  <c r="F13"/>
  <c r="G5" i="35"/>
  <c r="B33" i="33"/>
  <c r="B34"/>
  <c r="B35"/>
  <c r="F316" i="46"/>
  <c r="E5" i="37"/>
  <c r="C3" i="44"/>
  <c r="H3" i="46"/>
  <c r="C16" i="37"/>
  <c r="G7" i="35"/>
  <c r="G9"/>
  <c r="B3" i="37"/>
  <c r="E373" i="46"/>
  <c r="E13" i="37"/>
  <c r="A32" i="33"/>
  <c r="A33"/>
  <c r="G60" i="46"/>
  <c r="B20" i="37"/>
  <c r="B24"/>
  <c r="B28"/>
  <c r="B412" i="46"/>
  <c r="I413"/>
  <c r="D201"/>
  <c r="D410"/>
  <c r="I204"/>
  <c r="G206"/>
  <c r="E208"/>
  <c r="B203"/>
  <c r="A212"/>
  <c r="H213"/>
  <c r="F215"/>
  <c r="C210"/>
  <c r="B219"/>
  <c r="I220"/>
  <c r="G222"/>
  <c r="D217"/>
  <c r="C226"/>
  <c r="A228"/>
  <c r="H229"/>
  <c r="E224"/>
  <c r="D233"/>
  <c r="B235"/>
  <c r="I236"/>
  <c r="F231"/>
  <c r="I397"/>
  <c r="G399"/>
  <c r="E401"/>
  <c r="B396"/>
  <c r="G9" i="37"/>
  <c r="E134" i="46"/>
  <c r="F141"/>
  <c r="H91"/>
  <c r="G254"/>
  <c r="E256"/>
  <c r="C258"/>
  <c r="I252"/>
  <c r="H261"/>
  <c r="F263"/>
  <c r="D265"/>
  <c r="A260"/>
  <c r="I268"/>
  <c r="G270"/>
  <c r="E272"/>
  <c r="B267"/>
  <c r="A276"/>
  <c r="H277"/>
  <c r="F279"/>
  <c r="C274"/>
  <c r="B283"/>
  <c r="I284"/>
  <c r="G286"/>
  <c r="D281"/>
  <c r="C290"/>
  <c r="A292"/>
  <c r="H293"/>
  <c r="E288"/>
  <c r="E240"/>
  <c r="C242"/>
  <c r="A244"/>
  <c r="G238"/>
  <c r="E118"/>
  <c r="B25" i="38"/>
  <c r="G26"/>
  <c r="D16"/>
  <c r="F86" i="46"/>
  <c r="D88"/>
  <c r="B90"/>
  <c r="H84"/>
  <c r="G93"/>
  <c r="E95"/>
  <c r="C97"/>
  <c r="I91"/>
  <c r="H100"/>
  <c r="F102"/>
  <c r="D104"/>
  <c r="A99"/>
  <c r="I107"/>
  <c r="G109"/>
  <c r="E111"/>
  <c r="B106"/>
  <c r="A115"/>
  <c r="H116"/>
  <c r="F118"/>
  <c r="C113"/>
  <c r="B122"/>
  <c r="I123"/>
  <c r="G125"/>
  <c r="D120"/>
  <c r="D72"/>
  <c r="B74"/>
  <c r="I75"/>
  <c r="F70"/>
  <c r="D23" i="37"/>
  <c r="B8" i="35"/>
  <c r="B9"/>
  <c r="B2"/>
  <c r="E143" i="46"/>
  <c r="C145"/>
  <c r="A147"/>
  <c r="G141"/>
  <c r="F150"/>
  <c r="D152"/>
  <c r="B154"/>
  <c r="H148"/>
  <c r="G157"/>
  <c r="E159"/>
  <c r="C161"/>
  <c r="I155"/>
  <c r="H164"/>
  <c r="F166"/>
  <c r="D168"/>
  <c r="A163"/>
  <c r="I171"/>
  <c r="G173"/>
  <c r="E175"/>
  <c r="B170"/>
  <c r="A179"/>
  <c r="H180"/>
  <c r="F182"/>
  <c r="C177"/>
  <c r="C129"/>
  <c r="A131"/>
  <c r="H132"/>
  <c r="E127"/>
  <c r="C277"/>
  <c r="E38"/>
  <c r="F45"/>
  <c r="F39" i="44"/>
  <c r="A271" i="46"/>
  <c r="C285"/>
  <c r="B188"/>
  <c r="H256"/>
  <c r="G191"/>
  <c r="E193"/>
  <c r="C195"/>
  <c r="I189"/>
  <c r="H198"/>
  <c r="F200"/>
  <c r="D202"/>
  <c r="A197"/>
  <c r="I205"/>
  <c r="G207"/>
  <c r="E209"/>
  <c r="B204"/>
  <c r="A213"/>
  <c r="H214"/>
  <c r="F216"/>
  <c r="C211"/>
  <c r="B220"/>
  <c r="I221"/>
  <c r="G223"/>
  <c r="D218"/>
  <c r="B186"/>
  <c r="E190"/>
  <c r="B195"/>
  <c r="D184"/>
  <c r="G164"/>
  <c r="C4" i="38"/>
  <c r="C5"/>
  <c r="D26" i="37"/>
  <c r="E241" i="46"/>
  <c r="C243"/>
  <c r="A245"/>
  <c r="G239"/>
  <c r="F248"/>
  <c r="D250"/>
  <c r="B252"/>
  <c r="H246"/>
  <c r="G255"/>
  <c r="E257"/>
  <c r="C259"/>
  <c r="I253"/>
  <c r="H262"/>
  <c r="F264"/>
  <c r="D266"/>
  <c r="A261"/>
  <c r="I269"/>
  <c r="G271"/>
  <c r="E273"/>
  <c r="B268"/>
  <c r="A277"/>
  <c r="H278"/>
  <c r="F280"/>
  <c r="C275"/>
  <c r="C227"/>
  <c r="A229"/>
  <c r="H230"/>
  <c r="E225"/>
  <c r="A4" i="37"/>
  <c r="C25"/>
  <c r="C26"/>
  <c r="C19"/>
  <c r="D298" i="46"/>
  <c r="B300"/>
  <c r="I301"/>
  <c r="F296"/>
  <c r="E305"/>
  <c r="C307"/>
  <c r="A309"/>
  <c r="G303"/>
  <c r="F312"/>
  <c r="D314"/>
  <c r="B316"/>
  <c r="H310"/>
  <c r="G319"/>
  <c r="E321"/>
  <c r="C323"/>
  <c r="I317"/>
  <c r="H326"/>
  <c r="F328"/>
  <c r="D330"/>
  <c r="A325"/>
  <c r="I333"/>
  <c r="G335"/>
  <c r="E337"/>
  <c r="B332"/>
  <c r="B284"/>
  <c r="I285"/>
  <c r="G287"/>
  <c r="D282"/>
  <c r="E70"/>
  <c r="A5" i="38"/>
  <c r="A6"/>
  <c r="A186" i="46"/>
  <c r="A393"/>
  <c r="C407"/>
  <c r="H193"/>
  <c r="G18" i="28"/>
  <c r="A42" i="46"/>
  <c r="B49"/>
  <c r="C56"/>
  <c r="A247" i="23"/>
  <c r="G17" i="37"/>
  <c r="F199" i="46"/>
  <c r="I255"/>
  <c r="G148"/>
  <c r="I98"/>
  <c r="A106"/>
  <c r="B113"/>
  <c r="A255" i="23"/>
  <c r="G25" i="37"/>
  <c r="A1"/>
  <c r="H2"/>
  <c r="E5" i="35"/>
  <c r="H155" i="46"/>
  <c r="I162"/>
  <c r="A170"/>
  <c r="H8" i="24"/>
  <c r="F5" i="38"/>
  <c r="H9" i="37"/>
  <c r="H10"/>
  <c r="H3"/>
  <c r="E6" i="35"/>
  <c r="E7"/>
  <c r="E8"/>
  <c r="H16" i="24"/>
  <c r="I210" i="46"/>
  <c r="G212"/>
  <c r="E214"/>
  <c r="B209"/>
  <c r="A218"/>
  <c r="H219"/>
  <c r="F221"/>
  <c r="C216"/>
  <c r="B225"/>
  <c r="I226"/>
  <c r="G228"/>
  <c r="D223"/>
  <c r="C232"/>
  <c r="A234"/>
  <c r="H235"/>
  <c r="E230"/>
  <c r="D239"/>
  <c r="B241"/>
  <c r="I242"/>
  <c r="F237"/>
  <c r="E246"/>
  <c r="C248"/>
  <c r="A250"/>
  <c r="G244"/>
  <c r="A411"/>
  <c r="H412"/>
  <c r="C200"/>
  <c r="C409"/>
  <c r="C158"/>
  <c r="E52"/>
  <c r="D53"/>
  <c r="B47"/>
  <c r="H267"/>
  <c r="F269"/>
  <c r="D271"/>
  <c r="A266"/>
  <c r="I274"/>
  <c r="G276"/>
  <c r="E278"/>
  <c r="B273"/>
  <c r="A282"/>
  <c r="H283"/>
  <c r="F285"/>
  <c r="C280"/>
  <c r="B289"/>
  <c r="I290"/>
  <c r="G292"/>
  <c r="D287"/>
  <c r="C296"/>
  <c r="A298"/>
  <c r="H299"/>
  <c r="E294"/>
  <c r="D303"/>
  <c r="B305"/>
  <c r="I306"/>
  <c r="F301"/>
  <c r="F253"/>
  <c r="D255"/>
  <c r="B257"/>
  <c r="H251"/>
  <c r="H8"/>
  <c r="D109"/>
  <c r="C110"/>
  <c r="A104"/>
  <c r="F311"/>
  <c r="D313"/>
  <c r="B315"/>
  <c r="H309"/>
  <c r="G318"/>
  <c r="E320"/>
  <c r="C322"/>
  <c r="I316"/>
  <c r="H325"/>
  <c r="F327"/>
  <c r="D329"/>
  <c r="A324"/>
  <c r="I332"/>
  <c r="G334"/>
  <c r="E336"/>
  <c r="B331"/>
  <c r="A340"/>
  <c r="H341"/>
  <c r="F343"/>
  <c r="C338"/>
  <c r="B347"/>
  <c r="I348"/>
  <c r="G350"/>
  <c r="D345"/>
  <c r="D297"/>
  <c r="B299"/>
  <c r="I300"/>
  <c r="F295"/>
  <c r="A49"/>
  <c r="G18" i="37"/>
  <c r="G19"/>
  <c r="G12"/>
  <c r="E368" i="46"/>
  <c r="C370"/>
  <c r="A372"/>
  <c r="G366"/>
  <c r="F375"/>
  <c r="D377"/>
  <c r="B379"/>
  <c r="H373"/>
  <c r="G382"/>
  <c r="E384"/>
  <c r="C386"/>
  <c r="I380"/>
  <c r="H389"/>
  <c r="F391"/>
  <c r="D393"/>
  <c r="A388"/>
  <c r="I396"/>
  <c r="G398"/>
  <c r="E400"/>
  <c r="B395"/>
  <c r="A404"/>
  <c r="H405"/>
  <c r="F407"/>
  <c r="C402"/>
  <c r="C354"/>
  <c r="A356"/>
  <c r="H357"/>
  <c r="E352"/>
  <c r="I105"/>
  <c r="E182"/>
  <c r="I194"/>
  <c r="H139"/>
  <c r="G197"/>
  <c r="E199"/>
  <c r="C201"/>
  <c r="I195"/>
  <c r="H204"/>
  <c r="F206"/>
  <c r="D208"/>
  <c r="A203"/>
  <c r="I211"/>
  <c r="G213"/>
  <c r="E215"/>
  <c r="B210"/>
  <c r="A219"/>
  <c r="H220"/>
  <c r="F222"/>
  <c r="C217"/>
  <c r="B226"/>
  <c r="I227"/>
  <c r="G229"/>
  <c r="D224"/>
  <c r="C233"/>
  <c r="A235"/>
  <c r="H236"/>
  <c r="E231"/>
  <c r="B411"/>
  <c r="I412"/>
  <c r="A187"/>
  <c r="D409"/>
  <c r="H162"/>
  <c r="A57"/>
  <c r="I57"/>
  <c r="G51"/>
  <c r="F254"/>
  <c r="D256"/>
  <c r="B258"/>
  <c r="H252"/>
  <c r="G261"/>
  <c r="E263"/>
  <c r="C265"/>
  <c r="I259"/>
  <c r="H268"/>
  <c r="F270"/>
  <c r="D272"/>
  <c r="A267"/>
  <c r="I275"/>
  <c r="G277"/>
  <c r="E279"/>
  <c r="B274"/>
  <c r="A283"/>
  <c r="H284"/>
  <c r="F286"/>
  <c r="C281"/>
  <c r="B290"/>
  <c r="I291"/>
  <c r="G293"/>
  <c r="D288"/>
  <c r="D240"/>
  <c r="B242"/>
  <c r="I243"/>
  <c r="F238"/>
  <c r="A2" i="44"/>
  <c r="I113" i="46"/>
  <c r="H114"/>
  <c r="F108"/>
  <c r="E311"/>
  <c r="C313"/>
  <c r="A315"/>
  <c r="G309"/>
  <c r="F318"/>
  <c r="D320"/>
  <c r="B322"/>
  <c r="H316"/>
  <c r="G325"/>
  <c r="E327"/>
  <c r="C329"/>
  <c r="I323"/>
  <c r="H332"/>
  <c r="F334"/>
  <c r="D336"/>
  <c r="A331"/>
  <c r="I339"/>
  <c r="G341"/>
  <c r="E343"/>
  <c r="B338"/>
  <c r="A347"/>
  <c r="H348"/>
  <c r="F350"/>
  <c r="C345"/>
  <c r="C297"/>
  <c r="A299"/>
  <c r="H300"/>
  <c r="E295"/>
  <c r="E44"/>
  <c r="H170"/>
  <c r="G171"/>
  <c r="E165"/>
  <c r="C391"/>
  <c r="E405"/>
  <c r="A192"/>
  <c r="G17" i="28"/>
  <c r="I40" i="46"/>
  <c r="H41"/>
  <c r="G42"/>
  <c r="G21" i="24"/>
  <c r="D165" i="46"/>
  <c r="F59"/>
  <c r="E60"/>
  <c r="C54"/>
  <c r="A48"/>
  <c r="I48"/>
  <c r="H49"/>
  <c r="G29" i="24"/>
  <c r="E172" i="46"/>
  <c r="G66"/>
  <c r="F67"/>
  <c r="D61"/>
  <c r="B55"/>
  <c r="A56"/>
  <c r="I56"/>
  <c r="G37" i="24"/>
  <c r="F179" i="46"/>
  <c r="H73"/>
  <c r="G74"/>
  <c r="E68"/>
  <c r="C62"/>
  <c r="B63"/>
  <c r="A64"/>
  <c r="G45" i="24"/>
  <c r="G210" i="46"/>
  <c r="E212"/>
  <c r="C214"/>
  <c r="I208"/>
  <c r="H217"/>
  <c r="F219"/>
  <c r="D221"/>
  <c r="A216"/>
  <c r="I224"/>
  <c r="G226"/>
  <c r="E228"/>
  <c r="B223"/>
  <c r="A232"/>
  <c r="H233"/>
  <c r="F235"/>
  <c r="C230"/>
  <c r="B239"/>
  <c r="I240"/>
  <c r="G242"/>
  <c r="D237"/>
  <c r="C246"/>
  <c r="A248"/>
  <c r="H249"/>
  <c r="E244"/>
  <c r="E196"/>
  <c r="C198"/>
  <c r="A200"/>
  <c r="G194"/>
  <c r="G193"/>
  <c r="D83"/>
  <c r="C84"/>
  <c r="A78"/>
  <c r="F267"/>
  <c r="D269"/>
  <c r="B271"/>
  <c r="H265"/>
  <c r="G274"/>
  <c r="E276"/>
  <c r="C278"/>
  <c r="I272"/>
  <c r="H281"/>
  <c r="F283"/>
  <c r="D285"/>
  <c r="A280"/>
  <c r="I288"/>
  <c r="G290"/>
  <c r="E292"/>
  <c r="B287"/>
  <c r="A296"/>
  <c r="H297"/>
  <c r="F299"/>
  <c r="C294"/>
  <c r="B303"/>
  <c r="I304"/>
  <c r="G306"/>
  <c r="D301"/>
  <c r="D253"/>
  <c r="B255"/>
  <c r="I256"/>
  <c r="F251"/>
  <c r="D18"/>
  <c r="C140"/>
  <c r="B141"/>
  <c r="I134"/>
  <c r="G324"/>
  <c r="E326"/>
  <c r="C328"/>
  <c r="I322"/>
  <c r="H331"/>
  <c r="F333"/>
  <c r="D335"/>
  <c r="A330"/>
  <c r="I338"/>
  <c r="G340"/>
  <c r="E342"/>
  <c r="B337"/>
  <c r="A346"/>
  <c r="H347"/>
  <c r="F349"/>
  <c r="C344"/>
  <c r="B353"/>
  <c r="I354"/>
  <c r="G356"/>
  <c r="D351"/>
  <c r="C360"/>
  <c r="A362"/>
  <c r="H363"/>
  <c r="E358"/>
  <c r="E310"/>
  <c r="C312"/>
  <c r="A314"/>
  <c r="G308"/>
  <c r="G65"/>
  <c r="C166"/>
  <c r="B167"/>
  <c r="I160"/>
  <c r="F381"/>
  <c r="D383"/>
  <c r="B385"/>
  <c r="H379"/>
  <c r="G388"/>
  <c r="E390"/>
  <c r="C392"/>
  <c r="I386"/>
  <c r="H395"/>
  <c r="F397"/>
  <c r="D399"/>
  <c r="A394"/>
  <c r="I402"/>
  <c r="G404"/>
  <c r="E406"/>
  <c r="B401"/>
  <c r="A410"/>
  <c r="H411"/>
  <c r="F413"/>
  <c r="C408"/>
  <c r="E189"/>
  <c r="C191"/>
  <c r="A193"/>
  <c r="G187"/>
  <c r="D367"/>
  <c r="B369"/>
  <c r="I370"/>
  <c r="F365"/>
  <c r="F122"/>
  <c r="H16"/>
  <c r="G17"/>
  <c r="E11"/>
  <c r="H210"/>
  <c r="F212"/>
  <c r="D214"/>
  <c r="A209"/>
  <c r="I217"/>
  <c r="G219"/>
  <c r="E221"/>
  <c r="B216"/>
  <c r="A225"/>
  <c r="H226"/>
  <c r="F228"/>
  <c r="C223"/>
  <c r="B232"/>
  <c r="I233"/>
  <c r="G235"/>
  <c r="D230"/>
  <c r="C239"/>
  <c r="A241"/>
  <c r="H242"/>
  <c r="E237"/>
  <c r="D246"/>
  <c r="B248"/>
  <c r="I249"/>
  <c r="F244"/>
  <c r="F196"/>
  <c r="D198"/>
  <c r="B200"/>
  <c r="H194"/>
  <c r="E179"/>
  <c r="G73"/>
  <c r="F74"/>
  <c r="D68"/>
  <c r="G267"/>
  <c r="E269"/>
  <c r="C271"/>
  <c r="I265"/>
  <c r="H274"/>
  <c r="F276"/>
  <c r="D278"/>
  <c r="A273"/>
  <c r="I281"/>
  <c r="G283"/>
  <c r="E285"/>
  <c r="B280"/>
  <c r="A289"/>
  <c r="H290"/>
  <c r="F292"/>
  <c r="C287"/>
  <c r="B296"/>
  <c r="I297"/>
  <c r="G299"/>
  <c r="D294"/>
  <c r="C303"/>
  <c r="A305"/>
  <c r="H306"/>
  <c r="E301"/>
  <c r="E253"/>
  <c r="C255"/>
  <c r="A257"/>
  <c r="G251"/>
  <c r="E18"/>
  <c r="F130"/>
  <c r="E131"/>
  <c r="C125"/>
  <c r="F324"/>
  <c r="D326"/>
  <c r="B328"/>
  <c r="H322"/>
  <c r="G331"/>
  <c r="E333"/>
  <c r="C335"/>
  <c r="I329"/>
  <c r="H338"/>
  <c r="F340"/>
  <c r="D342"/>
  <c r="A337"/>
  <c r="I345"/>
  <c r="G347"/>
  <c r="E349"/>
  <c r="B344"/>
  <c r="A353"/>
  <c r="H354"/>
  <c r="F356"/>
  <c r="C351"/>
  <c r="B360"/>
  <c r="I361"/>
  <c r="G363"/>
  <c r="D358"/>
  <c r="D310"/>
  <c r="B312"/>
  <c r="I313"/>
  <c r="F308"/>
  <c r="D75"/>
  <c r="C189"/>
  <c r="F191"/>
  <c r="B182"/>
  <c r="E389"/>
  <c r="G403"/>
  <c r="C190"/>
  <c r="D8" i="29"/>
  <c r="H71" i="46"/>
  <c r="G72"/>
  <c r="F73"/>
  <c r="F42" i="24"/>
  <c r="B238" i="46"/>
  <c r="E90"/>
  <c r="D91"/>
  <c r="B85"/>
  <c r="I78"/>
  <c r="H79"/>
  <c r="G80"/>
  <c r="F50" i="24"/>
  <c r="E18" i="38"/>
  <c r="F97" i="46"/>
  <c r="E98"/>
  <c r="C92"/>
  <c r="A86"/>
  <c r="I86"/>
  <c r="H87"/>
  <c r="F58" i="24"/>
  <c r="E26" i="38"/>
  <c r="G104" i="46"/>
  <c r="F105"/>
  <c r="D99"/>
  <c r="B93"/>
  <c r="A94"/>
  <c r="I94"/>
  <c r="F66" i="24"/>
  <c r="C316" i="46"/>
  <c r="A318"/>
  <c r="H319"/>
  <c r="E314"/>
  <c r="D323"/>
  <c r="B325"/>
  <c r="I326"/>
  <c r="F321"/>
  <c r="E330"/>
  <c r="C332"/>
  <c r="A334"/>
  <c r="G328"/>
  <c r="F337"/>
  <c r="D339"/>
  <c r="B341"/>
  <c r="H335"/>
  <c r="G344"/>
  <c r="E346"/>
  <c r="C348"/>
  <c r="I342"/>
  <c r="H351"/>
  <c r="F353"/>
  <c r="D355"/>
  <c r="A350"/>
  <c r="A302"/>
  <c r="H303"/>
  <c r="F305"/>
  <c r="C300"/>
  <c r="B193"/>
  <c r="B83"/>
  <c r="A84"/>
  <c r="H77"/>
  <c r="B373"/>
  <c r="I374"/>
  <c r="G376"/>
  <c r="D371"/>
  <c r="C380"/>
  <c r="A382"/>
  <c r="H383"/>
  <c r="E378"/>
  <c r="D387"/>
  <c r="B389"/>
  <c r="I390"/>
  <c r="F385"/>
  <c r="E394"/>
  <c r="C396"/>
  <c r="A398"/>
  <c r="G392"/>
  <c r="F401"/>
  <c r="D403"/>
  <c r="B405"/>
  <c r="H399"/>
  <c r="G408"/>
  <c r="E410"/>
  <c r="C412"/>
  <c r="I406"/>
  <c r="I358"/>
  <c r="G360"/>
  <c r="E362"/>
  <c r="B357"/>
  <c r="I27"/>
  <c r="A140"/>
  <c r="I140"/>
  <c r="G134"/>
  <c r="E324"/>
  <c r="C326"/>
  <c r="A328"/>
  <c r="G322"/>
  <c r="F331"/>
  <c r="D333"/>
  <c r="B335"/>
  <c r="H329"/>
  <c r="G338"/>
  <c r="E340"/>
  <c r="C342"/>
  <c r="I336"/>
  <c r="H345"/>
  <c r="F347"/>
  <c r="D349"/>
  <c r="A344"/>
  <c r="I352"/>
  <c r="G354"/>
  <c r="E356"/>
  <c r="B351"/>
  <c r="A360"/>
  <c r="H361"/>
  <c r="F363"/>
  <c r="C358"/>
  <c r="C310"/>
  <c r="A312"/>
  <c r="H313"/>
  <c r="E308"/>
  <c r="C75"/>
  <c r="C245"/>
  <c r="D252"/>
  <c r="F202"/>
  <c r="D381"/>
  <c r="B383"/>
  <c r="I384"/>
  <c r="F379"/>
  <c r="E388"/>
  <c r="C390"/>
  <c r="A392"/>
  <c r="G386"/>
  <c r="F395"/>
  <c r="D397"/>
  <c r="B399"/>
  <c r="H393"/>
  <c r="G402"/>
  <c r="E404"/>
  <c r="C406"/>
  <c r="I400"/>
  <c r="H409"/>
  <c r="F411"/>
  <c r="D413"/>
  <c r="A408"/>
  <c r="A295"/>
  <c r="H296"/>
  <c r="F298"/>
  <c r="C293"/>
  <c r="B367"/>
  <c r="I368"/>
  <c r="G370"/>
  <c r="D365"/>
  <c r="B132"/>
  <c r="D26"/>
  <c r="C27"/>
  <c r="A21"/>
  <c r="D316"/>
  <c r="B318"/>
  <c r="I319"/>
  <c r="F314"/>
  <c r="E323"/>
  <c r="C325"/>
  <c r="A327"/>
  <c r="G321"/>
  <c r="F330"/>
  <c r="D332"/>
  <c r="B334"/>
  <c r="H328"/>
  <c r="G337"/>
  <c r="E339"/>
  <c r="C341"/>
  <c r="I335"/>
  <c r="H344"/>
  <c r="F346"/>
  <c r="D348"/>
  <c r="A343"/>
  <c r="I351"/>
  <c r="G353"/>
  <c r="E355"/>
  <c r="B350"/>
  <c r="B302"/>
  <c r="I303"/>
  <c r="G305"/>
  <c r="D300"/>
  <c r="D193"/>
  <c r="C83"/>
  <c r="B84"/>
  <c r="I77"/>
  <c r="C373"/>
  <c r="A375"/>
  <c r="H376"/>
  <c r="E371"/>
  <c r="D380"/>
  <c r="B382"/>
  <c r="I383"/>
  <c r="F378"/>
  <c r="E387"/>
  <c r="C389"/>
  <c r="A391"/>
  <c r="G385"/>
  <c r="F394"/>
  <c r="D396"/>
  <c r="B398"/>
  <c r="H392"/>
  <c r="G401"/>
  <c r="E403"/>
  <c r="C405"/>
  <c r="I399"/>
  <c r="H408"/>
  <c r="F410"/>
  <c r="D412"/>
  <c r="A407"/>
  <c r="A359"/>
  <c r="H360"/>
  <c r="F362"/>
  <c r="C357"/>
  <c r="C18"/>
  <c r="B140"/>
  <c r="A141"/>
  <c r="H134"/>
  <c r="E202"/>
  <c r="C204"/>
  <c r="A206"/>
  <c r="G200"/>
  <c r="F209"/>
  <c r="D211"/>
  <c r="B213"/>
  <c r="H207"/>
  <c r="G216"/>
  <c r="E218"/>
  <c r="C220"/>
  <c r="I214"/>
  <c r="H223"/>
  <c r="F225"/>
  <c r="D227"/>
  <c r="A222"/>
  <c r="I230"/>
  <c r="G232"/>
  <c r="E234"/>
  <c r="B229"/>
  <c r="A238"/>
  <c r="H239"/>
  <c r="F241"/>
  <c r="C236"/>
  <c r="C188"/>
  <c r="A190"/>
  <c r="H191"/>
  <c r="E186"/>
  <c r="B75"/>
  <c r="D244"/>
  <c r="E251"/>
  <c r="G201"/>
  <c r="G387"/>
  <c r="I401"/>
  <c r="E188"/>
  <c r="E191"/>
  <c r="F71"/>
  <c r="E72"/>
  <c r="D73"/>
  <c r="B137"/>
  <c r="D236"/>
  <c r="C90"/>
  <c r="B91"/>
  <c r="I84"/>
  <c r="G78"/>
  <c r="F79"/>
  <c r="E80"/>
  <c r="G100"/>
  <c r="C1" i="44"/>
  <c r="D97" i="46"/>
  <c r="C98"/>
  <c r="A92"/>
  <c r="H85"/>
  <c r="G86"/>
  <c r="F87"/>
  <c r="G156"/>
  <c r="E11" i="44"/>
  <c r="E104" i="46"/>
  <c r="D105"/>
  <c r="B99"/>
  <c r="I92"/>
  <c r="H93"/>
  <c r="G94"/>
  <c r="E6"/>
  <c r="C411"/>
  <c r="A413"/>
  <c r="E200"/>
  <c r="C202"/>
  <c r="A204"/>
  <c r="H205"/>
  <c r="F207"/>
  <c r="D209"/>
  <c r="B211"/>
  <c r="I212"/>
  <c r="G214"/>
  <c r="E216"/>
  <c r="C218"/>
  <c r="A220"/>
  <c r="H221"/>
  <c r="F223"/>
  <c r="D225"/>
  <c r="B227"/>
  <c r="I228"/>
  <c r="G230"/>
  <c r="E232"/>
  <c r="C234"/>
  <c r="A236"/>
  <c r="H237"/>
  <c r="A397"/>
  <c r="H398"/>
  <c r="F400"/>
  <c r="D402"/>
  <c r="B208"/>
  <c r="D77" i="25"/>
  <c r="E189" i="24"/>
  <c r="E190"/>
  <c r="H253" i="46"/>
  <c r="F255"/>
  <c r="D257"/>
  <c r="B259"/>
  <c r="I260"/>
  <c r="G262"/>
  <c r="E264"/>
  <c r="C266"/>
  <c r="A268"/>
  <c r="H269"/>
  <c r="F271"/>
  <c r="D273"/>
  <c r="B275"/>
  <c r="I276"/>
  <c r="G278"/>
  <c r="E280"/>
  <c r="C282"/>
  <c r="A284"/>
  <c r="H285"/>
  <c r="F287"/>
  <c r="D289"/>
  <c r="B291"/>
  <c r="I292"/>
  <c r="G294"/>
  <c r="F239"/>
  <c r="D241"/>
  <c r="B243"/>
  <c r="I244"/>
  <c r="G313"/>
  <c r="D117" i="24"/>
  <c r="D22" i="25"/>
  <c r="D23"/>
  <c r="G85" i="46"/>
  <c r="E87"/>
  <c r="C89"/>
  <c r="A91"/>
  <c r="H92"/>
  <c r="F94"/>
  <c r="D96"/>
  <c r="B98"/>
  <c r="I99"/>
  <c r="G101"/>
  <c r="E103"/>
  <c r="C105"/>
  <c r="A107"/>
  <c r="H108"/>
  <c r="F110"/>
  <c r="D112"/>
  <c r="B114"/>
  <c r="I115"/>
  <c r="G117"/>
  <c r="E119"/>
  <c r="C121"/>
  <c r="A123"/>
  <c r="H124"/>
  <c r="F126"/>
  <c r="E71"/>
  <c r="C73"/>
  <c r="A75"/>
  <c r="H76"/>
  <c r="I199"/>
  <c r="E243"/>
  <c r="F250"/>
  <c r="H200"/>
  <c r="F142"/>
  <c r="D144"/>
  <c r="B146"/>
  <c r="I147"/>
  <c r="G149"/>
  <c r="E151"/>
  <c r="C153"/>
  <c r="A155"/>
  <c r="H156"/>
  <c r="F158"/>
  <c r="D160"/>
  <c r="B162"/>
  <c r="I163"/>
  <c r="G165"/>
  <c r="E167"/>
  <c r="C169"/>
  <c r="A171"/>
  <c r="H172"/>
  <c r="F174"/>
  <c r="D176"/>
  <c r="B178"/>
  <c r="I179"/>
  <c r="G181"/>
  <c r="E183"/>
  <c r="D128"/>
  <c r="B130"/>
  <c r="I131"/>
  <c r="G133"/>
  <c r="H188"/>
  <c r="I35"/>
  <c r="H36"/>
  <c r="F30"/>
  <c r="I263"/>
  <c r="B278"/>
  <c r="C187"/>
  <c r="A189"/>
  <c r="H190"/>
  <c r="F192"/>
  <c r="D194"/>
  <c r="B196"/>
  <c r="I197"/>
  <c r="G199"/>
  <c r="E201"/>
  <c r="C203"/>
  <c r="A205"/>
  <c r="H206"/>
  <c r="F208"/>
  <c r="D210"/>
  <c r="B212"/>
  <c r="I213"/>
  <c r="G215"/>
  <c r="E217"/>
  <c r="C219"/>
  <c r="A221"/>
  <c r="H222"/>
  <c r="F224"/>
  <c r="C185"/>
  <c r="A188"/>
  <c r="H192"/>
  <c r="F197"/>
  <c r="I201"/>
  <c r="E77" i="25"/>
  <c r="F189" i="24"/>
  <c r="F190"/>
  <c r="F240" i="46"/>
  <c r="D242"/>
  <c r="B244"/>
  <c r="I245"/>
  <c r="G247"/>
  <c r="E249"/>
  <c r="C251"/>
  <c r="A253"/>
  <c r="H254"/>
  <c r="F256"/>
  <c r="D258"/>
  <c r="B260"/>
  <c r="I261"/>
  <c r="G263"/>
  <c r="E265"/>
  <c r="C267"/>
  <c r="A269"/>
  <c r="H270"/>
  <c r="F272"/>
  <c r="D274"/>
  <c r="B276"/>
  <c r="I277"/>
  <c r="G279"/>
  <c r="E281"/>
  <c r="D226"/>
  <c r="B228"/>
  <c r="I229"/>
  <c r="G231"/>
  <c r="E307"/>
  <c r="E116" i="24"/>
  <c r="E22" i="25"/>
  <c r="E23"/>
  <c r="E297" i="46"/>
  <c r="C299"/>
  <c r="A301"/>
  <c r="H302"/>
  <c r="F304"/>
  <c r="D306"/>
  <c r="B308"/>
  <c r="I309"/>
  <c r="G311"/>
  <c r="E313"/>
  <c r="C315"/>
  <c r="A317"/>
  <c r="H318"/>
  <c r="F320"/>
  <c r="D322"/>
  <c r="B324"/>
  <c r="I325"/>
  <c r="G327"/>
  <c r="E329"/>
  <c r="C331"/>
  <c r="A333"/>
  <c r="H334"/>
  <c r="F336"/>
  <c r="D338"/>
  <c r="C283"/>
  <c r="A285"/>
  <c r="H286"/>
  <c r="F288"/>
  <c r="G249"/>
  <c r="E180" i="24"/>
  <c r="E86" i="25"/>
  <c r="E87"/>
  <c r="I385" i="46"/>
  <c r="B400"/>
  <c r="G186"/>
  <c r="G371"/>
  <c r="E183" i="24"/>
  <c r="E176"/>
  <c r="E177"/>
  <c r="E178"/>
  <c r="A265" i="46"/>
  <c r="D85" i="25"/>
  <c r="E197" i="24"/>
  <c r="E198"/>
  <c r="E191"/>
  <c r="E184"/>
  <c r="E185"/>
  <c r="E186"/>
  <c r="I321" i="46"/>
  <c r="D93" i="25"/>
  <c r="E205" i="24"/>
  <c r="E206"/>
  <c r="E199"/>
  <c r="E192"/>
  <c r="E193"/>
  <c r="E194"/>
  <c r="H378" i="46"/>
  <c r="D101" i="25"/>
  <c r="E213" i="24"/>
  <c r="E214"/>
  <c r="E207"/>
  <c r="E200"/>
  <c r="E201"/>
  <c r="E202"/>
  <c r="A210" i="46"/>
  <c r="H211"/>
  <c r="F213"/>
  <c r="D215"/>
  <c r="B217"/>
  <c r="I218"/>
  <c r="G220"/>
  <c r="E222"/>
  <c r="C224"/>
  <c r="A226"/>
  <c r="H227"/>
  <c r="F229"/>
  <c r="D231"/>
  <c r="B233"/>
  <c r="I234"/>
  <c r="G236"/>
  <c r="E238"/>
  <c r="C240"/>
  <c r="A242"/>
  <c r="H243"/>
  <c r="F245"/>
  <c r="D247"/>
  <c r="B249"/>
  <c r="I250"/>
  <c r="B410"/>
  <c r="I411"/>
  <c r="G413"/>
  <c r="B201"/>
  <c r="D206"/>
  <c r="B77" i="25"/>
  <c r="C189" i="24"/>
  <c r="C190"/>
  <c r="I266" i="46"/>
  <c r="G268"/>
  <c r="E270"/>
  <c r="C272"/>
  <c r="A274"/>
  <c r="H275"/>
  <c r="F277"/>
  <c r="D279"/>
  <c r="B281"/>
  <c r="I282"/>
  <c r="G284"/>
  <c r="E286"/>
  <c r="C288"/>
  <c r="A290"/>
  <c r="H291"/>
  <c r="F293"/>
  <c r="D295"/>
  <c r="B297"/>
  <c r="I298"/>
  <c r="G300"/>
  <c r="E302"/>
  <c r="C304"/>
  <c r="A306"/>
  <c r="H307"/>
  <c r="G252"/>
  <c r="E254"/>
  <c r="C256"/>
  <c r="A258"/>
  <c r="I311"/>
  <c r="A9" i="25"/>
  <c r="B22"/>
  <c r="B23"/>
  <c r="G310" i="46"/>
  <c r="E312"/>
  <c r="C314"/>
  <c r="A316"/>
  <c r="H317"/>
  <c r="F319"/>
  <c r="D321"/>
  <c r="B323"/>
  <c r="I324"/>
  <c r="G326"/>
  <c r="E328"/>
  <c r="C330"/>
  <c r="A332"/>
  <c r="H333"/>
  <c r="F335"/>
  <c r="D337"/>
  <c r="B339"/>
  <c r="I340"/>
  <c r="G342"/>
  <c r="E344"/>
  <c r="C346"/>
  <c r="A348"/>
  <c r="H349"/>
  <c r="F351"/>
  <c r="E296"/>
  <c r="C298"/>
  <c r="A300"/>
  <c r="H301"/>
  <c r="F242"/>
  <c r="D181" i="24"/>
  <c r="D86" i="25"/>
  <c r="D87"/>
  <c r="F367" i="46"/>
  <c r="D369"/>
  <c r="B371"/>
  <c r="I372"/>
  <c r="G374"/>
  <c r="E376"/>
  <c r="C378"/>
  <c r="A380"/>
  <c r="H381"/>
  <c r="F383"/>
  <c r="D385"/>
  <c r="B387"/>
  <c r="I388"/>
  <c r="G390"/>
  <c r="E392"/>
  <c r="C394"/>
  <c r="A396"/>
  <c r="H397"/>
  <c r="F399"/>
  <c r="D401"/>
  <c r="B403"/>
  <c r="I404"/>
  <c r="G406"/>
  <c r="E408"/>
  <c r="D353"/>
  <c r="B355"/>
  <c r="I356"/>
  <c r="G358"/>
  <c r="B194"/>
  <c r="C14" i="25"/>
  <c r="D126" i="24"/>
  <c r="D127"/>
  <c r="H196" i="46"/>
  <c r="F198"/>
  <c r="D200"/>
  <c r="B202"/>
  <c r="I203"/>
  <c r="G205"/>
  <c r="E207"/>
  <c r="C209"/>
  <c r="A211"/>
  <c r="H212"/>
  <c r="F214"/>
  <c r="D216"/>
  <c r="B218"/>
  <c r="I219"/>
  <c r="G221"/>
  <c r="E223"/>
  <c r="C225"/>
  <c r="A227"/>
  <c r="H228"/>
  <c r="F230"/>
  <c r="D232"/>
  <c r="B234"/>
  <c r="I235"/>
  <c r="G237"/>
  <c r="C410"/>
  <c r="A412"/>
  <c r="H413"/>
  <c r="I187"/>
  <c r="C207"/>
  <c r="C78" i="25"/>
  <c r="D190" i="24"/>
  <c r="D191"/>
  <c r="G253" i="46"/>
  <c r="E255"/>
  <c r="C257"/>
  <c r="A259"/>
  <c r="H260"/>
  <c r="F262"/>
  <c r="D264"/>
  <c r="B266"/>
  <c r="I267"/>
  <c r="G269"/>
  <c r="E271"/>
  <c r="C273"/>
  <c r="A275"/>
  <c r="H276"/>
  <c r="F278"/>
  <c r="D280"/>
  <c r="B282"/>
  <c r="I283"/>
  <c r="G285"/>
  <c r="E287"/>
  <c r="C289"/>
  <c r="A291"/>
  <c r="H292"/>
  <c r="F294"/>
  <c r="E239"/>
  <c r="C241"/>
  <c r="A243"/>
  <c r="H244"/>
  <c r="H312"/>
  <c r="C116" i="24"/>
  <c r="C23" i="25"/>
  <c r="C24"/>
  <c r="F310" i="46"/>
  <c r="D312"/>
  <c r="B314"/>
  <c r="I315"/>
  <c r="G317"/>
  <c r="E319"/>
  <c r="C321"/>
  <c r="A323"/>
  <c r="H324"/>
  <c r="F326"/>
  <c r="D328"/>
  <c r="B330"/>
  <c r="I331"/>
  <c r="G333"/>
  <c r="E335"/>
  <c r="C337"/>
  <c r="A339"/>
  <c r="H340"/>
  <c r="F342"/>
  <c r="D344"/>
  <c r="B346"/>
  <c r="I347"/>
  <c r="G349"/>
  <c r="E351"/>
  <c r="D296"/>
  <c r="B298"/>
  <c r="I299"/>
  <c r="G301"/>
  <c r="E235"/>
  <c r="C180" i="24"/>
  <c r="C87" i="25"/>
  <c r="C88"/>
  <c r="B384" i="46"/>
  <c r="D398"/>
  <c r="F412"/>
  <c r="I369"/>
  <c r="C183" i="24"/>
  <c r="C176"/>
  <c r="C177"/>
  <c r="C178"/>
  <c r="C263" i="46"/>
  <c r="B85" i="25"/>
  <c r="C197" i="24"/>
  <c r="C198"/>
  <c r="C191"/>
  <c r="C184"/>
  <c r="C185"/>
  <c r="C186"/>
  <c r="B320" i="46"/>
  <c r="B93" i="25"/>
  <c r="C205" i="24"/>
  <c r="C206"/>
  <c r="C199"/>
  <c r="C192"/>
  <c r="C193"/>
  <c r="C194"/>
  <c r="A377" i="46"/>
  <c r="B101" i="25"/>
  <c r="C213" i="24"/>
  <c r="C214"/>
  <c r="C207"/>
  <c r="C200"/>
  <c r="C201"/>
  <c r="C202"/>
  <c r="A14" i="38"/>
  <c r="H17" i="37"/>
  <c r="H18"/>
  <c r="H11"/>
  <c r="H4"/>
  <c r="H5"/>
  <c r="H6"/>
  <c r="H24" i="24"/>
  <c r="A25" i="38"/>
  <c r="H25" i="37"/>
  <c r="H26"/>
  <c r="H19"/>
  <c r="H12"/>
  <c r="H13"/>
  <c r="H14"/>
  <c r="H32" i="24"/>
  <c r="D3" i="35"/>
  <c r="G20" i="46"/>
  <c r="H27"/>
  <c r="C10" i="44"/>
  <c r="G23" i="38"/>
  <c r="C25"/>
  <c r="A27"/>
  <c r="A231" i="23"/>
  <c r="C29" i="28"/>
  <c r="E2" i="33"/>
  <c r="G102" i="24"/>
  <c r="G103"/>
  <c r="G104"/>
  <c r="E142" i="46"/>
  <c r="H11" i="25"/>
  <c r="G14"/>
  <c r="I270" i="46"/>
  <c r="B285"/>
  <c r="D299"/>
  <c r="C11" i="33"/>
  <c r="G8" i="38"/>
  <c r="G9"/>
  <c r="G10"/>
  <c r="H56" i="24"/>
  <c r="D175" i="46"/>
  <c r="D36" i="44"/>
  <c r="D43"/>
  <c r="C28" i="38"/>
  <c r="E17"/>
  <c r="G18"/>
  <c r="C20"/>
  <c r="H64" i="24"/>
  <c r="D6" i="46"/>
  <c r="C48"/>
  <c r="D55"/>
  <c r="F5"/>
  <c r="A1" i="44"/>
  <c r="B4"/>
  <c r="B10"/>
  <c r="H72" i="24"/>
  <c r="E13" i="46"/>
  <c r="B105"/>
  <c r="C112"/>
  <c r="E62"/>
  <c r="G12"/>
  <c r="H19"/>
  <c r="I26"/>
  <c r="H80" i="24"/>
  <c r="F20" i="46"/>
  <c r="A162"/>
  <c r="B169"/>
  <c r="D119"/>
  <c r="F69"/>
  <c r="G76"/>
  <c r="H83"/>
  <c r="H88" i="24"/>
  <c r="G27" i="46"/>
  <c r="D4" i="35"/>
  <c r="D5"/>
  <c r="C176" i="46"/>
  <c r="E126"/>
  <c r="F133"/>
  <c r="G140"/>
  <c r="H96" i="24"/>
  <c r="G4" i="46"/>
  <c r="G5" i="38"/>
  <c r="G6"/>
  <c r="H27" i="37"/>
  <c r="H20"/>
  <c r="H21"/>
  <c r="H22"/>
  <c r="H40" i="24"/>
  <c r="F7" i="32"/>
  <c r="E86" i="46"/>
  <c r="B224" i="24"/>
  <c r="B226"/>
  <c r="B228"/>
  <c r="H18" i="38"/>
  <c r="G2" i="23"/>
  <c r="G3"/>
  <c r="F360" i="46"/>
  <c r="H374"/>
  <c r="A389"/>
  <c r="A7" i="37"/>
  <c r="E6" i="38"/>
  <c r="A15"/>
  <c r="C26"/>
  <c r="A78" i="24"/>
  <c r="C3" i="38"/>
  <c r="E6" i="37"/>
  <c r="E7"/>
  <c r="B10" i="35"/>
  <c r="B3"/>
  <c r="B4"/>
  <c r="B5"/>
  <c r="A86" i="24"/>
  <c r="C11" i="38"/>
  <c r="E14" i="37"/>
  <c r="E15"/>
  <c r="E8"/>
  <c r="F1"/>
  <c r="E2"/>
  <c r="E3"/>
  <c r="A94" i="24"/>
  <c r="B21" i="38"/>
  <c r="E22" i="37"/>
  <c r="E23"/>
  <c r="E16"/>
  <c r="E9"/>
  <c r="E10"/>
  <c r="E11"/>
  <c r="A102" i="24"/>
  <c r="D11" i="44"/>
  <c r="D2" i="38"/>
  <c r="D3"/>
  <c r="E24" i="37"/>
  <c r="E17"/>
  <c r="E18"/>
  <c r="E19"/>
  <c r="H110" i="24"/>
  <c r="E30" i="46"/>
  <c r="D10" i="38"/>
  <c r="D11"/>
  <c r="D4"/>
  <c r="E25" i="37"/>
  <c r="E26"/>
  <c r="E27"/>
  <c r="H126" i="24"/>
  <c r="D7" i="37"/>
  <c r="F18"/>
  <c r="F22"/>
  <c r="B2"/>
  <c r="E1" i="35"/>
  <c r="E3"/>
  <c r="H4"/>
  <c r="A62" i="24"/>
  <c r="A47" i="23"/>
  <c r="I153" i="46"/>
  <c r="F84" i="25"/>
  <c r="H86"/>
  <c r="G89"/>
  <c r="F9" i="46"/>
  <c r="H45" i="23"/>
  <c r="H46"/>
  <c r="G373" i="46"/>
  <c r="I387"/>
  <c r="B402"/>
  <c r="D5" i="44"/>
  <c r="F24" i="38"/>
  <c r="B26"/>
  <c r="G27"/>
  <c r="H174" i="24"/>
  <c r="C24" i="37"/>
  <c r="D95" i="46"/>
  <c r="E102"/>
  <c r="G52"/>
  <c r="I2"/>
  <c r="A10"/>
  <c r="B17"/>
  <c r="H190" i="24"/>
  <c r="B4" i="38"/>
  <c r="C152" i="46"/>
  <c r="D159"/>
  <c r="F109"/>
  <c r="H59"/>
  <c r="I66"/>
  <c r="A74"/>
  <c r="H206" i="24"/>
  <c r="C12" i="38"/>
  <c r="A2" i="35"/>
  <c r="A3"/>
  <c r="E166" i="46"/>
  <c r="G116"/>
  <c r="H123"/>
  <c r="I130"/>
  <c r="H222" i="24"/>
  <c r="F22" i="38"/>
  <c r="A10" i="35"/>
  <c r="E1" i="37"/>
  <c r="A4" i="35"/>
  <c r="F173" i="46"/>
  <c r="G180"/>
  <c r="B190"/>
  <c r="H9" i="25"/>
  <c r="D14" i="44"/>
  <c r="D8" i="37"/>
  <c r="D9"/>
  <c r="D2"/>
  <c r="A5" i="35"/>
  <c r="A6"/>
  <c r="A7"/>
  <c r="F31" i="25"/>
  <c r="D87" i="46"/>
  <c r="G19" i="38"/>
  <c r="C21"/>
  <c r="E12"/>
  <c r="D5"/>
  <c r="D6"/>
  <c r="D7"/>
  <c r="H142" i="24"/>
  <c r="H76" i="23"/>
  <c r="F170" i="46"/>
  <c r="H37" i="23"/>
  <c r="H38"/>
  <c r="H39"/>
  <c r="D9" i="46"/>
  <c r="H109" i="23"/>
  <c r="H110"/>
  <c r="H386" i="46"/>
  <c r="A401"/>
  <c r="F187"/>
  <c r="B21"/>
  <c r="D19" i="37"/>
  <c r="D20"/>
  <c r="D21"/>
  <c r="F95" i="25"/>
  <c r="A4" i="38"/>
  <c r="D12"/>
  <c r="E13"/>
  <c r="C6"/>
  <c r="D27" i="37"/>
  <c r="D28"/>
  <c r="D1" i="38"/>
  <c r="D7" i="28"/>
  <c r="B12" i="38"/>
  <c r="G22"/>
  <c r="C24"/>
  <c r="F14"/>
  <c r="C7"/>
  <c r="C8"/>
  <c r="C9"/>
  <c r="A7" i="23"/>
  <c r="C22" i="38"/>
  <c r="F14" i="44"/>
  <c r="C18"/>
  <c r="A26" i="38"/>
  <c r="G15"/>
  <c r="A17"/>
  <c r="B18"/>
  <c r="A15" i="23"/>
  <c r="B17" i="44"/>
  <c r="F37" i="46"/>
  <c r="G44"/>
  <c r="E39" i="44"/>
  <c r="F27" i="38"/>
  <c r="C2" i="44"/>
  <c r="E5"/>
  <c r="A23" i="23"/>
  <c r="A50" i="46"/>
  <c r="E94"/>
  <c r="F101"/>
  <c r="H51"/>
  <c r="A2"/>
  <c r="B9"/>
  <c r="C16"/>
  <c r="A31" i="23"/>
  <c r="I50" i="46"/>
  <c r="D16" i="37"/>
  <c r="D17"/>
  <c r="D10"/>
  <c r="D3"/>
  <c r="D4"/>
  <c r="D5"/>
  <c r="G52" i="25"/>
  <c r="G97" i="23"/>
  <c r="B180" i="46"/>
  <c r="H101" i="23"/>
  <c r="H102"/>
  <c r="H103"/>
  <c r="A4" i="29"/>
  <c r="H173" i="23"/>
  <c r="H174"/>
  <c r="G264" i="46"/>
  <c r="I278"/>
  <c r="B293"/>
  <c r="I20"/>
  <c r="G172"/>
  <c r="H179"/>
  <c r="H187"/>
  <c r="A55" i="23"/>
  <c r="A12" i="37"/>
  <c r="B5" i="38"/>
  <c r="B6"/>
  <c r="C27" i="37"/>
  <c r="C20"/>
  <c r="C21"/>
  <c r="C22"/>
  <c r="A63" i="23"/>
  <c r="A20" i="37"/>
  <c r="D13" i="38"/>
  <c r="E14"/>
  <c r="B7"/>
  <c r="C28" i="37"/>
  <c r="C1" i="38"/>
  <c r="B2"/>
  <c r="A71" i="23"/>
  <c r="A28" i="37"/>
  <c r="B24" i="38"/>
  <c r="G25"/>
  <c r="F15"/>
  <c r="B8"/>
  <c r="B9"/>
  <c r="B10"/>
  <c r="A79" i="23"/>
  <c r="H8" i="38"/>
  <c r="B18" i="44"/>
  <c r="C8" i="46"/>
  <c r="C27" i="38"/>
  <c r="G16"/>
  <c r="A18"/>
  <c r="C19"/>
  <c r="A87" i="23"/>
  <c r="F17" i="38"/>
  <c r="A58" i="46"/>
  <c r="B65"/>
  <c r="D15"/>
  <c r="B2" i="44"/>
  <c r="C5"/>
  <c r="A8"/>
  <c r="A95" i="23"/>
  <c r="I106" i="46"/>
  <c r="D151"/>
  <c r="E158"/>
  <c r="G108"/>
  <c r="I58"/>
  <c r="A66"/>
  <c r="B73"/>
  <c r="A39" i="23"/>
  <c r="D172" i="24"/>
  <c r="E66" i="25"/>
  <c r="H165" i="23"/>
  <c r="H166"/>
  <c r="H167"/>
  <c r="A6" i="29"/>
  <c r="H237" i="23"/>
  <c r="H238"/>
  <c r="H366" i="46"/>
  <c r="A381"/>
  <c r="H356"/>
  <c r="C114" i="24"/>
  <c r="C134"/>
  <c r="C122"/>
  <c r="C142"/>
  <c r="C130"/>
  <c r="C150"/>
  <c r="C138"/>
  <c r="C158"/>
  <c r="C146"/>
  <c r="C166"/>
  <c r="C154"/>
  <c r="C110"/>
  <c r="B22" i="28"/>
  <c r="B205" i="24"/>
  <c r="D10" i="22"/>
  <c r="F5" i="24"/>
  <c r="F14" i="28"/>
  <c r="F75" i="24"/>
  <c r="F76"/>
  <c r="F77"/>
  <c r="F27" i="37"/>
  <c r="A186" i="24"/>
  <c r="A188"/>
  <c r="A190"/>
  <c r="F4" i="37"/>
  <c r="A202" i="24"/>
  <c r="A204"/>
  <c r="A206"/>
  <c r="B33" i="46"/>
  <c r="F118" i="24"/>
  <c r="F119"/>
  <c r="F120"/>
  <c r="H178"/>
  <c r="B118"/>
  <c r="B136"/>
  <c r="D10"/>
  <c r="G13" i="22"/>
  <c r="F387" i="17"/>
  <c r="F5" i="23"/>
  <c r="E388" i="17"/>
  <c r="F9" i="23"/>
  <c r="D389" i="17"/>
  <c r="F13" i="23"/>
  <c r="C390" i="17"/>
  <c r="F17" i="23"/>
  <c r="B391" i="17"/>
  <c r="F21" i="23"/>
  <c r="A392" i="17"/>
  <c r="H194" i="24"/>
  <c r="B134"/>
  <c r="B152"/>
  <c r="D18"/>
  <c r="F33" i="23"/>
  <c r="G394" i="17"/>
  <c r="F37" i="23"/>
  <c r="F395" i="17"/>
  <c r="F41" i="23"/>
  <c r="E396" i="17"/>
  <c r="F45" i="23"/>
  <c r="D397" i="17"/>
  <c r="F49" i="23"/>
  <c r="C398" i="17"/>
  <c r="F53" i="23"/>
  <c r="G391" i="46"/>
  <c r="G177"/>
  <c r="I231"/>
  <c r="H184"/>
  <c r="H288"/>
  <c r="E203"/>
  <c r="A12" i="44"/>
  <c r="D260" i="46"/>
  <c r="F38" i="44"/>
  <c r="C6"/>
  <c r="A6" i="46"/>
  <c r="E16" i="44"/>
  <c r="B174" i="46"/>
  <c r="E163"/>
  <c r="H131"/>
  <c r="D63"/>
  <c r="B177"/>
  <c r="B24" i="33"/>
  <c r="E100" i="46"/>
  <c r="F107"/>
  <c r="G114"/>
  <c r="G7" i="38"/>
  <c r="D191" i="46"/>
  <c r="A231"/>
  <c r="I287"/>
  <c r="G4" i="37"/>
  <c r="E17" i="46"/>
  <c r="F24"/>
  <c r="G31"/>
  <c r="D4"/>
  <c r="C4" i="20"/>
  <c r="C5"/>
  <c r="C6"/>
  <c r="C205"/>
  <c r="G75" i="25"/>
  <c r="G99"/>
  <c r="C98" i="24"/>
  <c r="E37"/>
  <c r="A777" i="17"/>
  <c r="E45" i="24"/>
  <c r="I777" i="17"/>
  <c r="E53" i="24"/>
  <c r="H778" i="17"/>
  <c r="E61" i="24"/>
  <c r="G779" i="17"/>
  <c r="E69" i="24"/>
  <c r="F780" i="17"/>
  <c r="E77" i="24"/>
  <c r="E781" i="17"/>
  <c r="C213" i="20"/>
  <c r="H96" i="25"/>
  <c r="C4" i="28"/>
  <c r="C106" i="24"/>
  <c r="E101"/>
  <c r="B784" i="17"/>
  <c r="H109" i="24"/>
  <c r="A785" i="17"/>
  <c r="H125" i="24"/>
  <c r="I785" i="17"/>
  <c r="H141" i="24"/>
  <c r="H786" i="17"/>
  <c r="H157" i="24"/>
  <c r="G787" i="17"/>
  <c r="H173" i="24"/>
  <c r="H404" i="46"/>
  <c r="G16"/>
  <c r="E34"/>
  <c r="H23"/>
  <c r="F41"/>
  <c r="I30"/>
  <c r="G48"/>
  <c r="A38"/>
  <c r="H55"/>
  <c r="B45"/>
  <c r="I62"/>
  <c r="C52"/>
  <c r="B13"/>
  <c r="E2"/>
  <c r="A3" i="37"/>
  <c r="F43" i="46"/>
  <c r="H57"/>
  <c r="I34"/>
  <c r="D131"/>
  <c r="E138"/>
  <c r="F145"/>
  <c r="I96"/>
  <c r="G190"/>
  <c r="C229"/>
  <c r="B286"/>
  <c r="H153"/>
  <c r="A27"/>
  <c r="B34"/>
  <c r="C41"/>
  <c r="I13"/>
  <c r="B187"/>
  <c r="I80"/>
  <c r="H81"/>
  <c r="F75"/>
  <c r="D69"/>
  <c r="C70"/>
  <c r="B71"/>
  <c r="G53" i="24"/>
  <c r="F218" i="46"/>
  <c r="A88"/>
  <c r="I88"/>
  <c r="G82"/>
  <c r="E76"/>
  <c r="D77"/>
  <c r="C78"/>
  <c r="G61" i="24"/>
  <c r="A144" i="46"/>
  <c r="C38"/>
  <c r="B39"/>
  <c r="I32"/>
  <c r="G26"/>
  <c r="F27"/>
  <c r="E28"/>
  <c r="G5" i="24"/>
  <c r="D26" i="28"/>
  <c r="G13" i="38"/>
  <c r="A138" i="24"/>
  <c r="A140"/>
  <c r="A142"/>
  <c r="D135" i="46"/>
  <c r="G67" i="25"/>
  <c r="F70"/>
  <c r="B269" i="46"/>
  <c r="D283"/>
  <c r="F297"/>
  <c r="C10" i="33"/>
  <c r="H97" i="46"/>
  <c r="G98"/>
  <c r="F99"/>
  <c r="G85" i="24"/>
  <c r="I15" i="46"/>
  <c r="E116"/>
  <c r="D117"/>
  <c r="B111"/>
  <c r="I104"/>
  <c r="H105"/>
  <c r="G106"/>
  <c r="G93" i="24"/>
  <c r="A23" i="46"/>
  <c r="F123"/>
  <c r="E124"/>
  <c r="C118"/>
  <c r="A112"/>
  <c r="I112"/>
  <c r="H113"/>
  <c r="G101" i="24"/>
  <c r="B30" i="46"/>
  <c r="G130"/>
  <c r="F131"/>
  <c r="D125"/>
  <c r="B119"/>
  <c r="A120"/>
  <c r="I120"/>
  <c r="B110" i="24"/>
  <c r="C37" i="46"/>
  <c r="H137"/>
  <c r="G138"/>
  <c r="E132"/>
  <c r="C126"/>
  <c r="B127"/>
  <c r="A128"/>
  <c r="B126" i="24"/>
  <c r="D44" i="46"/>
  <c r="I144"/>
  <c r="H145"/>
  <c r="F139"/>
  <c r="D133"/>
  <c r="C134"/>
  <c r="B135"/>
  <c r="B142" i="24"/>
  <c r="E275" i="46"/>
  <c r="B95"/>
  <c r="A96"/>
  <c r="H89"/>
  <c r="F83"/>
  <c r="E84"/>
  <c r="D85"/>
  <c r="G69" i="24"/>
  <c r="F6" i="32"/>
  <c r="D79" i="46"/>
  <c r="F46" i="25"/>
  <c r="H48"/>
  <c r="G51"/>
  <c r="H17" i="38"/>
  <c r="F150" i="24"/>
  <c r="F151"/>
  <c r="I365" i="46"/>
  <c r="B380"/>
  <c r="D394"/>
  <c r="A14" i="37"/>
  <c r="G5"/>
  <c r="G6"/>
  <c r="G7"/>
  <c r="G132" i="24"/>
  <c r="B56" i="46"/>
  <c r="G26" i="37"/>
  <c r="G27"/>
  <c r="G20"/>
  <c r="G13"/>
  <c r="G14"/>
  <c r="G15"/>
  <c r="G148" i="24"/>
  <c r="C63" i="46"/>
  <c r="F6" i="38"/>
  <c r="F7"/>
  <c r="G28" i="37"/>
  <c r="G21"/>
  <c r="G22"/>
  <c r="G23"/>
  <c r="G164" i="24"/>
  <c r="D70" i="46"/>
  <c r="B15" i="38"/>
  <c r="C16"/>
  <c r="F8"/>
  <c r="G1"/>
  <c r="F2"/>
  <c r="F3"/>
  <c r="G180" i="24"/>
  <c r="E77" i="46"/>
  <c r="F26" i="38"/>
  <c r="B28"/>
  <c r="D17"/>
  <c r="F9"/>
  <c r="F10"/>
  <c r="F11"/>
  <c r="G196" i="24"/>
  <c r="F84" i="46"/>
  <c r="H11"/>
  <c r="I18"/>
  <c r="D3" i="44"/>
  <c r="F18" i="38"/>
  <c r="B20"/>
  <c r="G21"/>
  <c r="G212" i="24"/>
  <c r="H34" i="46"/>
  <c r="G2" i="37"/>
  <c r="G3"/>
  <c r="D6" i="35"/>
  <c r="D183" i="46"/>
  <c r="C197"/>
  <c r="H248"/>
  <c r="H104" i="24"/>
  <c r="A130" i="46"/>
  <c r="A153"/>
  <c r="H8" i="22"/>
  <c r="H9"/>
  <c r="H10"/>
  <c r="G8" i="46"/>
  <c r="G66" i="23"/>
  <c r="G67"/>
  <c r="A379" i="46"/>
  <c r="C393"/>
  <c r="E407"/>
  <c r="E14" i="44"/>
  <c r="A90" i="46"/>
  <c r="B97"/>
  <c r="C104"/>
  <c r="H38" i="25"/>
  <c r="A113" i="46"/>
  <c r="C7"/>
  <c r="B8"/>
  <c r="G241"/>
  <c r="I146"/>
  <c r="A154"/>
  <c r="B161"/>
  <c r="F60" i="25"/>
  <c r="B120" i="46"/>
  <c r="D14"/>
  <c r="C15"/>
  <c r="A9"/>
  <c r="H2"/>
  <c r="G3"/>
  <c r="F4"/>
  <c r="G81" i="25"/>
  <c r="C127" i="46"/>
  <c r="E21"/>
  <c r="D22"/>
  <c r="B16"/>
  <c r="I9"/>
  <c r="H10"/>
  <c r="G11"/>
  <c r="H102" i="25"/>
  <c r="D134" i="46"/>
  <c r="F28"/>
  <c r="E29"/>
  <c r="C23"/>
  <c r="A17"/>
  <c r="I17"/>
  <c r="H18"/>
  <c r="A2" i="22"/>
  <c r="E141" i="46"/>
  <c r="G35"/>
  <c r="F36"/>
  <c r="D30"/>
  <c r="B24"/>
  <c r="A25"/>
  <c r="I25"/>
  <c r="A10" i="22"/>
  <c r="G91" i="46"/>
  <c r="G68"/>
  <c r="H75"/>
  <c r="A26"/>
  <c r="F6" i="44"/>
  <c r="E12"/>
  <c r="C36"/>
  <c r="G228" i="24"/>
  <c r="A97" i="46"/>
  <c r="G169"/>
  <c r="G58" i="23"/>
  <c r="G59"/>
  <c r="G60"/>
  <c r="E8" i="46"/>
  <c r="G130" i="23"/>
  <c r="G131"/>
  <c r="B392" i="46"/>
  <c r="D406"/>
  <c r="I192"/>
  <c r="D27"/>
  <c r="E45"/>
  <c r="D46"/>
  <c r="C47"/>
  <c r="H20" i="23"/>
  <c r="I169" i="46"/>
  <c r="B64"/>
  <c r="A65"/>
  <c r="H58"/>
  <c r="F52"/>
  <c r="E53"/>
  <c r="D54"/>
  <c r="H28" i="23"/>
  <c r="A177" i="46"/>
  <c r="C71"/>
  <c r="B72"/>
  <c r="I65"/>
  <c r="G59"/>
  <c r="F60"/>
  <c r="E61"/>
  <c r="H36" i="23"/>
  <c r="B184" i="46"/>
  <c r="D78"/>
  <c r="C79"/>
  <c r="A73"/>
  <c r="H66"/>
  <c r="G67"/>
  <c r="F68"/>
  <c r="H44" i="23"/>
  <c r="D199" i="46"/>
  <c r="E85"/>
  <c r="D86"/>
  <c r="B80"/>
  <c r="I73"/>
  <c r="H74"/>
  <c r="G75"/>
  <c r="H52" i="23"/>
  <c r="A255" i="46"/>
  <c r="F92"/>
  <c r="E93"/>
  <c r="C87"/>
  <c r="A81"/>
  <c r="I81"/>
  <c r="H82"/>
  <c r="H60" i="23"/>
  <c r="F148" i="46"/>
  <c r="H42"/>
  <c r="G43"/>
  <c r="E37"/>
  <c r="C31"/>
  <c r="B32"/>
  <c r="A33"/>
  <c r="H4" i="23"/>
  <c r="G113" i="46"/>
  <c r="C179"/>
  <c r="G122" i="23"/>
  <c r="G123"/>
  <c r="G124"/>
  <c r="B1" i="29"/>
  <c r="G194" i="23"/>
  <c r="G195"/>
  <c r="A270" i="46"/>
  <c r="C284"/>
  <c r="E298"/>
  <c r="B27"/>
  <c r="D102"/>
  <c r="C103"/>
  <c r="B104"/>
  <c r="H84" i="23"/>
  <c r="C12" i="44"/>
  <c r="A121" i="46"/>
  <c r="I121"/>
  <c r="G115"/>
  <c r="E109"/>
  <c r="D110"/>
  <c r="C111"/>
  <c r="H92" i="23"/>
  <c r="C43" i="44"/>
  <c r="B128" i="46"/>
  <c r="A129"/>
  <c r="H122"/>
  <c r="F116"/>
  <c r="E117"/>
  <c r="D118"/>
  <c r="H100" i="23"/>
  <c r="I8" i="46"/>
  <c r="C135"/>
  <c r="B136"/>
  <c r="I129"/>
  <c r="G123"/>
  <c r="F124"/>
  <c r="E125"/>
  <c r="H108" i="23"/>
  <c r="A16" i="46"/>
  <c r="D142"/>
  <c r="C143"/>
  <c r="A137"/>
  <c r="H130"/>
  <c r="G131"/>
  <c r="F132"/>
  <c r="H116" i="23"/>
  <c r="B23" i="46"/>
  <c r="E149"/>
  <c r="D150"/>
  <c r="B144"/>
  <c r="I137"/>
  <c r="H138"/>
  <c r="G139"/>
  <c r="H124" i="23"/>
  <c r="H13" i="38"/>
  <c r="G99" i="46"/>
  <c r="F100"/>
  <c r="D94"/>
  <c r="B88"/>
  <c r="A89"/>
  <c r="I89"/>
  <c r="H68" i="23"/>
  <c r="C123" i="46"/>
  <c r="E65" i="25"/>
  <c r="G186" i="23"/>
  <c r="G187"/>
  <c r="G188"/>
  <c r="B3" i="29"/>
  <c r="F3" i="24"/>
  <c r="F4"/>
  <c r="A365" i="46"/>
  <c r="C379"/>
  <c r="F406"/>
  <c r="H27" i="38"/>
  <c r="F3" i="46"/>
  <c r="A10" i="44"/>
  <c r="G10" i="46"/>
  <c r="D39" i="44"/>
  <c r="H17" i="46"/>
  <c r="B7"/>
  <c r="I24"/>
  <c r="C14"/>
  <c r="A32"/>
  <c r="D21"/>
  <c r="H23" i="38"/>
  <c r="H11"/>
  <c r="F59" i="24"/>
  <c r="A154"/>
  <c r="F5" i="37"/>
  <c r="F21" i="28"/>
  <c r="G11" i="38"/>
  <c r="A22"/>
  <c r="C13" i="44"/>
  <c r="B5" i="37"/>
  <c r="D157" i="46"/>
  <c r="E164"/>
  <c r="F171"/>
  <c r="F26" i="37"/>
  <c r="I7" i="46"/>
  <c r="A15"/>
  <c r="B22"/>
  <c r="I82"/>
  <c r="D74"/>
  <c r="E81"/>
  <c r="F88"/>
  <c r="D138"/>
  <c r="A160" i="24"/>
  <c r="A178"/>
  <c r="C34"/>
  <c r="B17" i="23"/>
  <c r="B720" i="17"/>
  <c r="B21" i="23"/>
  <c r="A721" i="17"/>
  <c r="B25" i="23"/>
  <c r="I721" i="17"/>
  <c r="B29" i="23"/>
  <c r="H722" i="17"/>
  <c r="B33" i="23"/>
  <c r="G723" i="17"/>
  <c r="B37" i="23"/>
  <c r="F724" i="17"/>
  <c r="B230" i="46"/>
  <c r="A176" i="24"/>
  <c r="A194"/>
  <c r="C42"/>
  <c r="B49" i="23"/>
  <c r="C727" i="17"/>
  <c r="B53" i="23"/>
  <c r="B728" i="17"/>
  <c r="B57" i="23"/>
  <c r="A729" i="17"/>
  <c r="B61" i="23"/>
  <c r="I729" i="17"/>
  <c r="B65" i="23"/>
  <c r="H730" i="17"/>
  <c r="B69" i="23"/>
  <c r="I395" i="46"/>
  <c r="A35" i="28"/>
  <c r="H7"/>
  <c r="H8" i="29"/>
  <c r="H15" i="28"/>
  <c r="H3"/>
  <c r="H23"/>
  <c r="H11"/>
  <c r="H31"/>
  <c r="H19"/>
  <c r="G4" i="29"/>
  <c r="H27" i="28"/>
  <c r="A31"/>
  <c r="A19"/>
  <c r="A123" i="24"/>
  <c r="G47" i="25"/>
  <c r="C2" i="21"/>
  <c r="B31" i="33"/>
  <c r="B251" i="23"/>
  <c r="B255"/>
  <c r="E9" i="24"/>
  <c r="C15" i="38"/>
  <c r="E27" i="23"/>
  <c r="E28"/>
  <c r="E29"/>
  <c r="G11" i="37"/>
  <c r="E35" i="23"/>
  <c r="E36"/>
  <c r="E37"/>
  <c r="F10" i="46"/>
  <c r="E107" i="23"/>
  <c r="E108"/>
  <c r="E109"/>
  <c r="A184"/>
  <c r="H95" i="46"/>
  <c r="H159"/>
  <c r="A135" i="24"/>
  <c r="E52"/>
  <c r="G778" i="17"/>
  <c r="E60" i="24"/>
  <c r="F779" i="17"/>
  <c r="E68" i="24"/>
  <c r="E780" i="17"/>
  <c r="E76" i="24"/>
  <c r="D781" i="17"/>
  <c r="E84" i="24"/>
  <c r="C782" i="17"/>
  <c r="E92" i="24"/>
  <c r="B783" i="17"/>
  <c r="A192" i="23"/>
  <c r="G152" i="46"/>
  <c r="C7" i="44"/>
  <c r="A151" i="24"/>
  <c r="H123"/>
  <c r="H785" i="17"/>
  <c r="H139" i="24"/>
  <c r="G786" i="17"/>
  <c r="H155" i="24"/>
  <c r="F787" i="17"/>
  <c r="H171" i="24"/>
  <c r="E788" i="17"/>
  <c r="H187" i="24"/>
  <c r="D789" i="17"/>
  <c r="H203" i="24"/>
  <c r="B394" i="46"/>
  <c r="G5" i="28"/>
  <c r="G25"/>
  <c r="G13"/>
  <c r="G33"/>
  <c r="G21"/>
  <c r="F6" i="29"/>
  <c r="G29" i="28"/>
  <c r="F3"/>
  <c r="F2" i="29"/>
  <c r="F11" i="28"/>
  <c r="F10" i="29"/>
  <c r="H3" i="30"/>
  <c r="H35" i="28"/>
  <c r="F26" i="25"/>
  <c r="A38" i="24"/>
  <c r="B227" i="23"/>
  <c r="G84" i="46"/>
  <c r="E19" i="23"/>
  <c r="E20"/>
  <c r="E21"/>
  <c r="B103" i="46"/>
  <c r="E91" i="23"/>
  <c r="E92"/>
  <c r="E93"/>
  <c r="A160" i="46"/>
  <c r="E99" i="23"/>
  <c r="E100"/>
  <c r="E101"/>
  <c r="B20" i="46"/>
  <c r="D8" i="44"/>
  <c r="H111" i="46"/>
  <c r="G112"/>
  <c r="E106"/>
  <c r="C100"/>
  <c r="B101"/>
  <c r="A102"/>
  <c r="F74" i="24"/>
  <c r="F18" i="44"/>
  <c r="I118" i="46"/>
  <c r="H119"/>
  <c r="F113"/>
  <c r="D107"/>
  <c r="C108"/>
  <c r="B109"/>
  <c r="F82" i="24"/>
  <c r="I174" i="46"/>
  <c r="B69"/>
  <c r="A70"/>
  <c r="H63"/>
  <c r="F57"/>
  <c r="E58"/>
  <c r="D59"/>
  <c r="F26" i="24"/>
  <c r="B24" i="28"/>
  <c r="E8" i="33"/>
  <c r="H28" i="38"/>
  <c r="B11" i="44"/>
  <c r="D41"/>
  <c r="B185" i="46"/>
  <c r="E74"/>
  <c r="F81"/>
  <c r="D267"/>
  <c r="F281"/>
  <c r="H295"/>
  <c r="B19" i="37"/>
  <c r="G128" i="46"/>
  <c r="F129"/>
  <c r="E130"/>
  <c r="F106" i="24"/>
  <c r="E25" i="46"/>
  <c r="D147"/>
  <c r="C148"/>
  <c r="A142"/>
  <c r="H135"/>
  <c r="G136"/>
  <c r="F137"/>
  <c r="A120" i="24"/>
  <c r="F32" i="46"/>
  <c r="E154"/>
  <c r="D155"/>
  <c r="B149"/>
  <c r="I142"/>
  <c r="H143"/>
  <c r="G144"/>
  <c r="A136" i="24"/>
  <c r="G39" i="46"/>
  <c r="F161"/>
  <c r="E162"/>
  <c r="C156"/>
  <c r="A150"/>
  <c r="I150"/>
  <c r="H151"/>
  <c r="A152" i="24"/>
  <c r="H46" i="46"/>
  <c r="G168"/>
  <c r="F169"/>
  <c r="D163"/>
  <c r="B157"/>
  <c r="A158"/>
  <c r="I158"/>
  <c r="A168" i="24"/>
  <c r="I53" i="46"/>
  <c r="H175"/>
  <c r="G176"/>
  <c r="E170"/>
  <c r="C164"/>
  <c r="B165"/>
  <c r="A166"/>
  <c r="A184" i="24"/>
  <c r="B4" i="46"/>
  <c r="A126"/>
  <c r="I126"/>
  <c r="G120"/>
  <c r="E114"/>
  <c r="D115"/>
  <c r="C116"/>
  <c r="F90" i="24"/>
  <c r="F5" i="32"/>
  <c r="B129" i="46"/>
  <c r="F17"/>
  <c r="G24"/>
  <c r="H31"/>
  <c r="H24" i="38"/>
  <c r="C74" i="46"/>
  <c r="D81"/>
  <c r="B364"/>
  <c r="D378"/>
  <c r="F392"/>
  <c r="A13" i="37"/>
  <c r="G154" i="46"/>
  <c r="F155"/>
  <c r="E156"/>
  <c r="B190" i="24"/>
  <c r="H72" i="46"/>
  <c r="D173"/>
  <c r="C174"/>
  <c r="A168"/>
  <c r="H161"/>
  <c r="G162"/>
  <c r="F163"/>
  <c r="B206" i="24"/>
  <c r="I79" i="46"/>
  <c r="E180"/>
  <c r="D181"/>
  <c r="B175"/>
  <c r="I168"/>
  <c r="H169"/>
  <c r="G170"/>
  <c r="B222" i="24"/>
  <c r="A87" i="46"/>
  <c r="F189"/>
  <c r="I191"/>
  <c r="C182"/>
  <c r="A176"/>
  <c r="I176"/>
  <c r="H177"/>
  <c r="F9" i="25"/>
  <c r="B94" i="46"/>
  <c r="G225"/>
  <c r="H232"/>
  <c r="C194"/>
  <c r="B183"/>
  <c r="A184"/>
  <c r="I184"/>
  <c r="G30" i="25"/>
  <c r="C101" i="46"/>
  <c r="F282"/>
  <c r="G289"/>
  <c r="I239"/>
  <c r="G196"/>
  <c r="A199"/>
  <c r="D204"/>
  <c r="H51" i="25"/>
  <c r="E51" i="46"/>
  <c r="A152"/>
  <c r="I152"/>
  <c r="G146"/>
  <c r="E140"/>
  <c r="D141"/>
  <c r="C142"/>
  <c r="B158" i="24"/>
  <c r="I122" i="46"/>
  <c r="B152"/>
  <c r="F142" i="24"/>
  <c r="F143"/>
  <c r="F144"/>
  <c r="H7" i="46"/>
  <c r="E179" i="24"/>
  <c r="E187"/>
  <c r="C377" i="46"/>
  <c r="E391"/>
  <c r="G405"/>
  <c r="D13" i="44"/>
  <c r="C5" i="46"/>
  <c r="B6"/>
  <c r="A7"/>
  <c r="H115" i="25"/>
  <c r="G129" i="46"/>
  <c r="I23"/>
  <c r="H24"/>
  <c r="F18"/>
  <c r="D12"/>
  <c r="C13"/>
  <c r="B14"/>
  <c r="A4" i="21"/>
  <c r="H136" i="46"/>
  <c r="A31"/>
  <c r="I31"/>
  <c r="G25"/>
  <c r="E19"/>
  <c r="D20"/>
  <c r="C21"/>
  <c r="H7" i="22"/>
  <c r="I143" i="46"/>
  <c r="B38"/>
  <c r="A39"/>
  <c r="H32"/>
  <c r="F26"/>
  <c r="E27"/>
  <c r="D28"/>
  <c r="H1" i="23"/>
  <c r="A151" i="46"/>
  <c r="C45"/>
  <c r="B46"/>
  <c r="I39"/>
  <c r="G33"/>
  <c r="F34"/>
  <c r="E35"/>
  <c r="G9" i="23"/>
  <c r="B158" i="46"/>
  <c r="D52"/>
  <c r="C53"/>
  <c r="A47"/>
  <c r="H40"/>
  <c r="G41"/>
  <c r="F42"/>
  <c r="G17" i="23"/>
  <c r="D108" i="46"/>
  <c r="F2"/>
  <c r="E3"/>
  <c r="F16" i="44"/>
  <c r="A247" i="46"/>
  <c r="B254"/>
  <c r="C261"/>
  <c r="F73" i="25"/>
  <c r="B96" i="46"/>
  <c r="H168"/>
  <c r="E115" i="24"/>
  <c r="E123"/>
  <c r="E131"/>
  <c r="F7" i="46"/>
  <c r="C179" i="24"/>
  <c r="C187"/>
  <c r="D390" i="46"/>
  <c r="F404"/>
  <c r="B191"/>
  <c r="E26"/>
  <c r="B62"/>
  <c r="A63"/>
  <c r="I63"/>
  <c r="G41" i="23"/>
  <c r="I186" i="46"/>
  <c r="H80"/>
  <c r="G81"/>
  <c r="E75"/>
  <c r="C69"/>
  <c r="B70"/>
  <c r="A71"/>
  <c r="G49" i="23"/>
  <c r="G217" i="46"/>
  <c r="I87"/>
  <c r="H88"/>
  <c r="F82"/>
  <c r="D76"/>
  <c r="C77"/>
  <c r="B78"/>
  <c r="G57" i="23"/>
  <c r="F274" i="46"/>
  <c r="A95"/>
  <c r="I95"/>
  <c r="G89"/>
  <c r="E83"/>
  <c r="D84"/>
  <c r="C85"/>
  <c r="G65" i="23"/>
  <c r="E8" i="44"/>
  <c r="B102" i="46"/>
  <c r="A103"/>
  <c r="H96"/>
  <c r="F90"/>
  <c r="E91"/>
  <c r="D92"/>
  <c r="G73" i="23"/>
  <c r="E35" i="44"/>
  <c r="C109" i="46"/>
  <c r="B110"/>
  <c r="I103"/>
  <c r="G97"/>
  <c r="F98"/>
  <c r="E99"/>
  <c r="G81" i="23"/>
  <c r="C165" i="46"/>
  <c r="E59"/>
  <c r="D60"/>
  <c r="B54"/>
  <c r="I47"/>
  <c r="H48"/>
  <c r="G49"/>
  <c r="G25" i="23"/>
  <c r="H112" i="46"/>
  <c r="D178"/>
  <c r="C115" i="24"/>
  <c r="C123"/>
  <c r="C131"/>
  <c r="E111"/>
  <c r="F25" i="28"/>
  <c r="F33"/>
  <c r="C268" i="46"/>
  <c r="E282"/>
  <c r="G296"/>
  <c r="C26"/>
  <c r="A119"/>
  <c r="I119"/>
  <c r="H120"/>
  <c r="G105" i="23"/>
  <c r="F25" i="46"/>
  <c r="G137"/>
  <c r="F138"/>
  <c r="D132"/>
  <c r="B126"/>
  <c r="A127"/>
  <c r="I127"/>
  <c r="G113" i="23"/>
  <c r="G32" i="46"/>
  <c r="H144"/>
  <c r="G145"/>
  <c r="E139"/>
  <c r="C133"/>
  <c r="B134"/>
  <c r="A135"/>
  <c r="G121" i="23"/>
  <c r="H39" i="46"/>
  <c r="I151"/>
  <c r="H152"/>
  <c r="F146"/>
  <c r="D140"/>
  <c r="C141"/>
  <c r="B142"/>
  <c r="G129" i="23"/>
  <c r="I46" i="46"/>
  <c r="A159"/>
  <c r="I159"/>
  <c r="G153"/>
  <c r="E147"/>
  <c r="D148"/>
  <c r="C149"/>
  <c r="G137" i="23"/>
  <c r="A54" i="46"/>
  <c r="B166"/>
  <c r="A167"/>
  <c r="H160"/>
  <c r="F154"/>
  <c r="E155"/>
  <c r="D156"/>
  <c r="G145" i="23"/>
  <c r="C4" i="46"/>
  <c r="D116"/>
  <c r="C117"/>
  <c r="A111"/>
  <c r="H104"/>
  <c r="G105"/>
  <c r="F106"/>
  <c r="G89" i="23"/>
  <c r="D122" i="46"/>
  <c r="E72" i="25"/>
  <c r="G7" i="28"/>
  <c r="G15"/>
  <c r="G23"/>
  <c r="C111" i="24"/>
  <c r="B28" i="33"/>
  <c r="B36"/>
  <c r="C363" i="46"/>
  <c r="E377"/>
  <c r="G397"/>
  <c r="C113" i="24"/>
  <c r="C133"/>
  <c r="C121"/>
  <c r="C141"/>
  <c r="C129"/>
  <c r="C149"/>
  <c r="C137"/>
  <c r="C157"/>
  <c r="C145"/>
  <c r="C165"/>
  <c r="C153"/>
  <c r="C109"/>
  <c r="C19" i="28"/>
  <c r="B203" i="24"/>
  <c r="D9" i="22"/>
  <c r="C230" i="20"/>
  <c r="F28" i="28"/>
  <c r="B12" i="22"/>
  <c r="G14"/>
  <c r="B3" i="23"/>
  <c r="B27" i="37"/>
  <c r="E57" i="24"/>
  <c r="E65"/>
  <c r="E73"/>
  <c r="B153" i="46"/>
  <c r="H133" i="24"/>
  <c r="H149"/>
  <c r="H165"/>
  <c r="G132" i="46"/>
  <c r="E43" i="23"/>
  <c r="E44"/>
  <c r="E45"/>
  <c r="H176" i="24"/>
  <c r="I64" i="46"/>
  <c r="I128"/>
  <c r="B58" i="24"/>
  <c r="F28" i="23"/>
  <c r="H721" i="17"/>
  <c r="F32" i="23"/>
  <c r="G722" i="17"/>
  <c r="F36" i="23"/>
  <c r="F723" i="17"/>
  <c r="F40" i="23"/>
  <c r="E724" i="17"/>
  <c r="F44" i="23"/>
  <c r="D725" i="17"/>
  <c r="F48" i="23"/>
  <c r="C726" i="17"/>
  <c r="H192" i="24"/>
  <c r="H121" i="46"/>
  <c r="H185"/>
  <c r="B66" i="24"/>
  <c r="F60" i="23"/>
  <c r="I728" i="17"/>
  <c r="F64" i="23"/>
  <c r="H729" i="17"/>
  <c r="F68" i="23"/>
  <c r="G730" i="17"/>
  <c r="F72" i="23"/>
  <c r="F731" i="17"/>
  <c r="F76" i="23"/>
  <c r="E732" i="17"/>
  <c r="F80" i="23"/>
  <c r="G381" i="46"/>
  <c r="H176"/>
  <c r="H224"/>
  <c r="I183"/>
  <c r="G281"/>
  <c r="G198"/>
  <c r="F9" i="44"/>
  <c r="C253" i="46"/>
  <c r="C37" i="44"/>
  <c r="B5"/>
  <c r="B5" i="46"/>
  <c r="D15" i="44"/>
  <c r="C173" i="46"/>
  <c r="F162"/>
  <c r="C73" i="25"/>
  <c r="G3" i="28"/>
  <c r="G175" i="24"/>
  <c r="B30" i="33"/>
  <c r="F112" i="25"/>
  <c r="H114"/>
  <c r="C12" i="28"/>
  <c r="B14" i="38"/>
  <c r="D51" i="23"/>
  <c r="D52"/>
  <c r="D53"/>
  <c r="G10" i="37"/>
  <c r="D59" i="23"/>
  <c r="D60"/>
  <c r="D61"/>
  <c r="G9" i="46"/>
  <c r="D131" i="23"/>
  <c r="D132"/>
  <c r="D133"/>
  <c r="C204" i="20"/>
  <c r="E14" i="23"/>
  <c r="E15"/>
  <c r="A205"/>
  <c r="E59" i="24"/>
  <c r="D780" i="17"/>
  <c r="E67" i="24"/>
  <c r="C781" i="17"/>
  <c r="E75" i="24"/>
  <c r="B782" i="17"/>
  <c r="E83" i="24"/>
  <c r="A783" i="17"/>
  <c r="E91" i="24"/>
  <c r="I783" i="17"/>
  <c r="E99" i="24"/>
  <c r="H784" i="17"/>
  <c r="C212" i="20"/>
  <c r="E22" i="23"/>
  <c r="E23"/>
  <c r="A213"/>
  <c r="H137" i="24"/>
  <c r="E787" i="17"/>
  <c r="H153" i="24"/>
  <c r="D788" i="17"/>
  <c r="H169" i="24"/>
  <c r="C789" i="17"/>
  <c r="H185" i="24"/>
  <c r="B790" i="17"/>
  <c r="H201" i="24"/>
  <c r="A791" i="17"/>
  <c r="H217" i="24"/>
  <c r="I379" i="46"/>
  <c r="H15"/>
  <c r="F33"/>
  <c r="I22"/>
  <c r="G40"/>
  <c r="A30"/>
  <c r="H47"/>
  <c r="B37"/>
  <c r="I54"/>
  <c r="C44"/>
  <c r="A62"/>
  <c r="D51"/>
  <c r="C12"/>
  <c r="E44" i="44"/>
  <c r="A33" i="28"/>
  <c r="F21" i="38"/>
  <c r="F96" i="25"/>
  <c r="F77" i="46"/>
  <c r="D43" i="23"/>
  <c r="D44"/>
  <c r="D45"/>
  <c r="C102" i="46"/>
  <c r="D115" i="23"/>
  <c r="D116"/>
  <c r="D117"/>
  <c r="B159" i="46"/>
  <c r="D123" i="23"/>
  <c r="D124"/>
  <c r="D125"/>
  <c r="C19" i="46"/>
  <c r="C40" i="44"/>
  <c r="F111" i="46"/>
  <c r="E112"/>
  <c r="C106"/>
  <c r="A100"/>
  <c r="I100"/>
  <c r="H101"/>
  <c r="G3" i="38"/>
  <c r="F6" i="46"/>
  <c r="G118"/>
  <c r="F119"/>
  <c r="D113"/>
  <c r="B107"/>
  <c r="A108"/>
  <c r="I108"/>
  <c r="D10" i="35"/>
  <c r="G174" i="46"/>
  <c r="I68"/>
  <c r="H69"/>
  <c r="F63"/>
  <c r="D57"/>
  <c r="C58"/>
  <c r="B59"/>
  <c r="B17" i="38"/>
  <c r="A8" i="29"/>
  <c r="E15" i="33"/>
  <c r="B187" i="23"/>
  <c r="B191"/>
  <c r="B195"/>
  <c r="A6" i="37"/>
  <c r="E11" i="23"/>
  <c r="E12"/>
  <c r="F265" i="46"/>
  <c r="H279"/>
  <c r="A294"/>
  <c r="G189"/>
  <c r="E128"/>
  <c r="D129"/>
  <c r="C130"/>
  <c r="I97"/>
  <c r="A35"/>
  <c r="B147"/>
  <c r="A148"/>
  <c r="H141"/>
  <c r="F135"/>
  <c r="E136"/>
  <c r="D137"/>
  <c r="H154"/>
  <c r="B42"/>
  <c r="C154"/>
  <c r="B155"/>
  <c r="I148"/>
  <c r="G142"/>
  <c r="F143"/>
  <c r="E144"/>
  <c r="H20" i="38"/>
  <c r="C49" i="46"/>
  <c r="D161"/>
  <c r="C162"/>
  <c r="A156"/>
  <c r="H149"/>
  <c r="G150"/>
  <c r="F151"/>
  <c r="E36"/>
  <c r="D56"/>
  <c r="E168"/>
  <c r="D169"/>
  <c r="B163"/>
  <c r="I156"/>
  <c r="H157"/>
  <c r="G158"/>
  <c r="D93"/>
  <c r="E63"/>
  <c r="F175"/>
  <c r="E176"/>
  <c r="C170"/>
  <c r="A164"/>
  <c r="I164"/>
  <c r="H165"/>
  <c r="C150"/>
  <c r="G13"/>
  <c r="H125"/>
  <c r="G126"/>
  <c r="E120"/>
  <c r="C114"/>
  <c r="B115"/>
  <c r="A116"/>
  <c r="E54"/>
  <c r="D2" i="33"/>
  <c r="I178" i="46"/>
  <c r="E3" i="23"/>
  <c r="E4"/>
  <c r="E5"/>
  <c r="C4" i="44"/>
  <c r="E75" i="23"/>
  <c r="E76"/>
  <c r="D362" i="46"/>
  <c r="F376"/>
  <c r="H390"/>
  <c r="A13" i="38"/>
  <c r="F185" i="46"/>
  <c r="F186"/>
  <c r="I188"/>
  <c r="A1" i="25"/>
  <c r="D82" i="46"/>
  <c r="E19" i="38"/>
  <c r="E20"/>
  <c r="E259" i="46"/>
  <c r="G209"/>
  <c r="H216"/>
  <c r="I223"/>
  <c r="F22" i="25"/>
  <c r="E89" i="46"/>
  <c r="E27" i="38"/>
  <c r="E28"/>
  <c r="E21"/>
  <c r="F266" i="46"/>
  <c r="G273"/>
  <c r="H280"/>
  <c r="G43" i="25"/>
  <c r="F96" i="46"/>
  <c r="E9" i="44"/>
  <c r="F10"/>
  <c r="E1"/>
  <c r="E22" i="38"/>
  <c r="E23"/>
  <c r="E24"/>
  <c r="H64" i="25"/>
  <c r="G103" i="46"/>
  <c r="D35" i="44"/>
  <c r="E38"/>
  <c r="A13"/>
  <c r="F2"/>
  <c r="A5"/>
  <c r="B6"/>
  <c r="F86" i="25"/>
  <c r="H110" i="46"/>
  <c r="A5"/>
  <c r="I5"/>
  <c r="E40" i="44"/>
  <c r="B14"/>
  <c r="C15"/>
  <c r="D16"/>
  <c r="G107" i="25"/>
  <c r="A61" i="46"/>
  <c r="I182"/>
  <c r="H183"/>
  <c r="F177"/>
  <c r="D171"/>
  <c r="C172"/>
  <c r="B173"/>
  <c r="A200" i="24"/>
  <c r="H115" i="46"/>
  <c r="D158"/>
  <c r="D17"/>
  <c r="E24"/>
  <c r="F31"/>
  <c r="A14"/>
  <c r="C36" i="20"/>
  <c r="C37"/>
  <c r="E375" i="46"/>
  <c r="G389"/>
  <c r="I403"/>
  <c r="D101"/>
  <c r="H14"/>
  <c r="G15"/>
  <c r="F16"/>
  <c r="F125" i="24"/>
  <c r="C139" i="46"/>
  <c r="E33"/>
  <c r="D34"/>
  <c r="B28"/>
  <c r="I21"/>
  <c r="H22"/>
  <c r="G23"/>
  <c r="F133" i="24"/>
  <c r="D146" i="46"/>
  <c r="F40"/>
  <c r="E41"/>
  <c r="C35"/>
  <c r="A29"/>
  <c r="I29"/>
  <c r="H30"/>
  <c r="F141" i="24"/>
  <c r="E153" i="46"/>
  <c r="G47"/>
  <c r="F48"/>
  <c r="D42"/>
  <c r="B36"/>
  <c r="A37"/>
  <c r="I37"/>
  <c r="F149" i="24"/>
  <c r="F160" i="46"/>
  <c r="H54"/>
  <c r="G55"/>
  <c r="E49"/>
  <c r="C43"/>
  <c r="B44"/>
  <c r="A45"/>
  <c r="F157" i="24"/>
  <c r="G167" i="46"/>
  <c r="I61"/>
  <c r="H62"/>
  <c r="F56"/>
  <c r="D50"/>
  <c r="C51"/>
  <c r="B52"/>
  <c r="F166" i="24"/>
  <c r="I117" i="46"/>
  <c r="B12"/>
  <c r="A13"/>
  <c r="H6"/>
  <c r="E42" i="44"/>
  <c r="D44"/>
  <c r="D2" i="46"/>
  <c r="F109" i="24"/>
  <c r="C95" i="46"/>
  <c r="A175"/>
  <c r="C28" i="20"/>
  <c r="C29"/>
  <c r="C30"/>
  <c r="H13" i="46"/>
  <c r="C100" i="20"/>
  <c r="C101"/>
  <c r="F388" i="46"/>
  <c r="H402"/>
  <c r="D189"/>
  <c r="C132"/>
  <c r="G71"/>
  <c r="F72"/>
  <c r="E73"/>
  <c r="E28" i="25"/>
  <c r="C237" i="46"/>
  <c r="D90"/>
  <c r="C91"/>
  <c r="A85"/>
  <c r="H78"/>
  <c r="G79"/>
  <c r="F80"/>
  <c r="E68" i="25"/>
  <c r="D19" i="38"/>
  <c r="E97" i="46"/>
  <c r="D98"/>
  <c r="B92"/>
  <c r="I85"/>
  <c r="H86"/>
  <c r="G87"/>
  <c r="B9" i="29"/>
  <c r="D27" i="38"/>
  <c r="F104" i="46"/>
  <c r="E105"/>
  <c r="C99"/>
  <c r="A93"/>
  <c r="I93"/>
  <c r="H94"/>
  <c r="E171" i="24"/>
  <c r="D9" i="44"/>
  <c r="G111" i="46"/>
  <c r="F112"/>
  <c r="D106"/>
  <c r="B100"/>
  <c r="A101"/>
  <c r="I101"/>
  <c r="D4" i="25"/>
  <c r="C35" i="44"/>
  <c r="H118" i="46"/>
  <c r="G119"/>
  <c r="E113"/>
  <c r="C107"/>
  <c r="B108"/>
  <c r="A109"/>
  <c r="D68" i="25"/>
  <c r="H174" i="46"/>
  <c r="A69"/>
  <c r="I69"/>
  <c r="G63"/>
  <c r="E57"/>
  <c r="D58"/>
  <c r="C59"/>
  <c r="F195" i="24"/>
  <c r="I111" i="46"/>
  <c r="F184"/>
  <c r="C92" i="20"/>
  <c r="C93"/>
  <c r="C94"/>
  <c r="E118" i="24"/>
  <c r="C164" i="20"/>
  <c r="C165"/>
  <c r="E266" i="46"/>
  <c r="G280"/>
  <c r="I294"/>
  <c r="A132"/>
  <c r="F128"/>
  <c r="E129"/>
  <c r="D130"/>
  <c r="C5" i="25"/>
  <c r="D25" i="46"/>
  <c r="C147"/>
  <c r="B148"/>
  <c r="I141"/>
  <c r="G135"/>
  <c r="F136"/>
  <c r="E137"/>
  <c r="C69" i="25"/>
  <c r="E32" i="46"/>
  <c r="D154"/>
  <c r="C155"/>
  <c r="A149"/>
  <c r="H142"/>
  <c r="G143"/>
  <c r="F144"/>
  <c r="B1" i="30"/>
  <c r="F39" i="46"/>
  <c r="E161"/>
  <c r="D162"/>
  <c r="B156"/>
  <c r="I149"/>
  <c r="H150"/>
  <c r="G151"/>
  <c r="C171" i="24"/>
  <c r="G46" i="46"/>
  <c r="F168"/>
  <c r="E169"/>
  <c r="C163"/>
  <c r="A157"/>
  <c r="I157"/>
  <c r="H158"/>
  <c r="B4" i="25"/>
  <c r="H53" i="46"/>
  <c r="G175"/>
  <c r="F176"/>
  <c r="D170"/>
  <c r="B164"/>
  <c r="A165"/>
  <c r="I165"/>
  <c r="B68" i="25"/>
  <c r="A4" i="46"/>
  <c r="I125"/>
  <c r="H126"/>
  <c r="F120"/>
  <c r="D114"/>
  <c r="C115"/>
  <c r="B116"/>
  <c r="A9" i="29"/>
  <c r="E121" i="46"/>
  <c r="E79" i="25"/>
  <c r="C156" i="20"/>
  <c r="C157"/>
  <c r="C158"/>
  <c r="C118" i="24"/>
  <c r="C228" i="20"/>
  <c r="C229"/>
  <c r="E361" i="46"/>
  <c r="G375"/>
  <c r="E383"/>
  <c r="H26" i="38"/>
  <c r="G2" i="46"/>
  <c r="F7" i="44"/>
  <c r="H9" i="46"/>
  <c r="E37" i="44"/>
  <c r="I16" i="46"/>
  <c r="C6"/>
  <c r="A24"/>
  <c r="D13"/>
  <c r="B31"/>
  <c r="E20"/>
  <c r="H22" i="38"/>
  <c r="F290" i="46"/>
  <c r="A26" i="28"/>
  <c r="C14" i="37"/>
  <c r="D78" i="24"/>
  <c r="F27" i="28"/>
  <c r="G187" i="24"/>
  <c r="G189"/>
  <c r="G191"/>
  <c r="B23" i="37"/>
  <c r="F1" i="22"/>
  <c r="E2"/>
  <c r="E3"/>
  <c r="C96" i="46"/>
  <c r="E9" i="22"/>
  <c r="E10"/>
  <c r="E11"/>
  <c r="F125" i="46"/>
  <c r="D67" i="23"/>
  <c r="D68"/>
  <c r="D69"/>
  <c r="C131" i="46"/>
  <c r="B231" i="23"/>
  <c r="B235"/>
  <c r="A141"/>
  <c r="B32"/>
  <c r="E723" i="17"/>
  <c r="B36" i="23"/>
  <c r="D724" i="17"/>
  <c r="B40" i="23"/>
  <c r="C725" i="17"/>
  <c r="B44" i="23"/>
  <c r="B726" i="17"/>
  <c r="B48" i="23"/>
  <c r="A727" i="17"/>
  <c r="B52" i="23"/>
  <c r="I727" i="17"/>
  <c r="A191" i="46"/>
  <c r="E17" i="24"/>
  <c r="E25"/>
  <c r="A149" i="23"/>
  <c r="B64"/>
  <c r="F730" i="17"/>
  <c r="B68" i="23"/>
  <c r="E731" i="17"/>
  <c r="B72" i="23"/>
  <c r="D732" i="17"/>
  <c r="B76" i="23"/>
  <c r="C733" i="17"/>
  <c r="B80" i="23"/>
  <c r="B734" i="17"/>
  <c r="B84" i="23"/>
  <c r="E367" i="46"/>
  <c r="A34" i="28"/>
  <c r="F34"/>
  <c r="H7" i="29"/>
  <c r="E7"/>
  <c r="H2" i="28"/>
  <c r="E3"/>
  <c r="H10"/>
  <c r="E11"/>
  <c r="H18"/>
  <c r="E19"/>
  <c r="H26"/>
  <c r="F10"/>
  <c r="A18"/>
  <c r="A139" i="46"/>
  <c r="C362"/>
  <c r="B223" i="24"/>
  <c r="C15" i="37"/>
  <c r="C3" i="23"/>
  <c r="C4"/>
  <c r="C5"/>
  <c r="F61" i="46"/>
  <c r="C75" i="23"/>
  <c r="C76"/>
  <c r="C77"/>
  <c r="I41" i="46"/>
  <c r="C83" i="23"/>
  <c r="C84"/>
  <c r="C85"/>
  <c r="E115" i="46"/>
  <c r="C155" i="23"/>
  <c r="C156"/>
  <c r="C157"/>
  <c r="E65" i="46"/>
  <c r="D38" i="23"/>
  <c r="D39"/>
  <c r="H234"/>
  <c r="E74" i="24"/>
  <c r="I782" i="17"/>
  <c r="E82" i="24"/>
  <c r="H783" i="17"/>
  <c r="E90" i="24"/>
  <c r="G784" i="17"/>
  <c r="E98" i="24"/>
  <c r="F785" i="17"/>
  <c r="E106" i="24"/>
  <c r="E786" i="17"/>
  <c r="H119" i="24"/>
  <c r="D787" i="17"/>
  <c r="F168" i="24"/>
  <c r="D46" i="23"/>
  <c r="D47"/>
  <c r="H242"/>
  <c r="H167" i="24"/>
  <c r="A790" i="17"/>
  <c r="H183" i="24"/>
  <c r="I790" i="17"/>
  <c r="H199" i="24"/>
  <c r="H791" i="17"/>
  <c r="H215" i="24"/>
  <c r="G792" i="17"/>
  <c r="H231" i="24"/>
  <c r="F793" i="17"/>
  <c r="F3" i="25"/>
  <c r="E794" i="17"/>
  <c r="G4" i="28"/>
  <c r="H1" i="31"/>
  <c r="G12" i="28"/>
  <c r="A1" i="31"/>
  <c r="G20" i="28"/>
  <c r="C2" i="32"/>
  <c r="G28" i="28"/>
  <c r="B3" i="31"/>
  <c r="G1" i="29"/>
  <c r="F3" i="30"/>
  <c r="F9" i="29"/>
  <c r="E27" i="28"/>
  <c r="H34"/>
  <c r="C137" i="46"/>
  <c r="E360"/>
  <c r="D11" i="22"/>
  <c r="H1" i="37"/>
  <c r="C67" i="23"/>
  <c r="C68"/>
  <c r="C69"/>
  <c r="F44" i="44"/>
  <c r="C139" i="23"/>
  <c r="C140"/>
  <c r="C141"/>
  <c r="F58" i="46"/>
  <c r="C147" i="23"/>
  <c r="C148"/>
  <c r="C149"/>
  <c r="A125" i="46"/>
  <c r="A208"/>
  <c r="D109" i="25"/>
  <c r="E221" i="24"/>
  <c r="E222"/>
  <c r="E215"/>
  <c r="E208"/>
  <c r="E209"/>
  <c r="E210"/>
  <c r="I264" i="46"/>
  <c r="D3" i="28"/>
  <c r="E229" i="24"/>
  <c r="E230"/>
  <c r="E223"/>
  <c r="E216"/>
  <c r="E217"/>
  <c r="E218"/>
  <c r="A322" i="46"/>
  <c r="D61" i="25"/>
  <c r="E173" i="24"/>
  <c r="E174"/>
  <c r="E167"/>
  <c r="E160"/>
  <c r="E161"/>
  <c r="E162"/>
  <c r="B29" i="28"/>
  <c r="E14" i="33"/>
  <c r="G69" i="25"/>
  <c r="F72"/>
  <c r="H74"/>
  <c r="A5" i="37"/>
  <c r="D35" i="23"/>
  <c r="D36"/>
  <c r="H263" i="46"/>
  <c r="A278"/>
  <c r="C292"/>
  <c r="F249"/>
  <c r="D16" i="25"/>
  <c r="D9"/>
  <c r="D10"/>
  <c r="D11"/>
  <c r="F370" i="46"/>
  <c r="D125" i="24"/>
  <c r="D30" i="25"/>
  <c r="D31"/>
  <c r="D24"/>
  <c r="D17"/>
  <c r="D18"/>
  <c r="D19"/>
  <c r="H199" i="46"/>
  <c r="D133" i="24"/>
  <c r="D38" i="25"/>
  <c r="D39"/>
  <c r="D32"/>
  <c r="D25"/>
  <c r="D26"/>
  <c r="D27"/>
  <c r="G256" i="46"/>
  <c r="D141" i="24"/>
  <c r="D46" i="25"/>
  <c r="D47"/>
  <c r="D40"/>
  <c r="D33"/>
  <c r="D34"/>
  <c r="D35"/>
  <c r="F313" i="46"/>
  <c r="D149" i="24"/>
  <c r="D54" i="25"/>
  <c r="D55"/>
  <c r="D48"/>
  <c r="D41"/>
  <c r="D42"/>
  <c r="D43"/>
  <c r="E370" i="46"/>
  <c r="D157" i="24"/>
  <c r="D62" i="25"/>
  <c r="D63"/>
  <c r="D56"/>
  <c r="D49"/>
  <c r="D50"/>
  <c r="D51"/>
  <c r="H321" i="46"/>
  <c r="B25" i="28"/>
  <c r="D6" i="25"/>
  <c r="D7"/>
  <c r="E231" i="24"/>
  <c r="E224"/>
  <c r="E225"/>
  <c r="E226"/>
  <c r="F13" i="33"/>
  <c r="H171" i="46"/>
  <c r="D27" i="23"/>
  <c r="D28"/>
  <c r="D29"/>
  <c r="B3" i="44"/>
  <c r="D99" i="23"/>
  <c r="D100"/>
  <c r="E353" i="46"/>
  <c r="G367"/>
  <c r="I381"/>
  <c r="C339"/>
  <c r="D185"/>
  <c r="C186"/>
  <c r="D188"/>
  <c r="F114"/>
  <c r="F232"/>
  <c r="D2" i="44"/>
  <c r="E3"/>
  <c r="G257" i="46"/>
  <c r="I207"/>
  <c r="A215"/>
  <c r="B222"/>
  <c r="E171"/>
  <c r="E289"/>
  <c r="F12" i="44"/>
  <c r="A15"/>
  <c r="F4"/>
  <c r="H264" i="46"/>
  <c r="I271"/>
  <c r="A279"/>
  <c r="E10"/>
  <c r="D346"/>
  <c r="C42" i="44"/>
  <c r="F43"/>
  <c r="B16"/>
  <c r="A7"/>
  <c r="B8"/>
  <c r="C9"/>
  <c r="D67" i="46"/>
  <c r="C403"/>
  <c r="E7"/>
  <c r="D8"/>
  <c r="B2"/>
  <c r="C17" i="44"/>
  <c r="D18"/>
  <c r="E36"/>
  <c r="C124" i="46"/>
  <c r="H245"/>
  <c r="F14"/>
  <c r="E15"/>
  <c r="C9"/>
  <c r="A3"/>
  <c r="I3"/>
  <c r="H4"/>
  <c r="B181"/>
  <c r="G77"/>
  <c r="G182"/>
  <c r="F183"/>
  <c r="D177"/>
  <c r="B171"/>
  <c r="A172"/>
  <c r="I172"/>
  <c r="C41" i="44"/>
  <c r="F165" i="46"/>
  <c r="F164"/>
  <c r="E67" i="23"/>
  <c r="E68"/>
  <c r="E69"/>
  <c r="C20" i="46"/>
  <c r="E139" i="23"/>
  <c r="E140"/>
  <c r="F366" i="46"/>
  <c r="H380"/>
  <c r="A395"/>
  <c r="D352"/>
  <c r="D24"/>
  <c r="C25"/>
  <c r="B26"/>
  <c r="B124"/>
  <c r="G245"/>
  <c r="A43"/>
  <c r="I43"/>
  <c r="G37"/>
  <c r="E31"/>
  <c r="D32"/>
  <c r="C33"/>
  <c r="A181"/>
  <c r="F302"/>
  <c r="B50"/>
  <c r="A51"/>
  <c r="H44"/>
  <c r="F38"/>
  <c r="E39"/>
  <c r="D40"/>
  <c r="C10"/>
  <c r="E359"/>
  <c r="C57"/>
  <c r="B58"/>
  <c r="I51"/>
  <c r="G45"/>
  <c r="F46"/>
  <c r="E47"/>
  <c r="B67"/>
  <c r="A202"/>
  <c r="D64"/>
  <c r="C65"/>
  <c r="A59"/>
  <c r="H52"/>
  <c r="G53"/>
  <c r="F54"/>
  <c r="A124"/>
  <c r="I258"/>
  <c r="E53" i="25"/>
  <c r="F165" i="24"/>
  <c r="B66" i="46"/>
  <c r="I59"/>
  <c r="H60"/>
  <c r="G61"/>
  <c r="I180"/>
  <c r="G302"/>
  <c r="G21"/>
  <c r="F22"/>
  <c r="D16"/>
  <c r="B10"/>
  <c r="A11"/>
  <c r="I11"/>
  <c r="D10"/>
  <c r="E101"/>
  <c r="C181"/>
  <c r="E131" i="23"/>
  <c r="E132"/>
  <c r="E133"/>
  <c r="A20" i="46"/>
  <c r="E203" i="23"/>
  <c r="E204"/>
  <c r="G379" i="46"/>
  <c r="I393"/>
  <c r="B408"/>
  <c r="E365"/>
  <c r="F183" i="24"/>
  <c r="F176"/>
  <c r="F177"/>
  <c r="F178"/>
  <c r="H258" i="46"/>
  <c r="E85" i="25"/>
  <c r="F197" i="24"/>
  <c r="F198"/>
  <c r="F191"/>
  <c r="F184"/>
  <c r="F185"/>
  <c r="F186"/>
  <c r="G315" i="46"/>
  <c r="E93" i="25"/>
  <c r="F205" i="24"/>
  <c r="F206"/>
  <c r="F199"/>
  <c r="F192"/>
  <c r="F193"/>
  <c r="F194"/>
  <c r="F372" i="46"/>
  <c r="E101" i="25"/>
  <c r="F213" i="24"/>
  <c r="F214"/>
  <c r="F207"/>
  <c r="F200"/>
  <c r="F201"/>
  <c r="F202"/>
  <c r="H201" i="46"/>
  <c r="E109" i="25"/>
  <c r="F221" i="24"/>
  <c r="F222"/>
  <c r="F215"/>
  <c r="F208"/>
  <c r="F209"/>
  <c r="F210"/>
  <c r="G258" i="46"/>
  <c r="B4" i="28"/>
  <c r="F229" i="24"/>
  <c r="F230"/>
  <c r="F223"/>
  <c r="F216"/>
  <c r="F217"/>
  <c r="F218"/>
  <c r="H315" i="46"/>
  <c r="E61" i="25"/>
  <c r="F173" i="24"/>
  <c r="F174"/>
  <c r="A67" i="46"/>
  <c r="I67"/>
  <c r="H68"/>
  <c r="I19"/>
  <c r="B118"/>
  <c r="B198"/>
  <c r="E195" i="23"/>
  <c r="E196"/>
  <c r="E197"/>
  <c r="E117" i="24"/>
  <c r="D12"/>
  <c r="D13"/>
  <c r="F257" i="46"/>
  <c r="H271"/>
  <c r="A286"/>
  <c r="D243"/>
  <c r="E16" i="25"/>
  <c r="E9"/>
  <c r="E10"/>
  <c r="E11"/>
  <c r="D364" i="46"/>
  <c r="E124" i="24"/>
  <c r="E30" i="25"/>
  <c r="E31"/>
  <c r="E24"/>
  <c r="E17"/>
  <c r="E18"/>
  <c r="E19"/>
  <c r="F193" i="46"/>
  <c r="E132" i="24"/>
  <c r="E38" i="25"/>
  <c r="E39"/>
  <c r="E32"/>
  <c r="E25"/>
  <c r="E26"/>
  <c r="E27"/>
  <c r="E250" i="46"/>
  <c r="E140" i="24"/>
  <c r="E46" i="25"/>
  <c r="E47"/>
  <c r="E40"/>
  <c r="E33"/>
  <c r="E34"/>
  <c r="E35"/>
  <c r="D307" i="46"/>
  <c r="E148" i="24"/>
  <c r="E54" i="25"/>
  <c r="E55"/>
  <c r="E48"/>
  <c r="E41"/>
  <c r="E42"/>
  <c r="E43"/>
  <c r="C364" i="46"/>
  <c r="E156" i="24"/>
  <c r="E62" i="25"/>
  <c r="E63"/>
  <c r="E56"/>
  <c r="E49"/>
  <c r="E50"/>
  <c r="E51"/>
  <c r="F315" i="46"/>
  <c r="C25" i="28"/>
  <c r="E6" i="25"/>
  <c r="E7"/>
  <c r="F231" i="24"/>
  <c r="F224"/>
  <c r="F225"/>
  <c r="F226"/>
  <c r="G127" i="46"/>
  <c r="E78" i="25"/>
  <c r="D4" i="24"/>
  <c r="D5"/>
  <c r="D6"/>
  <c r="C117"/>
  <c r="D76"/>
  <c r="D77"/>
  <c r="G359" i="46"/>
  <c r="I373"/>
  <c r="C369"/>
  <c r="C112" i="24"/>
  <c r="B21" i="25"/>
  <c r="C120" i="24"/>
  <c r="B29" i="25"/>
  <c r="C128" i="24"/>
  <c r="B37" i="25"/>
  <c r="C136" i="24"/>
  <c r="B45" i="25"/>
  <c r="C144" i="24"/>
  <c r="B53" i="25"/>
  <c r="C152" i="24"/>
  <c r="C228"/>
  <c r="D16" i="28"/>
  <c r="F18"/>
  <c r="E110" i="46"/>
  <c r="C102" i="24"/>
  <c r="F28" i="33"/>
  <c r="F5" i="25"/>
  <c r="H7"/>
  <c r="G10"/>
  <c r="C18" i="38"/>
  <c r="C11" i="23"/>
  <c r="C12"/>
  <c r="C13"/>
  <c r="D15" i="37"/>
  <c r="C19" i="23"/>
  <c r="C20"/>
  <c r="C21"/>
  <c r="H98" i="46"/>
  <c r="C91" i="23"/>
  <c r="C92"/>
  <c r="C93"/>
  <c r="D66" i="46"/>
  <c r="H98" i="25"/>
  <c r="G101"/>
  <c r="H170" i="23"/>
  <c r="F39"/>
  <c r="A726" i="17"/>
  <c r="F43" i="23"/>
  <c r="I726" i="17"/>
  <c r="F47" i="23"/>
  <c r="H727" i="17"/>
  <c r="F51" i="23"/>
  <c r="G728" i="17"/>
  <c r="F55" i="23"/>
  <c r="F729" i="17"/>
  <c r="F59" i="23"/>
  <c r="E730" i="17"/>
  <c r="F169" i="24"/>
  <c r="C28" i="28"/>
  <c r="F2" i="21"/>
  <c r="H178" i="23"/>
  <c r="F71"/>
  <c r="B733" i="17"/>
  <c r="F75" i="23"/>
  <c r="A734" i="17"/>
  <c r="F79" i="23"/>
  <c r="I734" i="17"/>
  <c r="F83" i="23"/>
  <c r="H735" i="17"/>
  <c r="F87" i="23"/>
  <c r="G736" i="17"/>
  <c r="F91" i="23"/>
  <c r="F737" i="17"/>
  <c r="I175" i="46"/>
  <c r="E82"/>
  <c r="A183"/>
  <c r="F89"/>
  <c r="D196"/>
  <c r="G96"/>
  <c r="B246"/>
  <c r="H103"/>
  <c r="A4" i="44"/>
  <c r="I110" i="46"/>
  <c r="C14" i="44"/>
  <c r="B61" i="46"/>
  <c r="G161"/>
  <c r="F1" i="25"/>
  <c r="C16" i="33"/>
  <c r="H52" i="25"/>
  <c r="F373" i="46"/>
  <c r="A46" i="24"/>
  <c r="A47"/>
  <c r="A48"/>
  <c r="A49"/>
  <c r="H48"/>
  <c r="H128"/>
  <c r="H130"/>
  <c r="H132"/>
  <c r="G116"/>
  <c r="H144"/>
  <c r="H146"/>
  <c r="H148"/>
  <c r="G94" i="25"/>
  <c r="G76"/>
  <c r="F79"/>
  <c r="H81"/>
  <c r="C62" i="23"/>
  <c r="C63"/>
  <c r="G255"/>
  <c r="C112"/>
  <c r="I781" i="17"/>
  <c r="C114" i="23"/>
  <c r="H782" i="17"/>
  <c r="C120" i="23"/>
  <c r="G783" i="17"/>
  <c r="C122" i="23"/>
  <c r="F784" i="17"/>
  <c r="C128" i="23"/>
  <c r="E785" i="17"/>
  <c r="C130" i="23"/>
  <c r="D786" i="17"/>
  <c r="C136" i="23"/>
  <c r="C70"/>
  <c r="C71"/>
  <c r="F8" i="24"/>
  <c r="C144" i="23"/>
  <c r="A789" i="17"/>
  <c r="C146" i="23"/>
  <c r="I789" i="17"/>
  <c r="C152" i="23"/>
  <c r="H790" i="17"/>
  <c r="C154" i="23"/>
  <c r="G791" i="17"/>
  <c r="C160" i="23"/>
  <c r="F792" i="17"/>
  <c r="C162" i="23"/>
  <c r="E793" i="17"/>
  <c r="I14" i="46"/>
  <c r="D139"/>
  <c r="A22"/>
  <c r="E146"/>
  <c r="B29"/>
  <c r="F153"/>
  <c r="C36"/>
  <c r="G160"/>
  <c r="D43"/>
  <c r="H167"/>
  <c r="E50"/>
  <c r="A118"/>
  <c r="F42" i="44"/>
  <c r="C2" i="25"/>
  <c r="A19" i="37"/>
  <c r="A40" i="24"/>
  <c r="A41"/>
  <c r="A239" i="23"/>
  <c r="H112" i="24"/>
  <c r="H114"/>
  <c r="H116"/>
  <c r="G77"/>
  <c r="H33" i="25"/>
  <c r="G36"/>
  <c r="F39"/>
  <c r="B174" i="24"/>
  <c r="F55" i="25"/>
  <c r="H57"/>
  <c r="G60"/>
  <c r="C206" i="46"/>
  <c r="B109" i="25"/>
  <c r="C221" i="24"/>
  <c r="C222"/>
  <c r="C215"/>
  <c r="C208"/>
  <c r="C209"/>
  <c r="C210"/>
  <c r="B263" i="46"/>
  <c r="B3" i="28"/>
  <c r="C229" i="24"/>
  <c r="C230"/>
  <c r="C223"/>
  <c r="C216"/>
  <c r="C217"/>
  <c r="C218"/>
  <c r="C320" i="46"/>
  <c r="B61" i="25"/>
  <c r="C173" i="24"/>
  <c r="C174"/>
  <c r="C167"/>
  <c r="C160"/>
  <c r="C161"/>
  <c r="C162"/>
  <c r="C26" i="28"/>
  <c r="H67" i="46"/>
  <c r="E1" i="22"/>
  <c r="D2"/>
  <c r="D3"/>
  <c r="G4" i="38"/>
  <c r="C59" i="23"/>
  <c r="C60"/>
  <c r="A262" i="46"/>
  <c r="C276"/>
  <c r="E290"/>
  <c r="H247"/>
  <c r="B16" i="25"/>
  <c r="B9"/>
  <c r="B10"/>
  <c r="B11"/>
  <c r="H368" i="46"/>
  <c r="A17" i="25"/>
  <c r="B30"/>
  <c r="B31"/>
  <c r="B24"/>
  <c r="B17"/>
  <c r="B18"/>
  <c r="B19"/>
  <c r="A198" i="46"/>
  <c r="A25" i="25"/>
  <c r="B38"/>
  <c r="B39"/>
  <c r="B32"/>
  <c r="B25"/>
  <c r="B26"/>
  <c r="B27"/>
  <c r="I254" i="46"/>
  <c r="A33" i="25"/>
  <c r="B46"/>
  <c r="B47"/>
  <c r="B40"/>
  <c r="B33"/>
  <c r="B34"/>
  <c r="B35"/>
  <c r="H311" i="46"/>
  <c r="A41" i="25"/>
  <c r="B54"/>
  <c r="B55"/>
  <c r="B48"/>
  <c r="B41"/>
  <c r="B42"/>
  <c r="B43"/>
  <c r="G368" i="46"/>
  <c r="A49" i="25"/>
  <c r="B62"/>
  <c r="B63"/>
  <c r="B56"/>
  <c r="B49"/>
  <c r="B50"/>
  <c r="B51"/>
  <c r="A320" i="46"/>
  <c r="C24" i="28"/>
  <c r="B6" i="25"/>
  <c r="B7"/>
  <c r="C231" i="24"/>
  <c r="C224"/>
  <c r="C225"/>
  <c r="C226"/>
  <c r="A12" i="33"/>
  <c r="F13" i="46"/>
  <c r="C51" i="23"/>
  <c r="C52"/>
  <c r="C53"/>
  <c r="C94" i="46"/>
  <c r="C123" i="23"/>
  <c r="C124"/>
  <c r="H358" i="46"/>
  <c r="A373"/>
  <c r="C387"/>
  <c r="F344"/>
  <c r="D80" i="25"/>
  <c r="D73"/>
  <c r="D74"/>
  <c r="D75"/>
  <c r="I237" i="46"/>
  <c r="D189" i="24"/>
  <c r="D94" i="25"/>
  <c r="D95"/>
  <c r="D88"/>
  <c r="D81"/>
  <c r="D82"/>
  <c r="D83"/>
  <c r="H294" i="46"/>
  <c r="D197" i="24"/>
  <c r="D102" i="25"/>
  <c r="D103"/>
  <c r="D96"/>
  <c r="D89"/>
  <c r="D90"/>
  <c r="D91"/>
  <c r="G351" i="46"/>
  <c r="D205" i="24"/>
  <c r="D110" i="25"/>
  <c r="D111"/>
  <c r="D104"/>
  <c r="D97"/>
  <c r="D98"/>
  <c r="D99"/>
  <c r="F408" i="46"/>
  <c r="D213" i="24"/>
  <c r="C6" i="28"/>
  <c r="B9"/>
  <c r="D112" i="25"/>
  <c r="D105"/>
  <c r="D106"/>
  <c r="D107"/>
  <c r="B251" i="46"/>
  <c r="D221" i="24"/>
  <c r="D27" i="28"/>
  <c r="C30"/>
  <c r="D11"/>
  <c r="D113" i="25"/>
  <c r="D114"/>
  <c r="D115"/>
  <c r="A83" i="46"/>
  <c r="D165" i="24"/>
  <c r="D70" i="25"/>
  <c r="D71"/>
  <c r="D64"/>
  <c r="D57"/>
  <c r="D58"/>
  <c r="D59"/>
  <c r="C18" i="37"/>
  <c r="G163" i="46"/>
  <c r="D91" i="23"/>
  <c r="D92"/>
  <c r="D93"/>
  <c r="D19" i="46"/>
  <c r="D163" i="23"/>
  <c r="D164"/>
  <c r="I371" i="46"/>
  <c r="B386"/>
  <c r="D400"/>
  <c r="G357"/>
  <c r="D120" i="24"/>
  <c r="D113"/>
  <c r="D114"/>
  <c r="D115"/>
  <c r="A251" i="46"/>
  <c r="C22" i="25"/>
  <c r="D134" i="24"/>
  <c r="D135"/>
  <c r="D128"/>
  <c r="D121"/>
  <c r="D122"/>
  <c r="D123"/>
  <c r="I307" i="46"/>
  <c r="C30" i="25"/>
  <c r="D142" i="24"/>
  <c r="D143"/>
  <c r="D136"/>
  <c r="D129"/>
  <c r="D130"/>
  <c r="D131"/>
  <c r="H364" i="46"/>
  <c r="C38" i="25"/>
  <c r="D150" i="24"/>
  <c r="D151"/>
  <c r="D144"/>
  <c r="D137"/>
  <c r="D138"/>
  <c r="D139"/>
  <c r="D207" i="46"/>
  <c r="C46" i="25"/>
  <c r="D158" i="24"/>
  <c r="D159"/>
  <c r="D152"/>
  <c r="D145"/>
  <c r="D146"/>
  <c r="D147"/>
  <c r="C264" i="46"/>
  <c r="C54" i="25"/>
  <c r="D166" i="24"/>
  <c r="D167"/>
  <c r="D160"/>
  <c r="D153"/>
  <c r="D154"/>
  <c r="D155"/>
  <c r="A308" i="46"/>
  <c r="D229" i="24"/>
  <c r="D110"/>
  <c r="D111"/>
  <c r="B33" i="28"/>
  <c r="C14"/>
  <c r="B17"/>
  <c r="D19"/>
  <c r="G107" i="46"/>
  <c r="D180"/>
  <c r="D155" i="23"/>
  <c r="D156"/>
  <c r="D157"/>
  <c r="B19" i="46"/>
  <c r="D227" i="23"/>
  <c r="D228"/>
  <c r="A385" i="46"/>
  <c r="C399"/>
  <c r="E413"/>
  <c r="H370"/>
  <c r="D184" i="24"/>
  <c r="D177"/>
  <c r="D178"/>
  <c r="D179"/>
  <c r="B264" i="46"/>
  <c r="C86" i="25"/>
  <c r="D198" i="24"/>
  <c r="D199"/>
  <c r="D192"/>
  <c r="D185"/>
  <c r="D186"/>
  <c r="D187"/>
  <c r="A321" i="46"/>
  <c r="C94" i="25"/>
  <c r="D206" i="24"/>
  <c r="D207"/>
  <c r="D200"/>
  <c r="D193"/>
  <c r="D194"/>
  <c r="D195"/>
  <c r="I377" i="46"/>
  <c r="C102" i="25"/>
  <c r="D214" i="24"/>
  <c r="D215"/>
  <c r="D208"/>
  <c r="D201"/>
  <c r="D202"/>
  <c r="D203"/>
  <c r="B207" i="46"/>
  <c r="C110" i="25"/>
  <c r="D222" i="24"/>
  <c r="D223"/>
  <c r="D216"/>
  <c r="D209"/>
  <c r="D210"/>
  <c r="D211"/>
  <c r="A264" i="46"/>
  <c r="B6" i="28"/>
  <c r="D230" i="24"/>
  <c r="D231"/>
  <c r="D224"/>
  <c r="D217"/>
  <c r="D218"/>
  <c r="D219"/>
  <c r="B321" i="46"/>
  <c r="C62" i="25"/>
  <c r="D174" i="24"/>
  <c r="D175"/>
  <c r="D168"/>
  <c r="D161"/>
  <c r="D162"/>
  <c r="D163"/>
  <c r="D124" i="46"/>
  <c r="H195"/>
  <c r="D219" i="23"/>
  <c r="D220"/>
  <c r="D221"/>
  <c r="D5" i="25"/>
  <c r="C36" i="24"/>
  <c r="C37"/>
  <c r="I262" i="46"/>
  <c r="B277"/>
  <c r="D291"/>
  <c r="G248"/>
  <c r="C17" i="25"/>
  <c r="C10"/>
  <c r="C11"/>
  <c r="C12"/>
  <c r="G369" i="46"/>
  <c r="C124" i="24"/>
  <c r="C31" i="25"/>
  <c r="C32"/>
  <c r="C25"/>
  <c r="C18"/>
  <c r="C19"/>
  <c r="C20"/>
  <c r="I198" i="46"/>
  <c r="C132" i="24"/>
  <c r="C39" i="25"/>
  <c r="C40"/>
  <c r="C33"/>
  <c r="C26"/>
  <c r="C27"/>
  <c r="C28"/>
  <c r="H255" i="46"/>
  <c r="C140" i="24"/>
  <c r="C47" i="25"/>
  <c r="C48"/>
  <c r="C41"/>
  <c r="C34"/>
  <c r="C35"/>
  <c r="C36"/>
  <c r="G312" i="46"/>
  <c r="C148" i="24"/>
  <c r="C55" i="25"/>
  <c r="C56"/>
  <c r="C49"/>
  <c r="C42"/>
  <c r="C43"/>
  <c r="C44"/>
  <c r="F369" i="46"/>
  <c r="C156" i="24"/>
  <c r="C63" i="25"/>
  <c r="C64"/>
  <c r="C57"/>
  <c r="C50"/>
  <c r="C51"/>
  <c r="C52"/>
  <c r="I320" i="46"/>
  <c r="C27" i="28"/>
  <c r="C7" i="25"/>
  <c r="C8"/>
  <c r="D1"/>
  <c r="D225" i="24"/>
  <c r="D226"/>
  <c r="D227"/>
  <c r="I133" i="46"/>
  <c r="E172" i="24"/>
  <c r="C28"/>
  <c r="C29"/>
  <c r="C30"/>
  <c r="B5" i="25"/>
  <c r="C100" i="24"/>
  <c r="C101"/>
  <c r="I357" i="46"/>
  <c r="B372"/>
  <c r="D386"/>
  <c r="H25" i="38"/>
  <c r="E108" i="46"/>
  <c r="E6" i="44"/>
  <c r="F115" i="46"/>
  <c r="A18" i="44"/>
  <c r="G122" i="46"/>
  <c r="D5"/>
  <c r="H129"/>
  <c r="E12"/>
  <c r="I136"/>
  <c r="F19"/>
  <c r="B87"/>
  <c r="E283"/>
  <c r="C3" i="25"/>
  <c r="F61" i="24"/>
  <c r="A143"/>
  <c r="D375" i="46"/>
  <c r="H68" i="25"/>
  <c r="G71"/>
  <c r="F74"/>
  <c r="D373" i="46"/>
  <c r="A54" i="24"/>
  <c r="A55"/>
  <c r="A56"/>
  <c r="A57"/>
  <c r="A70"/>
  <c r="A63"/>
  <c r="A64"/>
  <c r="A65"/>
  <c r="G17" i="25"/>
  <c r="H160" i="24"/>
  <c r="H162"/>
  <c r="H164"/>
  <c r="D12" i="22"/>
  <c r="D13"/>
  <c r="G191" i="23"/>
  <c r="C89" i="24"/>
  <c r="A725" i="17"/>
  <c r="C91" i="24"/>
  <c r="I725" i="17"/>
  <c r="C97" i="24"/>
  <c r="H726" i="17"/>
  <c r="C99" i="24"/>
  <c r="G727" i="17"/>
  <c r="C105" i="24"/>
  <c r="F728" i="17"/>
  <c r="C107" i="24"/>
  <c r="E729" i="17"/>
  <c r="B117" i="24"/>
  <c r="C6" i="23"/>
  <c r="C7"/>
  <c r="G199"/>
  <c r="B133" i="24"/>
  <c r="B732" i="17"/>
  <c r="B137" i="24"/>
  <c r="A733" i="17"/>
  <c r="B149" i="24"/>
  <c r="I733" i="17"/>
  <c r="B153" i="24"/>
  <c r="H734" i="17"/>
  <c r="B165" i="24"/>
  <c r="G735" i="17"/>
  <c r="B169" i="24"/>
  <c r="F736" i="17"/>
  <c r="H6" i="29"/>
  <c r="C235" i="46"/>
  <c r="A2" i="33"/>
  <c r="B292" i="46"/>
  <c r="H9" i="28"/>
  <c r="A349" i="46"/>
  <c r="H17" i="28"/>
  <c r="I405" i="46"/>
  <c r="H25" i="28"/>
  <c r="E248" i="46"/>
  <c r="H33" i="28"/>
  <c r="D80" i="46"/>
  <c r="A25" i="28"/>
  <c r="F14" i="33"/>
  <c r="A127" i="24"/>
  <c r="H18"/>
  <c r="H19"/>
  <c r="D6" i="44"/>
  <c r="H89" i="24"/>
  <c r="H90"/>
  <c r="H91"/>
  <c r="G2" i="38"/>
  <c r="G214" i="24"/>
  <c r="G216"/>
  <c r="G218"/>
  <c r="D9" i="35"/>
  <c r="G230" i="24"/>
  <c r="G1" i="25"/>
  <c r="F4"/>
  <c r="C39" i="44"/>
  <c r="H13" i="23"/>
  <c r="H14"/>
  <c r="H15"/>
  <c r="A186"/>
  <c r="A106" i="24"/>
  <c r="H5" i="35"/>
  <c r="F10" i="37"/>
  <c r="G782" i="17"/>
  <c r="F405"/>
  <c r="F783"/>
  <c r="E406"/>
  <c r="E784"/>
  <c r="D407"/>
  <c r="D785"/>
  <c r="C408"/>
  <c r="C786"/>
  <c r="B409"/>
  <c r="B787"/>
  <c r="A410"/>
  <c r="A194" i="23"/>
  <c r="H118" i="24"/>
  <c r="C2" i="35"/>
  <c r="H6"/>
  <c r="H789" i="17"/>
  <c r="G412"/>
  <c r="G790"/>
  <c r="F413"/>
  <c r="F791"/>
  <c r="E414"/>
  <c r="E792"/>
  <c r="D415"/>
  <c r="D793"/>
  <c r="C416"/>
  <c r="C794"/>
  <c r="G11" i="28"/>
  <c r="D248" i="46"/>
  <c r="G19" i="28"/>
  <c r="C305" i="46"/>
  <c r="G27" i="28"/>
  <c r="B362" i="46"/>
  <c r="G35" i="28"/>
  <c r="G204" i="46"/>
  <c r="F8" i="29"/>
  <c r="F261" i="46"/>
  <c r="F5" i="28"/>
  <c r="D305" i="46"/>
  <c r="G6" i="29"/>
  <c r="B5" i="32"/>
  <c r="G31" i="25"/>
  <c r="H82" i="24"/>
  <c r="H83"/>
  <c r="E43" i="44"/>
  <c r="G198" i="24"/>
  <c r="G200"/>
  <c r="G202"/>
  <c r="E92" i="46"/>
  <c r="A11" i="22"/>
  <c r="A12"/>
  <c r="A13"/>
  <c r="D149" i="46"/>
  <c r="H5" i="23"/>
  <c r="H6"/>
  <c r="H7"/>
  <c r="E204" i="46"/>
  <c r="D33" i="33"/>
  <c r="E20" i="28"/>
  <c r="E21"/>
  <c r="E14"/>
  <c r="E7"/>
  <c r="E8"/>
  <c r="E9"/>
  <c r="D261" i="46"/>
  <c r="C1" i="33"/>
  <c r="E28" i="28"/>
  <c r="E29"/>
  <c r="E22"/>
  <c r="E15"/>
  <c r="E16"/>
  <c r="E17"/>
  <c r="E318" i="46"/>
  <c r="E2" i="30"/>
  <c r="F19" i="28"/>
  <c r="F20"/>
  <c r="F13"/>
  <c r="F6"/>
  <c r="F7"/>
  <c r="F8"/>
  <c r="G1" i="30"/>
  <c r="E135" i="46"/>
  <c r="A30" i="24"/>
  <c r="A31"/>
  <c r="A32"/>
  <c r="A33"/>
  <c r="A175" i="23"/>
  <c r="A103" i="24"/>
  <c r="C260" i="46"/>
  <c r="E274"/>
  <c r="G288"/>
  <c r="A246"/>
  <c r="D1" i="30"/>
  <c r="D4" i="29"/>
  <c r="D5"/>
  <c r="D6"/>
  <c r="A367" i="46"/>
  <c r="D11" i="33"/>
  <c r="E3" i="31"/>
  <c r="B4" i="32"/>
  <c r="B13" i="33"/>
  <c r="H2" i="30"/>
  <c r="G3" i="31"/>
  <c r="C2"/>
  <c r="C196" i="46"/>
  <c r="A3" i="32"/>
  <c r="B10"/>
  <c r="A10" i="33"/>
  <c r="C10" i="32"/>
  <c r="A24" i="33"/>
  <c r="A146" i="46"/>
  <c r="A2" i="30"/>
  <c r="B253" i="46"/>
  <c r="A1" i="33"/>
  <c r="G1" i="32"/>
  <c r="B2"/>
  <c r="D22" i="33"/>
  <c r="B11"/>
  <c r="H22"/>
  <c r="C3" i="31"/>
  <c r="A310" i="46"/>
  <c r="B14" i="33"/>
  <c r="F1" i="31"/>
  <c r="H2"/>
  <c r="C9" i="32"/>
  <c r="D36" i="33"/>
  <c r="G2" i="30"/>
  <c r="G3"/>
  <c r="I366" i="46"/>
  <c r="H27" i="33"/>
  <c r="E3" i="30"/>
  <c r="E1" i="31"/>
  <c r="E1" i="32"/>
  <c r="F9" i="33"/>
  <c r="D19"/>
  <c r="H35"/>
  <c r="C318" i="46"/>
  <c r="F3" i="35"/>
  <c r="E1" i="29"/>
  <c r="D2"/>
  <c r="E30" i="28"/>
  <c r="E23"/>
  <c r="E24"/>
  <c r="E25"/>
  <c r="B1" i="38"/>
  <c r="H111" i="25"/>
  <c r="A111" i="23"/>
  <c r="A95" i="24"/>
  <c r="A96"/>
  <c r="A97"/>
  <c r="H204" i="23"/>
  <c r="H224" i="24"/>
  <c r="A357" i="46"/>
  <c r="C371"/>
  <c r="E385"/>
  <c r="H342"/>
  <c r="B80" i="25"/>
  <c r="B73"/>
  <c r="B74"/>
  <c r="B75"/>
  <c r="B236" i="46"/>
  <c r="A81" i="25"/>
  <c r="B94"/>
  <c r="B95"/>
  <c r="B88"/>
  <c r="B81"/>
  <c r="B82"/>
  <c r="B83"/>
  <c r="A293" i="46"/>
  <c r="A89" i="25"/>
  <c r="B102"/>
  <c r="B103"/>
  <c r="B96"/>
  <c r="B89"/>
  <c r="B90"/>
  <c r="B91"/>
  <c r="I349" i="46"/>
  <c r="A97" i="25"/>
  <c r="B110"/>
  <c r="B111"/>
  <c r="B104"/>
  <c r="B97"/>
  <c r="B98"/>
  <c r="B99"/>
  <c r="H406" i="46"/>
  <c r="A105" i="25"/>
  <c r="D5" i="28"/>
  <c r="C8"/>
  <c r="B112" i="25"/>
  <c r="B105"/>
  <c r="B106"/>
  <c r="B107"/>
  <c r="D249" i="46"/>
  <c r="A113" i="25"/>
  <c r="B27" i="28"/>
  <c r="D29"/>
  <c r="B11"/>
  <c r="B113" i="25"/>
  <c r="B114"/>
  <c r="B115"/>
  <c r="C81" i="46"/>
  <c r="A57" i="25"/>
  <c r="B70"/>
  <c r="B71"/>
  <c r="B64"/>
  <c r="B57"/>
  <c r="B58"/>
  <c r="B59"/>
  <c r="C17" i="37"/>
  <c r="D37" i="46"/>
  <c r="C115" i="23"/>
  <c r="C116"/>
  <c r="C117"/>
  <c r="B125" i="46"/>
  <c r="C187" i="23"/>
  <c r="C188"/>
  <c r="B370" i="46"/>
  <c r="D384"/>
  <c r="F398"/>
  <c r="I355"/>
  <c r="A12" i="25"/>
  <c r="A5"/>
  <c r="A6"/>
  <c r="A7"/>
  <c r="C249" i="46"/>
  <c r="B10" i="29"/>
  <c r="A26" i="25"/>
  <c r="A27"/>
  <c r="A20"/>
  <c r="A13"/>
  <c r="A14"/>
  <c r="A15"/>
  <c r="B306" i="46"/>
  <c r="B18" i="28"/>
  <c r="A34" i="25"/>
  <c r="A35"/>
  <c r="A28"/>
  <c r="A21"/>
  <c r="A22"/>
  <c r="A23"/>
  <c r="A363" i="46"/>
  <c r="A2" i="29"/>
  <c r="A42" i="25"/>
  <c r="A43"/>
  <c r="A36"/>
  <c r="A29"/>
  <c r="A30"/>
  <c r="A31"/>
  <c r="F205" i="46"/>
  <c r="A6" i="28"/>
  <c r="A50" i="25"/>
  <c r="A51"/>
  <c r="A44"/>
  <c r="A37"/>
  <c r="A38"/>
  <c r="A39"/>
  <c r="E262" i="46"/>
  <c r="A14" i="28"/>
  <c r="A58" i="25"/>
  <c r="A59"/>
  <c r="A52"/>
  <c r="A45"/>
  <c r="A46"/>
  <c r="A47"/>
  <c r="C306" i="46"/>
  <c r="C13" i="28"/>
  <c r="A2" i="25"/>
  <c r="A3"/>
  <c r="C32" i="28"/>
  <c r="D13"/>
  <c r="C16"/>
  <c r="B19"/>
  <c r="H106" i="46"/>
  <c r="C68"/>
  <c r="C179" i="23"/>
  <c r="C180"/>
  <c r="C181"/>
  <c r="I124" i="46"/>
  <c r="C251" i="23"/>
  <c r="C252"/>
  <c r="C383" i="46"/>
  <c r="E397"/>
  <c r="G411"/>
  <c r="A369"/>
  <c r="A76" i="25"/>
  <c r="A69"/>
  <c r="A70"/>
  <c r="A71"/>
  <c r="D262" i="46"/>
  <c r="H1" i="30"/>
  <c r="A90" i="25"/>
  <c r="A91"/>
  <c r="A84"/>
  <c r="A77"/>
  <c r="A78"/>
  <c r="A79"/>
  <c r="C319" i="46"/>
  <c r="H6" i="28"/>
  <c r="A98" i="25"/>
  <c r="A99"/>
  <c r="A92"/>
  <c r="A85"/>
  <c r="A86"/>
  <c r="A87"/>
  <c r="B376" i="46"/>
  <c r="H14" i="28"/>
  <c r="A106" i="25"/>
  <c r="A107"/>
  <c r="A100"/>
  <c r="A93"/>
  <c r="A94"/>
  <c r="A95"/>
  <c r="D205" i="46"/>
  <c r="H22" i="28"/>
  <c r="A114" i="25"/>
  <c r="A115"/>
  <c r="A108"/>
  <c r="A101"/>
  <c r="A102"/>
  <c r="A103"/>
  <c r="C262" i="46"/>
  <c r="H30" i="28"/>
  <c r="B16"/>
  <c r="D18"/>
  <c r="D1"/>
  <c r="A109" i="25"/>
  <c r="A110"/>
  <c r="A111"/>
  <c r="D319" i="46"/>
  <c r="A22" i="28"/>
  <c r="A66" i="25"/>
  <c r="A67"/>
  <c r="A60"/>
  <c r="A53"/>
  <c r="A54"/>
  <c r="A55"/>
  <c r="E123" i="46"/>
  <c r="A68"/>
  <c r="C243" i="23"/>
  <c r="C244"/>
  <c r="C245"/>
  <c r="H365" i="46"/>
  <c r="B60" i="24"/>
  <c r="B61"/>
  <c r="B261" i="46"/>
  <c r="D275"/>
  <c r="F289"/>
  <c r="I246"/>
  <c r="D31" i="28"/>
  <c r="C10" i="29"/>
  <c r="C1" i="31"/>
  <c r="C18" i="28"/>
  <c r="I367" i="46"/>
  <c r="G16" i="28"/>
  <c r="D20"/>
  <c r="C23"/>
  <c r="D4"/>
  <c r="C34"/>
  <c r="B2" i="29"/>
  <c r="A5"/>
  <c r="B197" i="46"/>
  <c r="G24" i="28"/>
  <c r="C4" i="29"/>
  <c r="B7"/>
  <c r="B26" i="28"/>
  <c r="C7"/>
  <c r="B10"/>
  <c r="D12"/>
  <c r="A254" i="46"/>
  <c r="G32" i="28"/>
  <c r="A7"/>
  <c r="A8"/>
  <c r="A10" i="29"/>
  <c r="D28" i="28"/>
  <c r="C31"/>
  <c r="B34"/>
  <c r="I310" i="46"/>
  <c r="F5" i="29"/>
  <c r="A15" i="28"/>
  <c r="A16"/>
  <c r="A9"/>
  <c r="A2"/>
  <c r="A3"/>
  <c r="A4"/>
  <c r="H367" i="46"/>
  <c r="F2" i="28"/>
  <c r="A23"/>
  <c r="A24"/>
  <c r="A17"/>
  <c r="A10"/>
  <c r="A11"/>
  <c r="A12"/>
  <c r="B319" i="46"/>
  <c r="G3" i="29"/>
  <c r="C2"/>
  <c r="B5"/>
  <c r="C21" i="28"/>
  <c r="D2"/>
  <c r="C5"/>
  <c r="B8"/>
  <c r="A133" i="46"/>
  <c r="H140"/>
  <c r="B52" i="24"/>
  <c r="B53"/>
  <c r="B54"/>
  <c r="A364" i="46"/>
  <c r="A139" i="24"/>
  <c r="A141"/>
  <c r="B356" i="46"/>
  <c r="D370"/>
  <c r="F384"/>
  <c r="C119" i="24"/>
  <c r="B250" i="46"/>
  <c r="C127" i="24"/>
  <c r="A307" i="46"/>
  <c r="C135" i="24"/>
  <c r="I363" i="46"/>
  <c r="C143" i="24"/>
  <c r="E206" i="46"/>
  <c r="C151" i="24"/>
  <c r="D263" i="46"/>
  <c r="C159" i="24"/>
  <c r="B307" i="46"/>
  <c r="C35" i="28"/>
  <c r="C15" i="25"/>
  <c r="B207" i="24"/>
  <c r="A209" i="23"/>
  <c r="A210"/>
  <c r="F16" i="28"/>
  <c r="H25" i="24"/>
  <c r="H26"/>
  <c r="H27"/>
  <c r="C17" i="38"/>
  <c r="H97" i="24"/>
  <c r="H98"/>
  <c r="H99"/>
  <c r="B10" i="37"/>
  <c r="H105" i="24"/>
  <c r="H106"/>
  <c r="H107"/>
  <c r="D47" i="46"/>
  <c r="F20" i="25"/>
  <c r="H22"/>
  <c r="G25"/>
  <c r="H180" i="24"/>
  <c r="A42"/>
  <c r="C3" i="30"/>
  <c r="E26" i="28"/>
  <c r="H725" i="17"/>
  <c r="G348"/>
  <c r="G726"/>
  <c r="F349"/>
  <c r="F727"/>
  <c r="E350"/>
  <c r="E728"/>
  <c r="D351"/>
  <c r="D729"/>
  <c r="C352"/>
  <c r="C730"/>
  <c r="B353"/>
  <c r="H196" i="24"/>
  <c r="A50"/>
  <c r="E18" i="28"/>
  <c r="F33" i="33"/>
  <c r="I732" i="17"/>
  <c r="H355"/>
  <c r="H733"/>
  <c r="G356"/>
  <c r="G734"/>
  <c r="F357"/>
  <c r="F735"/>
  <c r="E358"/>
  <c r="E736"/>
  <c r="D359"/>
  <c r="D737"/>
  <c r="D13" i="25"/>
  <c r="G169" i="23"/>
  <c r="A194" i="46"/>
  <c r="G177" i="23"/>
  <c r="A239" i="46"/>
  <c r="G185" i="23"/>
  <c r="F1" i="44"/>
  <c r="G193" i="23"/>
  <c r="B13" i="44"/>
  <c r="G201" i="23"/>
  <c r="F40" i="44"/>
  <c r="G209" i="23"/>
  <c r="I167" i="46"/>
  <c r="G153" i="23"/>
  <c r="C8" i="33"/>
  <c r="C120" i="46"/>
  <c r="G48" i="24"/>
  <c r="A20" i="38"/>
  <c r="B128" i="24"/>
  <c r="B130"/>
  <c r="B132"/>
  <c r="H1" i="38"/>
  <c r="G54" i="25"/>
  <c r="F57"/>
  <c r="H59"/>
  <c r="D8" i="35"/>
  <c r="H75" i="25"/>
  <c r="G78"/>
  <c r="F81"/>
  <c r="D37" i="44"/>
  <c r="G34" i="23"/>
  <c r="G35"/>
  <c r="G36"/>
  <c r="C206" i="20"/>
  <c r="G188" i="24"/>
  <c r="G206"/>
  <c r="C226" i="20"/>
  <c r="A262"/>
  <c r="G443" i="17"/>
  <c r="A263" i="20"/>
  <c r="F444" i="17"/>
  <c r="A264" i="20"/>
  <c r="E445" i="17"/>
  <c r="A265" i="20"/>
  <c r="D446" i="17"/>
  <c r="A266" i="20"/>
  <c r="C447" i="17"/>
  <c r="A267" i="20"/>
  <c r="B448" i="17"/>
  <c r="C214" i="20"/>
  <c r="G204" i="24"/>
  <c r="G222"/>
  <c r="C234" i="20"/>
  <c r="A270"/>
  <c r="H450" i="17"/>
  <c r="A271" i="20"/>
  <c r="G451" i="17"/>
  <c r="A272" i="20"/>
  <c r="F452" i="17"/>
  <c r="A273" i="20"/>
  <c r="E453" i="17"/>
  <c r="A274" i="20"/>
  <c r="D454" i="17"/>
  <c r="A275" i="20"/>
  <c r="B13" i="25"/>
  <c r="G233" i="23"/>
  <c r="C28" i="46"/>
  <c r="G241" i="23"/>
  <c r="D35" i="46"/>
  <c r="G249" i="23"/>
  <c r="E42" i="46"/>
  <c r="F2" i="24"/>
  <c r="F49" i="46"/>
  <c r="F10" i="24"/>
  <c r="G56" i="46"/>
  <c r="F18" i="24"/>
  <c r="I6" i="46"/>
  <c r="G217" i="23"/>
  <c r="A11" i="37"/>
  <c r="G50" i="46"/>
  <c r="B116" i="24"/>
  <c r="A17" i="44"/>
  <c r="F33" i="25"/>
  <c r="H35"/>
  <c r="G38"/>
  <c r="F91" i="46"/>
  <c r="G18" i="23"/>
  <c r="G19"/>
  <c r="G20"/>
  <c r="E148" i="46"/>
  <c r="G26" i="23"/>
  <c r="G27"/>
  <c r="G28"/>
  <c r="G202" i="46"/>
  <c r="E21" i="37"/>
  <c r="F5" i="35"/>
  <c r="F7"/>
  <c r="A34" i="33"/>
  <c r="F117" i="46"/>
  <c r="E174"/>
  <c r="A29" i="33"/>
  <c r="F259" i="46"/>
  <c r="E1" i="38"/>
  <c r="B16" i="37"/>
  <c r="F19"/>
  <c r="F9" i="35"/>
  <c r="A35" i="33"/>
  <c r="A36"/>
  <c r="G1" i="35"/>
  <c r="G316" i="46"/>
  <c r="H8" i="35"/>
  <c r="G124" i="46"/>
  <c r="F181"/>
  <c r="E2" i="38"/>
  <c r="F8" i="37"/>
  <c r="C11"/>
  <c r="B14"/>
  <c r="A376" i="46"/>
  <c r="H4" i="25"/>
  <c r="E3" i="33"/>
  <c r="H73" i="24"/>
  <c r="H74"/>
  <c r="H75"/>
  <c r="F149" i="46"/>
  <c r="G182" i="24"/>
  <c r="E258" i="46"/>
  <c r="G272"/>
  <c r="I286"/>
  <c r="C244"/>
  <c r="E7" i="38"/>
  <c r="F7" i="37"/>
  <c r="C10"/>
  <c r="B13"/>
  <c r="C365" i="46"/>
  <c r="D31"/>
  <c r="G10" i="33"/>
  <c r="G11"/>
  <c r="G4"/>
  <c r="B16" i="38"/>
  <c r="A28"/>
  <c r="E46" i="46"/>
  <c r="E194"/>
  <c r="C88"/>
  <c r="G18" i="33"/>
  <c r="G19"/>
  <c r="G12"/>
  <c r="G5"/>
  <c r="G6"/>
  <c r="G7"/>
  <c r="D251" i="46"/>
  <c r="B145"/>
  <c r="G26" i="33"/>
  <c r="G27"/>
  <c r="G20"/>
  <c r="G13"/>
  <c r="G14"/>
  <c r="G15"/>
  <c r="C308" i="46"/>
  <c r="D284"/>
  <c r="G34" i="33"/>
  <c r="G35"/>
  <c r="G28"/>
  <c r="G21"/>
  <c r="G22"/>
  <c r="G23"/>
  <c r="B365" i="46"/>
  <c r="A9" i="35"/>
  <c r="H10"/>
  <c r="G1" i="37"/>
  <c r="G36" i="33"/>
  <c r="G29"/>
  <c r="G30"/>
  <c r="G31"/>
  <c r="E316" i="46"/>
  <c r="D9" i="38"/>
  <c r="D167" i="46"/>
  <c r="C2" i="37"/>
  <c r="F23"/>
  <c r="F2"/>
  <c r="C5"/>
  <c r="B8"/>
  <c r="C374" i="46"/>
  <c r="A22" i="24"/>
  <c r="F93" i="46"/>
  <c r="G166" i="24"/>
  <c r="G168"/>
  <c r="G170"/>
  <c r="H19" i="38"/>
  <c r="G105" i="25"/>
  <c r="C355" i="46"/>
  <c r="E369"/>
  <c r="G383"/>
  <c r="A341"/>
  <c r="F3" i="31"/>
  <c r="E2"/>
  <c r="B1" i="32"/>
  <c r="D6"/>
  <c r="D234" i="46"/>
  <c r="F25" i="33"/>
  <c r="C8" i="35"/>
  <c r="B26" i="37"/>
  <c r="A18" i="33"/>
  <c r="F1" i="32"/>
  <c r="C4"/>
  <c r="B7"/>
  <c r="C291" i="46"/>
  <c r="G2" i="32"/>
  <c r="D1" i="33"/>
  <c r="H4"/>
  <c r="D2" i="31"/>
  <c r="F22" i="33"/>
  <c r="A28"/>
  <c r="H33"/>
  <c r="B348" i="46"/>
  <c r="G10" i="32"/>
  <c r="F1" i="35"/>
  <c r="C7"/>
  <c r="D8" i="33"/>
  <c r="D3" i="31"/>
  <c r="D1" i="32"/>
  <c r="D3"/>
  <c r="A405" i="46"/>
  <c r="B12" i="33"/>
  <c r="F3"/>
  <c r="B8"/>
  <c r="B22" i="37"/>
  <c r="A13" i="33"/>
  <c r="F17"/>
  <c r="B21"/>
  <c r="F247" i="46"/>
  <c r="D25" i="33"/>
  <c r="B1" i="37"/>
  <c r="C4"/>
  <c r="H12" i="33"/>
  <c r="E5" i="38"/>
  <c r="C3" i="32"/>
  <c r="B6"/>
  <c r="E79" i="46"/>
  <c r="H2" i="32"/>
  <c r="D2" i="30"/>
  <c r="D3"/>
  <c r="G2" i="31"/>
  <c r="D7" i="32"/>
  <c r="F6" i="33"/>
  <c r="B19"/>
  <c r="H163" i="46"/>
  <c r="C43" i="23"/>
  <c r="H140"/>
  <c r="H208" i="24"/>
  <c r="H210"/>
  <c r="H212"/>
  <c r="G225" i="23"/>
  <c r="A16"/>
  <c r="D368" i="46"/>
  <c r="F382"/>
  <c r="H396"/>
  <c r="B354"/>
  <c r="C5" i="32"/>
  <c r="F24" i="33"/>
  <c r="H30"/>
  <c r="C3" i="35"/>
  <c r="E247" i="46"/>
  <c r="B23" i="33"/>
  <c r="A4" i="32"/>
  <c r="A5"/>
  <c r="D24" i="33"/>
  <c r="B8" i="32"/>
  <c r="D10"/>
  <c r="B3" i="33"/>
  <c r="D304" i="46"/>
  <c r="F9" i="37"/>
  <c r="A3" i="33"/>
  <c r="F4"/>
  <c r="A6" i="32"/>
  <c r="F30" i="33"/>
  <c r="F36"/>
  <c r="G2" i="35"/>
  <c r="C361" i="46"/>
  <c r="E8" i="32"/>
  <c r="H15" i="33"/>
  <c r="D17"/>
  <c r="B6"/>
  <c r="A7" i="32"/>
  <c r="A8"/>
  <c r="A9"/>
  <c r="H203" i="46"/>
  <c r="F8" i="33"/>
  <c r="D30"/>
  <c r="H32"/>
  <c r="A19"/>
  <c r="H7"/>
  <c r="D9"/>
  <c r="A11"/>
  <c r="G260" i="46"/>
  <c r="D21" i="33"/>
  <c r="H3" i="32"/>
  <c r="H4"/>
  <c r="F35" i="33"/>
  <c r="F20"/>
  <c r="B22"/>
  <c r="H23"/>
  <c r="E304" i="46"/>
  <c r="E15" i="44"/>
  <c r="F11" i="33"/>
  <c r="B16"/>
  <c r="B3" i="32"/>
  <c r="D16" i="33"/>
  <c r="A21"/>
  <c r="A26"/>
  <c r="H21" i="38"/>
  <c r="C107" i="23"/>
  <c r="G161"/>
  <c r="A8"/>
  <c r="A9"/>
  <c r="A10"/>
  <c r="H9" i="32"/>
  <c r="A80" i="23"/>
  <c r="E381" i="46"/>
  <c r="G395"/>
  <c r="I409"/>
  <c r="C367"/>
  <c r="B17" i="33"/>
  <c r="A6"/>
  <c r="F7"/>
  <c r="B9"/>
  <c r="F260" i="46"/>
  <c r="E21" i="33"/>
  <c r="G3" i="32"/>
  <c r="G4"/>
  <c r="F32" i="33"/>
  <c r="H18"/>
  <c r="D20"/>
  <c r="A22"/>
  <c r="E317" i="46"/>
  <c r="E29" i="33"/>
  <c r="G1"/>
  <c r="F2"/>
  <c r="G5" i="32"/>
  <c r="D35" i="33"/>
  <c r="B1" i="35"/>
  <c r="C6"/>
  <c r="D374" i="46"/>
  <c r="C1" i="35"/>
  <c r="H13" i="33"/>
  <c r="D15"/>
  <c r="B4"/>
  <c r="G6" i="32"/>
  <c r="G7"/>
  <c r="G8"/>
  <c r="F203" i="46"/>
  <c r="F6" i="37"/>
  <c r="D27" i="33"/>
  <c r="F29"/>
  <c r="A17"/>
  <c r="H5"/>
  <c r="D7"/>
  <c r="A9"/>
  <c r="E260" i="46"/>
  <c r="E4" i="38"/>
  <c r="F2" i="32"/>
  <c r="F3"/>
  <c r="D32" i="33"/>
  <c r="F18"/>
  <c r="B20"/>
  <c r="H21"/>
  <c r="F317" i="46"/>
  <c r="E4" i="35"/>
  <c r="H1" i="33"/>
  <c r="H2"/>
  <c r="H5" i="32"/>
  <c r="D1" i="35"/>
  <c r="G6"/>
  <c r="B18" i="37"/>
  <c r="D11" i="46"/>
  <c r="C171" i="23"/>
  <c r="A64" i="25"/>
  <c r="A72" i="23"/>
  <c r="A73"/>
  <c r="A74"/>
  <c r="C6" i="29"/>
  <c r="A144" i="23"/>
  <c r="D259" i="46"/>
  <c r="F273"/>
  <c r="H287"/>
  <c r="B245"/>
  <c r="B15" i="33"/>
  <c r="A4"/>
  <c r="F5"/>
  <c r="B7"/>
  <c r="B366" i="46"/>
  <c r="C9" i="33"/>
  <c r="G24" i="38"/>
  <c r="E2" i="32"/>
  <c r="D29" i="33"/>
  <c r="H16"/>
  <c r="D18"/>
  <c r="A20"/>
  <c r="D195" i="46"/>
  <c r="C17" i="33"/>
  <c r="E9" i="32"/>
  <c r="E10"/>
  <c r="E3"/>
  <c r="H31" i="33"/>
  <c r="F34"/>
  <c r="G4" i="35"/>
  <c r="C252" i="46"/>
  <c r="C25" i="33"/>
  <c r="B10"/>
  <c r="H11"/>
  <c r="E1"/>
  <c r="E4" i="32"/>
  <c r="E5"/>
  <c r="E6"/>
  <c r="B309" i="46"/>
  <c r="C33" i="33"/>
  <c r="A23"/>
  <c r="H24"/>
  <c r="D13"/>
  <c r="B2"/>
  <c r="H3"/>
  <c r="D5"/>
  <c r="A366" i="46"/>
  <c r="H7" i="35"/>
  <c r="C9"/>
  <c r="D1" i="37"/>
  <c r="H26" i="33"/>
  <c r="A15"/>
  <c r="F16"/>
  <c r="B18"/>
  <c r="D317" i="46"/>
  <c r="F3" i="37"/>
  <c r="F10" i="32"/>
  <c r="F1" i="33"/>
  <c r="F4" i="32"/>
  <c r="H34" i="33"/>
  <c r="C5" i="35"/>
  <c r="G10"/>
  <c r="B11" i="46"/>
  <c r="C235" i="23"/>
  <c r="E67" i="25"/>
  <c r="A136" i="23"/>
  <c r="A137"/>
  <c r="A138"/>
  <c r="C8" i="29"/>
  <c r="A208" i="23"/>
  <c r="D354" i="46"/>
  <c r="F368"/>
  <c r="H382"/>
  <c r="C125" i="24"/>
  <c r="H212" i="23"/>
  <c r="F15" i="44"/>
  <c r="H220" i="23"/>
  <c r="E4" i="46"/>
  <c r="H228" i="23"/>
  <c r="F11" i="46"/>
  <c r="H236" i="23"/>
  <c r="G18" i="46"/>
  <c r="H244" i="23"/>
  <c r="H25" i="46"/>
  <c r="H252" i="23"/>
  <c r="H16" i="38"/>
  <c r="H196" i="23"/>
  <c r="F60" i="24"/>
  <c r="A156"/>
  <c r="H239" i="23"/>
  <c r="F15" i="28"/>
  <c r="G54" i="24"/>
  <c r="G55"/>
  <c r="G56"/>
  <c r="E8" i="38"/>
  <c r="B144" i="24"/>
  <c r="B146"/>
  <c r="B148"/>
  <c r="C7" i="37"/>
  <c r="B160" i="24"/>
  <c r="B162"/>
  <c r="B164"/>
  <c r="C40" i="46"/>
  <c r="F97" i="25"/>
  <c r="H99"/>
  <c r="G102"/>
  <c r="E145" i="46"/>
  <c r="H84" i="24"/>
  <c r="H93"/>
  <c r="C162" i="20"/>
  <c r="A198"/>
  <c r="H386" i="17"/>
  <c r="A199" i="20"/>
  <c r="A203"/>
  <c r="A207"/>
  <c r="A211"/>
  <c r="H12" i="28"/>
  <c r="F50" i="25"/>
  <c r="H112"/>
  <c r="E4"/>
  <c r="E14" i="24"/>
  <c r="E46"/>
  <c r="E78"/>
  <c r="H111"/>
  <c r="G30" i="28"/>
  <c r="A39" i="24"/>
  <c r="F171"/>
  <c r="E9" i="46"/>
  <c r="H77" i="23"/>
  <c r="H78"/>
  <c r="H79"/>
  <c r="H46" i="25"/>
  <c r="H230" i="24"/>
  <c r="E16" i="38"/>
  <c r="H23" i="37"/>
  <c r="F839" i="17"/>
  <c r="E462"/>
  <c r="E840"/>
  <c r="D463"/>
  <c r="D841"/>
  <c r="C464"/>
  <c r="C842"/>
  <c r="B465"/>
  <c r="B843"/>
  <c r="A466"/>
  <c r="A844"/>
  <c r="I466"/>
  <c r="F68" i="25"/>
  <c r="G20"/>
  <c r="H15" i="37"/>
  <c r="D2" i="35"/>
  <c r="G846" i="17"/>
  <c r="F469"/>
  <c r="F847"/>
  <c r="E470"/>
  <c r="E848"/>
  <c r="D471"/>
  <c r="D849"/>
  <c r="C472"/>
  <c r="C850"/>
  <c r="B473"/>
  <c r="B851"/>
  <c r="E16" i="33"/>
  <c r="E233" i="46"/>
  <c r="E24" i="33"/>
  <c r="D290" i="46"/>
  <c r="E32" i="33"/>
  <c r="C347" i="46"/>
  <c r="F6" i="35"/>
  <c r="B404" i="46"/>
  <c r="F14" i="37"/>
  <c r="G246" i="46"/>
  <c r="D12" i="44"/>
  <c r="F78" i="46"/>
  <c r="B7" i="37"/>
  <c r="E372" i="46"/>
  <c r="A201" i="23"/>
  <c r="G184" i="24"/>
  <c r="G186"/>
  <c r="F35" i="46"/>
  <c r="A3" i="22"/>
  <c r="A4"/>
  <c r="A5"/>
  <c r="D123" i="46"/>
  <c r="H61" i="23"/>
  <c r="H62"/>
  <c r="H63"/>
  <c r="C180" i="46"/>
  <c r="H69" i="23"/>
  <c r="H70"/>
  <c r="H71"/>
  <c r="A19" i="46"/>
  <c r="H141" i="23"/>
  <c r="H142"/>
  <c r="H143"/>
  <c r="H215"/>
  <c r="A19"/>
  <c r="C22" i="46"/>
  <c r="C86"/>
  <c r="E896" i="17"/>
  <c r="D519"/>
  <c r="D897"/>
  <c r="C520"/>
  <c r="C898"/>
  <c r="B521"/>
  <c r="B899"/>
  <c r="A522"/>
  <c r="A900"/>
  <c r="I522"/>
  <c r="I900"/>
  <c r="H523"/>
  <c r="H223" i="23"/>
  <c r="A27"/>
  <c r="B79" i="46"/>
  <c r="B143"/>
  <c r="F903" i="17"/>
  <c r="E526"/>
  <c r="E904"/>
  <c r="D527"/>
  <c r="D905"/>
  <c r="C528"/>
  <c r="C906"/>
  <c r="B529"/>
  <c r="B907"/>
  <c r="A530"/>
  <c r="A908"/>
  <c r="C4" i="33"/>
  <c r="F246" i="46"/>
  <c r="C12" i="33"/>
  <c r="E303" i="46"/>
  <c r="C20" i="33"/>
  <c r="D360" i="46"/>
  <c r="C28" i="33"/>
  <c r="I202" i="46"/>
  <c r="C36" i="33"/>
  <c r="H259" i="46"/>
  <c r="B6" i="37"/>
  <c r="F303" i="46"/>
  <c r="F11" i="37"/>
  <c r="H377" i="46"/>
  <c r="H10" i="24"/>
  <c r="F108" i="25"/>
  <c r="H110"/>
  <c r="E66" i="46"/>
  <c r="H53" i="23"/>
  <c r="H54"/>
  <c r="H55"/>
  <c r="B123" i="46"/>
  <c r="H125" i="23"/>
  <c r="H126"/>
  <c r="H127"/>
  <c r="A180" i="46"/>
  <c r="H133" i="23"/>
  <c r="H134"/>
  <c r="H135"/>
  <c r="C3" i="29"/>
  <c r="H205" i="23"/>
  <c r="H206"/>
  <c r="H207"/>
  <c r="D15" i="28"/>
  <c r="A83" i="23"/>
  <c r="B53" i="46"/>
  <c r="B117"/>
  <c r="D999" i="17"/>
  <c r="H644"/>
  <c r="I1001"/>
  <c r="D648"/>
  <c r="E1004"/>
  <c r="I651"/>
  <c r="E1006"/>
  <c r="E655"/>
  <c r="A1009"/>
  <c r="A659"/>
  <c r="F1011"/>
  <c r="F662"/>
  <c r="H2" i="22"/>
  <c r="A91" i="23"/>
  <c r="A110" i="46"/>
  <c r="A174"/>
  <c r="C7" i="19"/>
  <c r="C673" i="17"/>
  <c r="C11" i="19"/>
  <c r="H676" i="17"/>
  <c r="C15" i="19"/>
  <c r="D680" i="17"/>
  <c r="C19" i="19"/>
  <c r="I683" i="17"/>
  <c r="B8" i="20"/>
  <c r="E687" i="17"/>
  <c r="B16" i="20"/>
  <c r="E126" i="24"/>
  <c r="A119" i="23"/>
  <c r="A7" i="38"/>
  <c r="A127" i="23"/>
  <c r="E15" i="38"/>
  <c r="A135" i="23"/>
  <c r="B27" i="38"/>
  <c r="A143" i="23"/>
  <c r="E14" i="46"/>
  <c r="A151" i="23"/>
  <c r="D71" i="46"/>
  <c r="A159" i="23"/>
  <c r="C72" i="46"/>
  <c r="A103" i="23"/>
  <c r="H230"/>
  <c r="G47" i="24"/>
  <c r="H47" i="23"/>
  <c r="C66" i="46"/>
  <c r="H117" i="23"/>
  <c r="H118"/>
  <c r="H119"/>
  <c r="D2" i="25"/>
  <c r="H189" i="23"/>
  <c r="H190"/>
  <c r="H191"/>
  <c r="D66" i="25"/>
  <c r="H197" i="23"/>
  <c r="H198"/>
  <c r="H199"/>
  <c r="A3" i="29"/>
  <c r="G14" i="24"/>
  <c r="G15"/>
  <c r="G16"/>
  <c r="G236" i="23"/>
  <c r="A147"/>
  <c r="I52" i="46"/>
  <c r="I116"/>
  <c r="A6" i="20"/>
  <c r="D872" i="17"/>
  <c r="A7" i="20"/>
  <c r="I875" i="17"/>
  <c r="A8" i="20"/>
  <c r="E879" i="17"/>
  <c r="A9" i="20"/>
  <c r="A883" i="17"/>
  <c r="A10" i="20"/>
  <c r="F886" i="17"/>
  <c r="A11" i="20"/>
  <c r="B890" i="17"/>
  <c r="G244" i="23"/>
  <c r="A155"/>
  <c r="H109" i="46"/>
  <c r="H173"/>
  <c r="A14" i="20"/>
  <c r="H900" i="17"/>
  <c r="A15" i="20"/>
  <c r="D904" i="17"/>
  <c r="A16" i="20"/>
  <c r="I907" i="17"/>
  <c r="A17" i="20"/>
  <c r="E911" i="17"/>
  <c r="A18" i="20"/>
  <c r="A915" i="17"/>
  <c r="A19" i="20"/>
  <c r="F358" i="46"/>
  <c r="E114" i="24"/>
  <c r="E134"/>
  <c r="E122"/>
  <c r="E142"/>
  <c r="E130"/>
  <c r="E150"/>
  <c r="E138"/>
  <c r="E158"/>
  <c r="E146"/>
  <c r="E166"/>
  <c r="E154"/>
  <c r="E110"/>
  <c r="B20" i="28"/>
  <c r="G157" i="24"/>
  <c r="G93" i="25"/>
  <c r="G132" i="23"/>
  <c r="E168" i="24"/>
  <c r="G202" i="23"/>
  <c r="G203"/>
  <c r="G204"/>
  <c r="C1" i="25"/>
  <c r="F19" i="24"/>
  <c r="F20"/>
  <c r="F21"/>
  <c r="B65" i="25"/>
  <c r="F27" i="24"/>
  <c r="F28"/>
  <c r="F29"/>
  <c r="D5" i="32"/>
  <c r="F99" i="24"/>
  <c r="F100"/>
  <c r="F101"/>
  <c r="C101" i="23"/>
  <c r="H240"/>
  <c r="H249"/>
  <c r="E137"/>
  <c r="H172" i="20"/>
  <c r="H273" i="17"/>
  <c r="H173" i="20"/>
  <c r="G274" i="17"/>
  <c r="H174" i="20"/>
  <c r="F275" i="17"/>
  <c r="H175" i="20"/>
  <c r="E276" i="17"/>
  <c r="H176" i="20"/>
  <c r="D277" i="17"/>
  <c r="H177" i="20"/>
  <c r="C278" i="17"/>
  <c r="C109" i="23"/>
  <c r="H248"/>
  <c r="G2" i="24"/>
  <c r="E145" i="23"/>
  <c r="H180" i="20"/>
  <c r="I280" i="17"/>
  <c r="H181" i="20"/>
  <c r="H281" i="17"/>
  <c r="H182" i="20"/>
  <c r="G282" i="17"/>
  <c r="H183" i="20"/>
  <c r="F283" i="17"/>
  <c r="H184" i="20"/>
  <c r="E284" i="17"/>
  <c r="H185" i="20"/>
  <c r="A185" i="46"/>
  <c r="F156"/>
  <c r="D86" i="24"/>
  <c r="G223"/>
  <c r="A77" i="23"/>
  <c r="C669" i="17"/>
  <c r="A85" i="23"/>
  <c r="D676" i="17"/>
  <c r="E228"/>
  <c r="B175" i="24"/>
  <c r="H192" i="23"/>
  <c r="H201"/>
  <c r="E89"/>
  <c r="H124" i="20"/>
  <c r="B231" i="17"/>
  <c r="H125" i="20"/>
  <c r="A232" i="17"/>
  <c r="H126" i="20"/>
  <c r="I232" i="17"/>
  <c r="H127" i="20"/>
  <c r="H233" i="17"/>
  <c r="H128" i="20"/>
  <c r="G234" i="17"/>
  <c r="H129" i="20"/>
  <c r="F235" i="17"/>
  <c r="B191" i="24"/>
  <c r="H200" i="23"/>
  <c r="H209"/>
  <c r="E97"/>
  <c r="H132" i="20"/>
  <c r="C238" i="17"/>
  <c r="H133" i="20"/>
  <c r="B239" i="17"/>
  <c r="H134" i="20"/>
  <c r="A240" i="17"/>
  <c r="H135" i="20"/>
  <c r="I240" i="17"/>
  <c r="H136" i="20"/>
  <c r="H241" i="17"/>
  <c r="H137" i="20"/>
  <c r="G242" i="17"/>
  <c r="H95" i="25"/>
  <c r="H208" i="23"/>
  <c r="H217"/>
  <c r="E105"/>
  <c r="H140" i="20"/>
  <c r="D245" i="17"/>
  <c r="H141" i="20"/>
  <c r="C246" i="17"/>
  <c r="H142" i="20"/>
  <c r="B247" i="17"/>
  <c r="H143" i="20"/>
  <c r="A248" i="17"/>
  <c r="H144" i="20"/>
  <c r="I248" i="17"/>
  <c r="H145" i="20"/>
  <c r="H249" i="17"/>
  <c r="D213" i="23"/>
  <c r="H152"/>
  <c r="H161"/>
  <c r="E49"/>
  <c r="H84" i="20"/>
  <c r="F963" i="17"/>
  <c r="H85" i="20"/>
  <c r="G972" i="17"/>
  <c r="H86" i="20"/>
  <c r="D982" i="17"/>
  <c r="H87" i="20"/>
  <c r="A992" i="17"/>
  <c r="H88" i="20"/>
  <c r="B1001" i="17"/>
  <c r="H89" i="20"/>
  <c r="H1010" i="17"/>
  <c r="C14" i="24"/>
  <c r="H160" i="23"/>
  <c r="H169"/>
  <c r="E57"/>
  <c r="H92" i="20"/>
  <c r="B54"/>
  <c r="H93"/>
  <c r="B86"/>
  <c r="H94"/>
  <c r="B118"/>
  <c r="G6" i="23"/>
  <c r="I950" i="17"/>
  <c r="G952"/>
  <c r="H266" i="20"/>
  <c r="D357" i="17"/>
  <c r="G215"/>
  <c r="D127" i="12"/>
  <c r="E93" i="7"/>
  <c r="L254" i="6"/>
  <c r="H216" i="17"/>
  <c r="D128" i="12"/>
  <c r="E94" i="7"/>
  <c r="T254" i="6"/>
  <c r="B88" i="17"/>
  <c r="D178" i="13"/>
  <c r="F397" i="6"/>
  <c r="E211" i="24"/>
  <c r="F175" i="20"/>
  <c r="F177"/>
  <c r="F153" i="23"/>
  <c r="D421" i="17"/>
  <c r="H536"/>
  <c r="D199" i="12"/>
  <c r="E165" i="7"/>
  <c r="H283" i="6"/>
  <c r="I543" i="17"/>
  <c r="D200" i="12"/>
  <c r="E166" i="7"/>
  <c r="P283" i="6"/>
  <c r="B152" i="17"/>
  <c r="E50" i="16"/>
  <c r="E23" i="7"/>
  <c r="C211" i="24"/>
  <c r="F231" i="20"/>
  <c r="F233"/>
  <c r="F185" i="23"/>
  <c r="E428" i="17"/>
  <c r="I714"/>
  <c r="D207" i="12"/>
  <c r="E173" i="7"/>
  <c r="L286" i="6"/>
  <c r="D743" i="17"/>
  <c r="D208" i="12"/>
  <c r="E174" i="7"/>
  <c r="T286" i="6"/>
  <c r="C196" i="24"/>
  <c r="C164"/>
  <c r="B111"/>
  <c r="F53" i="25"/>
  <c r="H106" i="23"/>
  <c r="H671" i="17"/>
  <c r="H114" i="23"/>
  <c r="I678" i="17"/>
  <c r="D285"/>
  <c r="C165" i="23"/>
  <c r="H1" i="24"/>
  <c r="G10"/>
  <c r="E153" i="23"/>
  <c r="H188" i="20"/>
  <c r="A288" i="17"/>
  <c r="H189" i="20"/>
  <c r="I288" i="17"/>
  <c r="H190" i="20"/>
  <c r="H289" i="17"/>
  <c r="H191" i="20"/>
  <c r="G290" i="17"/>
  <c r="H192" i="20"/>
  <c r="F291" i="17"/>
  <c r="H193" i="20"/>
  <c r="E292" i="17"/>
  <c r="C173" i="23"/>
  <c r="G9" i="24"/>
  <c r="G18"/>
  <c r="E161" i="23"/>
  <c r="H196" i="20"/>
  <c r="B295" i="17"/>
  <c r="H197" i="20"/>
  <c r="A296" i="17"/>
  <c r="H198" i="20"/>
  <c r="I296" i="17"/>
  <c r="H199" i="20"/>
  <c r="H297" i="17"/>
  <c r="H200" i="20"/>
  <c r="G298" i="17"/>
  <c r="H201" i="20"/>
  <c r="F299" i="17"/>
  <c r="C229" i="23"/>
  <c r="G17" i="24"/>
  <c r="G26"/>
  <c r="E169" i="23"/>
  <c r="H204" i="20"/>
  <c r="C302" i="17"/>
  <c r="H205" i="20"/>
  <c r="B303" i="17"/>
  <c r="H206" i="20"/>
  <c r="A304" i="17"/>
  <c r="H207" i="20"/>
  <c r="I304" i="17"/>
  <c r="H208" i="20"/>
  <c r="H305" i="17"/>
  <c r="H209" i="20"/>
  <c r="G306" i="17"/>
  <c r="C10" i="28"/>
  <c r="H216" i="23"/>
  <c r="H225"/>
  <c r="E113"/>
  <c r="H148" i="20"/>
  <c r="E252" i="17"/>
  <c r="H149" i="20"/>
  <c r="D253" i="17"/>
  <c r="H150" i="20"/>
  <c r="C254" i="17"/>
  <c r="H151" i="20"/>
  <c r="B255" i="17"/>
  <c r="H152" i="20"/>
  <c r="A256" i="17"/>
  <c r="H153" i="20"/>
  <c r="I256" i="17"/>
  <c r="C37" i="23"/>
  <c r="H224"/>
  <c r="H233"/>
  <c r="E121"/>
  <c r="H156" i="20"/>
  <c r="F259" i="17"/>
  <c r="H157" i="20"/>
  <c r="E260" i="17"/>
  <c r="H158" i="20"/>
  <c r="D261" i="17"/>
  <c r="F154" i="24"/>
  <c r="F167" i="20"/>
  <c r="F169"/>
  <c r="F121" i="23"/>
  <c r="C414" i="17"/>
  <c r="I479"/>
  <c r="D191" i="12"/>
  <c r="E157" i="7"/>
  <c r="D280" i="6"/>
  <c r="A487" i="17"/>
  <c r="D192" i="12"/>
  <c r="E158" i="7"/>
  <c r="L280" i="6"/>
  <c r="A145" i="17"/>
  <c r="E18" i="16"/>
  <c r="E15" i="7"/>
  <c r="C32" i="20"/>
  <c r="F5" i="19"/>
  <c r="E961" i="17"/>
  <c r="I935"/>
  <c r="C478"/>
  <c r="C300"/>
  <c r="C7" i="13"/>
  <c r="E229" i="7"/>
  <c r="T308" i="6"/>
  <c r="B301" i="17"/>
  <c r="C8" i="13"/>
  <c r="E230" i="7"/>
  <c r="H309" i="6"/>
  <c r="A209" i="17"/>
  <c r="B422"/>
  <c r="E87" i="7"/>
  <c r="C96" i="20"/>
  <c r="E49"/>
  <c r="C1011" i="17"/>
  <c r="A943"/>
  <c r="D485"/>
  <c r="D307"/>
  <c r="C15" i="13"/>
  <c r="E237" i="7"/>
  <c r="D312" i="6"/>
  <c r="C308" i="17"/>
  <c r="C16" i="13"/>
  <c r="E238" i="7"/>
  <c r="L312" i="6"/>
  <c r="E173" i="46"/>
  <c r="A145"/>
  <c r="B375"/>
  <c r="B23" i="28"/>
  <c r="D88" i="23"/>
  <c r="D104"/>
  <c r="D120"/>
  <c r="D136"/>
  <c r="E341" i="17"/>
  <c r="B3" i="38"/>
  <c r="H36" i="24"/>
  <c r="H45"/>
  <c r="C114" i="20"/>
  <c r="A150"/>
  <c r="B344" i="17"/>
  <c r="A151" i="20"/>
  <c r="A345" i="17"/>
  <c r="A152" i="20"/>
  <c r="I345" i="17"/>
  <c r="A153" i="20"/>
  <c r="H346" i="17"/>
  <c r="A154" i="20"/>
  <c r="G347" i="17"/>
  <c r="A155" i="20"/>
  <c r="F348" i="17"/>
  <c r="A11" i="38"/>
  <c r="H44" i="24"/>
  <c r="H53"/>
  <c r="C122" i="20"/>
  <c r="A158"/>
  <c r="C351" i="17"/>
  <c r="A159" i="20"/>
  <c r="B352" i="17"/>
  <c r="A160" i="20"/>
  <c r="A353" i="17"/>
  <c r="A161" i="20"/>
  <c r="I353" i="17"/>
  <c r="A162" i="20"/>
  <c r="H354" i="17"/>
  <c r="A163" i="20"/>
  <c r="G355" i="17"/>
  <c r="C119" i="46"/>
  <c r="H52" i="24"/>
  <c r="H61"/>
  <c r="C130" i="20"/>
  <c r="A166"/>
  <c r="D358" i="17"/>
  <c r="A167" i="20"/>
  <c r="C359" i="17"/>
  <c r="A168" i="20"/>
  <c r="B360" i="17"/>
  <c r="A169" i="20"/>
  <c r="A361" i="17"/>
  <c r="A170" i="20"/>
  <c r="I361" i="17"/>
  <c r="A171" i="20"/>
  <c r="H362" i="17"/>
  <c r="C93" i="25"/>
  <c r="A251" i="23"/>
  <c r="H5" i="24"/>
  <c r="C74" i="20"/>
  <c r="A110"/>
  <c r="F308" i="17"/>
  <c r="A111" i="20"/>
  <c r="E309" i="17"/>
  <c r="A112" i="20"/>
  <c r="D310" i="17"/>
  <c r="A113" i="20"/>
  <c r="C311" i="17"/>
  <c r="A114" i="20"/>
  <c r="B312" i="17"/>
  <c r="A115" i="20"/>
  <c r="A313" i="17"/>
  <c r="C15" i="28"/>
  <c r="H4" i="24"/>
  <c r="H13"/>
  <c r="C82" i="20"/>
  <c r="A118"/>
  <c r="G315" i="17"/>
  <c r="A119" i="20"/>
  <c r="F316" i="17"/>
  <c r="A120" i="20"/>
  <c r="E317" i="17"/>
  <c r="H20" i="25"/>
  <c r="A828" i="17"/>
  <c r="H829"/>
  <c r="A292" i="20"/>
  <c r="D470" i="17"/>
  <c r="B438"/>
  <c r="E192" i="12"/>
  <c r="F222" i="7"/>
  <c r="I305" i="6"/>
  <c r="C445" i="17"/>
  <c r="E193" i="12"/>
  <c r="F223" i="7"/>
  <c r="Q305" i="6"/>
  <c r="H139" i="17"/>
  <c r="H34" i="16"/>
  <c r="F80" i="7"/>
  <c r="H70" i="24"/>
  <c r="A65" i="20"/>
  <c r="A67"/>
  <c r="B254" i="23"/>
  <c r="D534" i="17"/>
  <c r="A41" i="16"/>
  <c r="D8" i="13"/>
  <c r="E2" i="8"/>
  <c r="E334" i="6"/>
  <c r="A42" i="16"/>
  <c r="D9" i="13"/>
  <c r="E3" i="8"/>
  <c r="M334" i="6"/>
  <c r="H203" i="17"/>
  <c r="E122" i="12"/>
  <c r="F152" i="7"/>
  <c r="G160" i="24"/>
  <c r="A121" i="20"/>
  <c r="A123"/>
  <c r="E63" i="24"/>
  <c r="E541" i="17"/>
  <c r="A49" i="16"/>
  <c r="D16" i="13"/>
  <c r="E10" i="8"/>
  <c r="I337" i="6"/>
  <c r="A50" i="16"/>
  <c r="D17" i="13"/>
  <c r="E11" i="8"/>
  <c r="Q337" i="6"/>
  <c r="C97" i="25"/>
  <c r="C65"/>
  <c r="A218" i="23"/>
  <c r="H43" i="24"/>
  <c r="C227"/>
  <c r="E294" i="17"/>
  <c r="B60" i="25"/>
  <c r="F301" i="17"/>
  <c r="D398"/>
  <c r="C14" i="20"/>
  <c r="H100" i="24"/>
  <c r="G110"/>
  <c r="C178" i="20"/>
  <c r="A214"/>
  <c r="A401" i="17"/>
  <c r="A215" i="20"/>
  <c r="I401" i="17"/>
  <c r="A216" i="20"/>
  <c r="H402" i="17"/>
  <c r="A217" i="20"/>
  <c r="G403" i="17"/>
  <c r="A218" i="20"/>
  <c r="F404" i="17"/>
  <c r="A219" i="20"/>
  <c r="E405" i="17"/>
  <c r="C22" i="20"/>
  <c r="H108" i="24"/>
  <c r="G126"/>
  <c r="C186" i="20"/>
  <c r="A222"/>
  <c r="B408" i="17"/>
  <c r="A223" i="20"/>
  <c r="A409" i="17"/>
  <c r="A224" i="20"/>
  <c r="I409" i="17"/>
  <c r="A225" i="20"/>
  <c r="H410" i="17"/>
  <c r="A226" i="20"/>
  <c r="G411" i="17"/>
  <c r="A227" i="20"/>
  <c r="F412" i="17"/>
  <c r="C78" i="20"/>
  <c r="G124" i="24"/>
  <c r="G142"/>
  <c r="C194" i="20"/>
  <c r="A230"/>
  <c r="C415" i="17"/>
  <c r="A231" i="20"/>
  <c r="B416" i="17"/>
  <c r="A232" i="20"/>
  <c r="A417" i="17"/>
  <c r="A233" i="20"/>
  <c r="I417" i="17"/>
  <c r="A234" i="20"/>
  <c r="H418" i="17"/>
  <c r="A235" i="20"/>
  <c r="G419" i="17"/>
  <c r="B176" i="46"/>
  <c r="H60" i="24"/>
  <c r="H69"/>
  <c r="C138" i="20"/>
  <c r="A174"/>
  <c r="E365" i="17"/>
  <c r="A175" i="20"/>
  <c r="D366" i="17"/>
  <c r="A176" i="20"/>
  <c r="C367" i="17"/>
  <c r="A177" i="20"/>
  <c r="B368" i="17"/>
  <c r="A178" i="20"/>
  <c r="A369" i="17"/>
  <c r="A179" i="20"/>
  <c r="I369" i="17"/>
  <c r="I135" i="46"/>
  <c r="H68" i="24"/>
  <c r="H77"/>
  <c r="C146" i="20"/>
  <c r="A182"/>
  <c r="F372" i="17"/>
  <c r="A183" i="20"/>
  <c r="E373" i="17"/>
  <c r="A184" i="20"/>
  <c r="D374" i="17"/>
  <c r="H6" i="24"/>
  <c r="A57" i="20"/>
  <c r="A59"/>
  <c r="B222" i="23"/>
  <c r="C527" i="17"/>
  <c r="A33" i="16"/>
  <c r="E256" i="12"/>
  <c r="F286" i="7"/>
  <c r="A331" i="6"/>
  <c r="A34" i="16"/>
  <c r="E1" i="13"/>
  <c r="F287" i="7"/>
  <c r="I331" i="6"/>
  <c r="G196" i="17"/>
  <c r="B245"/>
  <c r="F144" i="7"/>
  <c r="G99" i="24"/>
  <c r="B82" i="23"/>
  <c r="B90"/>
  <c r="H18" i="20"/>
  <c r="B705" i="17"/>
  <c r="A105" i="16"/>
  <c r="D72" i="13"/>
  <c r="C10" i="10"/>
  <c r="J363" i="6"/>
  <c r="A106" i="16"/>
  <c r="D73" i="13"/>
  <c r="C12" i="10"/>
  <c r="F364" i="6"/>
  <c r="E395" i="17"/>
  <c r="E186" i="12"/>
  <c r="F216" i="7"/>
  <c r="B218" i="24"/>
  <c r="E103"/>
  <c r="H129"/>
  <c r="H26" i="20"/>
  <c r="F733" i="17"/>
  <c r="A113" i="16"/>
  <c r="D80" i="13"/>
  <c r="B358" i="6"/>
  <c r="R369"/>
  <c r="A114" i="16"/>
  <c r="D81" i="13"/>
  <c r="J358" i="6"/>
  <c r="N370"/>
  <c r="G179" i="46"/>
  <c r="C151"/>
  <c r="H247" i="23"/>
  <c r="G72" i="24"/>
  <c r="C98" i="20"/>
  <c r="F332" i="17"/>
  <c r="C106" i="20"/>
  <c r="G339" i="17"/>
  <c r="C455"/>
  <c r="C270" i="20"/>
  <c r="G220" i="24"/>
  <c r="G9" i="25"/>
  <c r="C242" i="20"/>
  <c r="A278"/>
  <c r="I457" i="17"/>
  <c r="A279" i="20"/>
  <c r="H458" i="17"/>
  <c r="A280" i="20"/>
  <c r="G459" i="17"/>
  <c r="A281" i="20"/>
  <c r="F460" i="17"/>
  <c r="A282" i="20"/>
  <c r="E461" i="17"/>
  <c r="A283" i="20"/>
  <c r="D462" i="17"/>
  <c r="C278" i="20"/>
  <c r="H6" i="25"/>
  <c r="H30"/>
  <c r="C250" i="20"/>
  <c r="A286"/>
  <c r="A465" i="17"/>
  <c r="A287" i="20"/>
  <c r="I465" i="17"/>
  <c r="A288" i="20"/>
  <c r="H466" i="17"/>
  <c r="A289" i="20"/>
  <c r="G467" i="17"/>
  <c r="A290" i="20"/>
  <c r="F468" i="17"/>
  <c r="A291" i="20"/>
  <c r="E469" i="17"/>
  <c r="B131" i="23"/>
  <c r="F28" i="25"/>
  <c r="F52"/>
  <c r="C258" i="20"/>
  <c r="H3" i="21"/>
  <c r="B472" i="17"/>
  <c r="H5" i="21"/>
  <c r="A473" i="17"/>
  <c r="C3" i="22"/>
  <c r="I473" i="17"/>
  <c r="B6" i="22"/>
  <c r="H474" i="17"/>
  <c r="G8" i="22"/>
  <c r="G475" i="17"/>
  <c r="C11" i="22"/>
  <c r="F476" i="17"/>
  <c r="C86" i="20"/>
  <c r="G140" i="24"/>
  <c r="G158"/>
  <c r="C202" i="20"/>
  <c r="A238"/>
  <c r="D422" i="17"/>
  <c r="A239" i="20"/>
  <c r="C423" i="17"/>
  <c r="A240" i="20"/>
  <c r="B424" i="17"/>
  <c r="A241" i="20"/>
  <c r="A425" i="17"/>
  <c r="A242" i="20"/>
  <c r="I425" i="17"/>
  <c r="A243" i="20"/>
  <c r="H426" i="17"/>
  <c r="C142" i="20"/>
  <c r="G156" i="24"/>
  <c r="G174"/>
  <c r="C210" i="20"/>
  <c r="A246"/>
  <c r="E429" i="17"/>
  <c r="A247" i="20"/>
  <c r="D430" i="17"/>
  <c r="A248" i="20"/>
  <c r="C431" i="17"/>
  <c r="G35" i="24"/>
  <c r="B50" i="23"/>
  <c r="B58"/>
  <c r="H10" i="20"/>
  <c r="G676" i="17"/>
  <c r="A97" i="16"/>
  <c r="D64" i="13"/>
  <c r="D38" i="9"/>
  <c r="B357" i="6"/>
  <c r="A98" i="16"/>
  <c r="D65" i="13"/>
  <c r="D39" i="9"/>
  <c r="R357" i="6"/>
  <c r="F338" i="17"/>
  <c r="E178" i="12"/>
  <c r="F208" i="7"/>
  <c r="A132" i="24"/>
  <c r="H167" i="20"/>
  <c r="D390" i="17"/>
  <c r="I393"/>
  <c r="E397"/>
  <c r="H24" i="28"/>
  <c r="A125" i="24"/>
  <c r="F110" i="25"/>
  <c r="F228" i="24"/>
  <c r="E444" i="17"/>
  <c r="A448"/>
  <c r="F451"/>
  <c r="B455"/>
  <c r="F7" i="29"/>
  <c r="H28" i="25"/>
  <c r="F167" i="24"/>
  <c r="F8" i="46"/>
  <c r="G98" i="23"/>
  <c r="G99"/>
  <c r="G100"/>
  <c r="E53"/>
  <c r="G113" i="25"/>
  <c r="A7" i="22"/>
  <c r="C290" i="20"/>
  <c r="B102" i="23"/>
  <c r="F500" i="17"/>
  <c r="B106" i="23"/>
  <c r="E501" i="17"/>
  <c r="B110" i="23"/>
  <c r="D502" i="17"/>
  <c r="B114" i="23"/>
  <c r="C503" i="17"/>
  <c r="B118" i="23"/>
  <c r="B504" i="17"/>
  <c r="B122" i="23"/>
  <c r="A505" i="17"/>
  <c r="E61" i="23"/>
  <c r="A6" i="22"/>
  <c r="A1" i="23"/>
  <c r="G6" i="22"/>
  <c r="B134" i="23"/>
  <c r="G507" i="17"/>
  <c r="B138" i="23"/>
  <c r="F508" i="17"/>
  <c r="B142" i="23"/>
  <c r="E509" i="17"/>
  <c r="B146" i="23"/>
  <c r="D510" i="17"/>
  <c r="B150" i="23"/>
  <c r="C511" i="17"/>
  <c r="B154" i="23"/>
  <c r="A195" i="46"/>
  <c r="B32" i="28"/>
  <c r="F258" i="46"/>
  <c r="A29" i="28"/>
  <c r="D22" i="38"/>
  <c r="G10" i="29"/>
  <c r="E2" i="44"/>
  <c r="F17" i="28"/>
  <c r="A14" i="44"/>
  <c r="E34" i="28"/>
  <c r="D40" i="44"/>
  <c r="H17" i="33"/>
  <c r="E177" i="46"/>
  <c r="B8" i="29"/>
  <c r="C221" i="20"/>
  <c r="C1" i="21"/>
  <c r="F17" i="25"/>
  <c r="G34" i="46"/>
  <c r="G10" i="23"/>
  <c r="G11"/>
  <c r="G12"/>
  <c r="E122" i="46"/>
  <c r="G82" i="23"/>
  <c r="G83"/>
  <c r="G84"/>
  <c r="D179" i="46"/>
  <c r="G90" i="23"/>
  <c r="G91"/>
  <c r="G92"/>
  <c r="B18" i="46"/>
  <c r="G162" i="23"/>
  <c r="G163"/>
  <c r="G164"/>
  <c r="D54" i="24"/>
  <c r="H48" i="23"/>
  <c r="H57"/>
  <c r="B211"/>
  <c r="H101" i="25"/>
  <c r="A570" i="17"/>
  <c r="B31" i="28"/>
  <c r="F573" i="17"/>
  <c r="A2" i="19"/>
  <c r="B577" i="17"/>
  <c r="A3" i="19"/>
  <c r="G580" i="17"/>
  <c r="A4" i="19"/>
  <c r="C584" i="17"/>
  <c r="A5" i="19"/>
  <c r="H587" i="17"/>
  <c r="D62" i="24"/>
  <c r="H56" i="23"/>
  <c r="H65"/>
  <c r="B243"/>
  <c r="A8" i="19"/>
  <c r="E598" i="17"/>
  <c r="A9" i="19"/>
  <c r="A602" i="17"/>
  <c r="A10" i="19"/>
  <c r="F605" i="17"/>
  <c r="A11" i="19"/>
  <c r="B609" i="17"/>
  <c r="A12" i="19"/>
  <c r="G612" i="17"/>
  <c r="A13" i="19"/>
  <c r="C193" i="46"/>
  <c r="F8" i="32"/>
  <c r="A28" i="46"/>
  <c r="E4" i="33"/>
  <c r="B35" i="46"/>
  <c r="B25" i="37"/>
  <c r="C42" i="46"/>
  <c r="I10"/>
  <c r="D49"/>
  <c r="F53"/>
  <c r="E56"/>
  <c r="F12" i="37"/>
  <c r="G6" i="46"/>
  <c r="D3" i="33"/>
  <c r="C285" i="20"/>
  <c r="B223" i="23"/>
  <c r="G4"/>
  <c r="F65" i="46"/>
  <c r="G74" i="23"/>
  <c r="G75"/>
  <c r="G76"/>
  <c r="C122" i="46"/>
  <c r="G146" i="23"/>
  <c r="G147"/>
  <c r="G148"/>
  <c r="B179" i="46"/>
  <c r="G154" i="23"/>
  <c r="G155"/>
  <c r="G156"/>
  <c r="D35" i="28"/>
  <c r="G226" i="23"/>
  <c r="G227"/>
  <c r="G228"/>
  <c r="D77"/>
  <c r="H112"/>
  <c r="H121"/>
  <c r="E9"/>
  <c r="H44" i="20"/>
  <c r="F797" i="17"/>
  <c r="H45" i="20"/>
  <c r="B801" i="17"/>
  <c r="H46" i="20"/>
  <c r="G804" i="17"/>
  <c r="H47" i="20"/>
  <c r="C808" i="17"/>
  <c r="H48" i="20"/>
  <c r="H811" i="17"/>
  <c r="H49" i="20"/>
  <c r="D815" i="17"/>
  <c r="D85" i="23"/>
  <c r="H120"/>
  <c r="H129"/>
  <c r="E17"/>
  <c r="H52" i="20"/>
  <c r="A826" i="17"/>
  <c r="H53" i="20"/>
  <c r="F829" i="17"/>
  <c r="H54" i="20"/>
  <c r="B833" i="17"/>
  <c r="H55" i="20"/>
  <c r="G836" i="17"/>
  <c r="H56" i="20"/>
  <c r="C840" i="17"/>
  <c r="H57" i="20"/>
  <c r="E345" i="46"/>
  <c r="E75" i="25"/>
  <c r="E95"/>
  <c r="E83"/>
  <c r="E103"/>
  <c r="E91"/>
  <c r="E111"/>
  <c r="E99"/>
  <c r="C9" i="28"/>
  <c r="E107" i="25"/>
  <c r="D30" i="28"/>
  <c r="E115" i="25"/>
  <c r="E71"/>
  <c r="E59"/>
  <c r="D69" i="24"/>
  <c r="G173"/>
  <c r="G68" i="23"/>
  <c r="D65" i="46"/>
  <c r="G138" i="23"/>
  <c r="G139"/>
  <c r="G140"/>
  <c r="E1" i="25"/>
  <c r="G210" i="23"/>
  <c r="G211"/>
  <c r="G212"/>
  <c r="D65" i="25"/>
  <c r="G218" i="23"/>
  <c r="G219"/>
  <c r="G220"/>
  <c r="B35" i="28"/>
  <c r="F35" i="24"/>
  <c r="F36"/>
  <c r="F37"/>
  <c r="C78"/>
  <c r="H176" i="23"/>
  <c r="H185"/>
  <c r="E73"/>
  <c r="H108" i="20"/>
  <c r="I216" i="17"/>
  <c r="H109" i="20"/>
  <c r="H217" i="17"/>
  <c r="H110" i="20"/>
  <c r="G218" i="17"/>
  <c r="H111" i="20"/>
  <c r="F219" i="17"/>
  <c r="H112" i="20"/>
  <c r="E220" i="17"/>
  <c r="H113" i="20"/>
  <c r="D221" i="17"/>
  <c r="C86" i="24"/>
  <c r="H184" i="23"/>
  <c r="H193"/>
  <c r="E81"/>
  <c r="H116" i="20"/>
  <c r="A224" i="17"/>
  <c r="H117" i="20"/>
  <c r="I224" i="17"/>
  <c r="H118" i="20"/>
  <c r="H225" i="17"/>
  <c r="H119" i="20"/>
  <c r="G226" i="17"/>
  <c r="H120" i="20"/>
  <c r="F227" i="17"/>
  <c r="H121" i="20"/>
  <c r="D408" i="46"/>
  <c r="A2" i="37"/>
  <c r="A22"/>
  <c r="A10"/>
  <c r="H2" i="38"/>
  <c r="A18" i="37"/>
  <c r="H10" i="38"/>
  <c r="A26" i="37"/>
  <c r="F20" i="38"/>
  <c r="H6"/>
  <c r="E7" i="44"/>
  <c r="D15" i="38"/>
  <c r="A178" i="46"/>
  <c r="G92"/>
  <c r="G38" i="24"/>
  <c r="B112"/>
  <c r="C195"/>
  <c r="E175"/>
  <c r="D7" i="29"/>
  <c r="B2" i="30"/>
  <c r="A3"/>
  <c r="B8" i="25"/>
  <c r="E41" i="44"/>
  <c r="B6" i="35"/>
  <c r="E4" i="37"/>
  <c r="B72" i="25"/>
  <c r="A3" i="44"/>
  <c r="C24" i="46"/>
  <c r="B81"/>
  <c r="H20" i="33"/>
  <c r="B48" i="46"/>
  <c r="C55"/>
  <c r="D62"/>
  <c r="F127" i="24"/>
  <c r="F6"/>
  <c r="F15"/>
  <c r="D161" i="23"/>
  <c r="G176" i="20"/>
  <c r="D606" i="17"/>
  <c r="G177" i="20"/>
  <c r="C607" i="17"/>
  <c r="G178" i="20"/>
  <c r="B608" i="17"/>
  <c r="G179" i="20"/>
  <c r="A609" i="17"/>
  <c r="G180" i="20"/>
  <c r="I609" i="17"/>
  <c r="G181" i="20"/>
  <c r="H610" i="17"/>
  <c r="F135" i="24"/>
  <c r="F14"/>
  <c r="F23"/>
  <c r="D169" i="23"/>
  <c r="G184" i="20"/>
  <c r="E613" i="17"/>
  <c r="G185" i="20"/>
  <c r="D614" i="17"/>
  <c r="G186" i="20"/>
  <c r="C615" i="17"/>
  <c r="G187" i="20"/>
  <c r="B616" i="17"/>
  <c r="G188" i="20"/>
  <c r="A617" i="17"/>
  <c r="G189" i="20"/>
  <c r="C167" i="46"/>
  <c r="G233"/>
  <c r="D85" i="24"/>
  <c r="G221"/>
  <c r="C1" i="22"/>
  <c r="E249" i="20"/>
  <c r="B11" i="23"/>
  <c r="E257" i="20"/>
  <c r="A561" i="17"/>
  <c r="F44" i="24"/>
  <c r="G213" i="23"/>
  <c r="G222"/>
  <c r="D113"/>
  <c r="G128" i="20"/>
  <c r="G563" i="17"/>
  <c r="G129" i="20"/>
  <c r="F564" i="17"/>
  <c r="G130" i="20"/>
  <c r="E565" i="17"/>
  <c r="G131" i="20"/>
  <c r="D566" i="17"/>
  <c r="G132" i="20"/>
  <c r="C567" i="17"/>
  <c r="G133" i="20"/>
  <c r="B568" i="17"/>
  <c r="F52" i="24"/>
  <c r="G221" i="23"/>
  <c r="G230"/>
  <c r="D121"/>
  <c r="G136" i="20"/>
  <c r="H570" i="17"/>
  <c r="G137" i="20"/>
  <c r="G571" i="17"/>
  <c r="G138" i="20"/>
  <c r="F572" i="17"/>
  <c r="G139" i="20"/>
  <c r="E573" i="17"/>
  <c r="G140" i="20"/>
  <c r="D574" i="17"/>
  <c r="G141" i="20"/>
  <c r="C575" i="17"/>
  <c r="F108" i="24"/>
  <c r="G229" i="23"/>
  <c r="G238"/>
  <c r="D129"/>
  <c r="G144" i="20"/>
  <c r="I577" i="17"/>
  <c r="G145" i="20"/>
  <c r="H578" i="17"/>
  <c r="G146" i="20"/>
  <c r="G579" i="17"/>
  <c r="G147" i="20"/>
  <c r="F580" i="17"/>
  <c r="G148" i="20"/>
  <c r="E581" i="17"/>
  <c r="G149" i="20"/>
  <c r="D582" i="17"/>
  <c r="G115" i="23"/>
  <c r="G173"/>
  <c r="G182"/>
  <c r="D73"/>
  <c r="G88" i="20"/>
  <c r="H970" i="17"/>
  <c r="G89" i="20"/>
  <c r="E980" i="17"/>
  <c r="G90" i="20"/>
  <c r="F989" i="17"/>
  <c r="G91" i="20"/>
  <c r="C999" i="17"/>
  <c r="G92" i="20"/>
  <c r="I1008" i="17"/>
  <c r="G93" i="20"/>
  <c r="B11" i="19"/>
  <c r="G171" i="23"/>
  <c r="G181"/>
  <c r="G190"/>
  <c r="D81"/>
  <c r="G96" i="20"/>
  <c r="B79"/>
  <c r="G97"/>
  <c r="B111"/>
  <c r="G98"/>
  <c r="B143"/>
  <c r="H11" i="22"/>
  <c r="A496" i="17"/>
  <c r="B67" i="24"/>
  <c r="G270" i="20"/>
  <c r="I689" i="17"/>
  <c r="G877"/>
  <c r="C128" i="12"/>
  <c r="A219"/>
  <c r="S254" i="6"/>
  <c r="C881" i="17"/>
  <c r="C129" i="12"/>
  <c r="A223"/>
  <c r="G255" i="6"/>
  <c r="C508" i="17"/>
  <c r="H17" i="16"/>
  <c r="H30" i="9"/>
  <c r="E139" i="24"/>
  <c r="E885" i="17"/>
  <c r="G224" i="23"/>
  <c r="B169"/>
  <c r="I753" i="17"/>
  <c r="F280"/>
  <c r="C200" i="12"/>
  <c r="F17"/>
  <c r="O283" i="6"/>
  <c r="E281" i="17"/>
  <c r="C201" i="12"/>
  <c r="F18"/>
  <c r="C284" i="6"/>
  <c r="H628" i="17"/>
  <c r="A415"/>
  <c r="E52" i="12"/>
  <c r="C139" i="24"/>
  <c r="A970" i="17"/>
  <c r="B281"/>
  <c r="B201" i="23"/>
  <c r="A761" i="17"/>
  <c r="G287"/>
  <c r="C208" i="12"/>
  <c r="F25"/>
  <c r="S286" i="6"/>
  <c r="F288" i="17"/>
  <c r="C209" i="12"/>
  <c r="F26"/>
  <c r="G287" i="6"/>
  <c r="C82" i="25"/>
  <c r="C114"/>
  <c r="D109" i="24"/>
  <c r="G50" i="25"/>
  <c r="G179" i="24"/>
  <c r="D250" i="20"/>
  <c r="G195" i="24"/>
  <c r="D258" i="20"/>
  <c r="I617" i="17"/>
  <c r="E36" i="25"/>
  <c r="F22" i="24"/>
  <c r="F31"/>
  <c r="D177" i="23"/>
  <c r="G192" i="20"/>
  <c r="F620" i="17"/>
  <c r="G193" i="20"/>
  <c r="E621" i="17"/>
  <c r="G194" i="20"/>
  <c r="D622" i="17"/>
  <c r="G195" i="20"/>
  <c r="C623" i="17"/>
  <c r="G196" i="20"/>
  <c r="B624" i="17"/>
  <c r="G197" i="20"/>
  <c r="A625" i="17"/>
  <c r="E84" i="25"/>
  <c r="F30" i="24"/>
  <c r="F39"/>
  <c r="D185" i="23"/>
  <c r="G200" i="20"/>
  <c r="G627" i="17"/>
  <c r="G201" i="20"/>
  <c r="F628" i="17"/>
  <c r="G202" i="20"/>
  <c r="E629" i="17"/>
  <c r="G203" i="20"/>
  <c r="D630" i="17"/>
  <c r="G204" i="20"/>
  <c r="C631" i="17"/>
  <c r="G205" i="20"/>
  <c r="B632" i="17"/>
  <c r="C21" i="25"/>
  <c r="F38" i="24"/>
  <c r="F47"/>
  <c r="D193" i="23"/>
  <c r="G208" i="20"/>
  <c r="H634" i="17"/>
  <c r="G209" i="20"/>
  <c r="G635" i="17"/>
  <c r="G210" i="20"/>
  <c r="F636" i="17"/>
  <c r="G211" i="20"/>
  <c r="E637" i="17"/>
  <c r="G212" i="20"/>
  <c r="D638" i="17"/>
  <c r="G213" i="20"/>
  <c r="C639" i="17"/>
  <c r="A124" i="24"/>
  <c r="G237" i="23"/>
  <c r="G246"/>
  <c r="D137"/>
  <c r="G152" i="20"/>
  <c r="A585" i="17"/>
  <c r="G153" i="20"/>
  <c r="I585" i="17"/>
  <c r="G154" i="20"/>
  <c r="H586" i="17"/>
  <c r="G155" i="20"/>
  <c r="G587" i="17"/>
  <c r="G156" i="20"/>
  <c r="F588" i="17"/>
  <c r="G157" i="20"/>
  <c r="E589" i="17"/>
  <c r="F6" i="25"/>
  <c r="G245" i="23"/>
  <c r="G254"/>
  <c r="D145"/>
  <c r="G160" i="20"/>
  <c r="B592" i="17"/>
  <c r="G161" i="20"/>
  <c r="A593" i="17"/>
  <c r="G162" i="20"/>
  <c r="I593" i="17"/>
  <c r="F145" i="24"/>
  <c r="F828" i="17"/>
  <c r="G160" i="23"/>
  <c r="B137"/>
  <c r="H746" i="17"/>
  <c r="E273"/>
  <c r="C192" i="12"/>
  <c r="F9"/>
  <c r="K280" i="6"/>
  <c r="D274" i="17"/>
  <c r="C193" i="12"/>
  <c r="F10"/>
  <c r="S280" i="6"/>
  <c r="D600" i="17"/>
  <c r="C206"/>
  <c r="D43" i="12"/>
  <c r="C31" i="20"/>
  <c r="B887" i="17"/>
  <c r="I458"/>
  <c r="D939"/>
  <c r="H810"/>
  <c r="E337"/>
  <c r="B8" i="13"/>
  <c r="B98" i="12"/>
  <c r="G309" i="6"/>
  <c r="D338" i="17"/>
  <c r="B9" i="13"/>
  <c r="G99" i="12"/>
  <c r="O309" i="6"/>
  <c r="D856" i="17"/>
  <c r="C122" i="12"/>
  <c r="A195"/>
  <c r="C95" i="20"/>
  <c r="E974" i="17"/>
  <c r="G508"/>
  <c r="E946"/>
  <c r="I817"/>
  <c r="F344"/>
  <c r="B16" i="13"/>
  <c r="A111" i="12"/>
  <c r="K312" i="6"/>
  <c r="E345" i="17"/>
  <c r="B17" i="13"/>
  <c r="E112" i="12"/>
  <c r="S312" i="6"/>
  <c r="G58" i="46"/>
  <c r="C30"/>
  <c r="A159" i="24"/>
  <c r="D9" i="28"/>
  <c r="G127" i="23"/>
  <c r="H670" i="17"/>
  <c r="G135" i="23"/>
  <c r="I677" i="17"/>
  <c r="C342"/>
  <c r="A223" i="24"/>
  <c r="G65"/>
  <c r="G74"/>
  <c r="E217" i="23"/>
  <c r="H252" i="20"/>
  <c r="I344" i="17"/>
  <c r="H253" i="20"/>
  <c r="H345" i="17"/>
  <c r="H254" i="20"/>
  <c r="G346" i="17"/>
  <c r="H255" i="20"/>
  <c r="F347" i="17"/>
  <c r="H256" i="20"/>
  <c r="E348" i="17"/>
  <c r="H257" i="20"/>
  <c r="D349" i="17"/>
  <c r="F10" i="25"/>
  <c r="G73" i="24"/>
  <c r="G82"/>
  <c r="E225" i="23"/>
  <c r="H260" i="20"/>
  <c r="A352" i="17"/>
  <c r="H261" i="20"/>
  <c r="I352" i="17"/>
  <c r="H262" i="20"/>
  <c r="H353" i="17"/>
  <c r="H263" i="20"/>
  <c r="G354" i="17"/>
  <c r="H264" i="20"/>
  <c r="F355" i="17"/>
  <c r="H265" i="20"/>
  <c r="E356" i="17"/>
  <c r="A16" i="24"/>
  <c r="G81"/>
  <c r="G90"/>
  <c r="E233" i="23"/>
  <c r="H268" i="20"/>
  <c r="B359" i="17"/>
  <c r="H269" i="20"/>
  <c r="A360" i="17"/>
  <c r="H270" i="20"/>
  <c r="I360" i="17"/>
  <c r="H271" i="20"/>
  <c r="H361" i="17"/>
  <c r="H272" i="20"/>
  <c r="G362" i="17"/>
  <c r="H273" i="20"/>
  <c r="F363" i="17"/>
  <c r="C237" i="23"/>
  <c r="G25" i="24"/>
  <c r="G34"/>
  <c r="E177" i="23"/>
  <c r="H212" i="20"/>
  <c r="D309" i="17"/>
  <c r="H213" i="20"/>
  <c r="C310" i="17"/>
  <c r="H214" i="20"/>
  <c r="B311" i="17"/>
  <c r="H215" i="20"/>
  <c r="A312" i="17"/>
  <c r="H216" i="20"/>
  <c r="I312" i="17"/>
  <c r="H217" i="20"/>
  <c r="H313" i="17"/>
  <c r="B38" i="24"/>
  <c r="G33"/>
  <c r="G42"/>
  <c r="E185" i="23"/>
  <c r="H220" i="20"/>
  <c r="E316" i="17"/>
  <c r="H221" i="20"/>
  <c r="D317" i="17"/>
  <c r="H222" i="20"/>
  <c r="C318" i="17"/>
  <c r="G102" i="46"/>
  <c r="G959" i="17"/>
  <c r="D954"/>
  <c r="H928"/>
  <c r="B471"/>
  <c r="B293"/>
  <c r="D255" i="12"/>
  <c r="E221" i="7"/>
  <c r="P305" i="6"/>
  <c r="A294" i="17"/>
  <c r="D256" i="12"/>
  <c r="E222" i="7"/>
  <c r="D306" i="6"/>
  <c r="I201" i="17"/>
  <c r="B207"/>
  <c r="E79" i="7"/>
  <c r="E135" i="23"/>
  <c r="E6" i="19"/>
  <c r="E179" i="20"/>
  <c r="H992" i="17"/>
  <c r="B535"/>
  <c r="B357"/>
  <c r="C71" i="13"/>
  <c r="E1" i="8"/>
  <c r="L334" i="6"/>
  <c r="A358" i="17"/>
  <c r="C72" i="13"/>
  <c r="D2" i="8"/>
  <c r="T334" i="6"/>
  <c r="C437" i="17"/>
  <c r="D185" i="12"/>
  <c r="E151" i="7"/>
  <c r="E199" i="23"/>
  <c r="D50" i="20"/>
  <c r="E235"/>
  <c r="I999" i="17"/>
  <c r="C542"/>
  <c r="C364"/>
  <c r="C79" i="13"/>
  <c r="D9" i="8"/>
  <c r="P337" i="6"/>
  <c r="B365" i="17"/>
  <c r="C80" i="13"/>
  <c r="D10" i="8"/>
  <c r="D338" i="6"/>
  <c r="I293" i="46"/>
  <c r="B82"/>
  <c r="A217" i="23"/>
  <c r="H42" i="24"/>
  <c r="C155"/>
  <c r="F671" i="17"/>
  <c r="C219" i="24"/>
  <c r="G678" i="17"/>
  <c r="B399"/>
  <c r="G100" i="25"/>
  <c r="B150" i="24"/>
  <c r="B168"/>
  <c r="D26"/>
  <c r="F65" i="23"/>
  <c r="H401" i="17"/>
  <c r="F69" i="23"/>
  <c r="G402" i="17"/>
  <c r="F73" i="23"/>
  <c r="F403" i="17"/>
  <c r="F77" i="23"/>
  <c r="E404" i="17"/>
  <c r="F81" i="23"/>
  <c r="D405" i="17"/>
  <c r="F85" i="23"/>
  <c r="C406" i="17"/>
  <c r="C9" i="29"/>
  <c r="B166" i="24"/>
  <c r="B184"/>
  <c r="D34"/>
  <c r="F97" i="23"/>
  <c r="I408" i="17"/>
  <c r="F101" i="23"/>
  <c r="H409" i="17"/>
  <c r="F105" i="23"/>
  <c r="G410" i="17"/>
  <c r="F109" i="23"/>
  <c r="F411" i="17"/>
  <c r="F113" i="23"/>
  <c r="E412" i="17"/>
  <c r="F117" i="23"/>
  <c r="D413" i="17"/>
  <c r="A57" i="23"/>
  <c r="B182" i="24"/>
  <c r="B200"/>
  <c r="D42"/>
  <c r="F129" i="23"/>
  <c r="A416" i="17"/>
  <c r="F133" i="23"/>
  <c r="I416" i="17"/>
  <c r="F137" i="23"/>
  <c r="H417" i="17"/>
  <c r="F141" i="23"/>
  <c r="G418" i="17"/>
  <c r="F145" i="23"/>
  <c r="F419" i="17"/>
  <c r="F149" i="23"/>
  <c r="E420" i="17"/>
  <c r="A24" i="24"/>
  <c r="G89"/>
  <c r="G98"/>
  <c r="E241" i="23"/>
  <c r="H276" i="20"/>
  <c r="C366" i="17"/>
  <c r="H277" i="20"/>
  <c r="B367" i="17"/>
  <c r="H278" i="20"/>
  <c r="A368" i="17"/>
  <c r="H279" i="20"/>
  <c r="I368" i="17"/>
  <c r="H280" i="20"/>
  <c r="H369" i="17"/>
  <c r="H281" i="20"/>
  <c r="G370" i="17"/>
  <c r="A80" i="24"/>
  <c r="G97"/>
  <c r="G106"/>
  <c r="E249" i="23"/>
  <c r="H284" i="20"/>
  <c r="D373" i="17"/>
  <c r="H285" i="20"/>
  <c r="C374" i="17"/>
  <c r="H286" i="20"/>
  <c r="B375" i="17"/>
  <c r="E71" i="23"/>
  <c r="D961" i="17"/>
  <c r="E171" i="20"/>
  <c r="G985" i="17"/>
  <c r="A528"/>
  <c r="A350"/>
  <c r="C63" i="13"/>
  <c r="E285" i="7"/>
  <c r="H331" i="6"/>
  <c r="I350" i="17"/>
  <c r="C64" i="13"/>
  <c r="E286" i="7"/>
  <c r="P331" i="6"/>
  <c r="D380" i="17"/>
  <c r="D177" i="12"/>
  <c r="E143" i="7"/>
  <c r="D159" i="23"/>
  <c r="D5" i="19"/>
  <c r="B963" i="17"/>
  <c r="G22" i="20"/>
  <c r="I707" i="17"/>
  <c r="A414"/>
  <c r="C135" i="13"/>
  <c r="B8" i="10"/>
  <c r="A364" i="6"/>
  <c r="I414" i="17"/>
  <c r="C136" i="13"/>
  <c r="B10" i="10"/>
  <c r="Q364" i="6"/>
  <c r="H287" i="17"/>
  <c r="D249" i="12"/>
  <c r="E215" i="7"/>
  <c r="D223" i="23"/>
  <c r="C195" i="20"/>
  <c r="I1012" i="17"/>
  <c r="G30" i="20"/>
  <c r="D736" i="17"/>
  <c r="B421"/>
  <c r="C143" i="13"/>
  <c r="A10" i="10"/>
  <c r="I370" i="6"/>
  <c r="A422" i="17"/>
  <c r="C144" i="13"/>
  <c r="A12" i="10"/>
  <c r="E371" i="6"/>
  <c r="H156" i="23"/>
  <c r="H188"/>
  <c r="H246"/>
  <c r="G71" i="24"/>
  <c r="H29"/>
  <c r="A137" i="20"/>
  <c r="H37" i="24"/>
  <c r="A145" i="20"/>
  <c r="A456" i="17"/>
  <c r="A249" i="23"/>
  <c r="G62" i="25"/>
  <c r="G86"/>
  <c r="D90" i="24"/>
  <c r="H159"/>
  <c r="G458" i="17"/>
  <c r="H175" i="24"/>
  <c r="F459" i="17"/>
  <c r="H191" i="24"/>
  <c r="E460" i="17"/>
  <c r="H207" i="24"/>
  <c r="D461" i="17"/>
  <c r="H223" i="24"/>
  <c r="C462" i="17"/>
  <c r="H13" i="25"/>
  <c r="B463" i="17"/>
  <c r="H2" i="24"/>
  <c r="H83" i="25"/>
  <c r="H107"/>
  <c r="D98" i="24"/>
  <c r="H77" i="25"/>
  <c r="H465" i="17"/>
  <c r="F99" i="25"/>
  <c r="G466" i="17"/>
  <c r="B13" i="28"/>
  <c r="F467" i="17"/>
  <c r="B926"/>
  <c r="E468"/>
  <c r="A927"/>
  <c r="D469"/>
  <c r="I927"/>
  <c r="C470"/>
  <c r="H58" i="24"/>
  <c r="F105" i="25"/>
  <c r="B4" i="29"/>
  <c r="D106" i="24"/>
  <c r="F930" i="17"/>
  <c r="I472"/>
  <c r="E931"/>
  <c r="H473"/>
  <c r="D932"/>
  <c r="G474"/>
  <c r="C933"/>
  <c r="F475"/>
  <c r="B934"/>
  <c r="E476"/>
  <c r="A935"/>
  <c r="D477"/>
  <c r="A65" i="23"/>
  <c r="B198" i="24"/>
  <c r="B216"/>
  <c r="D50"/>
  <c r="F161" i="23"/>
  <c r="B423" i="17"/>
  <c r="F165" i="23"/>
  <c r="A424" i="17"/>
  <c r="F169" i="23"/>
  <c r="I424" i="17"/>
  <c r="F173" i="23"/>
  <c r="H425" i="17"/>
  <c r="F177" i="23"/>
  <c r="G426" i="17"/>
  <c r="F181" i="23"/>
  <c r="F427" i="17"/>
  <c r="A121" i="23"/>
  <c r="B214" i="24"/>
  <c r="B1" i="25"/>
  <c r="D58" i="24"/>
  <c r="F193" i="23"/>
  <c r="C430" i="17"/>
  <c r="F197" i="23"/>
  <c r="B431" i="17"/>
  <c r="F201" i="23"/>
  <c r="A432" i="17"/>
  <c r="D95" i="23"/>
  <c r="D960" i="17"/>
  <c r="A956"/>
  <c r="G14" i="20"/>
  <c r="E679" i="17"/>
  <c r="I406"/>
  <c r="C127" i="13"/>
  <c r="C37" i="9"/>
  <c r="M357" i="6"/>
  <c r="H407" i="17"/>
  <c r="C128" i="13"/>
  <c r="C38" i="9"/>
  <c r="I358" i="6"/>
  <c r="G280" i="17"/>
  <c r="D241" i="12"/>
  <c r="E207" i="7"/>
  <c r="C183" i="23"/>
  <c r="H156" i="24"/>
  <c r="A202" i="20"/>
  <c r="A206"/>
  <c r="A210"/>
  <c r="H4" i="28"/>
  <c r="A20"/>
  <c r="H28" i="37"/>
  <c r="F35" i="44"/>
  <c r="E6" i="24"/>
  <c r="E38"/>
  <c r="E70"/>
  <c r="E102"/>
  <c r="G22" i="28"/>
  <c r="H1" i="29"/>
  <c r="G90" i="46"/>
  <c r="G7"/>
  <c r="D180" i="24"/>
  <c r="D188"/>
  <c r="D196"/>
  <c r="F44" i="25"/>
  <c r="G5" i="23"/>
  <c r="G14"/>
  <c r="G167" i="24"/>
  <c r="A959" i="17"/>
  <c r="D501"/>
  <c r="I959"/>
  <c r="C502"/>
  <c r="H960"/>
  <c r="B503"/>
  <c r="G961"/>
  <c r="A504"/>
  <c r="F962"/>
  <c r="I504"/>
  <c r="E963"/>
  <c r="H505"/>
  <c r="G65" i="25"/>
  <c r="G13" i="23"/>
  <c r="G22"/>
  <c r="G183" i="24"/>
  <c r="B966" i="17"/>
  <c r="E508"/>
  <c r="A967"/>
  <c r="D509"/>
  <c r="I967"/>
  <c r="C510"/>
  <c r="H968"/>
  <c r="B511"/>
  <c r="G969"/>
  <c r="A512"/>
  <c r="F970"/>
  <c r="B340" i="46"/>
  <c r="E11" i="33"/>
  <c r="E31"/>
  <c r="E19"/>
  <c r="F4" i="35"/>
  <c r="E27" i="33"/>
  <c r="B12" i="37"/>
  <c r="E35" i="33"/>
  <c r="B23" i="38"/>
  <c r="C1" i="37"/>
  <c r="B9"/>
  <c r="F25"/>
  <c r="E7" i="33"/>
  <c r="D34"/>
  <c r="A200" i="23"/>
  <c r="H17" i="24"/>
  <c r="H72" i="25"/>
  <c r="H33" i="46"/>
  <c r="F158" i="24"/>
  <c r="F159"/>
  <c r="F160"/>
  <c r="F121" i="46"/>
  <c r="D76" i="25"/>
  <c r="D84"/>
  <c r="D92"/>
  <c r="E178" i="46"/>
  <c r="D116" i="24"/>
  <c r="D124"/>
  <c r="D132"/>
  <c r="C17" i="46"/>
  <c r="A72" i="25"/>
  <c r="A80"/>
  <c r="A88"/>
  <c r="H214" i="23"/>
  <c r="G69"/>
  <c r="G78"/>
  <c r="G85" i="25"/>
  <c r="H4" i="19"/>
  <c r="H572" i="17"/>
  <c r="H5" i="19"/>
  <c r="D576" i="17"/>
  <c r="H6" i="19"/>
  <c r="I579" i="17"/>
  <c r="H7" i="19"/>
  <c r="E583" i="17"/>
  <c r="H8" i="19"/>
  <c r="A587" i="17"/>
  <c r="H9" i="19"/>
  <c r="F590" i="17"/>
  <c r="H222" i="23"/>
  <c r="G77"/>
  <c r="G86"/>
  <c r="H106" i="25"/>
  <c r="H12" i="19"/>
  <c r="C601" i="17"/>
  <c r="H13" i="19"/>
  <c r="H604" i="17"/>
  <c r="H14" i="19"/>
  <c r="D608" i="17"/>
  <c r="H15" i="19"/>
  <c r="I611" i="17"/>
  <c r="H16" i="19"/>
  <c r="E615" i="17"/>
  <c r="H17" i="19"/>
  <c r="C353" i="46"/>
  <c r="I74"/>
  <c r="C19" i="33"/>
  <c r="C7"/>
  <c r="C27"/>
  <c r="C15"/>
  <c r="C35"/>
  <c r="C23"/>
  <c r="C3" i="37"/>
  <c r="C31" i="33"/>
  <c r="F28" i="37"/>
  <c r="C4" i="35"/>
  <c r="E11" i="38"/>
  <c r="I138" i="46"/>
  <c r="H9" i="24"/>
  <c r="H81"/>
  <c r="F152"/>
  <c r="G64" i="46"/>
  <c r="D12" i="25"/>
  <c r="D20"/>
  <c r="D28"/>
  <c r="D121" i="46"/>
  <c r="B76" i="25"/>
  <c r="B84"/>
  <c r="B92"/>
  <c r="C178" i="46"/>
  <c r="A8" i="25"/>
  <c r="A16"/>
  <c r="A24"/>
  <c r="D112" i="24"/>
  <c r="H10" i="33"/>
  <c r="F23"/>
  <c r="B15" i="37"/>
  <c r="B5" i="28"/>
  <c r="G133" i="23"/>
  <c r="G142"/>
  <c r="D33"/>
  <c r="G48" i="20"/>
  <c r="D800" i="17"/>
  <c r="G49" i="20"/>
  <c r="I803" i="17"/>
  <c r="G50" i="20"/>
  <c r="E807" i="17"/>
  <c r="G51" i="20"/>
  <c r="A811" i="17"/>
  <c r="G52" i="20"/>
  <c r="F814" i="17"/>
  <c r="G53" i="20"/>
  <c r="B818" i="17"/>
  <c r="A1" i="22"/>
  <c r="G141" i="23"/>
  <c r="G150"/>
  <c r="D41"/>
  <c r="G56" i="20"/>
  <c r="H828" i="17"/>
  <c r="G57" i="20"/>
  <c r="D832" i="17"/>
  <c r="G58" i="20"/>
  <c r="I835" i="17"/>
  <c r="G59" i="20"/>
  <c r="E839" i="17"/>
  <c r="G60" i="20"/>
  <c r="A843" i="17"/>
  <c r="G61" i="20"/>
  <c r="C395" i="46"/>
  <c r="E150"/>
  <c r="D14" i="38"/>
  <c r="A2"/>
  <c r="F25"/>
  <c r="A10"/>
  <c r="D7" i="46"/>
  <c r="B19" i="38"/>
  <c r="C64" i="46"/>
  <c r="A11" i="44"/>
  <c r="B121" i="46"/>
  <c r="H35"/>
  <c r="A122"/>
  <c r="G36"/>
  <c r="H229" i="23"/>
  <c r="G46" i="24"/>
  <c r="E195"/>
  <c r="E64" i="46"/>
  <c r="B12" i="25"/>
  <c r="B20"/>
  <c r="B28"/>
  <c r="D8"/>
  <c r="A5" i="33"/>
  <c r="D9" i="32"/>
  <c r="G8" i="35"/>
  <c r="D72" i="25"/>
  <c r="A2" i="31"/>
  <c r="H6" i="33"/>
  <c r="A2" i="32"/>
  <c r="A4" i="25"/>
  <c r="D22" i="37"/>
  <c r="C2" i="38"/>
  <c r="C10"/>
  <c r="G235" i="23"/>
  <c r="G197"/>
  <c r="G206"/>
  <c r="D97"/>
  <c r="G112" i="20"/>
  <c r="F194" i="23"/>
  <c r="G113" i="20"/>
  <c r="F226" i="23"/>
  <c r="G114" i="20"/>
  <c r="E8" i="24"/>
  <c r="G115" i="20"/>
  <c r="E72" i="24"/>
  <c r="G116" i="20"/>
  <c r="H163" i="24"/>
  <c r="G117" i="20"/>
  <c r="I553" i="17"/>
  <c r="G243" i="23"/>
  <c r="G205"/>
  <c r="G214"/>
  <c r="D105"/>
  <c r="G120" i="20"/>
  <c r="F556" i="17"/>
  <c r="G121" i="20"/>
  <c r="E557" i="17"/>
  <c r="G122" i="20"/>
  <c r="D558" i="17"/>
  <c r="G123" i="20"/>
  <c r="C559" i="17"/>
  <c r="G124" i="20"/>
  <c r="B560" i="17"/>
  <c r="G125" i="20"/>
  <c r="C401" i="46"/>
  <c r="E113" i="24"/>
  <c r="E133"/>
  <c r="E121"/>
  <c r="E141"/>
  <c r="E129"/>
  <c r="E149"/>
  <c r="E137"/>
  <c r="E157"/>
  <c r="E145"/>
  <c r="E165"/>
  <c r="E153"/>
  <c r="E109"/>
  <c r="C17" i="28"/>
  <c r="G155" i="24"/>
  <c r="H90" i="25"/>
  <c r="C102" i="20"/>
  <c r="E182" i="24"/>
  <c r="C172" i="20"/>
  <c r="C173"/>
  <c r="C174"/>
  <c r="B15" i="25"/>
  <c r="C244" i="20"/>
  <c r="C245"/>
  <c r="C246"/>
  <c r="B79" i="25"/>
  <c r="C252" i="20"/>
  <c r="C253"/>
  <c r="C254"/>
  <c r="D2" i="32"/>
  <c r="B91" i="23"/>
  <c r="B95"/>
  <c r="B99"/>
  <c r="C100"/>
  <c r="E9" i="38"/>
  <c r="G24" i="33"/>
  <c r="C185" i="23"/>
  <c r="F180" i="20"/>
  <c r="A608" i="17"/>
  <c r="F181" i="20"/>
  <c r="I608" i="17"/>
  <c r="F182" i="20"/>
  <c r="H609" i="17"/>
  <c r="F183" i="20"/>
  <c r="G610" i="17"/>
  <c r="F184" i="20"/>
  <c r="F611" i="17"/>
  <c r="F185" i="20"/>
  <c r="E612" i="17"/>
  <c r="C108" i="23"/>
  <c r="G16" i="33"/>
  <c r="E20" i="37"/>
  <c r="C193" i="23"/>
  <c r="F188" i="20"/>
  <c r="B615" i="17"/>
  <c r="F189" i="20"/>
  <c r="A616" i="17"/>
  <c r="F190" i="20"/>
  <c r="I616" i="17"/>
  <c r="F191" i="20"/>
  <c r="H617" i="17"/>
  <c r="F192" i="20"/>
  <c r="G618" i="17"/>
  <c r="F193" i="20"/>
  <c r="I177" i="46"/>
  <c r="H14" i="38"/>
  <c r="D84" i="24"/>
  <c r="G219"/>
  <c r="C4" i="21"/>
  <c r="D668" i="17"/>
  <c r="B7" i="23"/>
  <c r="E675" i="17"/>
  <c r="G562"/>
  <c r="B173" i="24"/>
  <c r="C6" i="32"/>
  <c r="F12" i="33"/>
  <c r="C137" i="23"/>
  <c r="F132" i="20"/>
  <c r="D565" i="17"/>
  <c r="F133" i="20"/>
  <c r="C566" i="17"/>
  <c r="F134" i="20"/>
  <c r="B567" i="17"/>
  <c r="F135" i="20"/>
  <c r="A568" i="17"/>
  <c r="F136" i="20"/>
  <c r="I568" i="17"/>
  <c r="F137" i="20"/>
  <c r="H569" i="17"/>
  <c r="B189" i="24"/>
  <c r="A10" i="32"/>
  <c r="F10" i="33"/>
  <c r="C145" i="23"/>
  <c r="F140" i="20"/>
  <c r="E572" i="17"/>
  <c r="F141" i="20"/>
  <c r="D573" i="17"/>
  <c r="F142" i="20"/>
  <c r="C574" i="17"/>
  <c r="F143" i="20"/>
  <c r="B575" i="17"/>
  <c r="F144" i="20"/>
  <c r="A576" i="17"/>
  <c r="F145" i="20"/>
  <c r="I576" i="17"/>
  <c r="F93" i="25"/>
  <c r="G9" i="32"/>
  <c r="A7" i="33"/>
  <c r="C153" i="23"/>
  <c r="F148" i="20"/>
  <c r="F579" i="17"/>
  <c r="F149" i="20"/>
  <c r="E580" i="17"/>
  <c r="F150" i="20"/>
  <c r="D581" i="17"/>
  <c r="F151" i="20"/>
  <c r="C582" i="17"/>
  <c r="F152" i="20"/>
  <c r="B583" i="17"/>
  <c r="F153" i="20"/>
  <c r="A584" i="17"/>
  <c r="D212" i="23"/>
  <c r="D1" i="29"/>
  <c r="H21" i="28"/>
  <c r="C97" i="23"/>
  <c r="F92" i="20"/>
  <c r="B181"/>
  <c r="F93"/>
  <c r="B189"/>
  <c r="F94"/>
  <c r="B197"/>
  <c r="F95"/>
  <c r="B205"/>
  <c r="F96"/>
  <c r="B213"/>
  <c r="F97"/>
  <c r="B221"/>
  <c r="C13" i="24"/>
  <c r="H13" i="28"/>
  <c r="F4" i="29"/>
  <c r="C105" i="23"/>
  <c r="F100" i="20"/>
  <c r="B245"/>
  <c r="F101"/>
  <c r="B253"/>
  <c r="F102"/>
  <c r="B261"/>
  <c r="G152" i="24"/>
  <c r="G953" i="17"/>
  <c r="C823"/>
  <c r="F274" i="20"/>
  <c r="F691" i="17"/>
  <c r="E272"/>
  <c r="G11" i="16"/>
  <c r="B205" i="12"/>
  <c r="R266" i="6"/>
  <c r="D273" i="17"/>
  <c r="G12" i="16"/>
  <c r="B209" i="12"/>
  <c r="F267" i="6"/>
  <c r="E545" i="17"/>
  <c r="E21" i="16"/>
  <c r="H84" i="13"/>
  <c r="E252" i="23"/>
  <c r="G2" i="19"/>
  <c r="E604" i="17"/>
  <c r="F180" i="23"/>
  <c r="F755" i="17"/>
  <c r="E336"/>
  <c r="G83" i="16"/>
  <c r="C12" i="12"/>
  <c r="N295" i="6"/>
  <c r="D337" i="17"/>
  <c r="G84" i="16"/>
  <c r="C13" i="12"/>
  <c r="B296" i="6"/>
  <c r="A778" i="17"/>
  <c r="H464"/>
  <c r="G48" i="12"/>
  <c r="D20" i="23"/>
  <c r="F46" i="20"/>
  <c r="C654" i="17"/>
  <c r="F212" i="23"/>
  <c r="G762" i="17"/>
  <c r="F343"/>
  <c r="G91" i="16"/>
  <c r="C20" i="12"/>
  <c r="R298" i="6"/>
  <c r="E344" i="17"/>
  <c r="G92" i="16"/>
  <c r="C21" i="12"/>
  <c r="F299" i="6"/>
  <c r="C188" i="24"/>
  <c r="C220"/>
  <c r="C108"/>
  <c r="H47" i="25"/>
  <c r="G177" i="24"/>
  <c r="I670" i="17"/>
  <c r="G193" i="24"/>
  <c r="A678" i="17"/>
  <c r="F619"/>
  <c r="C164" i="23"/>
  <c r="E12" i="37"/>
  <c r="E227" i="46"/>
  <c r="C201" i="23"/>
  <c r="F196" i="20"/>
  <c r="C622" i="17"/>
  <c r="F197" i="20"/>
  <c r="B623" i="17"/>
  <c r="F198" i="20"/>
  <c r="A624" i="17"/>
  <c r="F199" i="20"/>
  <c r="I624" i="17"/>
  <c r="F200" i="20"/>
  <c r="H625" i="17"/>
  <c r="F201" i="20"/>
  <c r="G626" i="17"/>
  <c r="C172" i="23"/>
  <c r="A138" i="46"/>
  <c r="F8" i="44"/>
  <c r="C209" i="23"/>
  <c r="F204" i="20"/>
  <c r="D629" i="17"/>
  <c r="F205" i="20"/>
  <c r="C630" i="17"/>
  <c r="F206" i="20"/>
  <c r="B631" i="17"/>
  <c r="F207" i="20"/>
  <c r="A632" i="17"/>
  <c r="F208" i="20"/>
  <c r="I632" i="17"/>
  <c r="F209" i="20"/>
  <c r="H633" i="17"/>
  <c r="C228" i="23"/>
  <c r="F19" i="38"/>
  <c r="A21"/>
  <c r="C217" i="23"/>
  <c r="F212" i="20"/>
  <c r="E636" i="17"/>
  <c r="F213" i="20"/>
  <c r="D637" i="17"/>
  <c r="F214" i="20"/>
  <c r="C638" i="17"/>
  <c r="F215" i="20"/>
  <c r="B639" i="17"/>
  <c r="F216" i="20"/>
  <c r="A640" i="17"/>
  <c r="F217" i="20"/>
  <c r="I640" i="17"/>
  <c r="G114" i="25"/>
  <c r="E7" i="32"/>
  <c r="B4" i="37"/>
  <c r="C161" i="23"/>
  <c r="F156" i="20"/>
  <c r="G586" i="17"/>
  <c r="F157" i="20"/>
  <c r="F587" i="17"/>
  <c r="F158" i="20"/>
  <c r="E588" i="17"/>
  <c r="F159" i="20"/>
  <c r="D589" i="17"/>
  <c r="F160" i="20"/>
  <c r="C590" i="17"/>
  <c r="F161" i="20"/>
  <c r="B591" i="17"/>
  <c r="C36" i="23"/>
  <c r="E36" i="33"/>
  <c r="C32"/>
  <c r="C169" i="23"/>
  <c r="F164" i="20"/>
  <c r="H593" i="17"/>
  <c r="F165" i="20"/>
  <c r="G594" i="17"/>
  <c r="F166" i="20"/>
  <c r="F595" i="17"/>
  <c r="F10" i="22"/>
  <c r="B957" i="17"/>
  <c r="D597"/>
  <c r="F148" i="23"/>
  <c r="E748" i="17"/>
  <c r="D329"/>
  <c r="G75" i="16"/>
  <c r="C4" i="12"/>
  <c r="J292" i="6"/>
  <c r="C330" i="17"/>
  <c r="G76" i="16"/>
  <c r="C5" i="12"/>
  <c r="R292" i="6"/>
  <c r="F749" i="17"/>
  <c r="B213"/>
  <c r="E39" i="12"/>
  <c r="H157" i="23"/>
  <c r="F4" i="19"/>
  <c r="A832" i="17"/>
  <c r="A941"/>
  <c r="E812"/>
  <c r="D393"/>
  <c r="A31"/>
  <c r="E89" i="12"/>
  <c r="F321" i="6"/>
  <c r="C394" i="17"/>
  <c r="I31"/>
  <c r="B91" i="12"/>
  <c r="N321" i="6"/>
  <c r="B267" i="17"/>
  <c r="G5" i="16"/>
  <c r="B181" i="12"/>
  <c r="B208" i="24"/>
  <c r="E48" i="20"/>
  <c r="H881" i="17"/>
  <c r="B948"/>
  <c r="F819"/>
  <c r="E400"/>
  <c r="B38"/>
  <c r="D102" i="12"/>
  <c r="J324" i="6"/>
  <c r="D401" i="17"/>
  <c r="A39"/>
  <c r="A104" i="12"/>
  <c r="R324" i="6"/>
  <c r="D166" i="46"/>
  <c r="F226"/>
  <c r="A157" i="24"/>
  <c r="F114" i="25"/>
  <c r="B227" i="24"/>
  <c r="D98" i="23"/>
  <c r="H15" i="25"/>
  <c r="D130" i="23"/>
  <c r="H674" i="17"/>
  <c r="C23" i="37"/>
  <c r="F86" i="24"/>
  <c r="F95"/>
  <c r="D241" i="23"/>
  <c r="G256" i="20"/>
  <c r="E677" i="17"/>
  <c r="G257" i="20"/>
  <c r="D678" i="17"/>
  <c r="G258" i="20"/>
  <c r="C679" i="17"/>
  <c r="G259" i="20"/>
  <c r="B680" i="17"/>
  <c r="G260" i="20"/>
  <c r="A681" i="17"/>
  <c r="G261" i="20"/>
  <c r="I681" i="17"/>
  <c r="A3" i="38"/>
  <c r="F94" i="24"/>
  <c r="F103"/>
  <c r="D249" i="23"/>
  <c r="G264" i="20"/>
  <c r="F684" i="17"/>
  <c r="G265" i="20"/>
  <c r="E685" i="17"/>
  <c r="G266" i="20"/>
  <c r="D686" i="17"/>
  <c r="G267" i="20"/>
  <c r="C687" i="17"/>
  <c r="G268" i="20"/>
  <c r="B688" i="17"/>
  <c r="G269" i="20"/>
  <c r="A689" i="17"/>
  <c r="B112" i="46"/>
  <c r="F102" i="24"/>
  <c r="A114"/>
  <c r="C2"/>
  <c r="G272" i="20"/>
  <c r="G691" i="17"/>
  <c r="G273" i="20"/>
  <c r="F692" i="17"/>
  <c r="G274" i="20"/>
  <c r="E693" i="17"/>
  <c r="G275" i="20"/>
  <c r="D694" i="17"/>
  <c r="G276" i="20"/>
  <c r="C695" i="17"/>
  <c r="G277" i="20"/>
  <c r="B696" i="17"/>
  <c r="C85" i="25"/>
  <c r="F46" i="24"/>
  <c r="F55"/>
  <c r="D201" i="23"/>
  <c r="G216" i="20"/>
  <c r="I641" i="17"/>
  <c r="G217" i="20"/>
  <c r="H642" i="17"/>
  <c r="G218" i="20"/>
  <c r="G643" i="17"/>
  <c r="G219" i="20"/>
  <c r="F644" i="17"/>
  <c r="G220" i="20"/>
  <c r="E645" i="17"/>
  <c r="G221" i="20"/>
  <c r="D646" i="17"/>
  <c r="C7" i="29"/>
  <c r="F54" i="24"/>
  <c r="F63"/>
  <c r="D209" i="23"/>
  <c r="G224" i="20"/>
  <c r="A649" i="17"/>
  <c r="G225" i="20"/>
  <c r="I649" i="17"/>
  <c r="G226" i="20"/>
  <c r="H650" i="17"/>
  <c r="G38" i="46"/>
  <c r="C830" i="17"/>
  <c r="H451"/>
  <c r="C932"/>
  <c r="G803"/>
  <c r="D330"/>
  <c r="C256" i="12"/>
  <c r="D85"/>
  <c r="C306" i="6"/>
  <c r="C331" i="17"/>
  <c r="C1" i="13"/>
  <c r="A87" i="12"/>
  <c r="K306" i="6"/>
  <c r="I827" i="17"/>
  <c r="C114" i="12"/>
  <c r="A163"/>
  <c r="E134" i="23"/>
  <c r="H888" i="17"/>
  <c r="E269"/>
  <c r="C996"/>
  <c r="G867"/>
  <c r="D394"/>
  <c r="B72" i="13"/>
  <c r="H125"/>
  <c r="S334" i="6"/>
  <c r="C395" i="17"/>
  <c r="B73" i="13"/>
  <c r="H133"/>
  <c r="G335" i="6"/>
  <c r="B268" i="17"/>
  <c r="C186" i="12"/>
  <c r="F3"/>
  <c r="E198" i="23"/>
  <c r="I978" i="17"/>
  <c r="C319"/>
  <c r="D1003"/>
  <c r="H874"/>
  <c r="E401"/>
  <c r="B80" i="13"/>
  <c r="H189"/>
  <c r="C338" i="6"/>
  <c r="D402" i="17"/>
  <c r="B81" i="13"/>
  <c r="H197"/>
  <c r="K338" i="6"/>
  <c r="C89" i="25"/>
  <c r="B14" i="28"/>
  <c r="A216" i="23"/>
  <c r="H41" i="24"/>
  <c r="F58" i="25"/>
  <c r="F293" i="17"/>
  <c r="G79" i="25"/>
  <c r="G300" i="17"/>
  <c r="G731"/>
  <c r="C13" i="20"/>
  <c r="A192" i="24"/>
  <c r="A210"/>
  <c r="C50"/>
  <c r="B81" i="23"/>
  <c r="D734" i="17"/>
  <c r="B85" i="23"/>
  <c r="C735" i="17"/>
  <c r="B89" i="23"/>
  <c r="B736" i="17"/>
  <c r="B93" i="23"/>
  <c r="A737" i="17"/>
  <c r="B97" i="23"/>
  <c r="I737" i="17"/>
  <c r="B101" i="23"/>
  <c r="H738" i="17"/>
  <c r="C21" i="20"/>
  <c r="A208" i="24"/>
  <c r="A226"/>
  <c r="C58"/>
  <c r="B113" i="23"/>
  <c r="E741" i="17"/>
  <c r="B117" i="23"/>
  <c r="D742" i="17"/>
  <c r="B121" i="23"/>
  <c r="C743" i="17"/>
  <c r="B125" i="23"/>
  <c r="B744" i="17"/>
  <c r="B129" i="23"/>
  <c r="A745" i="17"/>
  <c r="B133" i="23"/>
  <c r="I745" i="17"/>
  <c r="C77" i="20"/>
  <c r="A224" i="24"/>
  <c r="F14" i="25"/>
  <c r="C66" i="24"/>
  <c r="B145" i="23"/>
  <c r="F748" i="17"/>
  <c r="B149" i="23"/>
  <c r="E749" i="17"/>
  <c r="B153" i="23"/>
  <c r="D750" i="17"/>
  <c r="B157" i="23"/>
  <c r="C751" i="17"/>
  <c r="B161" i="23"/>
  <c r="B752" i="17"/>
  <c r="B165" i="23"/>
  <c r="A753" i="17"/>
  <c r="A169" i="46"/>
  <c r="A112" i="24"/>
  <c r="A130"/>
  <c r="C10"/>
  <c r="G280" i="20"/>
  <c r="H698" i="17"/>
  <c r="G281" i="20"/>
  <c r="G699" i="17"/>
  <c r="G282" i="20"/>
  <c r="F700" i="17"/>
  <c r="G283" i="20"/>
  <c r="E701" i="17"/>
  <c r="G284" i="20"/>
  <c r="D702" i="17"/>
  <c r="G285" i="20"/>
  <c r="C703" i="17"/>
  <c r="H128" i="46"/>
  <c r="A128" i="24"/>
  <c r="A146"/>
  <c r="C18"/>
  <c r="G288" i="20"/>
  <c r="I705" i="17"/>
  <c r="G289" i="20"/>
  <c r="H706" i="17"/>
  <c r="G290" i="20"/>
  <c r="G707" i="17"/>
  <c r="E70" i="23"/>
  <c r="I831" i="17"/>
  <c r="D262"/>
  <c r="B989"/>
  <c r="F860"/>
  <c r="C387"/>
  <c r="B64" i="13"/>
  <c r="H61"/>
  <c r="O331" i="6"/>
  <c r="B388" i="17"/>
  <c r="B65" i="13"/>
  <c r="H69"/>
  <c r="C332" i="6"/>
  <c r="A261" i="17"/>
  <c r="C178" i="12"/>
  <c r="H14" i="10"/>
  <c r="D158" i="23"/>
  <c r="D891" i="17"/>
  <c r="A497"/>
  <c r="F26" i="20"/>
  <c r="F924" i="17"/>
  <c r="C451"/>
  <c r="B136" i="13"/>
  <c r="E34" i="12"/>
  <c r="P364" i="6"/>
  <c r="B452" i="17"/>
  <c r="B137" i="13"/>
  <c r="E35" i="12"/>
  <c r="L365" i="6"/>
  <c r="A325" i="17"/>
  <c r="C250" i="12"/>
  <c r="G75"/>
  <c r="D222" i="23"/>
  <c r="I985" i="17"/>
  <c r="H546"/>
  <c r="F34" i="20"/>
  <c r="F941" i="17"/>
  <c r="D458"/>
  <c r="B144" i="13"/>
  <c r="B43" i="12"/>
  <c r="D371" i="6"/>
  <c r="C459" i="17"/>
  <c r="B145" i="13"/>
  <c r="C44" i="12"/>
  <c r="T371" i="6"/>
  <c r="F172" i="46"/>
  <c r="D276"/>
  <c r="H245" i="23"/>
  <c r="G70" i="24"/>
  <c r="H20"/>
  <c r="G331" i="17"/>
  <c r="H28" i="24"/>
  <c r="H338" i="17"/>
  <c r="F788"/>
  <c r="C269" i="20"/>
  <c r="B1" i="28"/>
  <c r="F114" i="24"/>
  <c r="B119"/>
  <c r="H221"/>
  <c r="C791" i="17"/>
  <c r="F11" i="25"/>
  <c r="B792" i="17"/>
  <c r="G32" i="25"/>
  <c r="A793" i="17"/>
  <c r="H53" i="25"/>
  <c r="I793" i="17"/>
  <c r="F75" i="25"/>
  <c r="H794" i="17"/>
  <c r="G96" i="25"/>
  <c r="G795" i="17"/>
  <c r="C277" i="20"/>
  <c r="F113" i="24"/>
  <c r="F122"/>
  <c r="B135"/>
  <c r="I926" i="17"/>
  <c r="D798"/>
  <c r="H927"/>
  <c r="C799"/>
  <c r="G928"/>
  <c r="B800"/>
  <c r="F929"/>
  <c r="A801"/>
  <c r="E930"/>
  <c r="I801"/>
  <c r="D931"/>
  <c r="H802"/>
  <c r="B127" i="23"/>
  <c r="F121" i="24"/>
  <c r="F130"/>
  <c r="B151"/>
  <c r="A934" i="17"/>
  <c r="E805"/>
  <c r="I934"/>
  <c r="D806"/>
  <c r="H935"/>
  <c r="C807"/>
  <c r="G936"/>
  <c r="B808"/>
  <c r="F937"/>
  <c r="A809"/>
  <c r="E938"/>
  <c r="I809"/>
  <c r="C85" i="20"/>
  <c r="G11" i="25"/>
  <c r="G35"/>
  <c r="C74" i="24"/>
  <c r="B177" i="23"/>
  <c r="G755" i="17"/>
  <c r="B181" i="23"/>
  <c r="F756" i="17"/>
  <c r="B185" i="23"/>
  <c r="E757" i="17"/>
  <c r="B189" i="23"/>
  <c r="D758" i="17"/>
  <c r="B193" i="23"/>
  <c r="C759" i="17"/>
  <c r="B197" i="23"/>
  <c r="B760" i="17"/>
  <c r="C141" i="20"/>
  <c r="H32" i="25"/>
  <c r="H56"/>
  <c r="C82" i="24"/>
  <c r="B209" i="23"/>
  <c r="H762" i="17"/>
  <c r="B213" i="23"/>
  <c r="G763" i="17"/>
  <c r="B217" i="23"/>
  <c r="F764" i="17"/>
  <c r="D94" i="23"/>
  <c r="E834" i="17"/>
  <c r="I489"/>
  <c r="F18" i="20"/>
  <c r="E917" i="17"/>
  <c r="B444"/>
  <c r="B128" i="13"/>
  <c r="E26" i="12"/>
  <c r="H358" i="6"/>
  <c r="A445" i="17"/>
  <c r="B129" i="13"/>
  <c r="E27" i="12"/>
  <c r="D359" i="6"/>
  <c r="I317" i="17"/>
  <c r="C242" i="12"/>
  <c r="A63"/>
  <c r="C182" i="23"/>
  <c r="D890" i="17"/>
  <c r="C270"/>
  <c r="E389"/>
  <c r="C170" i="20"/>
  <c r="F396" i="17"/>
  <c r="H16" i="28"/>
  <c r="A32"/>
  <c r="A174" i="24"/>
  <c r="F112"/>
  <c r="D74"/>
  <c r="B447" i="17"/>
  <c r="D82" i="24"/>
  <c r="C454" i="17"/>
  <c r="G34" i="28"/>
  <c r="G2"/>
  <c r="F94" i="25"/>
  <c r="F204" i="24"/>
  <c r="C68" i="20"/>
  <c r="C69"/>
  <c r="C70"/>
  <c r="E52" i="23"/>
  <c r="F153" i="24"/>
  <c r="F162"/>
  <c r="B215"/>
  <c r="E962" i="17"/>
  <c r="I833"/>
  <c r="D963"/>
  <c r="H834"/>
  <c r="C964"/>
  <c r="G835"/>
  <c r="B965"/>
  <c r="F836"/>
  <c r="A966"/>
  <c r="E837"/>
  <c r="I966"/>
  <c r="D838"/>
  <c r="E60" i="23"/>
  <c r="F161" i="24"/>
  <c r="F180"/>
  <c r="B231"/>
  <c r="F969" i="17"/>
  <c r="A841"/>
  <c r="E970"/>
  <c r="I841"/>
  <c r="D971"/>
  <c r="H842"/>
  <c r="C972"/>
  <c r="G843"/>
  <c r="B973"/>
  <c r="F844"/>
  <c r="A974"/>
  <c r="I389" i="46"/>
  <c r="G188"/>
  <c r="D21" i="38"/>
  <c r="A223" i="46"/>
  <c r="D1" i="44"/>
  <c r="I279" i="46"/>
  <c r="F11" i="44"/>
  <c r="D25" i="38"/>
  <c r="D38" i="44"/>
  <c r="B7"/>
  <c r="H5" i="46"/>
  <c r="D17" i="44"/>
  <c r="G183" i="46"/>
  <c r="A173"/>
  <c r="C220" i="20"/>
  <c r="C292"/>
  <c r="G88" i="46"/>
  <c r="A40"/>
  <c r="B131"/>
  <c r="C138"/>
  <c r="D145"/>
  <c r="H127"/>
  <c r="C52" i="20"/>
  <c r="C53"/>
  <c r="C54"/>
  <c r="G184" i="46"/>
  <c r="C60" i="20"/>
  <c r="C61"/>
  <c r="C62"/>
  <c r="E23" i="46"/>
  <c r="C132" i="20"/>
  <c r="C133"/>
  <c r="C134"/>
  <c r="D53" i="24"/>
  <c r="E203"/>
  <c r="D44" i="25"/>
  <c r="D7" i="22"/>
  <c r="G8" i="19"/>
  <c r="H890" i="17"/>
  <c r="G9" i="19"/>
  <c r="G891" i="17"/>
  <c r="G10" i="19"/>
  <c r="F892" i="17"/>
  <c r="G11" i="19"/>
  <c r="E893" i="17"/>
  <c r="G12" i="19"/>
  <c r="D894" i="17"/>
  <c r="G13" i="19"/>
  <c r="C895" i="17"/>
  <c r="D61" i="24"/>
  <c r="D36" i="25"/>
  <c r="D108"/>
  <c r="D1" i="23"/>
  <c r="G16" i="19"/>
  <c r="I897" i="17"/>
  <c r="G17" i="19"/>
  <c r="H898" i="17"/>
  <c r="G18" i="19"/>
  <c r="G899" i="17"/>
  <c r="G19" i="19"/>
  <c r="F900" i="17"/>
  <c r="G20" i="19"/>
  <c r="E901" i="17"/>
  <c r="G1" i="20"/>
  <c r="A403" i="46"/>
  <c r="E16"/>
  <c r="C34"/>
  <c r="F23"/>
  <c r="D41"/>
  <c r="G30"/>
  <c r="E48"/>
  <c r="H37"/>
  <c r="F55"/>
  <c r="I44"/>
  <c r="G62"/>
  <c r="A52"/>
  <c r="I12"/>
  <c r="C2"/>
  <c r="C284" i="20"/>
  <c r="B219" i="23"/>
  <c r="E88" i="46"/>
  <c r="I70"/>
  <c r="C44" i="20"/>
  <c r="C45"/>
  <c r="C46"/>
  <c r="F127" i="46"/>
  <c r="C116" i="20"/>
  <c r="C117"/>
  <c r="C118"/>
  <c r="E184" i="46"/>
  <c r="C124" i="20"/>
  <c r="C125"/>
  <c r="C126"/>
  <c r="D119" i="24"/>
  <c r="C196" i="20"/>
  <c r="C197"/>
  <c r="C198"/>
  <c r="D76" i="23"/>
  <c r="C203" i="24"/>
  <c r="B44" i="25"/>
  <c r="C57" i="23"/>
  <c r="F52" i="20"/>
  <c r="C984" i="17"/>
  <c r="F53" i="20"/>
  <c r="H986" i="17"/>
  <c r="F54" i="20"/>
  <c r="D989" i="17"/>
  <c r="F55" i="20"/>
  <c r="D991" i="17"/>
  <c r="F56" i="20"/>
  <c r="I993" i="17"/>
  <c r="F57" i="20"/>
  <c r="E996" i="17"/>
  <c r="D84" i="23"/>
  <c r="B36" i="25"/>
  <c r="B108"/>
  <c r="C65" i="23"/>
  <c r="F60" i="20"/>
  <c r="F1003" i="17"/>
  <c r="F61" i="20"/>
  <c r="F1005" i="17"/>
  <c r="F62" i="20"/>
  <c r="B1008" i="17"/>
  <c r="F63" i="20"/>
  <c r="G1010" i="17"/>
  <c r="F64" i="20"/>
  <c r="G1012" i="17"/>
  <c r="F65" i="20"/>
  <c r="B388" i="46"/>
  <c r="E74" i="25"/>
  <c r="E94"/>
  <c r="E82"/>
  <c r="E102"/>
  <c r="E90"/>
  <c r="E110"/>
  <c r="E98"/>
  <c r="D6" i="28"/>
  <c r="E106" i="25"/>
  <c r="B28" i="28"/>
  <c r="E114" i="25"/>
  <c r="E70"/>
  <c r="E58"/>
  <c r="D68" i="24"/>
  <c r="G171"/>
  <c r="C38" i="20"/>
  <c r="G70" i="46"/>
  <c r="C108" i="20"/>
  <c r="C109"/>
  <c r="C110"/>
  <c r="D15" i="25"/>
  <c r="C180" i="20"/>
  <c r="C181"/>
  <c r="C182"/>
  <c r="D79" i="25"/>
  <c r="C188" i="20"/>
  <c r="C189"/>
  <c r="C190"/>
  <c r="A11" i="25"/>
  <c r="C260" i="20"/>
  <c r="C261"/>
  <c r="C262"/>
  <c r="C77" i="24"/>
  <c r="E2" i="28"/>
  <c r="G1" i="31"/>
  <c r="C121" i="23"/>
  <c r="F116" i="20"/>
  <c r="E64" i="24"/>
  <c r="F117" i="20"/>
  <c r="H147" i="24"/>
  <c r="F118" i="20"/>
  <c r="G104" i="25"/>
  <c r="F119" i="20"/>
  <c r="H553" i="17"/>
  <c r="F120" i="20"/>
  <c r="G554" i="17"/>
  <c r="F121" i="20"/>
  <c r="F555" i="17"/>
  <c r="C85" i="24"/>
  <c r="H1" i="32"/>
  <c r="D26" i="33"/>
  <c r="C129" i="23"/>
  <c r="F124" i="20"/>
  <c r="C558" i="17"/>
  <c r="F125" i="20"/>
  <c r="B559" i="17"/>
  <c r="F126" i="20"/>
  <c r="A560" i="17"/>
  <c r="F127" i="20"/>
  <c r="I560" i="17"/>
  <c r="F128" i="20"/>
  <c r="H561" i="17"/>
  <c r="F129" i="20"/>
  <c r="A387" i="46"/>
  <c r="A263"/>
  <c r="A21" i="37"/>
  <c r="A9"/>
  <c r="A1" i="38"/>
  <c r="A17" i="37"/>
  <c r="H9" i="38"/>
  <c r="A25" i="37"/>
  <c r="A19" i="38"/>
  <c r="H5"/>
  <c r="D4" i="44"/>
  <c r="C14" i="38"/>
  <c r="I170" i="46"/>
  <c r="F85"/>
  <c r="A27" i="28"/>
  <c r="B17" i="37"/>
  <c r="E205" i="23"/>
  <c r="E181" i="24"/>
  <c r="D20"/>
  <c r="D21"/>
  <c r="D22"/>
  <c r="B14" i="25"/>
  <c r="D92" i="24"/>
  <c r="D93"/>
  <c r="D94"/>
  <c r="B78" i="25"/>
  <c r="D100" i="24"/>
  <c r="D101"/>
  <c r="D102"/>
  <c r="A1" i="32"/>
  <c r="G5" i="25"/>
  <c r="F8"/>
  <c r="H10"/>
  <c r="F126" i="24"/>
  <c r="C231" i="20"/>
  <c r="C232"/>
  <c r="A13" i="23"/>
  <c r="E182" i="20"/>
  <c r="G609" i="17"/>
  <c r="E183" i="20"/>
  <c r="F610" i="17"/>
  <c r="E184" i="20"/>
  <c r="E611" i="17"/>
  <c r="E185" i="20"/>
  <c r="D612" i="17"/>
  <c r="E186" i="20"/>
  <c r="C613" i="17"/>
  <c r="E187" i="20"/>
  <c r="B614" i="17"/>
  <c r="F134" i="24"/>
  <c r="C239" i="20"/>
  <c r="C240"/>
  <c r="A21" i="23"/>
  <c r="E190" i="20"/>
  <c r="H616" i="17"/>
  <c r="E191" i="20"/>
  <c r="G617" i="17"/>
  <c r="E192" i="20"/>
  <c r="F618" i="17"/>
  <c r="E193" i="20"/>
  <c r="E619" i="17"/>
  <c r="E194" i="20"/>
  <c r="D620" i="17"/>
  <c r="E195" i="20"/>
  <c r="B160" i="46"/>
  <c r="C192"/>
  <c r="C181" i="24"/>
  <c r="D28" i="33"/>
  <c r="H8"/>
  <c r="E248" i="20"/>
  <c r="E12" i="33"/>
  <c r="E256" i="20"/>
  <c r="D564" i="17"/>
  <c r="F43" i="24"/>
  <c r="C183" i="20"/>
  <c r="C184"/>
  <c r="H25" i="25"/>
  <c r="E134" i="20"/>
  <c r="A567" i="17"/>
  <c r="E135" i="20"/>
  <c r="I567" i="17"/>
  <c r="E136" i="20"/>
  <c r="H568" i="17"/>
  <c r="E137" i="20"/>
  <c r="G569" i="17"/>
  <c r="E138" i="20"/>
  <c r="F570" i="17"/>
  <c r="E139" i="20"/>
  <c r="E571" i="17"/>
  <c r="F51" i="24"/>
  <c r="C191" i="20"/>
  <c r="C192"/>
  <c r="F47" i="25"/>
  <c r="E142" i="20"/>
  <c r="B574" i="17"/>
  <c r="E143" i="20"/>
  <c r="A575" i="17"/>
  <c r="E144" i="20"/>
  <c r="I575" i="17"/>
  <c r="E145" i="20"/>
  <c r="H576" i="17"/>
  <c r="E146" i="20"/>
  <c r="G577" i="17"/>
  <c r="E147" i="20"/>
  <c r="F578" i="17"/>
  <c r="F107" i="24"/>
  <c r="C199" i="20"/>
  <c r="C200"/>
  <c r="G68" i="25"/>
  <c r="E150" i="20"/>
  <c r="C581" i="17"/>
  <c r="E151" i="20"/>
  <c r="B582" i="17"/>
  <c r="E152" i="20"/>
  <c r="A583" i="17"/>
  <c r="E153" i="20"/>
  <c r="I583" i="17"/>
  <c r="E154" i="20"/>
  <c r="H584" i="17"/>
  <c r="E155" i="20"/>
  <c r="G585" i="17"/>
  <c r="G114" i="23"/>
  <c r="C143" i="20"/>
  <c r="C144"/>
  <c r="H170" i="24"/>
  <c r="E94" i="20"/>
  <c r="B196"/>
  <c r="E95"/>
  <c r="B204"/>
  <c r="E96"/>
  <c r="B212"/>
  <c r="E97"/>
  <c r="B220"/>
  <c r="E98"/>
  <c r="B228"/>
  <c r="E99"/>
  <c r="B236"/>
  <c r="G170" i="23"/>
  <c r="C151" i="20"/>
  <c r="C152"/>
  <c r="H186" i="24"/>
  <c r="E102" i="20"/>
  <c r="B260"/>
  <c r="E103"/>
  <c r="B268"/>
  <c r="E104"/>
  <c r="B276"/>
  <c r="E105"/>
  <c r="B495" i="17"/>
  <c r="B828"/>
  <c r="E276" i="20"/>
  <c r="C693" i="17"/>
  <c r="C273"/>
  <c r="F12" i="16"/>
  <c r="A216" i="12"/>
  <c r="E267" i="6"/>
  <c r="B274" i="17"/>
  <c r="F13" i="16"/>
  <c r="A220" i="12"/>
  <c r="M267" i="6"/>
  <c r="C745" i="17"/>
  <c r="B249"/>
  <c r="H33" i="13"/>
  <c r="C189" i="7"/>
  <c r="F884" i="17"/>
  <c r="E608"/>
  <c r="B184" i="23"/>
  <c r="C757" i="17"/>
  <c r="C337"/>
  <c r="F84" i="16"/>
  <c r="H30" i="12"/>
  <c r="A296" i="6"/>
  <c r="B338" i="17"/>
  <c r="F85" i="16"/>
  <c r="H31" i="12"/>
  <c r="I296" i="6"/>
  <c r="A211" i="17"/>
  <c r="A219" i="13"/>
  <c r="G51" i="12"/>
  <c r="E239" i="6"/>
  <c r="A968" i="17"/>
  <c r="C658"/>
  <c r="B216" i="23"/>
  <c r="D764" i="17"/>
  <c r="D344"/>
  <c r="F92" i="16"/>
  <c r="A39" i="12"/>
  <c r="E299" i="6"/>
  <c r="C345" i="17"/>
  <c r="F93" i="16"/>
  <c r="B40" i="12"/>
  <c r="M299" i="6"/>
  <c r="C74" i="25"/>
  <c r="C106"/>
  <c r="B69"/>
  <c r="H10" i="32"/>
  <c r="F227" i="24"/>
  <c r="D249" i="20"/>
  <c r="F170" i="24"/>
  <c r="D257" i="20"/>
  <c r="C621" i="17"/>
  <c r="E29" i="25"/>
  <c r="C247" i="20"/>
  <c r="C248"/>
  <c r="A29" i="23"/>
  <c r="E198" i="20"/>
  <c r="I623" i="17"/>
  <c r="E199" i="20"/>
  <c r="H624" i="17"/>
  <c r="E200" i="20"/>
  <c r="G625" i="17"/>
  <c r="E201" i="20"/>
  <c r="F626" i="17"/>
  <c r="E202" i="20"/>
  <c r="E627" i="17"/>
  <c r="E203" i="20"/>
  <c r="D628" i="17"/>
  <c r="E76" i="25"/>
  <c r="C255" i="20"/>
  <c r="C256"/>
  <c r="A37" i="23"/>
  <c r="E206" i="20"/>
  <c r="A631" i="17"/>
  <c r="E207" i="20"/>
  <c r="I631" i="17"/>
  <c r="E208" i="20"/>
  <c r="H632" i="17"/>
  <c r="E209" i="20"/>
  <c r="G633" i="17"/>
  <c r="E210" i="20"/>
  <c r="F634" i="17"/>
  <c r="E211" i="20"/>
  <c r="E635" i="17"/>
  <c r="C13" i="25"/>
  <c r="C263" i="20"/>
  <c r="C264"/>
  <c r="A45" i="23"/>
  <c r="E214" i="20"/>
  <c r="B638" i="17"/>
  <c r="E215" i="20"/>
  <c r="A639" i="17"/>
  <c r="E216" i="20"/>
  <c r="I639" i="17"/>
  <c r="E217" i="20"/>
  <c r="H640" i="17"/>
  <c r="E218" i="20"/>
  <c r="G641" i="17"/>
  <c r="E219" i="20"/>
  <c r="F642" i="17"/>
  <c r="A122" i="24"/>
  <c r="C207" i="20"/>
  <c r="C208"/>
  <c r="H89" i="25"/>
  <c r="E158" i="20"/>
  <c r="D588" i="17"/>
  <c r="E159" i="20"/>
  <c r="C589" i="17"/>
  <c r="E160" i="20"/>
  <c r="B590" i="17"/>
  <c r="E161" i="20"/>
  <c r="A591" i="17"/>
  <c r="E162" i="20"/>
  <c r="I591" i="17"/>
  <c r="E163" i="20"/>
  <c r="H592" i="17"/>
  <c r="G3" i="25"/>
  <c r="C215" i="20"/>
  <c r="C216"/>
  <c r="F111" i="25"/>
  <c r="E166" i="20"/>
  <c r="E595" i="17"/>
  <c r="E167" i="20"/>
  <c r="D596" i="17"/>
  <c r="E168" i="20"/>
  <c r="C597" i="17"/>
  <c r="E169" i="20"/>
  <c r="G827" i="17"/>
  <c r="D601"/>
  <c r="B152" i="23"/>
  <c r="B750" i="17"/>
  <c r="B330"/>
  <c r="F76" i="16"/>
  <c r="H22" i="12"/>
  <c r="Q292" i="6"/>
  <c r="A331" i="17"/>
  <c r="F77" i="16"/>
  <c r="H23" i="12"/>
  <c r="E293" i="6"/>
  <c r="B95" i="20"/>
  <c r="A211" i="13"/>
  <c r="E42" i="12"/>
  <c r="A236" i="6"/>
  <c r="C886" i="17"/>
  <c r="A836"/>
  <c r="G942"/>
  <c r="B814"/>
  <c r="B394"/>
  <c r="H31"/>
  <c r="D119" i="12"/>
  <c r="M321" i="6"/>
  <c r="A395" i="17"/>
  <c r="G32"/>
  <c r="A121" i="12"/>
  <c r="A322" i="6"/>
  <c r="I267" i="17"/>
  <c r="F6" i="16"/>
  <c r="A192" i="12"/>
  <c r="Q264" i="6"/>
  <c r="E972" i="17"/>
  <c r="H885"/>
  <c r="H949"/>
  <c r="C821"/>
  <c r="C401"/>
  <c r="I38"/>
  <c r="B147" i="12"/>
  <c r="Q324" i="6"/>
  <c r="B402" i="17"/>
  <c r="H39"/>
  <c r="B151" i="12"/>
  <c r="E325" i="6"/>
  <c r="F51" i="46"/>
  <c r="A80"/>
  <c r="A155" i="24"/>
  <c r="G111" i="25"/>
  <c r="B225" i="24"/>
  <c r="I669" i="17"/>
  <c r="F13" i="25"/>
  <c r="A677" i="17"/>
  <c r="E676"/>
  <c r="A221" i="24"/>
  <c r="F4" i="38"/>
  <c r="G19" i="46"/>
  <c r="B10" i="24"/>
  <c r="F260" i="20"/>
  <c r="B679" i="17"/>
  <c r="F261" i="20"/>
  <c r="A680" i="17"/>
  <c r="F262" i="20"/>
  <c r="I680" i="17"/>
  <c r="F263" i="20"/>
  <c r="H681" i="17"/>
  <c r="F264" i="20"/>
  <c r="G682" i="17"/>
  <c r="F265" i="20"/>
  <c r="F683" i="17"/>
  <c r="G7" i="25"/>
  <c r="F12" i="46"/>
  <c r="F76"/>
  <c r="B18" i="24"/>
  <c r="F268" i="20"/>
  <c r="C686" i="17"/>
  <c r="F269" i="20"/>
  <c r="B687" i="17"/>
  <c r="F270" i="20"/>
  <c r="A688" i="17"/>
  <c r="F271" i="20"/>
  <c r="I688" i="17"/>
  <c r="F272" i="20"/>
  <c r="H689" i="17"/>
  <c r="F273" i="20"/>
  <c r="G690" i="17"/>
  <c r="A15" i="24"/>
  <c r="E69" i="46"/>
  <c r="E133"/>
  <c r="B26" i="24"/>
  <c r="F276" i="20"/>
  <c r="D693" i="17"/>
  <c r="F277" i="20"/>
  <c r="C694" i="17"/>
  <c r="F278" i="20"/>
  <c r="B695" i="17"/>
  <c r="F279" i="20"/>
  <c r="A696" i="17"/>
  <c r="F280" i="20"/>
  <c r="I696" i="17"/>
  <c r="F281" i="20"/>
  <c r="H697" i="17"/>
  <c r="C236" i="23"/>
  <c r="B11" i="38"/>
  <c r="F13" i="44"/>
  <c r="C225" i="23"/>
  <c r="F220" i="20"/>
  <c r="F643" i="17"/>
  <c r="F221" i="20"/>
  <c r="E644" i="17"/>
  <c r="F222" i="20"/>
  <c r="D645" i="17"/>
  <c r="F223" i="20"/>
  <c r="C646" i="17"/>
  <c r="F224" i="20"/>
  <c r="B647" i="17"/>
  <c r="F225" i="20"/>
  <c r="A648" i="17"/>
  <c r="B37" i="24"/>
  <c r="G20" i="38"/>
  <c r="H7"/>
  <c r="C233" i="23"/>
  <c r="F228" i="20"/>
  <c r="G650" i="17"/>
  <c r="F229" i="20"/>
  <c r="F651" i="17"/>
  <c r="F230" i="20"/>
  <c r="E652" i="17"/>
  <c r="G150" i="24"/>
  <c r="H958" i="17"/>
  <c r="I824"/>
  <c r="I933"/>
  <c r="D805"/>
  <c r="C386"/>
  <c r="I23"/>
  <c r="G76" i="12"/>
  <c r="B318" i="6"/>
  <c r="B387" i="17"/>
  <c r="H24"/>
  <c r="D78" i="12"/>
  <c r="J318" i="6"/>
  <c r="B134" i="20"/>
  <c r="H27" i="15"/>
  <c r="B149" i="12"/>
  <c r="E251" i="23"/>
  <c r="E5" i="19"/>
  <c r="B606" i="17"/>
  <c r="I997"/>
  <c r="D869"/>
  <c r="C450"/>
  <c r="I87"/>
  <c r="H74" i="13"/>
  <c r="R346" i="6"/>
  <c r="B451" i="17"/>
  <c r="H88"/>
  <c r="H82" i="13"/>
  <c r="F347" i="6"/>
  <c r="A324" i="17"/>
  <c r="G69" i="16"/>
  <c r="D3" i="11"/>
  <c r="D19" i="23"/>
  <c r="D49" i="20"/>
  <c r="I655" i="17"/>
  <c r="A1005"/>
  <c r="E876"/>
  <c r="D457"/>
  <c r="A95"/>
  <c r="H138" i="13"/>
  <c r="B350" i="6"/>
  <c r="C458" i="17"/>
  <c r="I95"/>
  <c r="H146" i="13"/>
  <c r="J350" i="6"/>
  <c r="A237" i="46"/>
  <c r="C250"/>
  <c r="C170" i="24"/>
  <c r="D6" i="33"/>
  <c r="G55" i="25"/>
  <c r="G670" i="17"/>
  <c r="H76" i="25"/>
  <c r="H677" i="17"/>
  <c r="D733"/>
  <c r="H97" i="25"/>
  <c r="G178" i="46"/>
  <c r="D36"/>
  <c r="B74" i="24"/>
  <c r="F92" i="23"/>
  <c r="A736" i="17"/>
  <c r="F96" i="23"/>
  <c r="I736" i="17"/>
  <c r="F100" i="23"/>
  <c r="H737" i="17"/>
  <c r="F104" i="23"/>
  <c r="G738" i="17"/>
  <c r="F108" i="23"/>
  <c r="F739" i="17"/>
  <c r="F112" i="23"/>
  <c r="E740" i="17"/>
  <c r="C20" i="28"/>
  <c r="C29" i="46"/>
  <c r="C93"/>
  <c r="B82" i="24"/>
  <c r="F124" i="23"/>
  <c r="B743" i="17"/>
  <c r="F128" i="23"/>
  <c r="A744" i="17"/>
  <c r="F132" i="23"/>
  <c r="I744" i="17"/>
  <c r="F136" i="23"/>
  <c r="H745" i="17"/>
  <c r="F140" i="23"/>
  <c r="G746" i="17"/>
  <c r="F144" i="23"/>
  <c r="F747" i="17"/>
  <c r="A56" i="23"/>
  <c r="B86" i="46"/>
  <c r="B150"/>
  <c r="B90" i="24"/>
  <c r="F156" i="23"/>
  <c r="C750" i="17"/>
  <c r="F160" i="23"/>
  <c r="B751" i="17"/>
  <c r="F164" i="23"/>
  <c r="A752" i="17"/>
  <c r="F168" i="23"/>
  <c r="I752" i="17"/>
  <c r="F172" i="23"/>
  <c r="H753" i="17"/>
  <c r="F176" i="23"/>
  <c r="G754" i="17"/>
  <c r="A23" i="24"/>
  <c r="D126" i="46"/>
  <c r="I196"/>
  <c r="B34" i="24"/>
  <c r="F284" i="20"/>
  <c r="E700" i="17"/>
  <c r="F285" i="20"/>
  <c r="D701" i="17"/>
  <c r="F286" i="20"/>
  <c r="C702" i="17"/>
  <c r="F287" i="20"/>
  <c r="B703" i="17"/>
  <c r="F288" i="20"/>
  <c r="A704" i="17"/>
  <c r="F289" i="20"/>
  <c r="I704" i="17"/>
  <c r="A79" i="24"/>
  <c r="C183" i="46"/>
  <c r="B15"/>
  <c r="B42" i="24"/>
  <c r="F292" i="20"/>
  <c r="F707" i="17"/>
  <c r="F1" i="21"/>
  <c r="E708" i="17"/>
  <c r="B3" i="21"/>
  <c r="D709" i="17"/>
  <c r="F9" i="22"/>
  <c r="E960" i="17"/>
  <c r="A599"/>
  <c r="H990"/>
  <c r="C862"/>
  <c r="B443"/>
  <c r="H80"/>
  <c r="H10" i="13"/>
  <c r="N343" i="6"/>
  <c r="A444" i="17"/>
  <c r="G81"/>
  <c r="H18" i="13"/>
  <c r="B344" i="6"/>
  <c r="I316" i="17"/>
  <c r="G61" i="16"/>
  <c r="E9" i="10"/>
  <c r="C61" i="46"/>
  <c r="D4" i="19"/>
  <c r="G833" i="17"/>
  <c r="E28" i="20"/>
  <c r="C927" i="17"/>
  <c r="B507"/>
  <c r="H144"/>
  <c r="B28" i="12"/>
  <c r="O388" i="6"/>
  <c r="A508" i="17"/>
  <c r="G145"/>
  <c r="B29" i="12"/>
  <c r="K389" i="6"/>
  <c r="I380" i="17"/>
  <c r="F18"/>
  <c r="B67" i="12"/>
  <c r="E67" i="46"/>
  <c r="C193" i="20"/>
  <c r="E883" i="17"/>
  <c r="E36" i="20"/>
  <c r="A946" i="17"/>
  <c r="C514"/>
  <c r="I151"/>
  <c r="B36" i="12"/>
  <c r="C395" i="6"/>
  <c r="B515" i="17"/>
  <c r="H152"/>
  <c r="B37" i="12"/>
  <c r="S395" i="6"/>
  <c r="H148" i="23"/>
  <c r="H180"/>
  <c r="C169" i="24"/>
  <c r="C7" i="32"/>
  <c r="C10" i="35"/>
  <c r="A136" i="20"/>
  <c r="E28" i="33"/>
  <c r="A144" i="20"/>
  <c r="C790" i="17"/>
  <c r="A248" i="23"/>
  <c r="E25" i="38"/>
  <c r="I45" i="46"/>
  <c r="A167" i="24"/>
  <c r="H29" i="25"/>
  <c r="I792" i="17"/>
  <c r="F51" i="25"/>
  <c r="H793" i="17"/>
  <c r="G72" i="25"/>
  <c r="G794" i="17"/>
  <c r="H93" i="25"/>
  <c r="F795" i="17"/>
  <c r="F115" i="25"/>
  <c r="E796" i="17"/>
  <c r="I925"/>
  <c r="D797"/>
  <c r="A1" i="24"/>
  <c r="H38" i="46"/>
  <c r="H102"/>
  <c r="A183" i="24"/>
  <c r="F928" i="17"/>
  <c r="A800"/>
  <c r="E929"/>
  <c r="I800"/>
  <c r="D930"/>
  <c r="H801"/>
  <c r="C931"/>
  <c r="G802"/>
  <c r="B932"/>
  <c r="F803"/>
  <c r="A933"/>
  <c r="E804"/>
  <c r="H57" i="24"/>
  <c r="G95" i="46"/>
  <c r="G159"/>
  <c r="A199" i="24"/>
  <c r="G935" i="17"/>
  <c r="B807"/>
  <c r="F936"/>
  <c r="A808"/>
  <c r="E937"/>
  <c r="I808"/>
  <c r="D938"/>
  <c r="H809"/>
  <c r="C939"/>
  <c r="G810"/>
  <c r="B940"/>
  <c r="F811"/>
  <c r="A64" i="23"/>
  <c r="A143" i="46"/>
  <c r="D7" i="44"/>
  <c r="B98" i="24"/>
  <c r="F188" i="23"/>
  <c r="D757" i="17"/>
  <c r="F192" i="23"/>
  <c r="C758" i="17"/>
  <c r="F196" i="23"/>
  <c r="B759" i="17"/>
  <c r="F200" i="23"/>
  <c r="A760" i="17"/>
  <c r="F204" i="23"/>
  <c r="I760" i="17"/>
  <c r="F208" i="23"/>
  <c r="H761" i="17"/>
  <c r="A120" i="23"/>
  <c r="E267" i="46"/>
  <c r="A46"/>
  <c r="B106" i="24"/>
  <c r="F220" i="23"/>
  <c r="E764" i="17"/>
  <c r="F224" i="23"/>
  <c r="D765" i="17"/>
  <c r="F228" i="23"/>
  <c r="C766" i="17"/>
  <c r="A55" i="46"/>
  <c r="E959" i="17"/>
  <c r="F826"/>
  <c r="E20" i="20"/>
  <c r="B919" i="17"/>
  <c r="A500"/>
  <c r="G137"/>
  <c r="B20" i="12"/>
  <c r="G382" i="6"/>
  <c r="I500" i="17"/>
  <c r="F138"/>
  <c r="B21" i="12"/>
  <c r="C383" i="6"/>
  <c r="H373" i="17"/>
  <c r="E11"/>
  <c r="E56" i="12"/>
  <c r="J312" i="6"/>
  <c r="H152" i="24"/>
  <c r="G608" i="17"/>
  <c r="A201" i="20"/>
  <c r="H101" i="24"/>
  <c r="A209" i="20"/>
  <c r="H9" i="29"/>
  <c r="H28" i="28"/>
  <c r="A172" i="24"/>
  <c r="F111"/>
  <c r="H43" i="25"/>
  <c r="E30" i="24"/>
  <c r="F65" i="25"/>
  <c r="E94" i="24"/>
  <c r="G14" i="28"/>
  <c r="F1" i="30"/>
  <c r="G91" i="25"/>
  <c r="F203" i="24"/>
  <c r="E171" i="23"/>
  <c r="E172"/>
  <c r="E173"/>
  <c r="G41" i="25"/>
  <c r="F95" i="46"/>
  <c r="F159"/>
  <c r="F42" i="25"/>
  <c r="B964" i="17"/>
  <c r="F835"/>
  <c r="A965"/>
  <c r="E836"/>
  <c r="I965"/>
  <c r="D837"/>
  <c r="H966"/>
  <c r="C838"/>
  <c r="G967"/>
  <c r="B839"/>
  <c r="F968"/>
  <c r="A840"/>
  <c r="H62" i="25"/>
  <c r="E152" i="46"/>
  <c r="C38" i="44"/>
  <c r="G63" i="25"/>
  <c r="C971" i="17"/>
  <c r="G842"/>
  <c r="B972"/>
  <c r="F843"/>
  <c r="A973"/>
  <c r="E844"/>
  <c r="I973"/>
  <c r="D845"/>
  <c r="H974"/>
  <c r="C846"/>
  <c r="G975"/>
  <c r="D392" i="46"/>
  <c r="E10" i="33"/>
  <c r="E30"/>
  <c r="E18"/>
  <c r="H2" i="35"/>
  <c r="E26" i="33"/>
  <c r="C9" i="37"/>
  <c r="E34" i="33"/>
  <c r="F12" i="38"/>
  <c r="F10" i="35"/>
  <c r="C6" i="37"/>
  <c r="F21"/>
  <c r="E6" i="33"/>
  <c r="F31"/>
  <c r="C68" i="25"/>
  <c r="G9" i="29"/>
  <c r="E13" i="23"/>
  <c r="C46" i="46"/>
  <c r="E83" i="23"/>
  <c r="E84"/>
  <c r="E85"/>
  <c r="A134" i="46"/>
  <c r="E155" i="23"/>
  <c r="E156"/>
  <c r="E157"/>
  <c r="E198" i="46"/>
  <c r="E163" i="23"/>
  <c r="E164"/>
  <c r="E165"/>
  <c r="G29" i="46"/>
  <c r="E235" i="23"/>
  <c r="E236"/>
  <c r="E237"/>
  <c r="H213"/>
  <c r="C39" i="20"/>
  <c r="C40"/>
  <c r="A36" i="24"/>
  <c r="F10" i="19"/>
  <c r="E892" i="17"/>
  <c r="F11" i="19"/>
  <c r="D893" i="17"/>
  <c r="F12" i="19"/>
  <c r="C894" i="17"/>
  <c r="F13" i="19"/>
  <c r="B895" i="17"/>
  <c r="F14" i="19"/>
  <c r="A896" i="17"/>
  <c r="F15" i="19"/>
  <c r="I896" i="17"/>
  <c r="H221" i="23"/>
  <c r="C47" i="20"/>
  <c r="C48"/>
  <c r="A44" i="24"/>
  <c r="F18" i="19"/>
  <c r="F899" i="17"/>
  <c r="F19" i="19"/>
  <c r="E900" i="17"/>
  <c r="F20" i="19"/>
  <c r="D901" i="17"/>
  <c r="F1" i="20"/>
  <c r="C902" i="17"/>
  <c r="E2" i="20"/>
  <c r="B903" i="17"/>
  <c r="E3" i="20"/>
  <c r="F390" i="46"/>
  <c r="A18"/>
  <c r="C18" i="33"/>
  <c r="C6"/>
  <c r="C26"/>
  <c r="C14"/>
  <c r="C34"/>
  <c r="C22"/>
  <c r="H9" i="35"/>
  <c r="C30" i="33"/>
  <c r="F24" i="37"/>
  <c r="F2" i="35"/>
  <c r="E3" i="38"/>
  <c r="A82" i="46"/>
  <c r="A28" i="28"/>
  <c r="B21" i="37"/>
  <c r="E77" i="23"/>
  <c r="B77" i="46"/>
  <c r="E147" i="23"/>
  <c r="E148"/>
  <c r="E149"/>
  <c r="H133" i="46"/>
  <c r="E219" i="23"/>
  <c r="E220"/>
  <c r="E221"/>
  <c r="H197" i="46"/>
  <c r="E227" i="23"/>
  <c r="E228"/>
  <c r="E229"/>
  <c r="D118" i="24"/>
  <c r="D44"/>
  <c r="D45"/>
  <c r="D46"/>
  <c r="C1" i="28"/>
  <c r="C103" i="20"/>
  <c r="C104"/>
  <c r="A100" i="24"/>
  <c r="E54" i="20"/>
  <c r="G988" i="17"/>
  <c r="E55" i="20"/>
  <c r="C991" i="17"/>
  <c r="E56" i="20"/>
  <c r="H993" i="17"/>
  <c r="E57" i="20"/>
  <c r="H995" i="17"/>
  <c r="E58" i="20"/>
  <c r="D998" i="17"/>
  <c r="E59" i="20"/>
  <c r="I1000" i="17"/>
  <c r="A5" i="21"/>
  <c r="C111" i="20"/>
  <c r="C112"/>
  <c r="A108" i="24"/>
  <c r="E62" i="20"/>
  <c r="A1008" i="17"/>
  <c r="E63" i="20"/>
  <c r="A1010" i="17"/>
  <c r="E64" i="20"/>
  <c r="F1012" i="17"/>
  <c r="E65" i="20"/>
  <c r="C5" i="19"/>
  <c r="E66" i="20"/>
  <c r="C9" i="19"/>
  <c r="E67" i="20"/>
  <c r="H388" i="46"/>
  <c r="D143"/>
  <c r="C13" i="38"/>
  <c r="B270" i="46"/>
  <c r="A24" i="38"/>
  <c r="A9"/>
  <c r="F37" i="44"/>
  <c r="G17" i="38"/>
  <c r="B57" i="46"/>
  <c r="E4" i="44"/>
  <c r="A114" i="46"/>
  <c r="G28"/>
  <c r="I114"/>
  <c r="F29"/>
  <c r="C67" i="25"/>
  <c r="G8" i="29"/>
  <c r="E141" i="23"/>
  <c r="I76" i="46"/>
  <c r="E211" i="23"/>
  <c r="E212"/>
  <c r="E213"/>
  <c r="D14" i="25"/>
  <c r="D28" i="24"/>
  <c r="D29"/>
  <c r="D30"/>
  <c r="D78" i="25"/>
  <c r="D36" i="24"/>
  <c r="D37"/>
  <c r="D38"/>
  <c r="A10" i="25"/>
  <c r="D108" i="24"/>
  <c r="G109"/>
  <c r="G111"/>
  <c r="G234" i="23"/>
  <c r="C167" i="20"/>
  <c r="C168"/>
  <c r="H218" i="24"/>
  <c r="E118" i="20"/>
  <c r="F83" i="25"/>
  <c r="E119" i="20"/>
  <c r="G553" i="17"/>
  <c r="E120" i="20"/>
  <c r="F554" i="17"/>
  <c r="E121" i="20"/>
  <c r="E555" i="17"/>
  <c r="E122" i="20"/>
  <c r="D556" i="17"/>
  <c r="E123" i="20"/>
  <c r="C557" i="17"/>
  <c r="G242" i="23"/>
  <c r="C175" i="20"/>
  <c r="C176"/>
  <c r="G4" i="25"/>
  <c r="E126" i="20"/>
  <c r="I559" i="17"/>
  <c r="E127" i="20"/>
  <c r="H560" i="17"/>
  <c r="E128" i="20"/>
  <c r="G561" i="17"/>
  <c r="E129" i="20"/>
  <c r="F562" i="17"/>
  <c r="E130" i="20"/>
  <c r="E563" i="17"/>
  <c r="E131" i="20"/>
  <c r="H372" i="46"/>
  <c r="E112" i="24"/>
  <c r="D21" i="25"/>
  <c r="E120" i="24"/>
  <c r="D29" i="25"/>
  <c r="E128" i="24"/>
  <c r="D37" i="25"/>
  <c r="E136" i="24"/>
  <c r="D45" i="25"/>
  <c r="E144" i="24"/>
  <c r="D53" i="25"/>
  <c r="E152" i="24"/>
  <c r="E228"/>
  <c r="D14" i="28"/>
  <c r="H4" i="29"/>
  <c r="C2" i="33"/>
  <c r="D229" i="23"/>
  <c r="D69" i="25"/>
  <c r="C44" i="24"/>
  <c r="C45"/>
  <c r="C46"/>
  <c r="A1" i="30"/>
  <c r="B123" i="24"/>
  <c r="B125"/>
  <c r="B127"/>
  <c r="A65" i="25"/>
  <c r="B139" i="24"/>
  <c r="B141"/>
  <c r="B143"/>
  <c r="F9" i="32"/>
  <c r="F69" i="25"/>
  <c r="H71"/>
  <c r="G74"/>
  <c r="C227" i="23"/>
  <c r="D79" i="24"/>
  <c r="D80"/>
  <c r="H42" i="23"/>
  <c r="D183" i="20"/>
  <c r="C612" i="17"/>
  <c r="D184" i="20"/>
  <c r="B613" i="17"/>
  <c r="D185" i="20"/>
  <c r="A614" i="17"/>
  <c r="D186" i="20"/>
  <c r="I614" i="17"/>
  <c r="D187" i="20"/>
  <c r="H615" i="17"/>
  <c r="D188" i="20"/>
  <c r="G616" i="17"/>
  <c r="B36" i="24"/>
  <c r="D87"/>
  <c r="D88"/>
  <c r="H50" i="23"/>
  <c r="D191" i="20"/>
  <c r="D619" i="17"/>
  <c r="D192" i="20"/>
  <c r="C620" i="17"/>
  <c r="D193" i="20"/>
  <c r="B621" i="17"/>
  <c r="D194" i="20"/>
  <c r="A622" i="17"/>
  <c r="D195" i="20"/>
  <c r="I622" i="17"/>
  <c r="D196" i="20"/>
  <c r="C385" i="46"/>
  <c r="B262"/>
  <c r="D14" i="24"/>
  <c r="G207"/>
  <c r="D5" i="23"/>
  <c r="E667" i="17"/>
  <c r="A671"/>
  <c r="F674"/>
  <c r="H623"/>
  <c r="B171" i="24"/>
  <c r="D31"/>
  <c r="D32"/>
  <c r="A8" i="22"/>
  <c r="D135" i="20"/>
  <c r="F569" i="17"/>
  <c r="D136" i="20"/>
  <c r="E570" i="17"/>
  <c r="D137" i="20"/>
  <c r="D571" i="17"/>
  <c r="D138" i="20"/>
  <c r="C572" i="17"/>
  <c r="D139" i="20"/>
  <c r="B573" i="17"/>
  <c r="D140" i="20"/>
  <c r="A574" i="17"/>
  <c r="B187" i="24"/>
  <c r="D39"/>
  <c r="D40"/>
  <c r="H2" i="23"/>
  <c r="D143" i="20"/>
  <c r="G576" i="17"/>
  <c r="D144" i="20"/>
  <c r="F577" i="17"/>
  <c r="D145" i="20"/>
  <c r="E578" i="17"/>
  <c r="D146" i="20"/>
  <c r="D579" i="17"/>
  <c r="D147" i="20"/>
  <c r="C580" i="17"/>
  <c r="D148" i="20"/>
  <c r="B581" i="17"/>
  <c r="G90" i="25"/>
  <c r="D47" i="24"/>
  <c r="D48"/>
  <c r="H10" i="23"/>
  <c r="D151" i="20"/>
  <c r="H583" i="17"/>
  <c r="D152" i="20"/>
  <c r="G584" i="17"/>
  <c r="D153" i="20"/>
  <c r="F585" i="17"/>
  <c r="D154" i="20"/>
  <c r="E586" i="17"/>
  <c r="D155" i="20"/>
  <c r="D587" i="17"/>
  <c r="D156" i="20"/>
  <c r="C588" i="17"/>
  <c r="D211" i="23"/>
  <c r="E246"/>
  <c r="E247"/>
  <c r="G33" i="25"/>
  <c r="D95" i="20"/>
  <c r="B211"/>
  <c r="D96"/>
  <c r="B219"/>
  <c r="D97"/>
  <c r="B227"/>
  <c r="D98"/>
  <c r="B235"/>
  <c r="D99"/>
  <c r="B243"/>
  <c r="D100"/>
  <c r="B251"/>
  <c r="C12" i="24"/>
  <c r="E254" i="23"/>
  <c r="E255"/>
  <c r="H54" i="25"/>
  <c r="D103" i="20"/>
  <c r="B275"/>
  <c r="D104"/>
  <c r="B283"/>
  <c r="D105"/>
  <c r="B291"/>
  <c r="D106"/>
  <c r="H952" i="17"/>
  <c r="H951"/>
  <c r="D277" i="20"/>
  <c r="H695" i="17"/>
  <c r="H612"/>
  <c r="F152"/>
  <c r="G457"/>
  <c r="A95" i="7"/>
  <c r="C641" i="17"/>
  <c r="E153"/>
  <c r="F514"/>
  <c r="A96" i="7"/>
  <c r="G748" i="17"/>
  <c r="B251"/>
  <c r="A172" i="13"/>
  <c r="D191" i="7"/>
  <c r="H1" i="19"/>
  <c r="F176" i="20"/>
  <c r="F191" i="23"/>
  <c r="H759" i="17"/>
  <c r="B278" i="20"/>
  <c r="F218" i="17"/>
  <c r="E132"/>
  <c r="A167" i="7"/>
  <c r="A216" i="17"/>
  <c r="H219"/>
  <c r="F139"/>
  <c r="A168" i="7"/>
  <c r="I250" i="17"/>
  <c r="D90"/>
  <c r="H28" i="16"/>
  <c r="A25" i="7"/>
  <c r="F45" i="20"/>
  <c r="F232"/>
  <c r="F223" i="23"/>
  <c r="I766" i="17"/>
  <c r="H265"/>
  <c r="B228"/>
  <c r="D189"/>
  <c r="A175" i="7"/>
  <c r="I272" i="17"/>
  <c r="C229"/>
  <c r="E196"/>
  <c r="A176" i="7"/>
  <c r="A371" i="46"/>
  <c r="C212" i="24"/>
  <c r="C38"/>
  <c r="H31" i="25"/>
  <c r="C29" i="23"/>
  <c r="A670" i="17"/>
  <c r="F673"/>
  <c r="B677"/>
  <c r="G680"/>
  <c r="B100" i="24"/>
  <c r="D95"/>
  <c r="D96"/>
  <c r="H58" i="23"/>
  <c r="D199" i="20"/>
  <c r="E626" i="17"/>
  <c r="D200" i="20"/>
  <c r="D627" i="17"/>
  <c r="D201" i="20"/>
  <c r="C628" i="17"/>
  <c r="D202" i="20"/>
  <c r="B629" i="17"/>
  <c r="D203" i="20"/>
  <c r="A630" i="17"/>
  <c r="D204" i="20"/>
  <c r="I630" i="17"/>
  <c r="A219" i="24"/>
  <c r="D103"/>
  <c r="D104"/>
  <c r="H66" i="23"/>
  <c r="D207" i="20"/>
  <c r="F633" i="17"/>
  <c r="D208" i="20"/>
  <c r="E634" i="17"/>
  <c r="D209" i="20"/>
  <c r="D635" i="17"/>
  <c r="D210" i="20"/>
  <c r="C636" i="17"/>
  <c r="D211" i="20"/>
  <c r="B637" i="17"/>
  <c r="D212" i="20"/>
  <c r="A638" i="17"/>
  <c r="A14" i="24"/>
  <c r="G113"/>
  <c r="G115"/>
  <c r="H74" i="23"/>
  <c r="D215" i="20"/>
  <c r="G640" i="17"/>
  <c r="D216" i="20"/>
  <c r="F641" i="17"/>
  <c r="D217" i="20"/>
  <c r="E642" i="17"/>
  <c r="D218" i="20"/>
  <c r="D643" i="17"/>
  <c r="D219" i="20"/>
  <c r="C644" i="17"/>
  <c r="D220" i="20"/>
  <c r="B645" i="17"/>
  <c r="C35" i="23"/>
  <c r="D55" i="24"/>
  <c r="D56"/>
  <c r="H18" i="23"/>
  <c r="D159" i="20"/>
  <c r="I590" i="17"/>
  <c r="D160" i="20"/>
  <c r="H591" i="17"/>
  <c r="D161" i="20"/>
  <c r="G592" i="17"/>
  <c r="D162" i="20"/>
  <c r="F593" i="17"/>
  <c r="D163" i="20"/>
  <c r="E594" i="17"/>
  <c r="D164" i="20"/>
  <c r="D595" i="17"/>
  <c r="C99" i="23"/>
  <c r="D63" i="24"/>
  <c r="D64"/>
  <c r="H26" i="23"/>
  <c r="D167" i="20"/>
  <c r="A598" i="17"/>
  <c r="D168" i="20"/>
  <c r="I598" i="17"/>
  <c r="D169" i="20"/>
  <c r="H599" i="17"/>
  <c r="D170" i="20"/>
  <c r="C956" i="17"/>
  <c r="F168" i="20"/>
  <c r="F159" i="23"/>
  <c r="G752" i="17"/>
  <c r="F765"/>
  <c r="E209"/>
  <c r="I77"/>
  <c r="A159" i="7"/>
  <c r="A794" i="17"/>
  <c r="D210"/>
  <c r="G82"/>
  <c r="A160" i="7"/>
  <c r="B126" i="20"/>
  <c r="C83" i="17"/>
  <c r="F26" i="15"/>
  <c r="A17" i="7"/>
  <c r="F3" i="19"/>
  <c r="F960" i="17"/>
  <c r="G941"/>
  <c r="G816"/>
  <c r="F134" i="23"/>
  <c r="G497" i="17"/>
  <c r="H104" i="12"/>
  <c r="A231" i="7"/>
  <c r="F162" i="23"/>
  <c r="H504" i="17"/>
  <c r="H105" i="12"/>
  <c r="A232" i="7"/>
  <c r="F525" i="17"/>
  <c r="C147"/>
  <c r="I230"/>
  <c r="A89" i="7"/>
  <c r="E47" i="20"/>
  <c r="D1010" i="17"/>
  <c r="H948"/>
  <c r="H823"/>
  <c r="D598"/>
  <c r="E558"/>
  <c r="H112" i="12"/>
  <c r="A239" i="7"/>
  <c r="E605" i="17"/>
  <c r="I586"/>
  <c r="H113" i="12"/>
  <c r="A240" i="7"/>
  <c r="C159" i="46"/>
  <c r="H189"/>
  <c r="B377"/>
  <c r="D136"/>
  <c r="A73" i="24"/>
  <c r="D96" i="23"/>
  <c r="D112"/>
  <c r="D128"/>
  <c r="B678" i="17"/>
  <c r="D220" i="46"/>
  <c r="B39" i="23"/>
  <c r="B43"/>
  <c r="A93"/>
  <c r="E262" i="20"/>
  <c r="H680" i="17"/>
  <c r="E263" i="20"/>
  <c r="G681" i="17"/>
  <c r="E264" i="20"/>
  <c r="F682" i="17"/>
  <c r="E265" i="20"/>
  <c r="E683" i="17"/>
  <c r="E266" i="20"/>
  <c r="D684" i="17"/>
  <c r="E267" i="20"/>
  <c r="C685" i="17"/>
  <c r="F157" i="46"/>
  <c r="B71" i="23"/>
  <c r="B75"/>
  <c r="A101"/>
  <c r="E270" i="20"/>
  <c r="I687" i="17"/>
  <c r="E271" i="20"/>
  <c r="H688" i="17"/>
  <c r="E272" i="20"/>
  <c r="G689" i="17"/>
  <c r="E273" i="20"/>
  <c r="F690" i="17"/>
  <c r="E274" i="20"/>
  <c r="E691" i="17"/>
  <c r="E275" i="20"/>
  <c r="D692" i="17"/>
  <c r="A105" i="46"/>
  <c r="B103" i="23"/>
  <c r="B107"/>
  <c r="A109"/>
  <c r="E278" i="20"/>
  <c r="A695" i="17"/>
  <c r="E279" i="20"/>
  <c r="I695" i="17"/>
  <c r="E280" i="20"/>
  <c r="H696" i="17"/>
  <c r="E281" i="20"/>
  <c r="G697" i="17"/>
  <c r="E282" i="20"/>
  <c r="F698" i="17"/>
  <c r="E283" i="20"/>
  <c r="E699" i="17"/>
  <c r="C77" i="25"/>
  <c r="C271" i="20"/>
  <c r="C272"/>
  <c r="A53" i="23"/>
  <c r="E222" i="20"/>
  <c r="C645" i="17"/>
  <c r="E223" i="20"/>
  <c r="B646" i="17"/>
  <c r="E224" i="20"/>
  <c r="A647" i="17"/>
  <c r="E225" i="20"/>
  <c r="I647" i="17"/>
  <c r="E226" i="20"/>
  <c r="H648" i="17"/>
  <c r="E227" i="20"/>
  <c r="G649" i="17"/>
  <c r="B21" i="28"/>
  <c r="C279" i="20"/>
  <c r="C280"/>
  <c r="A61" i="23"/>
  <c r="E230" i="20"/>
  <c r="D652" i="17"/>
  <c r="E231" i="20"/>
  <c r="C653" i="17"/>
  <c r="E232" i="20"/>
  <c r="B654" i="17"/>
  <c r="E233" i="20"/>
  <c r="D829" i="17"/>
  <c r="I828"/>
  <c r="F935"/>
  <c r="A807"/>
  <c r="A387"/>
  <c r="G24"/>
  <c r="E106" i="12"/>
  <c r="I318" i="6"/>
  <c r="I387" i="17"/>
  <c r="F25"/>
  <c r="B108" i="12"/>
  <c r="Q318" i="6"/>
  <c r="H260" i="17"/>
  <c r="G28" i="15"/>
  <c r="A160" i="12"/>
  <c r="M261" i="6"/>
  <c r="I887" i="17"/>
  <c r="A66" i="20"/>
  <c r="F999" i="17"/>
  <c r="A871"/>
  <c r="A451"/>
  <c r="G88"/>
  <c r="A2" i="13"/>
  <c r="E347" i="6"/>
  <c r="I451" i="17"/>
  <c r="F89"/>
  <c r="A3" i="13"/>
  <c r="M347" i="6"/>
  <c r="H324" i="17"/>
  <c r="F70" i="16"/>
  <c r="H16" i="12"/>
  <c r="I290" i="6"/>
  <c r="I976" i="17"/>
  <c r="A122" i="20"/>
  <c r="G1006" i="17"/>
  <c r="B878"/>
  <c r="B458"/>
  <c r="H95"/>
  <c r="A10" i="13"/>
  <c r="I350" i="6"/>
  <c r="A459" i="17"/>
  <c r="G96"/>
  <c r="A11" i="13"/>
  <c r="Q350" i="6"/>
  <c r="C81" i="25"/>
  <c r="C113"/>
  <c r="A146" i="23"/>
  <c r="H35" i="24"/>
  <c r="G122"/>
  <c r="G292" i="17"/>
  <c r="C296"/>
  <c r="H299"/>
  <c r="A735"/>
  <c r="C12" i="20"/>
  <c r="E81" i="24"/>
  <c r="E89"/>
  <c r="A157" i="23"/>
  <c r="B96"/>
  <c r="G737" i="17"/>
  <c r="B100" i="23"/>
  <c r="F738" i="17"/>
  <c r="B104" i="23"/>
  <c r="E739" i="17"/>
  <c r="B108" i="23"/>
  <c r="D740" i="17"/>
  <c r="B112" i="23"/>
  <c r="C741" i="17"/>
  <c r="B116" i="23"/>
  <c r="B742" i="17"/>
  <c r="C20" i="20"/>
  <c r="H181" i="24"/>
  <c r="H197"/>
  <c r="A165" i="23"/>
  <c r="B128"/>
  <c r="H744" i="17"/>
  <c r="B132" i="23"/>
  <c r="G745" i="17"/>
  <c r="B136" i="23"/>
  <c r="F746" i="17"/>
  <c r="B140" i="23"/>
  <c r="E747" i="17"/>
  <c r="B144" i="23"/>
  <c r="D748" i="17"/>
  <c r="B148" i="23"/>
  <c r="C749" i="17"/>
  <c r="C76" i="20"/>
  <c r="F107" i="25"/>
  <c r="G2" i="21"/>
  <c r="A173" i="23"/>
  <c r="B160"/>
  <c r="I751" i="17"/>
  <c r="B164" i="23"/>
  <c r="H752" i="17"/>
  <c r="B168" i="23"/>
  <c r="G753" i="17"/>
  <c r="B172" i="23"/>
  <c r="F754" i="17"/>
  <c r="B176" i="23"/>
  <c r="E755" i="17"/>
  <c r="B180" i="23"/>
  <c r="D756" i="17"/>
  <c r="I161" i="46"/>
  <c r="B135" i="23"/>
  <c r="B139"/>
  <c r="A117"/>
  <c r="E286" i="20"/>
  <c r="B702" i="17"/>
  <c r="E287" i="20"/>
  <c r="A703" i="17"/>
  <c r="E288" i="20"/>
  <c r="I703" i="17"/>
  <c r="E289" i="20"/>
  <c r="H704" i="17"/>
  <c r="E290" i="20"/>
  <c r="G705" i="17"/>
  <c r="E291" i="20"/>
  <c r="F706" i="17"/>
  <c r="G121" i="46"/>
  <c r="B167" i="23"/>
  <c r="B171"/>
  <c r="A125"/>
  <c r="H2" i="21"/>
  <c r="C709" i="17"/>
  <c r="H4" i="21"/>
  <c r="B710" i="17"/>
  <c r="H1" i="22"/>
  <c r="A711" i="17"/>
  <c r="B2" i="22"/>
  <c r="A831" i="17"/>
  <c r="A58" i="20"/>
  <c r="E992" i="17"/>
  <c r="I863"/>
  <c r="I443"/>
  <c r="F81"/>
  <c r="H167" i="13"/>
  <c r="A344" i="6"/>
  <c r="H444" i="17"/>
  <c r="E82"/>
  <c r="H175" i="13"/>
  <c r="I344" i="6"/>
  <c r="G317" i="17"/>
  <c r="F62" i="16"/>
  <c r="H8" i="12"/>
  <c r="E287" i="6"/>
  <c r="E890" i="17"/>
  <c r="B86" i="23"/>
  <c r="D29" i="20"/>
  <c r="G931" i="17"/>
  <c r="I507"/>
  <c r="F145"/>
  <c r="A66" i="13"/>
  <c r="J389" i="6"/>
  <c r="H508" i="17"/>
  <c r="E146"/>
  <c r="A67" i="13"/>
  <c r="F390" i="6"/>
  <c r="G381" i="17"/>
  <c r="D19"/>
  <c r="A97" i="12"/>
  <c r="A316" i="6"/>
  <c r="D983" i="17"/>
  <c r="H113" i="24"/>
  <c r="D37" i="20"/>
  <c r="E950" i="17"/>
  <c r="A515"/>
  <c r="G152"/>
  <c r="A74" i="13"/>
  <c r="R395" i="6"/>
  <c r="I515" i="17"/>
  <c r="F153"/>
  <c r="A75" i="13"/>
  <c r="N396" i="6"/>
  <c r="E125" i="24"/>
  <c r="E219" i="46"/>
  <c r="H175" i="23"/>
  <c r="G64" i="24"/>
  <c r="B180"/>
  <c r="H330" i="17"/>
  <c r="D334"/>
  <c r="I337"/>
  <c r="I791"/>
  <c r="C268" i="20"/>
  <c r="E30" i="23"/>
  <c r="E31"/>
  <c r="A221"/>
  <c r="G48" i="25"/>
  <c r="F794" i="17"/>
  <c r="H69" i="25"/>
  <c r="E795" i="17"/>
  <c r="F91" i="25"/>
  <c r="D796" i="17"/>
  <c r="G112" i="25"/>
  <c r="C797" i="17"/>
  <c r="G926"/>
  <c r="B798"/>
  <c r="F927"/>
  <c r="A799"/>
  <c r="C276" i="20"/>
  <c r="E38" i="23"/>
  <c r="E39"/>
  <c r="A229"/>
  <c r="C930" i="17"/>
  <c r="G801"/>
  <c r="B931"/>
  <c r="F802"/>
  <c r="A932"/>
  <c r="E803"/>
  <c r="I932"/>
  <c r="D804"/>
  <c r="H933"/>
  <c r="C805"/>
  <c r="G934"/>
  <c r="B806"/>
  <c r="B123" i="23"/>
  <c r="E46"/>
  <c r="E47"/>
  <c r="A237"/>
  <c r="D937" i="17"/>
  <c r="H808"/>
  <c r="C938"/>
  <c r="G809"/>
  <c r="B939"/>
  <c r="F810"/>
  <c r="A940"/>
  <c r="E811"/>
  <c r="I940"/>
  <c r="D812"/>
  <c r="H941"/>
  <c r="C813"/>
  <c r="C84" i="20"/>
  <c r="F4" i="22"/>
  <c r="F5"/>
  <c r="A181" i="23"/>
  <c r="B192"/>
  <c r="A759" i="17"/>
  <c r="B196" i="23"/>
  <c r="I759" i="17"/>
  <c r="B200" i="23"/>
  <c r="H760" i="17"/>
  <c r="B204" i="23"/>
  <c r="G761" i="17"/>
  <c r="B208" i="23"/>
  <c r="F762" i="17"/>
  <c r="B212" i="23"/>
  <c r="E763" i="17"/>
  <c r="C140" i="20"/>
  <c r="F12" i="22"/>
  <c r="F13"/>
  <c r="A189" i="23"/>
  <c r="B224"/>
  <c r="B766" i="17"/>
  <c r="B228" i="23"/>
  <c r="A767" i="17"/>
  <c r="B232" i="23"/>
  <c r="I767" i="17"/>
  <c r="B236" i="23"/>
  <c r="F833" i="17"/>
  <c r="B54" i="23"/>
  <c r="D21" i="20"/>
  <c r="H920" i="17"/>
  <c r="H500"/>
  <c r="E138"/>
  <c r="A58" i="13"/>
  <c r="B383" i="6"/>
  <c r="G501" i="17"/>
  <c r="D139"/>
  <c r="A59" i="13"/>
  <c r="R383" i="6"/>
  <c r="F374" i="17"/>
  <c r="C12"/>
  <c r="B84" i="12"/>
  <c r="Q312" i="6"/>
  <c r="E889" i="17"/>
  <c r="H168" i="20"/>
  <c r="F388" i="17"/>
  <c r="H92" i="24"/>
  <c r="G395" i="17"/>
  <c r="H8" i="28"/>
  <c r="G5" i="29"/>
  <c r="A170" i="24"/>
  <c r="F110"/>
  <c r="H19" i="25"/>
  <c r="C446" i="17"/>
  <c r="F41" i="25"/>
  <c r="D453" i="17"/>
  <c r="G26" i="28"/>
  <c r="F12"/>
  <c r="H88" i="25"/>
  <c r="F196" i="24"/>
  <c r="D195" i="23"/>
  <c r="D196"/>
  <c r="D197"/>
  <c r="E51"/>
  <c r="E78"/>
  <c r="E79"/>
  <c r="H14" i="24"/>
  <c r="H965" i="17"/>
  <c r="C837"/>
  <c r="G966"/>
  <c r="B838"/>
  <c r="F967"/>
  <c r="A839"/>
  <c r="E968"/>
  <c r="I839"/>
  <c r="D969"/>
  <c r="H840"/>
  <c r="C970"/>
  <c r="G841"/>
  <c r="E59" i="23"/>
  <c r="E86"/>
  <c r="E87"/>
  <c r="H22" i="24"/>
  <c r="I972" i="17"/>
  <c r="D844"/>
  <c r="H973"/>
  <c r="C845"/>
  <c r="G974"/>
  <c r="B846"/>
  <c r="F975"/>
  <c r="A847"/>
  <c r="E976"/>
  <c r="I847"/>
  <c r="D977"/>
  <c r="B378" i="46"/>
  <c r="D186"/>
  <c r="D20" i="38"/>
  <c r="I215" i="46"/>
  <c r="D28" i="38"/>
  <c r="H272" i="46"/>
  <c r="E10" i="44"/>
  <c r="D24" i="38"/>
  <c r="F36" i="44"/>
  <c r="A6"/>
  <c r="I4" i="46"/>
  <c r="C16" i="44"/>
  <c r="H182" i="46"/>
  <c r="B172"/>
  <c r="C80" i="25"/>
  <c r="G10" i="28"/>
  <c r="D37" i="23"/>
  <c r="D45" i="46"/>
  <c r="D107" i="23"/>
  <c r="D108"/>
  <c r="D109"/>
  <c r="B133" i="46"/>
  <c r="D179" i="23"/>
  <c r="D180"/>
  <c r="D181"/>
  <c r="A196" i="46"/>
  <c r="D187" i="23"/>
  <c r="D188"/>
  <c r="D189"/>
  <c r="H28" i="46"/>
  <c r="C4" i="24"/>
  <c r="C5"/>
  <c r="C6"/>
  <c r="D52"/>
  <c r="E142" i="23"/>
  <c r="E143"/>
  <c r="H78" i="24"/>
  <c r="E11" i="19"/>
  <c r="B894" i="17"/>
  <c r="E12" i="19"/>
  <c r="A895" i="17"/>
  <c r="E13" i="19"/>
  <c r="I895" i="17"/>
  <c r="E14" i="19"/>
  <c r="H896" i="17"/>
  <c r="E15" i="19"/>
  <c r="G897" i="17"/>
  <c r="E16" i="19"/>
  <c r="F898" i="17"/>
  <c r="D60" i="24"/>
  <c r="E150" i="23"/>
  <c r="E151"/>
  <c r="H86" i="24"/>
  <c r="E19" i="19"/>
  <c r="C901" i="17"/>
  <c r="E20" i="19"/>
  <c r="B902" i="17"/>
  <c r="E1" i="20"/>
  <c r="A903" i="17"/>
  <c r="D2" i="20"/>
  <c r="I903" i="17"/>
  <c r="D3" i="20"/>
  <c r="H904" i="17"/>
  <c r="D4" i="20"/>
  <c r="D376" i="46"/>
  <c r="F15"/>
  <c r="D33"/>
  <c r="G22"/>
  <c r="E40"/>
  <c r="H29"/>
  <c r="F47"/>
  <c r="I36"/>
  <c r="G54"/>
  <c r="A44"/>
  <c r="H61"/>
  <c r="B51"/>
  <c r="A12"/>
  <c r="C44" i="44"/>
  <c r="H5" i="29"/>
  <c r="C3" i="33"/>
  <c r="D101" i="23"/>
  <c r="C76" i="46"/>
  <c r="D171" i="23"/>
  <c r="D172"/>
  <c r="D173"/>
  <c r="I132" i="46"/>
  <c r="D243" i="23"/>
  <c r="D244"/>
  <c r="D245"/>
  <c r="E195" i="46"/>
  <c r="D251" i="23"/>
  <c r="D252"/>
  <c r="D253"/>
  <c r="C6" i="25"/>
  <c r="C68" i="24"/>
  <c r="C69"/>
  <c r="C70"/>
  <c r="D75" i="23"/>
  <c r="E206"/>
  <c r="E207"/>
  <c r="G176" i="24"/>
  <c r="D55" i="20"/>
  <c r="B993" i="17"/>
  <c r="D56" i="20"/>
  <c r="G995" i="17"/>
  <c r="D57" i="20"/>
  <c r="C998" i="17"/>
  <c r="D58" i="20"/>
  <c r="C1000" i="17"/>
  <c r="D59" i="20"/>
  <c r="H1002" i="17"/>
  <c r="D60" i="20"/>
  <c r="D1005" i="17"/>
  <c r="D83" i="23"/>
  <c r="E214"/>
  <c r="E215"/>
  <c r="G192" i="24"/>
  <c r="D63" i="20"/>
  <c r="E1012" i="17"/>
  <c r="D64" i="20"/>
  <c r="B5" i="19"/>
  <c r="D65" i="20"/>
  <c r="B9" i="19"/>
  <c r="D66" i="20"/>
  <c r="B13" i="19"/>
  <c r="D67" i="20"/>
  <c r="B17" i="19"/>
  <c r="D68" i="20"/>
  <c r="F374" i="46"/>
  <c r="E73" i="25"/>
  <c r="E188" i="24"/>
  <c r="E81" i="25"/>
  <c r="E196" i="24"/>
  <c r="E89" i="25"/>
  <c r="E204" i="24"/>
  <c r="E97" i="25"/>
  <c r="E212" i="24"/>
  <c r="E105" i="25"/>
  <c r="E220" i="24"/>
  <c r="E113" i="25"/>
  <c r="E164" i="24"/>
  <c r="E57" i="25"/>
  <c r="C79"/>
  <c r="G9" i="28"/>
  <c r="D165" i="23"/>
  <c r="A76" i="46"/>
  <c r="D235" i="23"/>
  <c r="D236"/>
  <c r="D237"/>
  <c r="C1" i="30"/>
  <c r="C52" i="24"/>
  <c r="C53"/>
  <c r="C54"/>
  <c r="D173"/>
  <c r="C60"/>
  <c r="C61"/>
  <c r="C62"/>
  <c r="D34" i="28"/>
  <c r="B155" i="24"/>
  <c r="B157"/>
  <c r="B159"/>
  <c r="C76"/>
  <c r="D15"/>
  <c r="D16"/>
  <c r="G97" i="25"/>
  <c r="D119" i="20"/>
  <c r="D555" i="17"/>
  <c r="D120" i="20"/>
  <c r="C556" i="17"/>
  <c r="D121" i="20"/>
  <c r="B557" i="17"/>
  <c r="D122" i="20"/>
  <c r="A558" i="17"/>
  <c r="D123" i="20"/>
  <c r="I558" i="17"/>
  <c r="D124" i="20"/>
  <c r="H559" i="17"/>
  <c r="C84" i="24"/>
  <c r="D23"/>
  <c r="D24"/>
  <c r="D17" i="28"/>
  <c r="D127" i="20"/>
  <c r="E562" i="17"/>
  <c r="D128" i="20"/>
  <c r="D563" i="17"/>
  <c r="D129" i="20"/>
  <c r="C564" i="17"/>
  <c r="D130" i="20"/>
  <c r="B565" i="17"/>
  <c r="D131" i="20"/>
  <c r="A566" i="17"/>
  <c r="D132" i="20"/>
  <c r="I566" i="17"/>
  <c r="B206" i="46"/>
  <c r="F23" i="38"/>
  <c r="A8" i="37"/>
  <c r="A16" i="44"/>
  <c r="A16" i="37"/>
  <c r="B41" i="46"/>
  <c r="A24" i="37"/>
  <c r="A98" i="46"/>
  <c r="H4" i="38"/>
  <c r="I154" i="46"/>
  <c r="B13" i="38"/>
  <c r="H24" i="37"/>
  <c r="E78" i="46"/>
  <c r="C4" i="25"/>
  <c r="G40" i="24"/>
  <c r="C253" i="23"/>
  <c r="I378" i="46"/>
  <c r="B68" i="24"/>
  <c r="B69"/>
  <c r="B70"/>
  <c r="I376" i="46"/>
  <c r="A171" i="24"/>
  <c r="A173"/>
  <c r="A175"/>
  <c r="B138" i="46"/>
  <c r="A187" i="24"/>
  <c r="A189"/>
  <c r="A191"/>
  <c r="D361" i="46"/>
  <c r="A6" i="24"/>
  <c r="A7"/>
  <c r="A8"/>
  <c r="I181" i="46"/>
  <c r="C103" i="24"/>
  <c r="C104"/>
  <c r="G63" i="23"/>
  <c r="D65" i="24"/>
  <c r="C611" i="17"/>
  <c r="D67" i="24"/>
  <c r="B612" i="17"/>
  <c r="D73" i="24"/>
  <c r="A613" i="17"/>
  <c r="D75" i="24"/>
  <c r="I613" i="17"/>
  <c r="D81" i="24"/>
  <c r="H614" i="17"/>
  <c r="D83" i="24"/>
  <c r="G615" i="17"/>
  <c r="G372" i="46"/>
  <c r="B113" i="24"/>
  <c r="B115"/>
  <c r="G71" i="23"/>
  <c r="D97" i="24"/>
  <c r="D618" i="17"/>
  <c r="D99" i="24"/>
  <c r="C619" i="17"/>
  <c r="D105" i="24"/>
  <c r="B620" i="17"/>
  <c r="D107" i="24"/>
  <c r="A621" i="17"/>
  <c r="G117" i="24"/>
  <c r="I621" i="17"/>
  <c r="G121" i="24"/>
  <c r="H622" i="17"/>
  <c r="E181" i="46"/>
  <c r="G7" i="29"/>
  <c r="G205" i="24"/>
  <c r="D4" i="23"/>
  <c r="E247" i="20"/>
  <c r="E251"/>
  <c r="E255"/>
  <c r="E259"/>
  <c r="C70" i="25"/>
  <c r="C55" i="24"/>
  <c r="C56"/>
  <c r="G15" i="23"/>
  <c r="E128"/>
  <c r="F568" i="17"/>
  <c r="E130" i="23"/>
  <c r="E569" i="17"/>
  <c r="E136" i="23"/>
  <c r="D570" i="17"/>
  <c r="E138" i="23"/>
  <c r="C571" i="17"/>
  <c r="E144" i="23"/>
  <c r="B572" i="17"/>
  <c r="E146" i="23"/>
  <c r="A573" i="17"/>
  <c r="A30" i="28"/>
  <c r="C63" i="24"/>
  <c r="C64"/>
  <c r="G23" i="23"/>
  <c r="E160"/>
  <c r="G575" i="17"/>
  <c r="E162" i="23"/>
  <c r="F576" i="17"/>
  <c r="E168" i="23"/>
  <c r="E577" i="17"/>
  <c r="E170" i="23"/>
  <c r="D578" i="17"/>
  <c r="E176" i="23"/>
  <c r="C579" i="17"/>
  <c r="E178" i="23"/>
  <c r="B580" i="17"/>
  <c r="E5" i="33"/>
  <c r="C71" i="24"/>
  <c r="C72"/>
  <c r="G31" i="23"/>
  <c r="E192"/>
  <c r="H582" i="17"/>
  <c r="E194" i="23"/>
  <c r="G583" i="17"/>
  <c r="E200" i="23"/>
  <c r="F584" i="17"/>
  <c r="E202" i="23"/>
  <c r="E585" i="17"/>
  <c r="E208" i="23"/>
  <c r="D586" i="17"/>
  <c r="E210" i="23"/>
  <c r="C587" i="17"/>
  <c r="D24" i="37"/>
  <c r="C15" i="24"/>
  <c r="C16"/>
  <c r="G110" i="25"/>
  <c r="E97" i="24"/>
  <c r="B226" i="20"/>
  <c r="H117" i="24"/>
  <c r="B234" i="20"/>
  <c r="H213" i="24"/>
  <c r="B242" i="20"/>
  <c r="H21" i="25"/>
  <c r="B250" i="20"/>
  <c r="G3" i="21"/>
  <c r="B258" i="20"/>
  <c r="G5" i="21"/>
  <c r="B266" i="20"/>
  <c r="I49" i="46"/>
  <c r="C23" i="24"/>
  <c r="C24"/>
  <c r="A2" i="21"/>
  <c r="F14" i="22"/>
  <c r="B290" i="20"/>
  <c r="E2" i="23"/>
  <c r="B1" i="22"/>
  <c r="E8" i="23"/>
  <c r="G3" i="22"/>
  <c r="E10" i="23"/>
  <c r="C494" i="17"/>
  <c r="B65" i="24"/>
  <c r="B73"/>
  <c r="H694" i="17"/>
  <c r="A978"/>
  <c r="F151"/>
  <c r="C12" i="14"/>
  <c r="H96" i="7"/>
  <c r="D997" i="17"/>
  <c r="E152"/>
  <c r="B15" i="14"/>
  <c r="H97" i="7"/>
  <c r="A846" i="17"/>
  <c r="D25"/>
  <c r="G82" i="13"/>
  <c r="E398" i="6"/>
  <c r="G883" i="17"/>
  <c r="G216" i="23"/>
  <c r="G232"/>
  <c r="H758" i="17"/>
  <c r="H99" i="20"/>
  <c r="D217" i="17"/>
  <c r="F131"/>
  <c r="H168" i="7"/>
  <c r="H107" i="20"/>
  <c r="E218" i="17"/>
  <c r="G138"/>
  <c r="H169" i="7"/>
  <c r="I901" i="17"/>
  <c r="D89"/>
  <c r="G154" i="13"/>
  <c r="H26" i="7"/>
  <c r="E965" i="17"/>
  <c r="C280"/>
  <c r="A282"/>
  <c r="I765"/>
  <c r="H163" i="20"/>
  <c r="H226" i="17"/>
  <c r="E188"/>
  <c r="H176" i="7"/>
  <c r="H171" i="20"/>
  <c r="A228" i="17"/>
  <c r="F195"/>
  <c r="H177" i="7"/>
  <c r="C1" i="19"/>
  <c r="C98" i="25"/>
  <c r="E35" i="28"/>
  <c r="F29" i="25"/>
  <c r="C28" i="23"/>
  <c r="D248" i="20"/>
  <c r="D252"/>
  <c r="D256"/>
  <c r="D260"/>
  <c r="A378" i="46"/>
  <c r="B129" i="24"/>
  <c r="B131"/>
  <c r="G79" i="23"/>
  <c r="G149" i="24"/>
  <c r="E625" i="17"/>
  <c r="G153" i="24"/>
  <c r="D626" i="17"/>
  <c r="G165" i="24"/>
  <c r="C627" i="17"/>
  <c r="G169" i="24"/>
  <c r="B628" i="17"/>
  <c r="G181" i="24"/>
  <c r="A629" i="17"/>
  <c r="G185" i="24"/>
  <c r="I629" i="17"/>
  <c r="C376" i="46"/>
  <c r="B145" i="24"/>
  <c r="B147"/>
  <c r="G87" i="23"/>
  <c r="G213" i="24"/>
  <c r="F632" i="17"/>
  <c r="G217" i="24"/>
  <c r="E633" i="17"/>
  <c r="G229" i="24"/>
  <c r="D634" i="17"/>
  <c r="H2" i="25"/>
  <c r="C635" i="17"/>
  <c r="H18" i="25"/>
  <c r="B636" i="17"/>
  <c r="F24" i="25"/>
  <c r="A637" i="17"/>
  <c r="E374" i="46"/>
  <c r="B161" i="24"/>
  <c r="B163"/>
  <c r="G95" i="23"/>
  <c r="G61" i="25"/>
  <c r="G639" i="17"/>
  <c r="H66" i="25"/>
  <c r="F640" i="17"/>
  <c r="H82" i="25"/>
  <c r="E641" i="17"/>
  <c r="F88" i="25"/>
  <c r="D642" i="17"/>
  <c r="F104" i="25"/>
  <c r="C643" i="17"/>
  <c r="G109" i="25"/>
  <c r="B644" i="17"/>
  <c r="H107" i="46"/>
  <c r="C79" i="24"/>
  <c r="C80"/>
  <c r="G39" i="23"/>
  <c r="E224"/>
  <c r="I589" i="17"/>
  <c r="E226" i="23"/>
  <c r="H590" i="17"/>
  <c r="E232" i="23"/>
  <c r="G591" i="17"/>
  <c r="E234" i="23"/>
  <c r="F592" i="17"/>
  <c r="E240" i="23"/>
  <c r="E593" i="17"/>
  <c r="E242" i="23"/>
  <c r="D594" i="17"/>
  <c r="G155" i="46"/>
  <c r="C87" i="24"/>
  <c r="C88"/>
  <c r="G47" i="23"/>
  <c r="E1" i="24"/>
  <c r="A597" i="17"/>
  <c r="D3" i="24"/>
  <c r="I597" i="17"/>
  <c r="D9" i="24"/>
  <c r="H598" i="17"/>
  <c r="D11" i="24"/>
  <c r="H826" i="17"/>
  <c r="G152" i="23"/>
  <c r="G168"/>
  <c r="G751" i="17"/>
  <c r="H35" i="20"/>
  <c r="E208" i="17"/>
  <c r="D77"/>
  <c r="H160" i="7"/>
  <c r="H43" i="20"/>
  <c r="D209" i="17"/>
  <c r="H81"/>
  <c r="H161" i="7"/>
  <c r="A845" i="17"/>
  <c r="C82"/>
  <c r="G146" i="13"/>
  <c r="H18" i="7"/>
  <c r="D885" i="17"/>
  <c r="A458"/>
  <c r="H459"/>
  <c r="G815"/>
  <c r="G103" i="20"/>
  <c r="G489" i="17"/>
  <c r="G163" i="12"/>
  <c r="H232" i="7"/>
  <c r="G111" i="20"/>
  <c r="H496" i="17"/>
  <c r="G164" i="12"/>
  <c r="H233" i="7"/>
  <c r="G902" i="17"/>
  <c r="C146"/>
  <c r="D228" i="13"/>
  <c r="H90" i="7"/>
  <c r="I969" i="17"/>
  <c r="H507"/>
  <c r="F509"/>
  <c r="H822"/>
  <c r="G167" i="20"/>
  <c r="F546" i="17"/>
  <c r="G171" i="12"/>
  <c r="H240" i="7"/>
  <c r="G175" i="20"/>
  <c r="I554" i="17"/>
  <c r="G172" i="12"/>
  <c r="H241" i="7"/>
  <c r="C3" i="19"/>
  <c r="I72" i="46"/>
  <c r="B62" i="24"/>
  <c r="G95" i="25"/>
  <c r="A72" i="24"/>
  <c r="A669" i="17"/>
  <c r="F672"/>
  <c r="B676"/>
  <c r="G679"/>
  <c r="D171" i="24"/>
  <c r="G209"/>
  <c r="G211"/>
  <c r="H122" i="23"/>
  <c r="D263" i="20"/>
  <c r="D683" i="17"/>
  <c r="D264" i="20"/>
  <c r="C684" i="17"/>
  <c r="D265" i="20"/>
  <c r="B685" i="17"/>
  <c r="D266" i="20"/>
  <c r="A686" i="17"/>
  <c r="D267" i="20"/>
  <c r="I686" i="17"/>
  <c r="D268" i="20"/>
  <c r="H687" i="17"/>
  <c r="A63" i="25"/>
  <c r="G225" i="24"/>
  <c r="G227"/>
  <c r="H130" i="23"/>
  <c r="D271" i="20"/>
  <c r="E690" i="17"/>
  <c r="D272" i="20"/>
  <c r="D691" i="17"/>
  <c r="D273" i="20"/>
  <c r="C692" i="17"/>
  <c r="D274" i="20"/>
  <c r="B693" i="17"/>
  <c r="D275" i="20"/>
  <c r="A694" i="17"/>
  <c r="D276" i="20"/>
  <c r="I694" i="17"/>
  <c r="H8" i="32"/>
  <c r="G13" i="25"/>
  <c r="F16"/>
  <c r="H138" i="23"/>
  <c r="D279" i="20"/>
  <c r="F697" i="17"/>
  <c r="D280" i="20"/>
  <c r="E698" i="17"/>
  <c r="D281" i="20"/>
  <c r="D699" i="17"/>
  <c r="D282" i="20"/>
  <c r="C700" i="17"/>
  <c r="D283" i="20"/>
  <c r="B701" i="17"/>
  <c r="D284" i="20"/>
  <c r="A702" i="17"/>
  <c r="H73" i="25"/>
  <c r="G129" i="24"/>
  <c r="G131"/>
  <c r="H82" i="23"/>
  <c r="D223" i="20"/>
  <c r="H647" i="17"/>
  <c r="D224" i="20"/>
  <c r="G648" i="17"/>
  <c r="D225" i="20"/>
  <c r="F649" i="17"/>
  <c r="D226" i="20"/>
  <c r="E650" i="17"/>
  <c r="D227" i="20"/>
  <c r="D651" i="17"/>
  <c r="D228" i="20"/>
  <c r="C652" i="17"/>
  <c r="H12" i="23"/>
  <c r="G145" i="24"/>
  <c r="G147"/>
  <c r="H90" i="23"/>
  <c r="D231" i="20"/>
  <c r="I654" i="17"/>
  <c r="D232" i="20"/>
  <c r="H655" i="17"/>
  <c r="D233" i="20"/>
  <c r="G656" i="17"/>
  <c r="D234" i="20"/>
  <c r="I957" i="17"/>
  <c r="E953"/>
  <c r="F934"/>
  <c r="F809"/>
  <c r="D768"/>
  <c r="H440"/>
  <c r="H96" i="12"/>
  <c r="A223" i="7"/>
  <c r="H796" i="17"/>
  <c r="I447"/>
  <c r="H97" i="12"/>
  <c r="A224" i="7"/>
  <c r="G468" i="17"/>
  <c r="B140"/>
  <c r="I168"/>
  <c r="A81" i="7"/>
  <c r="E4" i="19"/>
  <c r="E178" i="20"/>
  <c r="F998" i="17"/>
  <c r="F873"/>
  <c r="G11" i="22"/>
  <c r="F1" i="15"/>
  <c r="H168" i="12"/>
  <c r="H3" i="8"/>
  <c r="F254" i="23"/>
  <c r="E2" i="15"/>
  <c r="H169" i="12"/>
  <c r="H4" i="8"/>
  <c r="I594" i="17"/>
  <c r="B204"/>
  <c r="F56"/>
  <c r="A153" i="7"/>
  <c r="D48" i="20"/>
  <c r="E234"/>
  <c r="G1005" i="17"/>
  <c r="G880"/>
  <c r="A600"/>
  <c r="E9" i="15"/>
  <c r="H176" i="12"/>
  <c r="H11" i="8"/>
  <c r="B607" i="17"/>
  <c r="E10" i="15"/>
  <c r="H177" i="12"/>
  <c r="H12" i="8"/>
  <c r="E822" i="17"/>
  <c r="G407" i="46"/>
  <c r="A145" i="23"/>
  <c r="H34" i="24"/>
  <c r="G120"/>
  <c r="H669" i="17"/>
  <c r="D673"/>
  <c r="I676"/>
  <c r="E680"/>
  <c r="D170" i="24"/>
  <c r="E4" i="22"/>
  <c r="E5"/>
  <c r="H186" i="23"/>
  <c r="F103"/>
  <c r="C740" i="17"/>
  <c r="F107" i="23"/>
  <c r="B741" i="17"/>
  <c r="F111" i="23"/>
  <c r="A742" i="17"/>
  <c r="F115" i="23"/>
  <c r="I742" i="17"/>
  <c r="F119" i="23"/>
  <c r="H743" i="17"/>
  <c r="F123" i="23"/>
  <c r="G744" i="17"/>
  <c r="A62" i="25"/>
  <c r="E12" i="22"/>
  <c r="E13"/>
  <c r="H194" i="23"/>
  <c r="F135"/>
  <c r="D747" i="17"/>
  <c r="F139" i="23"/>
  <c r="C748" i="17"/>
  <c r="F143" i="23"/>
  <c r="B749" i="17"/>
  <c r="F147" i="23"/>
  <c r="A750" i="17"/>
  <c r="F151" i="23"/>
  <c r="I750" i="17"/>
  <c r="F155" i="23"/>
  <c r="H751" i="17"/>
  <c r="H7" i="32"/>
  <c r="D6" i="23"/>
  <c r="D7"/>
  <c r="H202"/>
  <c r="F167"/>
  <c r="E754" i="17"/>
  <c r="F171" i="23"/>
  <c r="D755" i="17"/>
  <c r="F175" i="23"/>
  <c r="C756" i="17"/>
  <c r="F179" i="23"/>
  <c r="B757" i="17"/>
  <c r="F183" i="23"/>
  <c r="A758" i="17"/>
  <c r="F187" i="23"/>
  <c r="I758" i="17"/>
  <c r="D13" i="37"/>
  <c r="H34" i="25"/>
  <c r="G37"/>
  <c r="H146" i="23"/>
  <c r="D287" i="20"/>
  <c r="G704" i="17"/>
  <c r="D288" i="20"/>
  <c r="F705" i="17"/>
  <c r="D289" i="20"/>
  <c r="E706" i="17"/>
  <c r="D290" i="20"/>
  <c r="D707" i="17"/>
  <c r="D291" i="20"/>
  <c r="C708" i="17"/>
  <c r="D292" i="20"/>
  <c r="B709" i="17"/>
  <c r="B40" i="46"/>
  <c r="F56" i="25"/>
  <c r="H58"/>
  <c r="H154" i="23"/>
  <c r="D4" i="21"/>
  <c r="H711" i="17"/>
  <c r="D1" i="22"/>
  <c r="G712" i="17"/>
  <c r="C4" i="22"/>
  <c r="F713" i="17"/>
  <c r="B7" i="22"/>
  <c r="F959" i="17"/>
  <c r="E170" i="20"/>
  <c r="E991" i="17"/>
  <c r="E866"/>
  <c r="I962"/>
  <c r="F9" i="14"/>
  <c r="H160" i="12"/>
  <c r="A287" i="7"/>
  <c r="C982" i="17"/>
  <c r="F10" i="14"/>
  <c r="H161" i="12"/>
  <c r="A288" i="7"/>
  <c r="H506" i="17"/>
  <c r="A197"/>
  <c r="B28"/>
  <c r="A145" i="7"/>
  <c r="D3" i="19"/>
  <c r="C962" i="17"/>
  <c r="C113" i="20"/>
  <c r="G938" i="17"/>
  <c r="F58" i="23"/>
  <c r="D35" i="16"/>
  <c r="H232" i="12"/>
  <c r="B13" i="10"/>
  <c r="H131" i="24"/>
  <c r="D36" i="16"/>
  <c r="H233" i="12"/>
  <c r="B4" i="11"/>
  <c r="G597" i="17"/>
  <c r="B398"/>
  <c r="H90" i="12"/>
  <c r="A217" i="7"/>
  <c r="C187" i="20"/>
  <c r="A1012" i="17"/>
  <c r="C145" i="20"/>
  <c r="E957" i="17"/>
  <c r="G601"/>
  <c r="D43" i="16"/>
  <c r="H240" i="12"/>
  <c r="A359" i="6"/>
  <c r="H608" i="17"/>
  <c r="D44" i="16"/>
  <c r="H241" i="12"/>
  <c r="I359" i="6"/>
  <c r="C825" i="17"/>
  <c r="H172" i="23"/>
  <c r="F68" i="24"/>
  <c r="G63"/>
  <c r="B178"/>
  <c r="A135" i="20"/>
  <c r="A139"/>
  <c r="A143"/>
  <c r="A147"/>
  <c r="D169" i="24"/>
  <c r="D54" i="23"/>
  <c r="D55"/>
  <c r="H250"/>
  <c r="F67" i="25"/>
  <c r="B797" i="17"/>
  <c r="G88" i="25"/>
  <c r="A798" i="17"/>
  <c r="H109" i="25"/>
  <c r="I798" i="17"/>
  <c r="A1" i="28"/>
  <c r="H799" i="17"/>
  <c r="G925"/>
  <c r="G800"/>
  <c r="F926"/>
  <c r="F801"/>
  <c r="A61" i="25"/>
  <c r="D62" i="23"/>
  <c r="D63"/>
  <c r="G3" i="24"/>
  <c r="C929" i="17"/>
  <c r="C804"/>
  <c r="B930"/>
  <c r="B805"/>
  <c r="A931"/>
  <c r="A806"/>
  <c r="I931"/>
  <c r="I806"/>
  <c r="H932"/>
  <c r="H807"/>
  <c r="G933"/>
  <c r="G808"/>
  <c r="H6" i="32"/>
  <c r="D70" i="23"/>
  <c r="D71"/>
  <c r="G11" i="24"/>
  <c r="D936" i="17"/>
  <c r="D811"/>
  <c r="C937"/>
  <c r="C812"/>
  <c r="B938"/>
  <c r="B813"/>
  <c r="A939"/>
  <c r="A814"/>
  <c r="I939"/>
  <c r="I814"/>
  <c r="H940"/>
  <c r="H815"/>
  <c r="D12" i="37"/>
  <c r="D14" i="23"/>
  <c r="D15"/>
  <c r="H210"/>
  <c r="F199"/>
  <c r="F761" i="17"/>
  <c r="F203" i="23"/>
  <c r="E762" i="17"/>
  <c r="F207" i="23"/>
  <c r="D763" i="17"/>
  <c r="F211" i="23"/>
  <c r="C764" i="17"/>
  <c r="F215" i="23"/>
  <c r="B765" i="17"/>
  <c r="F219" i="23"/>
  <c r="A766" i="17"/>
  <c r="C39" i="46"/>
  <c r="D22" i="23"/>
  <c r="D23"/>
  <c r="H218"/>
  <c r="F231"/>
  <c r="G768" i="17"/>
  <c r="F235" i="23"/>
  <c r="F769" i="17"/>
  <c r="F239" i="23"/>
  <c r="E770" i="17"/>
  <c r="F243" i="23"/>
  <c r="F958" i="17"/>
  <c r="B955"/>
  <c r="C81" i="20"/>
  <c r="D923" i="17"/>
  <c r="D967"/>
  <c r="D27" i="16"/>
  <c r="H224" i="12"/>
  <c r="G39" i="9"/>
  <c r="G986" i="17"/>
  <c r="D28" i="16"/>
  <c r="H225" i="12"/>
  <c r="G40" i="9"/>
  <c r="F507" i="17"/>
  <c r="C341"/>
  <c r="H82" i="12"/>
  <c r="A209" i="7"/>
  <c r="H140" i="24"/>
  <c r="D179" i="20"/>
  <c r="A200"/>
  <c r="A287" i="46"/>
  <c r="A208" i="20"/>
  <c r="A1" i="29"/>
  <c r="H20" i="28"/>
  <c r="E10" i="38"/>
  <c r="D7" i="35"/>
  <c r="A185" i="23"/>
  <c r="E22" i="24"/>
  <c r="A193" i="23"/>
  <c r="E86" i="24"/>
  <c r="G6" i="28"/>
  <c r="F3" i="29"/>
  <c r="E13" i="44"/>
  <c r="F147" i="46"/>
  <c r="C219" i="23"/>
  <c r="C220"/>
  <c r="C221"/>
  <c r="F64" i="46"/>
  <c r="D102" i="23"/>
  <c r="D103"/>
  <c r="G43" i="24"/>
  <c r="H964" i="17"/>
  <c r="H839"/>
  <c r="G965"/>
  <c r="G840"/>
  <c r="F966"/>
  <c r="F841"/>
  <c r="E967"/>
  <c r="E842"/>
  <c r="D968"/>
  <c r="D843"/>
  <c r="C969"/>
  <c r="C844"/>
  <c r="F175" i="24"/>
  <c r="D110" i="23"/>
  <c r="D111"/>
  <c r="G51" i="24"/>
  <c r="I971" i="17"/>
  <c r="I846"/>
  <c r="H972"/>
  <c r="H847"/>
  <c r="G973"/>
  <c r="G848"/>
  <c r="F974"/>
  <c r="F849"/>
  <c r="E975"/>
  <c r="E850"/>
  <c r="D976"/>
  <c r="D851"/>
  <c r="E9" i="33"/>
  <c r="H1" i="35"/>
  <c r="E17" i="33"/>
  <c r="C8" i="37"/>
  <c r="E25" i="33"/>
  <c r="D18" i="38"/>
  <c r="E33" i="33"/>
  <c r="A31"/>
  <c r="F8" i="35"/>
  <c r="G3"/>
  <c r="F17" i="37"/>
  <c r="F20"/>
  <c r="H28" i="33"/>
  <c r="B44" i="24"/>
  <c r="A202" i="23"/>
  <c r="C61"/>
  <c r="B151" i="46"/>
  <c r="C131" i="23"/>
  <c r="C132"/>
  <c r="C133"/>
  <c r="C11" i="46"/>
  <c r="C203" i="23"/>
  <c r="C204"/>
  <c r="C205"/>
  <c r="B68" i="46"/>
  <c r="C211" i="23"/>
  <c r="C212"/>
  <c r="C213"/>
  <c r="F359" i="46"/>
  <c r="B28" i="24"/>
  <c r="B29"/>
  <c r="B30"/>
  <c r="H70" i="46"/>
  <c r="D166" i="23"/>
  <c r="D167"/>
  <c r="G107" i="24"/>
  <c r="D10" i="19"/>
  <c r="G896" i="17"/>
  <c r="D11" i="19"/>
  <c r="F897" i="17"/>
  <c r="D12" i="19"/>
  <c r="E898" i="17"/>
  <c r="D13" i="19"/>
  <c r="D899" i="17"/>
  <c r="D14" i="19"/>
  <c r="C900" i="17"/>
  <c r="D15" i="19"/>
  <c r="B901" i="17"/>
  <c r="F182" i="24"/>
  <c r="D174" i="23"/>
  <c r="D175"/>
  <c r="B122" i="24"/>
  <c r="D18" i="19"/>
  <c r="H903" i="17"/>
  <c r="D19" i="19"/>
  <c r="G904" i="17"/>
  <c r="D1" i="20"/>
  <c r="F905" i="17"/>
  <c r="C3" i="20"/>
  <c r="E906" i="17"/>
  <c r="C9" i="20"/>
  <c r="D907" i="17"/>
  <c r="C11" i="20"/>
  <c r="C908" i="17"/>
  <c r="B9" i="44"/>
  <c r="C160" i="46"/>
  <c r="C5" i="33"/>
  <c r="G9"/>
  <c r="C13"/>
  <c r="G17"/>
  <c r="C21"/>
  <c r="G25"/>
  <c r="C29"/>
  <c r="G33"/>
  <c r="A1" i="35"/>
  <c r="C13" i="37"/>
  <c r="B25" i="46"/>
  <c r="B108" i="24"/>
  <c r="H11"/>
  <c r="C125" i="23"/>
  <c r="A182" i="46"/>
  <c r="C195" i="23"/>
  <c r="C196"/>
  <c r="C197"/>
  <c r="H20" i="46"/>
  <c r="B12" i="24"/>
  <c r="B13"/>
  <c r="B14"/>
  <c r="F134" i="46"/>
  <c r="B20" i="24"/>
  <c r="B21"/>
  <c r="B22"/>
  <c r="I364" i="46"/>
  <c r="B92" i="24"/>
  <c r="B93"/>
  <c r="B94"/>
  <c r="A77" i="46"/>
  <c r="D230" i="23"/>
  <c r="D231"/>
  <c r="H3" i="25"/>
  <c r="C217" i="20"/>
  <c r="B1000" i="17"/>
  <c r="C219" i="20"/>
  <c r="G1002" i="17"/>
  <c r="C225" i="20"/>
  <c r="G1004" i="17"/>
  <c r="C227" i="20"/>
  <c r="C1007" i="17"/>
  <c r="C233" i="20"/>
  <c r="H1009" i="17"/>
  <c r="C235" i="20"/>
  <c r="H1011" i="17"/>
  <c r="F181" i="24"/>
  <c r="D238" i="23"/>
  <c r="D239"/>
  <c r="F25" i="25"/>
  <c r="C249" i="20"/>
  <c r="C8" i="19"/>
  <c r="C251" i="20"/>
  <c r="C12" i="19"/>
  <c r="C257" i="20"/>
  <c r="C16" i="19"/>
  <c r="C259" i="20"/>
  <c r="C20" i="19"/>
  <c r="C265" i="20"/>
  <c r="B2"/>
  <c r="C267"/>
  <c r="B10"/>
  <c r="C136" i="46"/>
  <c r="D127"/>
  <c r="C213"/>
  <c r="C184"/>
  <c r="A8" i="38"/>
  <c r="E10" i="35"/>
  <c r="F16" i="38"/>
  <c r="H8" i="37"/>
  <c r="G28" i="38"/>
  <c r="H16" i="37"/>
  <c r="F21" i="46"/>
  <c r="B1" i="44"/>
  <c r="E22" i="46"/>
  <c r="E3" i="25"/>
  <c r="H231" i="23"/>
  <c r="C189"/>
  <c r="H181" i="46"/>
  <c r="B4" i="24"/>
  <c r="B5"/>
  <c r="B6"/>
  <c r="G378" i="46"/>
  <c r="B76" i="24"/>
  <c r="B77"/>
  <c r="B78"/>
  <c r="I139" i="46"/>
  <c r="B84" i="24"/>
  <c r="B85"/>
  <c r="B86"/>
  <c r="B363" i="46"/>
  <c r="A203" i="24"/>
  <c r="A205"/>
  <c r="A207"/>
  <c r="B76" i="46"/>
  <c r="C39" i="24"/>
  <c r="C40"/>
  <c r="H13" i="22"/>
  <c r="E64" i="23"/>
  <c r="D554" i="17"/>
  <c r="E66" i="23"/>
  <c r="C555" i="17"/>
  <c r="E72" i="23"/>
  <c r="B556" i="17"/>
  <c r="E74" i="23"/>
  <c r="A557" i="17"/>
  <c r="E80" i="23"/>
  <c r="I557" i="17"/>
  <c r="E82" i="23"/>
  <c r="H558" i="17"/>
  <c r="E69" i="25"/>
  <c r="C47" i="24"/>
  <c r="C48"/>
  <c r="G7" i="23"/>
  <c r="E96"/>
  <c r="E561" i="17"/>
  <c r="E98" i="23"/>
  <c r="D562" i="17"/>
  <c r="E104" i="23"/>
  <c r="C563" i="17"/>
  <c r="E106" i="23"/>
  <c r="B564" i="17"/>
  <c r="E112" i="23"/>
  <c r="A565" i="17"/>
  <c r="E114" i="23"/>
  <c r="I565" i="17"/>
  <c r="E119" i="24"/>
  <c r="I251" i="46"/>
  <c r="E127" i="24"/>
  <c r="H308" i="46"/>
  <c r="E135" i="24"/>
  <c r="G365" i="46"/>
  <c r="E143" i="24"/>
  <c r="C208" i="46"/>
  <c r="E151" i="24"/>
  <c r="B265" i="46"/>
  <c r="E159" i="24"/>
  <c r="I308" i="46"/>
  <c r="C33" i="28"/>
  <c r="C16" i="25"/>
  <c r="G159" i="24"/>
  <c r="A81" i="23"/>
  <c r="A82"/>
  <c r="E170" i="24"/>
  <c r="A152" i="23"/>
  <c r="A153"/>
  <c r="A154"/>
  <c r="B3" i="25"/>
  <c r="A224" i="23"/>
  <c r="A225"/>
  <c r="A226"/>
  <c r="B67" i="25"/>
  <c r="A232" i="23"/>
  <c r="A233"/>
  <c r="A234"/>
  <c r="B1" i="33"/>
  <c r="H49" i="24"/>
  <c r="H50"/>
  <c r="H51"/>
  <c r="A145"/>
  <c r="A147"/>
  <c r="E155"/>
  <c r="G248" i="23"/>
  <c r="A612" i="17"/>
  <c r="G1" i="24"/>
  <c r="I612" i="17"/>
  <c r="F9" i="24"/>
  <c r="H613" i="17"/>
  <c r="F17" i="24"/>
  <c r="G614" i="17"/>
  <c r="F25" i="24"/>
  <c r="F615" i="17"/>
  <c r="F33" i="24"/>
  <c r="E616" i="17"/>
  <c r="F41" i="24"/>
  <c r="A161"/>
  <c r="A163"/>
  <c r="E219"/>
  <c r="F57"/>
  <c r="B619" i="17"/>
  <c r="F65" i="24"/>
  <c r="A620" i="17"/>
  <c r="F73" i="24"/>
  <c r="I620" i="17"/>
  <c r="F81" i="24"/>
  <c r="H621" i="17"/>
  <c r="F89" i="24"/>
  <c r="G622" i="17"/>
  <c r="F97" i="24"/>
  <c r="F623" i="17"/>
  <c r="C205" i="46"/>
  <c r="C66" i="25"/>
  <c r="G203" i="24"/>
  <c r="D3" i="23"/>
  <c r="F666" i="17"/>
  <c r="B670"/>
  <c r="G673"/>
  <c r="C677"/>
  <c r="G84" i="24"/>
  <c r="B79"/>
  <c r="B80"/>
  <c r="F163"/>
  <c r="G100"/>
  <c r="D569" i="17"/>
  <c r="G108" i="24"/>
  <c r="C570" i="17"/>
  <c r="B124" i="24"/>
  <c r="B571" i="17"/>
  <c r="B140" i="24"/>
  <c r="A572" i="17"/>
  <c r="B156" i="24"/>
  <c r="I572" i="17"/>
  <c r="B172" i="24"/>
  <c r="H573" i="17"/>
  <c r="B188" i="24"/>
  <c r="B87"/>
  <c r="B88"/>
  <c r="F187"/>
  <c r="B220"/>
  <c r="E576" i="17"/>
  <c r="G6" i="25"/>
  <c r="D577" i="17"/>
  <c r="H27" i="25"/>
  <c r="C578" i="17"/>
  <c r="F49" i="25"/>
  <c r="B579" i="17"/>
  <c r="G70" i="25"/>
  <c r="A580" i="17"/>
  <c r="H91" i="25"/>
  <c r="I580" i="17"/>
  <c r="F113" i="25"/>
  <c r="B95" i="24"/>
  <c r="B96"/>
  <c r="F219"/>
  <c r="H6" i="22"/>
  <c r="F583" i="17"/>
  <c r="H14" i="22"/>
  <c r="E584" i="17"/>
  <c r="G8" i="23"/>
  <c r="D585" i="17"/>
  <c r="G16" i="23"/>
  <c r="C586" i="17"/>
  <c r="G24" i="23"/>
  <c r="B587" i="17"/>
  <c r="G32" i="23"/>
  <c r="A588" i="17"/>
  <c r="G40" i="23"/>
  <c r="B39" i="24"/>
  <c r="B40"/>
  <c r="F123"/>
  <c r="H35" i="23"/>
  <c r="B225" i="20"/>
  <c r="H43" i="23"/>
  <c r="B233" i="20"/>
  <c r="H51" i="23"/>
  <c r="B241" i="20"/>
  <c r="H59" i="23"/>
  <c r="B249" i="20"/>
  <c r="H67" i="23"/>
  <c r="B257" i="20"/>
  <c r="H75" i="23"/>
  <c r="B265" i="20"/>
  <c r="H83" i="23"/>
  <c r="B47" i="24"/>
  <c r="B48"/>
  <c r="F131"/>
  <c r="H99" i="23"/>
  <c r="B289" i="20"/>
  <c r="H107" i="23"/>
  <c r="B4" i="21"/>
  <c r="H115" i="23"/>
  <c r="F14"/>
  <c r="H123"/>
  <c r="I951" i="17"/>
  <c r="D822"/>
  <c r="B824"/>
  <c r="F695"/>
  <c r="E318"/>
  <c r="E151"/>
  <c r="H62"/>
  <c r="G95" i="7"/>
  <c r="R241" i="6"/>
  <c r="D152" i="17"/>
  <c r="D66"/>
  <c r="G96" i="7"/>
  <c r="A971" i="17"/>
  <c r="C25"/>
  <c r="F141" i="13"/>
  <c r="D398" i="6"/>
  <c r="C1012" i="17"/>
  <c r="F603"/>
  <c r="D605"/>
  <c r="F759"/>
  <c r="E382"/>
  <c r="B217"/>
  <c r="F76" i="12"/>
  <c r="G167" i="7"/>
  <c r="N270" i="6"/>
  <c r="D218" i="17"/>
  <c r="F77" i="12"/>
  <c r="G168" i="7"/>
  <c r="G28" i="25"/>
  <c r="C89" i="17"/>
  <c r="C218" i="13"/>
  <c r="G25" i="7"/>
  <c r="F44" i="20"/>
  <c r="D653" i="17"/>
  <c r="B655"/>
  <c r="G766"/>
  <c r="F389"/>
  <c r="F226"/>
  <c r="F84" i="12"/>
  <c r="G175" i="7"/>
  <c r="R273" i="6"/>
  <c r="H227" i="17"/>
  <c r="F85" i="12"/>
  <c r="G176" i="7"/>
  <c r="A254" i="23"/>
  <c r="C204" i="24"/>
  <c r="C172"/>
  <c r="G26" i="25"/>
  <c r="C27" i="23"/>
  <c r="B669" i="17"/>
  <c r="G672"/>
  <c r="C676"/>
  <c r="H679"/>
  <c r="F105" i="24"/>
  <c r="A177"/>
  <c r="A179"/>
  <c r="D52" i="25"/>
  <c r="A134" i="24"/>
  <c r="C626" i="17"/>
  <c r="A150" i="24"/>
  <c r="B627" i="17"/>
  <c r="A166" i="24"/>
  <c r="A628" i="17"/>
  <c r="A182" i="24"/>
  <c r="I628" i="17"/>
  <c r="A198" i="24"/>
  <c r="H629" i="17"/>
  <c r="A214" i="24"/>
  <c r="G630" i="17"/>
  <c r="A230" i="24"/>
  <c r="A193"/>
  <c r="A195"/>
  <c r="G1" i="28"/>
  <c r="H40" i="25"/>
  <c r="D633" i="17"/>
  <c r="F62" i="25"/>
  <c r="C634" i="17"/>
  <c r="G83" i="25"/>
  <c r="B635" i="17"/>
  <c r="H104" i="25"/>
  <c r="A636" i="17"/>
  <c r="D33" i="28"/>
  <c r="I636" i="17"/>
  <c r="F116" i="24"/>
  <c r="H637" i="17"/>
  <c r="F124" i="24"/>
  <c r="A209"/>
  <c r="A211"/>
  <c r="D156"/>
  <c r="F140"/>
  <c r="E640" i="17"/>
  <c r="F148" i="24"/>
  <c r="D641" i="17"/>
  <c r="F156" i="24"/>
  <c r="C642" i="17"/>
  <c r="F164" i="24"/>
  <c r="B643" i="17"/>
  <c r="F188" i="24"/>
  <c r="A644" i="17"/>
  <c r="F220" i="24"/>
  <c r="I644" i="17"/>
  <c r="E21" i="25"/>
  <c r="B103" i="24"/>
  <c r="B104"/>
  <c r="E20" i="25"/>
  <c r="G56" i="23"/>
  <c r="G590" i="17"/>
  <c r="G64" i="23"/>
  <c r="F591" i="17"/>
  <c r="G72" i="23"/>
  <c r="E592" i="17"/>
  <c r="G80" i="23"/>
  <c r="D593" i="17"/>
  <c r="G88" i="23"/>
  <c r="C594" i="17"/>
  <c r="G96" i="23"/>
  <c r="B595" i="17"/>
  <c r="G104" i="23"/>
  <c r="A113" i="24"/>
  <c r="A115"/>
  <c r="E52" i="25"/>
  <c r="G120" i="23"/>
  <c r="H597" i="17"/>
  <c r="G128" i="23"/>
  <c r="G598" i="17"/>
  <c r="G136" i="23"/>
  <c r="F599" i="17"/>
  <c r="G144" i="23"/>
  <c r="D955" i="17"/>
  <c r="E596"/>
  <c r="C598"/>
  <c r="E752"/>
  <c r="D375"/>
  <c r="D208"/>
  <c r="F68" i="12"/>
  <c r="G159" i="7"/>
  <c r="J267" i="6"/>
  <c r="C209" i="17"/>
  <c r="F69" i="12"/>
  <c r="G160" i="7"/>
  <c r="A169" i="24"/>
  <c r="B82" i="17"/>
  <c r="F205" i="13"/>
  <c r="G17" i="7"/>
  <c r="F2" i="19"/>
  <c r="B831" i="17"/>
  <c r="I832"/>
  <c r="E816"/>
  <c r="D439"/>
  <c r="H488"/>
  <c r="F140" i="12"/>
  <c r="G231" i="7"/>
  <c r="F296" i="6"/>
  <c r="I495" i="17"/>
  <c r="F141" i="12"/>
  <c r="G232" i="7"/>
  <c r="N296" i="6"/>
  <c r="B146" i="17"/>
  <c r="E41"/>
  <c r="G89" i="7"/>
  <c r="E46" i="20"/>
  <c r="I880" i="17"/>
  <c r="G882"/>
  <c r="F823"/>
  <c r="E446"/>
  <c r="G545"/>
  <c r="F148" i="12"/>
  <c r="G239" i="7"/>
  <c r="J299" i="6"/>
  <c r="H552" i="17"/>
  <c r="F149" i="12"/>
  <c r="G240" i="7"/>
  <c r="R299" i="6"/>
  <c r="F180" i="46"/>
  <c r="G252" i="23"/>
  <c r="H92" i="25"/>
  <c r="A71" i="24"/>
  <c r="D90" i="23"/>
  <c r="D106"/>
  <c r="D122"/>
  <c r="D138"/>
  <c r="D144"/>
  <c r="G34" i="25"/>
  <c r="F37"/>
  <c r="G143" i="23"/>
  <c r="D152"/>
  <c r="D682" i="17"/>
  <c r="D154" i="23"/>
  <c r="C683" i="17"/>
  <c r="D160" i="23"/>
  <c r="B684" i="17"/>
  <c r="D162" i="23"/>
  <c r="A685" i="17"/>
  <c r="D168" i="23"/>
  <c r="I685" i="17"/>
  <c r="D170" i="23"/>
  <c r="H686" i="17"/>
  <c r="D176" i="23"/>
  <c r="H55" i="25"/>
  <c r="G58"/>
  <c r="G151" i="23"/>
  <c r="D184"/>
  <c r="E689" i="17"/>
  <c r="D186" i="23"/>
  <c r="D690" i="17"/>
  <c r="D192" i="23"/>
  <c r="C691" i="17"/>
  <c r="D194" i="23"/>
  <c r="B692" i="17"/>
  <c r="D200" i="23"/>
  <c r="A693" i="17"/>
  <c r="D202" i="23"/>
  <c r="I693" i="17"/>
  <c r="D208" i="23"/>
  <c r="F77" i="25"/>
  <c r="H79"/>
  <c r="G159" i="23"/>
  <c r="D216"/>
  <c r="F696" i="17"/>
  <c r="D218" i="23"/>
  <c r="E697" i="17"/>
  <c r="D224" i="23"/>
  <c r="D698" i="17"/>
  <c r="D226" i="23"/>
  <c r="C699" i="17"/>
  <c r="D232" i="23"/>
  <c r="B700" i="17"/>
  <c r="D234" i="23"/>
  <c r="A701" i="17"/>
  <c r="D240" i="23"/>
  <c r="B177" i="24"/>
  <c r="B179"/>
  <c r="G103" i="23"/>
  <c r="E6" i="22"/>
  <c r="H646" i="17"/>
  <c r="E8" i="22"/>
  <c r="G647" i="17"/>
  <c r="E14" i="22"/>
  <c r="F648" i="17"/>
  <c r="D2" i="23"/>
  <c r="E649" i="17"/>
  <c r="D8" i="23"/>
  <c r="D650" i="17"/>
  <c r="D10" i="23"/>
  <c r="C651" i="17"/>
  <c r="D16" i="23"/>
  <c r="B193" i="24"/>
  <c r="B195"/>
  <c r="G111" i="23"/>
  <c r="D24"/>
  <c r="I653" i="17"/>
  <c r="D26" i="23"/>
  <c r="H654" i="17"/>
  <c r="D32" i="23"/>
  <c r="G655" i="17"/>
  <c r="D34" i="23"/>
  <c r="E828" i="17"/>
  <c r="I450"/>
  <c r="G452"/>
  <c r="F808"/>
  <c r="G39" i="20"/>
  <c r="H432" i="17"/>
  <c r="G155" i="12"/>
  <c r="H224" i="7"/>
  <c r="G47" i="20"/>
  <c r="I439" i="17"/>
  <c r="G156" i="12"/>
  <c r="H225" i="7"/>
  <c r="H845" i="17"/>
  <c r="B139"/>
  <c r="D212" i="13"/>
  <c r="H82" i="7"/>
  <c r="A887" i="17"/>
  <c r="F268"/>
  <c r="D270"/>
  <c r="F872"/>
  <c r="F107" i="20"/>
  <c r="E1" i="15"/>
  <c r="G227" i="12"/>
  <c r="G4" i="8"/>
  <c r="F115" i="20"/>
  <c r="D2" i="15"/>
  <c r="G228" i="12"/>
  <c r="G5" i="8"/>
  <c r="A7" i="19"/>
  <c r="B203" i="17"/>
  <c r="A56"/>
  <c r="H154" i="7"/>
  <c r="D974" i="17"/>
  <c r="D318"/>
  <c r="B320"/>
  <c r="G879"/>
  <c r="F171" i="20"/>
  <c r="D9" i="15"/>
  <c r="G235" i="12"/>
  <c r="G12" i="8"/>
  <c r="F179" i="20"/>
  <c r="D10" i="15"/>
  <c r="G236" i="12"/>
  <c r="G13" i="8"/>
  <c r="H51" i="20"/>
  <c r="C105" i="25"/>
  <c r="C94" i="24"/>
  <c r="H33"/>
  <c r="G118"/>
  <c r="H291" i="17"/>
  <c r="D295"/>
  <c r="I298"/>
  <c r="E302"/>
  <c r="B181" i="24"/>
  <c r="C14" i="23"/>
  <c r="C15"/>
  <c r="G207"/>
  <c r="B197" i="24"/>
  <c r="C739" i="17"/>
  <c r="B201" i="24"/>
  <c r="B740" i="17"/>
  <c r="B213" i="24"/>
  <c r="A741" i="17"/>
  <c r="B217" i="24"/>
  <c r="I741" i="17"/>
  <c r="B229" i="24"/>
  <c r="H742" i="17"/>
  <c r="G2" i="25"/>
  <c r="G743" i="17"/>
  <c r="G18" i="25"/>
  <c r="C22" i="23"/>
  <c r="C23"/>
  <c r="G215"/>
  <c r="H39" i="25"/>
  <c r="D746" i="17"/>
  <c r="F45" i="25"/>
  <c r="C747" i="17"/>
  <c r="F61" i="25"/>
  <c r="B748" i="17"/>
  <c r="G66" i="25"/>
  <c r="A749" i="17"/>
  <c r="G82" i="25"/>
  <c r="I749" i="17"/>
  <c r="H87" i="25"/>
  <c r="H750" i="17"/>
  <c r="H103" i="25"/>
  <c r="C30" i="23"/>
  <c r="C31"/>
  <c r="G223"/>
  <c r="E3" i="21"/>
  <c r="E753" i="17"/>
  <c r="E5" i="21"/>
  <c r="D754" i="17"/>
  <c r="D6" i="22"/>
  <c r="C755" i="17"/>
  <c r="D8" i="22"/>
  <c r="B756" i="17"/>
  <c r="D14" i="22"/>
  <c r="A757" i="17"/>
  <c r="C2" i="23"/>
  <c r="I757" i="17"/>
  <c r="C8" i="23"/>
  <c r="G98" i="25"/>
  <c r="F101"/>
  <c r="G167" i="23"/>
  <c r="D248"/>
  <c r="G703" i="17"/>
  <c r="D250" i="23"/>
  <c r="F704" i="17"/>
  <c r="D1" i="24"/>
  <c r="E705" i="17"/>
  <c r="C3" i="24"/>
  <c r="D706" i="17"/>
  <c r="C9" i="24"/>
  <c r="C707" i="17"/>
  <c r="C11" i="24"/>
  <c r="B708" i="17"/>
  <c r="C17" i="24"/>
  <c r="D25" i="28"/>
  <c r="E2" i="21"/>
  <c r="G175" i="23"/>
  <c r="C25" i="24"/>
  <c r="H710" i="17"/>
  <c r="C27" i="24"/>
  <c r="G711" i="17"/>
  <c r="C33" i="24"/>
  <c r="F712" i="17"/>
  <c r="C35" i="24"/>
  <c r="B830" i="17"/>
  <c r="E261"/>
  <c r="C263"/>
  <c r="E865"/>
  <c r="F43" i="20"/>
  <c r="E9" i="14"/>
  <c r="G219" i="12"/>
  <c r="H288" i="7"/>
  <c r="F51" i="20"/>
  <c r="E10" i="14"/>
  <c r="G220" i="12"/>
  <c r="H289" i="7"/>
  <c r="B130" i="23"/>
  <c r="A196" i="17"/>
  <c r="F27"/>
  <c r="H146" i="7"/>
  <c r="F889" i="17"/>
  <c r="B496"/>
  <c r="I497"/>
  <c r="A936"/>
  <c r="E109" i="20"/>
  <c r="C35" i="16"/>
  <c r="F35" i="13"/>
  <c r="C1" i="11"/>
  <c r="E117" i="20"/>
  <c r="C36" i="16"/>
  <c r="F36" i="13"/>
  <c r="B3" i="11"/>
  <c r="H11" i="19"/>
  <c r="B390" i="17"/>
  <c r="G149" i="12"/>
  <c r="H218" i="7"/>
  <c r="D981" i="17"/>
  <c r="I545"/>
  <c r="G547"/>
  <c r="H954"/>
  <c r="E173" i="20"/>
  <c r="C43" i="16"/>
  <c r="F43" i="13"/>
  <c r="T358" i="6"/>
  <c r="E181" i="20"/>
  <c r="C44" i="16"/>
  <c r="F44" i="13"/>
  <c r="H359" i="6"/>
  <c r="G55" i="20"/>
  <c r="E187" i="46"/>
  <c r="G251" i="23"/>
  <c r="G62" i="24"/>
  <c r="B176"/>
  <c r="I329" i="17"/>
  <c r="E333"/>
  <c r="A337"/>
  <c r="F340"/>
  <c r="C168" i="23"/>
  <c r="C78"/>
  <c r="C79"/>
  <c r="F16" i="24"/>
  <c r="C176" i="23"/>
  <c r="B796" i="17"/>
  <c r="C178" i="23"/>
  <c r="A797" i="17"/>
  <c r="C184" i="23"/>
  <c r="I797" i="17"/>
  <c r="C186" i="23"/>
  <c r="H798" i="17"/>
  <c r="C192" i="23"/>
  <c r="G799" i="17"/>
  <c r="C194" i="23"/>
  <c r="F800" i="17"/>
  <c r="C200" i="23"/>
  <c r="C86"/>
  <c r="C87"/>
  <c r="F24" i="24"/>
  <c r="C208" i="23"/>
  <c r="C803" i="17"/>
  <c r="C210" i="23"/>
  <c r="B804" i="17"/>
  <c r="C216" i="23"/>
  <c r="A805" i="17"/>
  <c r="C218" i="23"/>
  <c r="I805" i="17"/>
  <c r="C224" i="23"/>
  <c r="H806" i="17"/>
  <c r="C226" i="23"/>
  <c r="G807" i="17"/>
  <c r="C232" i="23"/>
  <c r="C94"/>
  <c r="C95"/>
  <c r="F32" i="24"/>
  <c r="C240" i="23"/>
  <c r="D810" i="17"/>
  <c r="C242" i="23"/>
  <c r="C811" i="17"/>
  <c r="C248" i="23"/>
  <c r="B812" i="17"/>
  <c r="C250" i="23"/>
  <c r="A813" i="17"/>
  <c r="C1" i="24"/>
  <c r="I813" i="17"/>
  <c r="B3" i="24"/>
  <c r="H814" i="17"/>
  <c r="B9" i="24"/>
  <c r="C38" i="23"/>
  <c r="C39"/>
  <c r="G231"/>
  <c r="C16"/>
  <c r="F760" i="17"/>
  <c r="C18" i="23"/>
  <c r="E761" i="17"/>
  <c r="C24" i="23"/>
  <c r="D762" i="17"/>
  <c r="C26" i="23"/>
  <c r="C763" i="17"/>
  <c r="C32" i="23"/>
  <c r="B764" i="17"/>
  <c r="C34" i="23"/>
  <c r="A765" i="17"/>
  <c r="C40" i="23"/>
  <c r="C46"/>
  <c r="C47"/>
  <c r="G239"/>
  <c r="C48"/>
  <c r="G767" i="17"/>
  <c r="C50" i="23"/>
  <c r="F768" i="17"/>
  <c r="C56" i="23"/>
  <c r="E769" i="17"/>
  <c r="C58" i="23"/>
  <c r="G832" i="17"/>
  <c r="A489"/>
  <c r="H490"/>
  <c r="D922"/>
  <c r="E45" i="20"/>
  <c r="C27" i="16"/>
  <c r="F27" i="13"/>
  <c r="F40" i="9"/>
  <c r="E53" i="20"/>
  <c r="C28" i="16"/>
  <c r="F28" i="13"/>
  <c r="F1" i="10"/>
  <c r="C965" i="17"/>
  <c r="C333"/>
  <c r="G141" i="12"/>
  <c r="H210" i="7"/>
  <c r="F888" i="17"/>
  <c r="D269"/>
  <c r="G387"/>
  <c r="C391"/>
  <c r="H394"/>
  <c r="I341" i="46"/>
  <c r="H32" i="28"/>
  <c r="F69" i="24"/>
  <c r="G115" i="25"/>
  <c r="E5"/>
  <c r="D445" i="17"/>
  <c r="I448"/>
  <c r="E452"/>
  <c r="A355" i="46"/>
  <c r="F4" i="28"/>
  <c r="A158" i="24"/>
  <c r="F172"/>
  <c r="F117"/>
  <c r="A48" i="23"/>
  <c r="A49"/>
  <c r="A50"/>
  <c r="C126"/>
  <c r="C127"/>
  <c r="F64" i="24"/>
  <c r="A117"/>
  <c r="H838" i="17"/>
  <c r="A121" i="24"/>
  <c r="G839" i="17"/>
  <c r="A133" i="24"/>
  <c r="F840" i="17"/>
  <c r="A137" i="24"/>
  <c r="E841" i="17"/>
  <c r="A149" i="24"/>
  <c r="D842" i="17"/>
  <c r="A153" i="24"/>
  <c r="C843" i="17"/>
  <c r="A165" i="24"/>
  <c r="C134" i="23"/>
  <c r="C135"/>
  <c r="F72" i="24"/>
  <c r="A181"/>
  <c r="I845" i="17"/>
  <c r="A185" i="24"/>
  <c r="H846" i="17"/>
  <c r="A197" i="24"/>
  <c r="G847" i="17"/>
  <c r="A201" i="24"/>
  <c r="F848" i="17"/>
  <c r="A213" i="24"/>
  <c r="E849" i="17"/>
  <c r="A217" i="24"/>
  <c r="D850" i="17"/>
  <c r="E185" i="46"/>
  <c r="C82"/>
  <c r="H208"/>
  <c r="D89"/>
  <c r="G265"/>
  <c r="E96"/>
  <c r="D23" i="38"/>
  <c r="F103" i="46"/>
  <c r="F3" i="44"/>
  <c r="G110" i="46"/>
  <c r="B15" i="44"/>
  <c r="I60" i="46"/>
  <c r="C171"/>
  <c r="E8" i="25"/>
  <c r="C222" i="20"/>
  <c r="A104" i="24"/>
  <c r="A105"/>
  <c r="G13"/>
  <c r="G12" i="25"/>
  <c r="F15"/>
  <c r="H17"/>
  <c r="F98" i="24"/>
  <c r="A32" i="23"/>
  <c r="A33"/>
  <c r="A34"/>
  <c r="A216" i="24"/>
  <c r="A40" i="23"/>
  <c r="A41"/>
  <c r="A42"/>
  <c r="C67" i="46"/>
  <c r="A112" i="23"/>
  <c r="A113"/>
  <c r="A114"/>
  <c r="C190"/>
  <c r="C191"/>
  <c r="A148" i="24"/>
  <c r="H200"/>
  <c r="G895" i="17"/>
  <c r="H204" i="24"/>
  <c r="F896" i="17"/>
  <c r="H216" i="24"/>
  <c r="E897" i="17"/>
  <c r="H220" i="24"/>
  <c r="D898" i="17"/>
  <c r="H1" i="25"/>
  <c r="C899" i="17"/>
  <c r="F7" i="25"/>
  <c r="B900" i="17"/>
  <c r="F23" i="25"/>
  <c r="C198" i="23"/>
  <c r="C199"/>
  <c r="A164" i="24"/>
  <c r="G44" i="25"/>
  <c r="H902" i="17"/>
  <c r="H49" i="25"/>
  <c r="G903" i="17"/>
  <c r="H65" i="25"/>
  <c r="F904" i="17"/>
  <c r="F71" i="25"/>
  <c r="E905" i="17"/>
  <c r="F87" i="25"/>
  <c r="D906" i="17"/>
  <c r="G92" i="25"/>
  <c r="C907" i="17"/>
  <c r="G14" i="46"/>
  <c r="B139"/>
  <c r="H21"/>
  <c r="C146"/>
  <c r="I28"/>
  <c r="D153"/>
  <c r="A36"/>
  <c r="E160"/>
  <c r="B43"/>
  <c r="F167"/>
  <c r="C50"/>
  <c r="H117"/>
  <c r="D42" i="44"/>
  <c r="C9" i="25"/>
  <c r="C286" i="20"/>
  <c r="H226" i="24"/>
  <c r="H228"/>
  <c r="F34"/>
  <c r="A24" i="23"/>
  <c r="A25"/>
  <c r="A26"/>
  <c r="A41" i="46"/>
  <c r="A96" i="23"/>
  <c r="A97"/>
  <c r="A98"/>
  <c r="G57" i="46"/>
  <c r="A104" i="23"/>
  <c r="A105"/>
  <c r="A106"/>
  <c r="B6" i="29"/>
  <c r="A176" i="23"/>
  <c r="A177"/>
  <c r="A178"/>
  <c r="C254"/>
  <c r="C255"/>
  <c r="G59" i="25"/>
  <c r="A198" i="23"/>
  <c r="E997" i="17"/>
  <c r="A206" i="23"/>
  <c r="A1000" i="17"/>
  <c r="A214" i="23"/>
  <c r="A1002" i="17"/>
  <c r="A222" i="23"/>
  <c r="F1004" i="17"/>
  <c r="A230" i="23"/>
  <c r="B1007" i="17"/>
  <c r="A238" i="23"/>
  <c r="B1009" i="17"/>
  <c r="A246" i="23"/>
  <c r="B7" i="24"/>
  <c r="B8"/>
  <c r="H80" i="25"/>
  <c r="H7" i="24"/>
  <c r="B4" i="19"/>
  <c r="H15" i="24"/>
  <c r="B8" i="19"/>
  <c r="H23" i="24"/>
  <c r="B12" i="19"/>
  <c r="H31" i="24"/>
  <c r="B16" i="19"/>
  <c r="H39" i="24"/>
  <c r="B20" i="19"/>
  <c r="H47" i="24"/>
  <c r="B9" i="20"/>
  <c r="E80" i="25"/>
  <c r="H238" i="46"/>
  <c r="E88" i="25"/>
  <c r="G295" i="46"/>
  <c r="E96" i="25"/>
  <c r="F352" i="46"/>
  <c r="E104" i="25"/>
  <c r="E409" i="46"/>
  <c r="E112" i="25"/>
  <c r="A252" i="46"/>
  <c r="B12" i="28"/>
  <c r="I83" i="46"/>
  <c r="E64" i="25"/>
  <c r="E15"/>
  <c r="D70" i="24"/>
  <c r="A17" i="23"/>
  <c r="A18"/>
  <c r="D14" i="37"/>
  <c r="A88" i="23"/>
  <c r="A89"/>
  <c r="A90"/>
  <c r="D3" i="25"/>
  <c r="A160" i="23"/>
  <c r="A161"/>
  <c r="A162"/>
  <c r="D67" i="25"/>
  <c r="A168" i="23"/>
  <c r="A169"/>
  <c r="A170"/>
  <c r="C5" i="29"/>
  <c r="A240" i="23"/>
  <c r="A241"/>
  <c r="A242"/>
  <c r="B63" i="24"/>
  <c r="B64"/>
  <c r="F147"/>
  <c r="H227" i="23"/>
  <c r="B555" i="17"/>
  <c r="H235" i="23"/>
  <c r="A556" i="17"/>
  <c r="H243" i="23"/>
  <c r="I556" i="17"/>
  <c r="H251" i="23"/>
  <c r="H557" i="17"/>
  <c r="G4" i="24"/>
  <c r="G558" i="17"/>
  <c r="G12" i="24"/>
  <c r="F559" i="17"/>
  <c r="G20" i="24"/>
  <c r="B71"/>
  <c r="B72"/>
  <c r="F155"/>
  <c r="G36"/>
  <c r="C562" i="17"/>
  <c r="G44" i="24"/>
  <c r="B563" i="17"/>
  <c r="G52" i="24"/>
  <c r="A564" i="17"/>
  <c r="G60" i="24"/>
  <c r="I564" i="17"/>
  <c r="G68" i="24"/>
  <c r="H565" i="17"/>
  <c r="G76" i="24"/>
  <c r="G566" i="17"/>
  <c r="C126" i="24"/>
  <c r="A183" i="23"/>
  <c r="A15" i="37"/>
  <c r="A191" i="23"/>
  <c r="A23" i="37"/>
  <c r="A199" i="23"/>
  <c r="H3" i="38"/>
  <c r="A207" i="23"/>
  <c r="A12" i="38"/>
  <c r="A215" i="23"/>
  <c r="B22" i="38"/>
  <c r="A223" i="23"/>
  <c r="C128" i="46"/>
  <c r="A167" i="23"/>
  <c r="G39" i="24"/>
  <c r="B114"/>
  <c r="H111" i="23"/>
  <c r="E169" i="24"/>
  <c r="H181" i="23"/>
  <c r="H182"/>
  <c r="H183"/>
  <c r="B2" i="25"/>
  <c r="H253" i="23"/>
  <c r="H254"/>
  <c r="H255"/>
  <c r="B66" i="25"/>
  <c r="G6" i="24"/>
  <c r="G7"/>
  <c r="G8"/>
  <c r="C8" i="32"/>
  <c r="G78" i="24"/>
  <c r="G79"/>
  <c r="G80"/>
  <c r="F128"/>
  <c r="A211" i="23"/>
  <c r="A220"/>
  <c r="C34" i="20"/>
  <c r="A70"/>
  <c r="A273" i="17"/>
  <c r="A71" i="20"/>
  <c r="I273" i="17"/>
  <c r="A72" i="20"/>
  <c r="H274" i="17"/>
  <c r="A73" i="20"/>
  <c r="G275" i="17"/>
  <c r="A74" i="20"/>
  <c r="F276" i="17"/>
  <c r="A75" i="20"/>
  <c r="E277" i="17"/>
  <c r="F136" i="24"/>
  <c r="A219" i="23"/>
  <c r="A228"/>
  <c r="C42" i="20"/>
  <c r="A78"/>
  <c r="B280" i="17"/>
  <c r="A79" i="20"/>
  <c r="A281" i="17"/>
  <c r="A80" i="20"/>
  <c r="I281" i="17"/>
  <c r="A81" i="20"/>
  <c r="H282" i="17"/>
  <c r="A82" i="20"/>
  <c r="G283" i="17"/>
  <c r="A83" i="20"/>
  <c r="D174" i="46"/>
  <c r="I145"/>
  <c r="D9" i="29"/>
  <c r="A9" i="44"/>
  <c r="E246" i="20"/>
  <c r="E250"/>
  <c r="E254"/>
  <c r="E258"/>
  <c r="F918" i="17"/>
  <c r="F45" i="24"/>
  <c r="A163" i="23"/>
  <c r="G166" i="46"/>
  <c r="H12"/>
  <c r="A22" i="20"/>
  <c r="C935" i="17"/>
  <c r="A23" i="20"/>
  <c r="I944" i="17"/>
  <c r="A24" i="20"/>
  <c r="A954" i="17"/>
  <c r="A25" i="20"/>
  <c r="G963" i="17"/>
  <c r="A26" i="20"/>
  <c r="D973" i="17"/>
  <c r="A27" i="20"/>
  <c r="E982" i="17"/>
  <c r="F53" i="24"/>
  <c r="A171" i="23"/>
  <c r="G5" i="46"/>
  <c r="G69"/>
  <c r="A30" i="20"/>
  <c r="I1010" i="17"/>
  <c r="A31" i="20"/>
  <c r="B15" i="19"/>
  <c r="A32" i="20"/>
  <c r="B23"/>
  <c r="A33"/>
  <c r="B55"/>
  <c r="A34"/>
  <c r="B87"/>
  <c r="A35"/>
  <c r="B119"/>
  <c r="A110" i="24"/>
  <c r="A179" i="23"/>
  <c r="F62" i="46"/>
  <c r="C2" i="20"/>
  <c r="A38"/>
  <c r="B215"/>
  <c r="A39"/>
  <c r="B247"/>
  <c r="A40"/>
  <c r="B279"/>
  <c r="A41"/>
  <c r="F198" i="23"/>
  <c r="A42" i="20"/>
  <c r="B248" i="17"/>
  <c r="A43" i="20"/>
  <c r="A249" i="17"/>
  <c r="G116" i="23"/>
  <c r="A123"/>
  <c r="I109" i="46"/>
  <c r="I173"/>
  <c r="B232" i="20"/>
  <c r="A787" i="17"/>
  <c r="B240" i="20"/>
  <c r="F790" i="17"/>
  <c r="B248" i="20"/>
  <c r="B794" i="17"/>
  <c r="B256" i="20"/>
  <c r="G797" i="17"/>
  <c r="B264" i="20"/>
  <c r="C801" i="17"/>
  <c r="B272" i="20"/>
  <c r="H804" i="17"/>
  <c r="G172" i="23"/>
  <c r="A131"/>
  <c r="H166" i="46"/>
  <c r="B3"/>
  <c r="B2" i="21"/>
  <c r="E815" i="17"/>
  <c r="F10" i="23"/>
  <c r="A819" i="17"/>
  <c r="F42" i="23"/>
  <c r="F822" i="17"/>
  <c r="G151" i="24"/>
  <c r="C827" i="17"/>
  <c r="A829"/>
  <c r="A164" i="20"/>
  <c r="F356" i="17"/>
  <c r="C152"/>
  <c r="H90" i="16"/>
  <c r="F94" i="7"/>
  <c r="E254" i="6"/>
  <c r="B153" i="17"/>
  <c r="H94" i="16"/>
  <c r="F95" i="7"/>
  <c r="M254" i="6"/>
  <c r="A26" i="17"/>
  <c r="E118" i="13"/>
  <c r="O397" i="6"/>
  <c r="E4" i="21"/>
  <c r="F607" i="17"/>
  <c r="D609"/>
  <c r="A236" i="20"/>
  <c r="F420" i="17"/>
  <c r="C218"/>
  <c r="E136" i="12"/>
  <c r="F166" i="7"/>
  <c r="A283" i="6"/>
  <c r="D219" i="17"/>
  <c r="E137" i="12"/>
  <c r="F167" i="7"/>
  <c r="I283" i="6"/>
  <c r="A90" i="17"/>
  <c r="E190" i="13"/>
  <c r="F24" i="7"/>
  <c r="C49" i="23"/>
  <c r="D657" i="17"/>
  <c r="B659"/>
  <c r="A244" i="20"/>
  <c r="G427" i="17"/>
  <c r="G227"/>
  <c r="E144" i="12"/>
  <c r="F174" i="7"/>
  <c r="E286" i="6"/>
  <c r="I228" i="17"/>
  <c r="E145" i="12"/>
  <c r="F175" i="7"/>
  <c r="M286" i="6"/>
  <c r="C90" i="25"/>
  <c r="C58"/>
  <c r="A8" i="33"/>
  <c r="C144" i="46"/>
  <c r="D247" i="20"/>
  <c r="D251"/>
  <c r="D255"/>
  <c r="D259"/>
  <c r="F284" i="17"/>
  <c r="E37" i="25"/>
  <c r="A227" i="23"/>
  <c r="A236"/>
  <c r="C50" i="20"/>
  <c r="A86"/>
  <c r="C287" i="17"/>
  <c r="A87" i="20"/>
  <c r="B288" i="17"/>
  <c r="A88" i="20"/>
  <c r="A289" i="17"/>
  <c r="A89" i="20"/>
  <c r="I289" i="17"/>
  <c r="A90" i="20"/>
  <c r="H290" i="17"/>
  <c r="A91" i="20"/>
  <c r="G291" i="17"/>
  <c r="E92" i="25"/>
  <c r="A235" i="23"/>
  <c r="A244"/>
  <c r="C58" i="20"/>
  <c r="A94"/>
  <c r="D294" i="17"/>
  <c r="A95" i="20"/>
  <c r="C295" i="17"/>
  <c r="A96" i="20"/>
  <c r="B296" i="17"/>
  <c r="A97" i="20"/>
  <c r="A297" i="17"/>
  <c r="A98" i="20"/>
  <c r="I297" i="17"/>
  <c r="A99" i="20"/>
  <c r="H298" i="17"/>
  <c r="C29" i="25"/>
  <c r="A243" i="23"/>
  <c r="A252"/>
  <c r="C66" i="20"/>
  <c r="A102"/>
  <c r="E301" i="17"/>
  <c r="A103" i="20"/>
  <c r="D302" i="17"/>
  <c r="A104" i="20"/>
  <c r="C303" i="17"/>
  <c r="A105" i="20"/>
  <c r="B304" i="17"/>
  <c r="A106" i="20"/>
  <c r="A305" i="17"/>
  <c r="A107" i="20"/>
  <c r="I305" i="17"/>
  <c r="A126" i="24"/>
  <c r="A187" i="23"/>
  <c r="A196"/>
  <c r="C10" i="20"/>
  <c r="A46"/>
  <c r="G251" i="17"/>
  <c r="A47" i="20"/>
  <c r="F252" i="17"/>
  <c r="A48" i="20"/>
  <c r="E253" i="17"/>
  <c r="A49" i="20"/>
  <c r="D254" i="17"/>
  <c r="A50" i="20"/>
  <c r="C255" i="17"/>
  <c r="A51" i="20"/>
  <c r="B256" i="17"/>
  <c r="H8" i="25"/>
  <c r="A195" i="23"/>
  <c r="A204"/>
  <c r="C18" i="20"/>
  <c r="A54"/>
  <c r="C602" i="17"/>
  <c r="E129" i="12"/>
  <c r="I836" i="17"/>
  <c r="E201" i="12"/>
  <c r="G886" i="17"/>
  <c r="E209" i="12"/>
  <c r="G671" i="17"/>
  <c r="B683"/>
  <c r="G686"/>
  <c r="C690"/>
  <c r="H693"/>
  <c r="D697"/>
  <c r="I700"/>
  <c r="F647"/>
  <c r="B651"/>
  <c r="G654"/>
  <c r="H825"/>
  <c r="F133" i="12"/>
  <c r="A607" i="17"/>
  <c r="F205" i="12"/>
  <c r="H656" i="17"/>
  <c r="F213" i="12"/>
  <c r="E672" i="17"/>
  <c r="A740"/>
  <c r="F743"/>
  <c r="B747"/>
  <c r="G750"/>
  <c r="C754"/>
  <c r="H757"/>
  <c r="E704"/>
  <c r="A708"/>
  <c r="F711"/>
  <c r="I599"/>
  <c r="F197" i="12"/>
  <c r="F834" i="17"/>
  <c r="E13" i="13"/>
  <c r="D884" i="17"/>
  <c r="E21" i="13"/>
  <c r="A138" i="20"/>
  <c r="I796" i="17"/>
  <c r="E800"/>
  <c r="A804"/>
  <c r="F807"/>
  <c r="B811"/>
  <c r="G814"/>
  <c r="D761"/>
  <c r="I764"/>
  <c r="E768"/>
  <c r="E827"/>
  <c r="E5" i="13"/>
  <c r="D180" i="20"/>
  <c r="G86"/>
  <c r="A952" i="17"/>
  <c r="I470"/>
  <c r="C199" i="13"/>
  <c r="A8" i="8"/>
  <c r="E415" i="6"/>
  <c r="H471" i="17"/>
  <c r="C200" i="13"/>
  <c r="A9" i="8"/>
  <c r="A416" i="6"/>
  <c r="G344" i="17"/>
  <c r="C57" i="13"/>
  <c r="E279" i="7"/>
  <c r="C247" i="23"/>
  <c r="A174"/>
  <c r="D236" i="20"/>
  <c r="G94"/>
  <c r="B15"/>
  <c r="A478" i="17"/>
  <c r="C207" i="13"/>
  <c r="A16" i="8"/>
  <c r="D16" i="7"/>
  <c r="I478" i="17"/>
  <c r="C208" i="13"/>
  <c r="A17" i="8"/>
  <c r="C19" i="7"/>
  <c r="C84" i="25"/>
  <c r="F1" i="28"/>
  <c r="F12" i="24"/>
  <c r="F92"/>
  <c r="G58"/>
  <c r="H239" i="20"/>
  <c r="G66" i="24"/>
  <c r="H247" i="20"/>
  <c r="I512" i="17"/>
  <c r="H22" i="23"/>
  <c r="G21"/>
  <c r="G30"/>
  <c r="G199" i="24"/>
  <c r="C973" i="17"/>
  <c r="F515"/>
  <c r="B974"/>
  <c r="E516"/>
  <c r="A975"/>
  <c r="D517"/>
  <c r="I975"/>
  <c r="C518"/>
  <c r="H976"/>
  <c r="B519"/>
  <c r="G977"/>
  <c r="A520"/>
  <c r="H30" i="23"/>
  <c r="G29"/>
  <c r="G38"/>
  <c r="G215" i="24"/>
  <c r="D980" i="17"/>
  <c r="G522"/>
  <c r="C981"/>
  <c r="F523"/>
  <c r="B982"/>
  <c r="E524"/>
  <c r="A983"/>
  <c r="D525"/>
  <c r="I983"/>
  <c r="C526"/>
  <c r="H984"/>
  <c r="B527"/>
  <c r="H86" i="23"/>
  <c r="G37"/>
  <c r="G46"/>
  <c r="G231" i="24"/>
  <c r="E987" i="17"/>
  <c r="H529"/>
  <c r="D988"/>
  <c r="G530"/>
  <c r="C989"/>
  <c r="F531"/>
  <c r="B990"/>
  <c r="E532"/>
  <c r="A991"/>
  <c r="D533"/>
  <c r="I991"/>
  <c r="C534"/>
  <c r="H66" i="24"/>
  <c r="C1" i="29"/>
  <c r="H4" i="22"/>
  <c r="G119" i="24"/>
  <c r="G937" i="17"/>
  <c r="A480"/>
  <c r="F938"/>
  <c r="I480"/>
  <c r="E939"/>
  <c r="H481"/>
  <c r="D940"/>
  <c r="G482"/>
  <c r="C941"/>
  <c r="F483"/>
  <c r="B942"/>
  <c r="E484"/>
  <c r="G136" i="24"/>
  <c r="H3" i="22"/>
  <c r="H12"/>
  <c r="G135" i="24"/>
  <c r="H944" i="17"/>
  <c r="B487"/>
  <c r="G945"/>
  <c r="A488"/>
  <c r="F946"/>
  <c r="I488"/>
  <c r="C119" i="23"/>
  <c r="B91" i="24"/>
  <c r="D172" i="20"/>
  <c r="G78"/>
  <c r="A907" i="17"/>
  <c r="H463"/>
  <c r="C191" i="13"/>
  <c r="A14" i="10"/>
  <c r="Q408" i="6"/>
  <c r="G464" i="17"/>
  <c r="C192" i="13"/>
  <c r="B1" i="12"/>
  <c r="M409" i="6"/>
  <c r="F337" i="17"/>
  <c r="C49" i="13"/>
  <c r="E271" i="7"/>
  <c r="A11" i="23"/>
  <c r="A514" i="17"/>
  <c r="B962"/>
  <c r="G150" i="20"/>
  <c r="C583" i="17"/>
  <c r="H527"/>
  <c r="H105" i="16"/>
  <c r="H5" i="11"/>
  <c r="B166" i="7"/>
  <c r="G528" i="17"/>
  <c r="H109" i="16"/>
  <c r="H1" i="12"/>
  <c r="D168" i="7"/>
  <c r="F401" i="17"/>
  <c r="C121" i="13"/>
  <c r="C31" i="9"/>
  <c r="A75" i="23"/>
  <c r="E623" i="17"/>
  <c r="I1011"/>
  <c r="G158" i="20"/>
  <c r="D590" i="17"/>
  <c r="I534"/>
  <c r="C22"/>
  <c r="G8" i="12"/>
  <c r="C187" i="7"/>
  <c r="H535" i="17"/>
  <c r="H25"/>
  <c r="G9" i="12"/>
  <c r="B190" i="7"/>
  <c r="B168" i="46"/>
  <c r="H240"/>
  <c r="D103"/>
  <c r="C168"/>
  <c r="F79" i="24"/>
  <c r="G243" i="20"/>
  <c r="F87" i="24"/>
  <c r="G251" i="20"/>
  <c r="A619" i="17"/>
  <c r="G23" i="24"/>
  <c r="G85" i="23"/>
  <c r="G94"/>
  <c r="F4" i="21"/>
  <c r="H20" i="19"/>
  <c r="G629" i="17"/>
  <c r="H1" i="20"/>
  <c r="C633" i="17"/>
  <c r="G2" i="20"/>
  <c r="H636" i="17"/>
  <c r="G3" i="20"/>
  <c r="D640" i="17"/>
  <c r="G4" i="20"/>
  <c r="I643" i="17"/>
  <c r="G5" i="20"/>
  <c r="E647" i="17"/>
  <c r="G31" i="24"/>
  <c r="G93" i="23"/>
  <c r="G102"/>
  <c r="E7" i="22"/>
  <c r="G8" i="20"/>
  <c r="B658" i="17"/>
  <c r="G9" i="20"/>
  <c r="G661" i="17"/>
  <c r="G10" i="20"/>
  <c r="C665" i="17"/>
  <c r="G11" i="20"/>
  <c r="H668" i="17"/>
  <c r="G12" i="20"/>
  <c r="D672" i="17"/>
  <c r="G13" i="20"/>
  <c r="I675" i="17"/>
  <c r="G87" i="24"/>
  <c r="G101" i="23"/>
  <c r="G110"/>
  <c r="E1"/>
  <c r="G16" i="20"/>
  <c r="F686" i="17"/>
  <c r="G17" i="20"/>
  <c r="B690" i="17"/>
  <c r="G18" i="20"/>
  <c r="G693" i="17"/>
  <c r="G19" i="20"/>
  <c r="C697" i="17"/>
  <c r="G20" i="20"/>
  <c r="H700" i="17"/>
  <c r="G21" i="20"/>
  <c r="D704" i="17"/>
  <c r="H94" i="23"/>
  <c r="G45"/>
  <c r="G54"/>
  <c r="G21" i="25"/>
  <c r="F994" i="17"/>
  <c r="I536"/>
  <c r="E995"/>
  <c r="H537"/>
  <c r="D996"/>
  <c r="G538"/>
  <c r="C997"/>
  <c r="F539"/>
  <c r="B998"/>
  <c r="E540"/>
  <c r="A999"/>
  <c r="D541"/>
  <c r="H150" i="23"/>
  <c r="G53"/>
  <c r="G62"/>
  <c r="H42" i="25"/>
  <c r="G1001" i="17"/>
  <c r="A544"/>
  <c r="F1002"/>
  <c r="I544"/>
  <c r="E1003"/>
  <c r="H545"/>
  <c r="H214" i="24"/>
  <c r="B457" i="17"/>
  <c r="A955"/>
  <c r="G142" i="20"/>
  <c r="B576" i="17"/>
  <c r="G520"/>
  <c r="H73" i="16"/>
  <c r="C7" i="10"/>
  <c r="D144" i="7"/>
  <c r="F521" i="17"/>
  <c r="H77" i="16"/>
  <c r="C9" i="10"/>
  <c r="C147" i="7"/>
  <c r="E394" i="17"/>
  <c r="C113" i="13"/>
  <c r="C23" i="9"/>
  <c r="H40" i="23"/>
  <c r="B552" i="17"/>
  <c r="D51" i="24"/>
  <c r="G214" i="20"/>
  <c r="B640" i="17"/>
  <c r="F678"/>
  <c r="C72" i="12"/>
  <c r="B71"/>
  <c r="K232" i="6"/>
  <c r="B682" i="17"/>
  <c r="C73" i="12"/>
  <c r="G72"/>
  <c r="S232" i="6"/>
  <c r="E458" i="17"/>
  <c r="C185" i="13"/>
  <c r="A1" i="10"/>
  <c r="H104" i="23"/>
  <c r="C776" i="17"/>
  <c r="D42" i="23"/>
  <c r="G222" i="20"/>
  <c r="C647" i="17"/>
  <c r="A707"/>
  <c r="C80" i="12"/>
  <c r="A84"/>
  <c r="O235" i="6"/>
  <c r="F710" i="17"/>
  <c r="C81" i="12"/>
  <c r="E85"/>
  <c r="C236" i="6"/>
  <c r="F2" i="31"/>
  <c r="C120" i="20"/>
  <c r="E73"/>
  <c r="C128"/>
  <c r="E81"/>
  <c r="C136"/>
  <c r="E89"/>
  <c r="C80"/>
  <c r="E33"/>
  <c r="C88"/>
  <c r="E41"/>
  <c r="M241" i="6"/>
  <c r="D18" i="7"/>
  <c r="I270" i="6"/>
  <c r="D210" i="7"/>
  <c r="M273" i="6"/>
  <c r="C657" i="17"/>
  <c r="C66" i="12"/>
  <c r="G61"/>
  <c r="C159" i="20"/>
  <c r="F154" i="23"/>
  <c r="H515" i="17"/>
  <c r="F953"/>
  <c r="A825"/>
  <c r="G351"/>
  <c r="B24" i="13"/>
  <c r="B126" i="12"/>
  <c r="O315" i="6"/>
  <c r="F352" i="17"/>
  <c r="B25" i="13"/>
  <c r="B130" i="12"/>
  <c r="C316" i="6"/>
  <c r="C913" i="17"/>
  <c r="C138" i="12"/>
  <c r="H6" i="13"/>
  <c r="D71" i="24"/>
  <c r="I606" i="17"/>
  <c r="B376"/>
  <c r="G6" i="19"/>
  <c r="A889" i="17"/>
  <c r="G415"/>
  <c r="B96" i="13"/>
  <c r="G13" i="10"/>
  <c r="K344" i="6"/>
  <c r="F416" i="17"/>
  <c r="B97" i="13"/>
  <c r="G14" i="10"/>
  <c r="S344" i="6"/>
  <c r="E289" i="17"/>
  <c r="C210" i="12"/>
  <c r="F27"/>
  <c r="G161" i="24"/>
  <c r="H663" i="17"/>
  <c r="C383"/>
  <c r="G14" i="19"/>
  <c r="B896" i="17"/>
  <c r="H422"/>
  <c r="B104" i="13"/>
  <c r="E2" i="12"/>
  <c r="O347" i="6"/>
  <c r="G423" i="17"/>
  <c r="B105" i="13"/>
  <c r="E3" i="12"/>
  <c r="C348" i="6"/>
  <c r="F296" i="17"/>
  <c r="C218" i="12"/>
  <c r="F35"/>
  <c r="G77" i="25"/>
  <c r="G720" i="17"/>
  <c r="A433"/>
  <c r="F2" i="20"/>
  <c r="C903" i="17"/>
  <c r="I429"/>
  <c r="B112" i="13"/>
  <c r="E10" i="12"/>
  <c r="S350" i="6"/>
  <c r="H430" i="17"/>
  <c r="B113" i="13"/>
  <c r="E11" i="12"/>
  <c r="G351" i="6"/>
  <c r="G303" i="17"/>
  <c r="C226" i="12"/>
  <c r="D44"/>
  <c r="F233" i="23"/>
  <c r="C266" i="17"/>
  <c r="O287" i="6"/>
  <c r="D888" i="17"/>
  <c r="C131" i="12"/>
  <c r="A231"/>
  <c r="C256" i="6"/>
  <c r="H692" i="17"/>
  <c r="C76" i="12"/>
  <c r="E77"/>
  <c r="C234" i="6"/>
  <c r="G432" i="17"/>
  <c r="C156" i="13"/>
  <c r="A12" i="9"/>
  <c r="Q380" i="6"/>
  <c r="F433" i="17"/>
  <c r="C157" i="13"/>
  <c r="A13" i="9"/>
  <c r="M381" i="6"/>
  <c r="E357"/>
  <c r="L344" i="5"/>
  <c r="Q185"/>
  <c r="I136"/>
  <c r="L347" i="6"/>
  <c r="H335" i="5"/>
  <c r="M176"/>
  <c r="E127"/>
  <c r="H338" i="6"/>
  <c r="D326" i="5"/>
  <c r="I167"/>
  <c r="A118"/>
  <c r="P338" i="6"/>
  <c r="B249" i="23"/>
  <c r="B323" i="17"/>
  <c r="S290" i="6"/>
  <c r="H916" i="17"/>
  <c r="C139" i="12"/>
  <c r="H14" i="13"/>
  <c r="G259" i="6"/>
  <c r="C721" i="17"/>
  <c r="C84" i="12"/>
  <c r="D90"/>
  <c r="G237" i="6"/>
  <c r="H439" i="17"/>
  <c r="C164" i="13"/>
  <c r="A20" i="9"/>
  <c r="E387" i="6"/>
  <c r="G440" i="17"/>
  <c r="C165" i="13"/>
  <c r="A21" i="9"/>
  <c r="A388" i="6"/>
  <c r="M363"/>
  <c r="P347" i="5"/>
  <c r="A189"/>
  <c r="M139"/>
  <c r="P350" i="6"/>
  <c r="L338" i="5"/>
  <c r="Q179"/>
  <c r="I130"/>
  <c r="L341" i="6"/>
  <c r="H329" i="5"/>
  <c r="M170"/>
  <c r="E121"/>
  <c r="T341" i="6"/>
  <c r="E4" i="24"/>
  <c r="A380" i="17"/>
  <c r="C294" i="6"/>
  <c r="I977" i="17"/>
  <c r="C147" i="12"/>
  <c r="H78" i="13"/>
  <c r="K262" i="6"/>
  <c r="G749" i="17"/>
  <c r="C92" i="12"/>
  <c r="B103"/>
  <c r="K240" i="6"/>
  <c r="I446" i="17"/>
  <c r="C172" i="13"/>
  <c r="A28" i="9"/>
  <c r="M393" i="6"/>
  <c r="H447" i="17"/>
  <c r="C173" i="13"/>
  <c r="A29" i="9"/>
  <c r="I394" i="6"/>
  <c r="A370"/>
  <c r="T350" i="5"/>
  <c r="E192"/>
  <c r="Q142"/>
  <c r="T353" i="6"/>
  <c r="P341" i="5"/>
  <c r="A183"/>
  <c r="M133"/>
  <c r="P344" i="6"/>
  <c r="L332" i="5"/>
  <c r="Q173"/>
  <c r="I124"/>
  <c r="D345" i="6"/>
  <c r="E11" i="24"/>
  <c r="I436" i="17"/>
  <c r="G297" i="6"/>
  <c r="B103" i="20"/>
  <c r="C155" i="12"/>
  <c r="H142" i="13"/>
  <c r="O265" i="6"/>
  <c r="B778" i="17"/>
  <c r="C100" i="12"/>
  <c r="A116"/>
  <c r="O243" i="6"/>
  <c r="A454" i="17"/>
  <c r="C180" i="13"/>
  <c r="A36" i="9"/>
  <c r="A400" i="6"/>
  <c r="I454" i="17"/>
  <c r="C181" i="13"/>
  <c r="A37" i="9"/>
  <c r="Q400" i="6"/>
  <c r="I376"/>
  <c r="D354" i="5"/>
  <c r="I195"/>
  <c r="A146"/>
  <c r="A358" i="6"/>
  <c r="T344" i="5"/>
  <c r="E186"/>
  <c r="Q136"/>
  <c r="T347" i="6"/>
  <c r="P335" i="5"/>
  <c r="A177"/>
  <c r="M127"/>
  <c r="H348" i="6"/>
  <c r="E26" i="24"/>
  <c r="H493" i="17"/>
  <c r="K300" i="6"/>
  <c r="G247" i="17"/>
  <c r="C163" i="12"/>
  <c r="H206" i="13"/>
  <c r="S268" i="6"/>
  <c r="F806" i="17"/>
  <c r="C108" i="12"/>
  <c r="A139"/>
  <c r="S246" i="6"/>
  <c r="B461" i="17"/>
  <c r="C188" i="13"/>
  <c r="F7" i="10"/>
  <c r="I406" i="6"/>
  <c r="A462" i="17"/>
  <c r="C189" i="13"/>
  <c r="F9" i="10"/>
  <c r="E407" i="6"/>
  <c r="Q382"/>
  <c r="H357" i="5"/>
  <c r="M198"/>
  <c r="E149"/>
  <c r="I364" i="6"/>
  <c r="D348" i="5"/>
  <c r="I189"/>
  <c r="A140"/>
  <c r="D351" i="6"/>
  <c r="T338" i="5"/>
  <c r="E180"/>
  <c r="Q130"/>
  <c r="L351" i="6"/>
  <c r="F776" i="17"/>
  <c r="H494"/>
  <c r="C278" i="6"/>
  <c r="A803" i="17"/>
  <c r="C107" i="12"/>
  <c r="A135"/>
  <c r="K246" i="6"/>
  <c r="E607" i="17"/>
  <c r="H223"/>
  <c r="G45" i="12"/>
  <c r="C283" i="7"/>
  <c r="D411" i="17"/>
  <c r="C132" i="13"/>
  <c r="B35" i="23"/>
  <c r="E223"/>
  <c r="D74" i="20"/>
  <c r="E231" i="23"/>
  <c r="D82" i="20"/>
  <c r="E239" i="23"/>
  <c r="D90" i="20"/>
  <c r="E183" i="23"/>
  <c r="D34" i="20"/>
  <c r="E191" i="23"/>
  <c r="D42" i="20"/>
  <c r="A31" i="7"/>
  <c r="B21"/>
  <c r="A103"/>
  <c r="B213"/>
  <c r="A111"/>
  <c r="H884" i="17"/>
  <c r="C130" i="12"/>
  <c r="A227"/>
  <c r="D7" i="24"/>
  <c r="F214" i="23"/>
  <c r="D326" i="17"/>
  <c r="E1010"/>
  <c r="I881"/>
  <c r="F408"/>
  <c r="B88" i="13"/>
  <c r="G5" i="10"/>
  <c r="G341" i="6"/>
  <c r="E409" i="17"/>
  <c r="B89" i="13"/>
  <c r="G6" i="10"/>
  <c r="O341" i="6"/>
  <c r="D282" i="17"/>
  <c r="C202" i="12"/>
  <c r="F19"/>
  <c r="C95" i="24"/>
  <c r="I605" i="17"/>
  <c r="I754"/>
  <c r="F50" i="20"/>
  <c r="G979" i="17"/>
  <c r="F472"/>
  <c r="B160" i="13"/>
  <c r="D61" i="12"/>
  <c r="T383" i="6"/>
  <c r="E473" i="17"/>
  <c r="B161" i="13"/>
  <c r="G62" i="12"/>
  <c r="P384" i="6"/>
  <c r="D346" i="17"/>
  <c r="B18" i="13"/>
  <c r="B114" i="12"/>
  <c r="B209" i="24"/>
  <c r="H662" i="17"/>
  <c r="D783"/>
  <c r="F58" i="20"/>
  <c r="E998" i="17"/>
  <c r="G479"/>
  <c r="B168" i="13"/>
  <c r="A74" i="12"/>
  <c r="H390" i="6"/>
  <c r="F480" i="17"/>
  <c r="B169" i="13"/>
  <c r="E75" i="12"/>
  <c r="D391" i="6"/>
  <c r="E353" i="17"/>
  <c r="B26" i="13"/>
  <c r="B134" i="12"/>
  <c r="D4" i="22"/>
  <c r="G719" i="17"/>
  <c r="B182" i="20"/>
  <c r="F66"/>
  <c r="B6" i="19"/>
  <c r="H486" i="17"/>
  <c r="B176" i="13"/>
  <c r="G86" i="12"/>
  <c r="P396" i="6"/>
  <c r="G487" i="17"/>
  <c r="B177" i="13"/>
  <c r="D88" i="12"/>
  <c r="L397" i="6"/>
  <c r="F360" i="17"/>
  <c r="B34" i="13"/>
  <c r="B166" i="12"/>
  <c r="C438" i="17"/>
  <c r="A267"/>
  <c r="G313" i="6"/>
  <c r="B276" i="17"/>
  <c r="C195" i="12"/>
  <c r="F12"/>
  <c r="O281" i="6"/>
  <c r="D920" i="17"/>
  <c r="C140" i="12"/>
  <c r="H22" i="13"/>
  <c r="O259" i="6"/>
  <c r="F489" i="17"/>
  <c r="D231" i="13"/>
  <c r="H9" i="9"/>
  <c r="C51" i="7"/>
  <c r="E490" i="17"/>
  <c r="B3" i="14"/>
  <c r="H10" i="9"/>
  <c r="B54" i="7"/>
  <c r="I408" i="6"/>
  <c r="D370" i="5"/>
  <c r="I211"/>
  <c r="A162"/>
  <c r="A390" i="6"/>
  <c r="T360" i="5"/>
  <c r="E202"/>
  <c r="Q152"/>
  <c r="M371" i="6"/>
  <c r="P351" i="5"/>
  <c r="A193"/>
  <c r="M143"/>
  <c r="I372" i="6"/>
  <c r="H770" i="17"/>
  <c r="I323"/>
  <c r="K316" i="6"/>
  <c r="C283" i="17"/>
  <c r="C203" i="12"/>
  <c r="F20"/>
  <c r="S284" i="6"/>
  <c r="F987" i="17"/>
  <c r="C148" i="12"/>
  <c r="H86" i="13"/>
  <c r="S262" i="6"/>
  <c r="G496" i="17"/>
  <c r="A6" i="15"/>
  <c r="H17" i="9"/>
  <c r="D72" i="7"/>
  <c r="F497" i="17"/>
  <c r="F8" i="15"/>
  <c r="H18" i="9"/>
  <c r="C75" i="7"/>
  <c r="Q414" i="6"/>
  <c r="H373" i="5"/>
  <c r="M214"/>
  <c r="E165"/>
  <c r="I396" i="6"/>
  <c r="D364" i="5"/>
  <c r="I205"/>
  <c r="A156"/>
  <c r="A378" i="6"/>
  <c r="T354" i="5"/>
  <c r="E196"/>
  <c r="Q146"/>
  <c r="Q378" i="6"/>
  <c r="E772" i="17"/>
  <c r="H380"/>
  <c r="O319" i="6"/>
  <c r="D290" i="17"/>
  <c r="C211" i="12"/>
  <c r="F28"/>
  <c r="C288" i="6"/>
  <c r="B135" i="20"/>
  <c r="C156" i="12"/>
  <c r="H150" i="13"/>
  <c r="C266" i="6"/>
  <c r="H503" i="17"/>
  <c r="B27" i="15"/>
  <c r="H25" i="9"/>
  <c r="B94" i="7"/>
  <c r="G504" i="17"/>
  <c r="A30" i="15"/>
  <c r="H26" i="9"/>
  <c r="D96" i="7"/>
  <c r="D12"/>
  <c r="L376" i="5"/>
  <c r="Q217"/>
  <c r="I168"/>
  <c r="Q402" i="6"/>
  <c r="H367" i="5"/>
  <c r="M208"/>
  <c r="E159"/>
  <c r="I384" i="6"/>
  <c r="D358" i="5"/>
  <c r="I199"/>
  <c r="A150"/>
  <c r="E385" i="6"/>
  <c r="B774" i="17"/>
  <c r="G437"/>
  <c r="S322" i="6"/>
  <c r="E297" i="17"/>
  <c r="C219" i="12"/>
  <c r="F36"/>
  <c r="G291" i="6"/>
  <c r="F248" i="17"/>
  <c r="C164" i="12"/>
  <c r="H220" i="13"/>
  <c r="G269" i="6"/>
  <c r="I510" i="17"/>
  <c r="H29" i="16"/>
  <c r="H33" i="9"/>
  <c r="C115" i="7"/>
  <c r="H511" i="17"/>
  <c r="H33" i="16"/>
  <c r="H34" i="9"/>
  <c r="B118" i="7"/>
  <c r="B34"/>
  <c r="P379" i="5"/>
  <c r="A221"/>
  <c r="M171"/>
  <c r="E409" i="6"/>
  <c r="L370" i="5"/>
  <c r="Q211"/>
  <c r="I162"/>
  <c r="Q390" i="6"/>
  <c r="H361" i="5"/>
  <c r="M202"/>
  <c r="E153"/>
  <c r="M391" i="6"/>
  <c r="G776" i="17"/>
  <c r="F494"/>
  <c r="C326" i="6"/>
  <c r="F304" i="17"/>
  <c r="C227" i="12"/>
  <c r="E45"/>
  <c r="K294" i="6"/>
  <c r="G255" i="17"/>
  <c r="C172" i="12"/>
  <c r="H8" i="10"/>
  <c r="K272" i="6"/>
  <c r="A518" i="17"/>
  <c r="H61" i="16"/>
  <c r="H1" i="10"/>
  <c r="D136" i="7"/>
  <c r="I518" i="17"/>
  <c r="H65" i="16"/>
  <c r="C3" i="10"/>
  <c r="C139" i="7"/>
  <c r="C55"/>
  <c r="T382" i="5"/>
  <c r="E224"/>
  <c r="Q174"/>
  <c r="M415" i="6"/>
  <c r="P373" i="5"/>
  <c r="A215"/>
  <c r="M165"/>
  <c r="E397" i="6"/>
  <c r="L364" i="5"/>
  <c r="Q205"/>
  <c r="I156"/>
  <c r="A398" i="6"/>
  <c r="C88" i="23"/>
  <c r="G550" i="17"/>
  <c r="O303" i="6"/>
  <c r="H254" i="17"/>
  <c r="C171" i="12"/>
  <c r="H7" i="10"/>
  <c r="C272" i="6"/>
  <c r="A835" i="17"/>
  <c r="C116" i="12"/>
  <c r="A171"/>
  <c r="C250" i="6"/>
  <c r="C468" i="17"/>
  <c r="C196" i="13"/>
  <c r="G64" i="25"/>
  <c r="G46"/>
  <c r="B58" i="20"/>
  <c r="H67" i="25"/>
  <c r="B122" i="20"/>
  <c r="F89" i="25"/>
  <c r="B186" i="20"/>
  <c r="B186" i="24"/>
  <c r="D950" i="17"/>
  <c r="B202" i="24"/>
  <c r="E493" i="17"/>
  <c r="I994"/>
  <c r="B551"/>
  <c r="A5" i="20"/>
  <c r="I771" i="17"/>
  <c r="A69" i="20"/>
  <c r="B494" i="17"/>
  <c r="D193" i="12"/>
  <c r="E159" i="7"/>
  <c r="C32" i="24"/>
  <c r="E42" i="23"/>
  <c r="E8" i="19"/>
  <c r="G38" i="20"/>
  <c r="H764" i="17"/>
  <c r="C428"/>
  <c r="C151" i="13"/>
  <c r="A7" i="9"/>
  <c r="Q376" i="6"/>
  <c r="B429" i="17"/>
  <c r="C152" i="13"/>
  <c r="A8" i="9"/>
  <c r="M377" i="6"/>
  <c r="A302" i="17"/>
  <c r="C9" i="13"/>
  <c r="E231" i="7"/>
  <c r="A131" i="24"/>
  <c r="G208" i="23"/>
  <c r="C12" i="22"/>
  <c r="G110" i="20"/>
  <c r="F130" i="23"/>
  <c r="C492" i="17"/>
  <c r="C8" i="14"/>
  <c r="H12" i="9"/>
  <c r="C59" i="7"/>
  <c r="B493" i="17"/>
  <c r="B11" i="14"/>
  <c r="H13" i="9"/>
  <c r="B62" i="7"/>
  <c r="A366" i="17"/>
  <c r="C81" i="13"/>
  <c r="D11" i="8"/>
  <c r="H36" i="25"/>
  <c r="E286" i="17"/>
  <c r="F27" i="23"/>
  <c r="G118" i="20"/>
  <c r="H554" i="17"/>
  <c r="D499"/>
  <c r="A14" i="15"/>
  <c r="H20" i="9"/>
  <c r="D80" i="7"/>
  <c r="C500" i="17"/>
  <c r="F16" i="15"/>
  <c r="H21" i="9"/>
  <c r="C83" i="7"/>
  <c r="B373" i="17"/>
  <c r="C89" i="13"/>
  <c r="D19" i="8"/>
  <c r="A34" i="24"/>
  <c r="D343" i="17"/>
  <c r="F251" i="23"/>
  <c r="G126" i="20"/>
  <c r="I561" i="17"/>
  <c r="E506"/>
  <c r="H9" i="16"/>
  <c r="H28" i="9"/>
  <c r="B102" i="7"/>
  <c r="D507" i="17"/>
  <c r="H13" i="16"/>
  <c r="H29" i="9"/>
  <c r="D104" i="7"/>
  <c r="C380" i="17"/>
  <c r="C97" i="13"/>
  <c r="C7" i="9"/>
  <c r="E5" i="24"/>
  <c r="D146" i="17"/>
  <c r="L338" i="6"/>
  <c r="H295" i="17"/>
  <c r="C2" i="13"/>
  <c r="E224" i="7"/>
  <c r="T306" i="6"/>
  <c r="B601" i="17"/>
  <c r="D203" i="12"/>
  <c r="E169" i="7"/>
  <c r="T284" i="6"/>
  <c r="D126" i="17"/>
  <c r="C3" i="14"/>
  <c r="J414" i="6"/>
  <c r="D219" i="7"/>
  <c r="C127" i="17"/>
  <c r="B6" i="14"/>
  <c r="R414" i="6"/>
  <c r="C222" i="7"/>
  <c r="D206" i="6"/>
  <c r="D187"/>
  <c r="E32" i="5"/>
  <c r="I389" i="4"/>
  <c r="T196" i="6"/>
  <c r="T177"/>
  <c r="A23" i="5"/>
  <c r="F378" i="4"/>
  <c r="P187" i="6"/>
  <c r="P168"/>
  <c r="Q13" i="5"/>
  <c r="AH366" i="4"/>
  <c r="D188" i="6"/>
  <c r="F112" i="20"/>
  <c r="C203" i="17"/>
  <c r="P341" i="6"/>
  <c r="I302" i="17"/>
  <c r="C10" i="13"/>
  <c r="E232" i="7"/>
  <c r="D310" i="6"/>
  <c r="G828" i="17"/>
  <c r="D211" i="12"/>
  <c r="E177" i="7"/>
  <c r="D288" i="6"/>
  <c r="E133" i="17"/>
  <c r="A9" i="15"/>
  <c r="E2" i="7"/>
  <c r="B241"/>
  <c r="D134" i="17"/>
  <c r="F11" i="15"/>
  <c r="E3" i="7"/>
  <c r="D243"/>
  <c r="H209" i="6"/>
  <c r="H190"/>
  <c r="I35" i="5"/>
  <c r="I393" i="4"/>
  <c r="D200" i="6"/>
  <c r="D181"/>
  <c r="E26" i="5"/>
  <c r="D382" i="4"/>
  <c r="T190" i="6"/>
  <c r="T171"/>
  <c r="A17" i="5"/>
  <c r="AH370" i="4"/>
  <c r="H191" i="6"/>
  <c r="E20" i="24"/>
  <c r="A391" i="17"/>
  <c r="T344" i="6"/>
  <c r="A310" i="17"/>
  <c r="C18" i="13"/>
  <c r="E240" i="7"/>
  <c r="H313" i="6"/>
  <c r="B261" i="17"/>
  <c r="D219" i="12"/>
  <c r="E185" i="7"/>
  <c r="H291" i="6"/>
  <c r="F140" i="17"/>
  <c r="B30" i="15"/>
  <c r="E10" i="7"/>
  <c r="C262"/>
  <c r="E141" i="17"/>
  <c r="E2" i="16"/>
  <c r="E11" i="7"/>
  <c r="B265"/>
  <c r="L212" i="6"/>
  <c r="L193"/>
  <c r="M38" i="5"/>
  <c r="H397" i="4"/>
  <c r="H203" i="6"/>
  <c r="H184"/>
  <c r="I29" i="5"/>
  <c r="B386" i="4"/>
  <c r="D194" i="6"/>
  <c r="D175"/>
  <c r="E20" i="5"/>
  <c r="AH374" i="4"/>
  <c r="L194" i="6"/>
  <c r="E600" i="17"/>
  <c r="A210"/>
  <c r="B835"/>
  <c r="B502"/>
  <c r="I884"/>
  <c r="C576"/>
  <c r="B668"/>
  <c r="D21" i="28"/>
  <c r="G308" i="17"/>
  <c r="A56" i="25"/>
  <c r="H315" i="17"/>
  <c r="D10" i="28"/>
  <c r="I322" i="17"/>
  <c r="D22" i="28"/>
  <c r="C22"/>
  <c r="D24"/>
  <c r="A824" i="17"/>
  <c r="A439"/>
  <c r="C605"/>
  <c r="C2" i="15"/>
  <c r="A655" i="17"/>
  <c r="C10" i="15"/>
  <c r="I668" i="17"/>
  <c r="D31" i="33"/>
  <c r="F365" i="17"/>
  <c r="C32" i="46"/>
  <c r="G372" i="17"/>
  <c r="C12" i="37"/>
  <c r="H379" i="17"/>
  <c r="A21" i="28"/>
  <c r="A330" i="17"/>
  <c r="G2" i="29"/>
  <c r="B598" i="17"/>
  <c r="D10" i="14"/>
  <c r="H832" i="17"/>
  <c r="B36" i="16"/>
  <c r="F882" i="17"/>
  <c r="B44" i="16"/>
  <c r="A134" i="20"/>
  <c r="D8" i="38"/>
  <c r="E422" i="17"/>
  <c r="D6" i="37"/>
  <c r="F429" i="17"/>
  <c r="C80" i="46"/>
  <c r="G436" i="17"/>
  <c r="H36" i="33"/>
  <c r="I386" i="17"/>
  <c r="F234" i="46"/>
  <c r="G825" i="17"/>
  <c r="B28" i="16"/>
  <c r="H607" i="17"/>
  <c r="F90" i="20"/>
  <c r="B165"/>
  <c r="B508" i="17"/>
  <c r="B200" i="13"/>
  <c r="A130" i="12"/>
  <c r="T415" i="6"/>
  <c r="A509" i="17"/>
  <c r="B201" i="13"/>
  <c r="A134" i="12"/>
  <c r="P416" i="6"/>
  <c r="I381" i="17"/>
  <c r="B58" i="13"/>
  <c r="H13"/>
  <c r="C246" i="23"/>
  <c r="C983" i="17"/>
  <c r="A320"/>
  <c r="F98" i="20"/>
  <c r="B229"/>
  <c r="C515" i="17"/>
  <c r="B208" i="13"/>
  <c r="A162" i="12"/>
  <c r="B19" i="7"/>
  <c r="B516" i="17"/>
  <c r="C209" i="13"/>
  <c r="A166" i="12"/>
  <c r="D21" i="7"/>
  <c r="C96" i="25"/>
  <c r="D32" i="28"/>
  <c r="F11" i="24"/>
  <c r="F91"/>
  <c r="G49"/>
  <c r="E332" i="17"/>
  <c r="G57" i="24"/>
  <c r="F339" i="17"/>
  <c r="E845"/>
  <c r="E116" i="23"/>
  <c r="F179" i="24"/>
  <c r="F212"/>
  <c r="F21" i="25"/>
  <c r="G976" i="17"/>
  <c r="B848"/>
  <c r="F977"/>
  <c r="A849"/>
  <c r="E978"/>
  <c r="I849"/>
  <c r="D979"/>
  <c r="H850"/>
  <c r="C980"/>
  <c r="G851"/>
  <c r="B981"/>
  <c r="F852"/>
  <c r="E124" i="23"/>
  <c r="F211" i="24"/>
  <c r="E13" i="25"/>
  <c r="G42"/>
  <c r="H983" i="17"/>
  <c r="C855"/>
  <c r="G984"/>
  <c r="B856"/>
  <c r="F985"/>
  <c r="A857"/>
  <c r="E986"/>
  <c r="I857"/>
  <c r="D987"/>
  <c r="H858"/>
  <c r="C988"/>
  <c r="G859"/>
  <c r="E180" i="23"/>
  <c r="E12" i="25"/>
  <c r="E45"/>
  <c r="H63"/>
  <c r="I990" i="17"/>
  <c r="D862"/>
  <c r="H991"/>
  <c r="C863"/>
  <c r="G992"/>
  <c r="B864"/>
  <c r="F993"/>
  <c r="A865"/>
  <c r="E994"/>
  <c r="I865"/>
  <c r="D995"/>
  <c r="H866"/>
  <c r="B159" i="23"/>
  <c r="F129" i="24"/>
  <c r="F138"/>
  <c r="B167"/>
  <c r="B941" i="17"/>
  <c r="F812"/>
  <c r="A942"/>
  <c r="E813"/>
  <c r="I942"/>
  <c r="D814"/>
  <c r="H943"/>
  <c r="C815"/>
  <c r="G944"/>
  <c r="B816"/>
  <c r="F945"/>
  <c r="A817"/>
  <c r="F2" i="22"/>
  <c r="F137" i="24"/>
  <c r="F146"/>
  <c r="B183"/>
  <c r="C948" i="17"/>
  <c r="G819"/>
  <c r="B949"/>
  <c r="F820"/>
  <c r="A950"/>
  <c r="E821"/>
  <c r="C118" i="23"/>
  <c r="E833" i="17"/>
  <c r="B263"/>
  <c r="F82" i="20"/>
  <c r="B101"/>
  <c r="A501" i="17"/>
  <c r="B192" i="13"/>
  <c r="D112" i="12"/>
  <c r="L409" i="6"/>
  <c r="I501" i="17"/>
  <c r="B193" i="13"/>
  <c r="A114" i="12"/>
  <c r="H410" i="6"/>
  <c r="H374" i="17"/>
  <c r="B50" i="13"/>
  <c r="B230" i="12"/>
  <c r="H159" i="23"/>
  <c r="B891" i="17"/>
  <c r="H497"/>
  <c r="F154" i="20"/>
  <c r="I584" i="17"/>
  <c r="C600"/>
  <c r="E109" i="16"/>
  <c r="E2" i="11"/>
  <c r="C168" i="7"/>
  <c r="H603" i="17"/>
  <c r="E113" i="16"/>
  <c r="E3" i="11"/>
  <c r="B171" i="7"/>
  <c r="H438" i="17"/>
  <c r="B122" i="13"/>
  <c r="E20" i="12"/>
  <c r="B212" i="24"/>
  <c r="B985" i="17"/>
  <c r="F547"/>
  <c r="F162" i="20"/>
  <c r="A592" i="17"/>
  <c r="G628"/>
  <c r="E25"/>
  <c r="D5" i="12"/>
  <c r="D189" i="7"/>
  <c r="C632" i="17"/>
  <c r="A29"/>
  <c r="D6" i="12"/>
  <c r="C192" i="7"/>
  <c r="H178" i="46"/>
  <c r="H15" i="38"/>
  <c r="F15" i="37"/>
  <c r="D111" i="46"/>
  <c r="F70" i="24"/>
  <c r="A665" i="17"/>
  <c r="F78" i="24"/>
  <c r="B672" i="17"/>
  <c r="D902"/>
  <c r="G125" i="24"/>
  <c r="D100" i="25"/>
  <c r="D148" i="24"/>
  <c r="C9" i="23"/>
  <c r="F4" i="20"/>
  <c r="A905" i="17"/>
  <c r="F5" i="20"/>
  <c r="I905" i="17"/>
  <c r="F6" i="20"/>
  <c r="H906" i="17"/>
  <c r="F7" i="20"/>
  <c r="G907" i="17"/>
  <c r="F8" i="20"/>
  <c r="F908" i="17"/>
  <c r="F9" i="20"/>
  <c r="E909" i="17"/>
  <c r="G141" i="24"/>
  <c r="D140"/>
  <c r="D212"/>
  <c r="C17" i="23"/>
  <c r="F12" i="20"/>
  <c r="B912" i="17"/>
  <c r="F13" i="20"/>
  <c r="A913" i="17"/>
  <c r="F14" i="20"/>
  <c r="I913" i="17"/>
  <c r="F15" i="20"/>
  <c r="H914" i="17"/>
  <c r="F16" i="20"/>
  <c r="G915" i="17"/>
  <c r="F17" i="20"/>
  <c r="F916" i="17"/>
  <c r="G29" i="25"/>
  <c r="D204" i="24"/>
  <c r="C45" i="25"/>
  <c r="C25" i="23"/>
  <c r="F20" i="20"/>
  <c r="C919" i="17"/>
  <c r="F21" i="20"/>
  <c r="B920" i="17"/>
  <c r="F22" i="20"/>
  <c r="A921" i="17"/>
  <c r="F23" i="20"/>
  <c r="I921" i="17"/>
  <c r="F24" i="20"/>
  <c r="H922" i="17"/>
  <c r="F25" i="20"/>
  <c r="G923" i="17"/>
  <c r="E188" i="23"/>
  <c r="E44" i="25"/>
  <c r="E108"/>
  <c r="F85"/>
  <c r="A998" i="17"/>
  <c r="E869"/>
  <c r="I998"/>
  <c r="D870"/>
  <c r="H999"/>
  <c r="C871"/>
  <c r="G1000"/>
  <c r="B872"/>
  <c r="F1001"/>
  <c r="A873"/>
  <c r="E1002"/>
  <c r="I873"/>
  <c r="E244" i="23"/>
  <c r="E100" i="25"/>
  <c r="E147" i="24"/>
  <c r="G106" i="25"/>
  <c r="B1005" i="17"/>
  <c r="F876"/>
  <c r="A1006"/>
  <c r="E877"/>
  <c r="I1006"/>
  <c r="D878"/>
  <c r="G154" i="24"/>
  <c r="C834" i="17"/>
  <c r="G490"/>
  <c r="F146" i="20"/>
  <c r="H577" i="17"/>
  <c r="H571"/>
  <c r="E77" i="16"/>
  <c r="H196" i="13"/>
  <c r="B147" i="7"/>
  <c r="D575" i="17"/>
  <c r="E81" i="16"/>
  <c r="H204" i="13"/>
  <c r="D149" i="7"/>
  <c r="G431" i="17"/>
  <c r="B114" i="13"/>
  <c r="E12" i="12"/>
  <c r="E253" i="23"/>
  <c r="H209" i="24"/>
  <c r="H602" i="17"/>
  <c r="F218" i="20"/>
  <c r="H641" i="17"/>
  <c r="H827"/>
  <c r="E291" i="46"/>
  <c r="G65" i="12"/>
  <c r="J244" i="6"/>
  <c r="D831" i="17"/>
  <c r="A2" i="14"/>
  <c r="D67" i="12"/>
  <c r="R244" i="6"/>
  <c r="G495" i="17"/>
  <c r="B186" i="13"/>
  <c r="G102" i="12"/>
  <c r="D21" i="23"/>
  <c r="H38" i="20"/>
  <c r="F652" i="17"/>
  <c r="F226" i="20"/>
  <c r="I648" i="17"/>
  <c r="C856"/>
  <c r="A9" i="14"/>
  <c r="E78" i="12"/>
  <c r="N247" i="6"/>
  <c r="H859" i="17"/>
  <c r="A10" i="14"/>
  <c r="B80" i="12"/>
  <c r="B248" i="6"/>
  <c r="C182" i="24"/>
  <c r="C119" i="20"/>
  <c r="B20"/>
  <c r="C127"/>
  <c r="B84"/>
  <c r="C135"/>
  <c r="B148"/>
  <c r="C79"/>
  <c r="I936" i="17"/>
  <c r="C87" i="20"/>
  <c r="G955" i="17"/>
  <c r="E58" i="12"/>
  <c r="G79"/>
  <c r="A248"/>
  <c r="H97" i="13"/>
  <c r="H48"/>
  <c r="E806" i="17"/>
  <c r="F853"/>
  <c r="H57" i="12"/>
  <c r="G178" i="23"/>
  <c r="E112" i="20"/>
  <c r="I888" i="17"/>
  <c r="C955"/>
  <c r="G826"/>
  <c r="F407"/>
  <c r="C45"/>
  <c r="B115" i="12"/>
  <c r="N327" i="6"/>
  <c r="E408" i="17"/>
  <c r="B46"/>
  <c r="G116" i="12"/>
  <c r="B328" i="6"/>
  <c r="D281" i="17"/>
  <c r="G21" i="16"/>
  <c r="B245" i="12"/>
  <c r="C163" i="23"/>
  <c r="D177" i="20"/>
  <c r="H712" i="17"/>
  <c r="F8" i="19"/>
  <c r="G890" i="17"/>
  <c r="F471"/>
  <c r="C109"/>
  <c r="D7" i="10"/>
  <c r="O356" i="6"/>
  <c r="E472" i="17"/>
  <c r="B110"/>
  <c r="D8" i="10"/>
  <c r="K357" i="6"/>
  <c r="D345" i="17"/>
  <c r="G93" i="16"/>
  <c r="C22" i="12"/>
  <c r="G33" i="23"/>
  <c r="D241" i="20"/>
  <c r="I719" i="17"/>
  <c r="F16" i="19"/>
  <c r="H897" i="17"/>
  <c r="G478"/>
  <c r="D116"/>
  <c r="D1" i="11"/>
  <c r="C363" i="6"/>
  <c r="F479" i="17"/>
  <c r="C117"/>
  <c r="C2" i="11"/>
  <c r="S363" i="6"/>
  <c r="E352" i="17"/>
  <c r="G101" i="16"/>
  <c r="C30" i="12"/>
  <c r="H56" i="46"/>
  <c r="F15" i="23"/>
  <c r="G769" i="17"/>
  <c r="E4" i="20"/>
  <c r="I904" i="17"/>
  <c r="H485"/>
  <c r="E123"/>
  <c r="B4" i="12"/>
  <c r="K369" i="6"/>
  <c r="G486" i="17"/>
  <c r="D124"/>
  <c r="B5" i="12"/>
  <c r="G370" i="6"/>
  <c r="F359" i="17"/>
  <c r="G109" i="16"/>
  <c r="C38" i="12"/>
  <c r="A129" i="23"/>
  <c r="N263" i="6"/>
  <c r="N299"/>
  <c r="B275" i="17"/>
  <c r="G14" i="16"/>
  <c r="B217" i="12"/>
  <c r="B268" i="6"/>
  <c r="A842" i="17"/>
  <c r="A5" i="14"/>
  <c r="B72" i="12"/>
  <c r="B246" i="6"/>
  <c r="I469" i="17"/>
  <c r="B157" i="13"/>
  <c r="A58" i="12"/>
  <c r="L381" i="6"/>
  <c r="H470" i="17"/>
  <c r="B158" i="13"/>
  <c r="B59" i="12"/>
  <c r="H382" i="6"/>
  <c r="D357"/>
  <c r="O136"/>
  <c r="L365" i="5"/>
  <c r="C326" i="4"/>
  <c r="K347" i="6"/>
  <c r="K127"/>
  <c r="H356" i="5"/>
  <c r="AF314" i="4"/>
  <c r="G338" i="6"/>
  <c r="G118"/>
  <c r="D347" i="5"/>
  <c r="G303" i="4"/>
  <c r="O338" i="6"/>
  <c r="C149" i="20"/>
  <c r="F289" i="6"/>
  <c r="R302"/>
  <c r="C282" i="17"/>
  <c r="G22" i="16"/>
  <c r="B249" i="12"/>
  <c r="F271" i="6"/>
  <c r="E870" i="17"/>
  <c r="A13" i="14"/>
  <c r="A85" i="12"/>
  <c r="F249" i="6"/>
  <c r="A477" i="17"/>
  <c r="B165" i="13"/>
  <c r="B69" i="12"/>
  <c r="T387" i="6"/>
  <c r="I477" i="17"/>
  <c r="B166" i="13"/>
  <c r="G70" i="12"/>
  <c r="P388" i="6"/>
  <c r="L363"/>
  <c r="S139"/>
  <c r="P368" i="5"/>
  <c r="A330" i="4"/>
  <c r="O350" i="6"/>
  <c r="O130"/>
  <c r="L359" i="5"/>
  <c r="AE318" i="4"/>
  <c r="K341" i="6"/>
  <c r="K121"/>
  <c r="H350" i="5"/>
  <c r="F307" i="4"/>
  <c r="S341" i="6"/>
  <c r="A128" i="23"/>
  <c r="R314" i="6"/>
  <c r="B306"/>
  <c r="D289" i="17"/>
  <c r="G30" i="16"/>
  <c r="H43" i="13"/>
  <c r="J274" i="6"/>
  <c r="I898" i="17"/>
  <c r="H5" i="15"/>
  <c r="G97" i="12"/>
  <c r="J252" i="6"/>
  <c r="B484" i="17"/>
  <c r="B173" i="13"/>
  <c r="A82" i="12"/>
  <c r="H394" i="6"/>
  <c r="A485" i="17"/>
  <c r="B174" i="13"/>
  <c r="E83" i="12"/>
  <c r="D395" i="6"/>
  <c r="T369"/>
  <c r="C143"/>
  <c r="T371" i="5"/>
  <c r="AJ333" i="4"/>
  <c r="S353" i="6"/>
  <c r="S133"/>
  <c r="P362" i="5"/>
  <c r="AE322" i="4"/>
  <c r="O344" i="6"/>
  <c r="O124"/>
  <c r="L353" i="5"/>
  <c r="F311" i="4"/>
  <c r="C345" i="6"/>
  <c r="C148" i="20"/>
  <c r="J340" i="6"/>
  <c r="F309"/>
  <c r="E296" i="17"/>
  <c r="G38" i="16"/>
  <c r="H107" i="13"/>
  <c r="N277" i="6"/>
  <c r="A930" i="17"/>
  <c r="H13" i="15"/>
  <c r="E110" i="12"/>
  <c r="N255" i="6"/>
  <c r="C491" i="17"/>
  <c r="B181" i="13"/>
  <c r="G94" i="12"/>
  <c r="P400" i="6"/>
  <c r="B492" i="17"/>
  <c r="B182" i="13"/>
  <c r="D96" i="12"/>
  <c r="L401" i="6"/>
  <c r="H376"/>
  <c r="G146"/>
  <c r="D375" i="5"/>
  <c r="AH337" i="4"/>
  <c r="T357" i="6"/>
  <c r="C137"/>
  <c r="T365" i="5"/>
  <c r="AE326" i="4"/>
  <c r="S347" i="6"/>
  <c r="S127"/>
  <c r="P356" i="5"/>
  <c r="D315" i="4"/>
  <c r="G348" i="6"/>
  <c r="I55" i="46"/>
  <c r="S375" i="6"/>
  <c r="N315"/>
  <c r="F303" i="17"/>
  <c r="G46" i="16"/>
  <c r="H171" i="13"/>
  <c r="R280" i="6"/>
  <c r="C1006" i="17"/>
  <c r="H21" i="15"/>
  <c r="B125" i="12"/>
  <c r="R258" i="6"/>
  <c r="D498" i="17"/>
  <c r="B189" i="13"/>
  <c r="E107" i="12"/>
  <c r="D407" i="6"/>
  <c r="C499" i="17"/>
  <c r="B190" i="13"/>
  <c r="B109" i="12"/>
  <c r="T407" i="6"/>
  <c r="P382"/>
  <c r="K149"/>
  <c r="H378" i="5"/>
  <c r="AF341" i="4"/>
  <c r="H364" i="6"/>
  <c r="G140"/>
  <c r="D369" i="5"/>
  <c r="I330" i="4"/>
  <c r="C351" i="6"/>
  <c r="C131"/>
  <c r="T359" i="5"/>
  <c r="C319" i="4"/>
  <c r="K351" i="6"/>
  <c r="C54" i="23"/>
  <c r="D403" i="6"/>
  <c r="B290"/>
  <c r="F996" i="17"/>
  <c r="H20" i="15"/>
  <c r="B122" i="12"/>
  <c r="J258" i="6"/>
  <c r="G756" i="17"/>
  <c r="B232"/>
  <c r="H41" i="12"/>
  <c r="D285" i="7"/>
  <c r="F448" i="17"/>
  <c r="B133" i="13"/>
  <c r="C166" i="20"/>
  <c r="E222" i="23"/>
  <c r="B35" i="20"/>
  <c r="E230" i="23"/>
  <c r="B99" i="20"/>
  <c r="E238" i="23"/>
  <c r="B163" i="20"/>
  <c r="E182" i="23"/>
  <c r="D941" i="17"/>
  <c r="E190" i="23"/>
  <c r="B960" i="17"/>
  <c r="H52" i="16"/>
  <c r="A108" i="13"/>
  <c r="F15" i="15"/>
  <c r="A180" i="13"/>
  <c r="E8" i="16"/>
  <c r="C274" i="17"/>
  <c r="G13" i="16"/>
  <c r="B213" i="12"/>
  <c r="C20" i="24"/>
  <c r="D113" i="20"/>
  <c r="A663" i="17"/>
  <c r="B1012"/>
  <c r="F883"/>
  <c r="E464"/>
  <c r="B102"/>
  <c r="H202" i="13"/>
  <c r="F353" i="6"/>
  <c r="D465" i="17"/>
  <c r="A103"/>
  <c r="H212" i="13"/>
  <c r="N353" i="6"/>
  <c r="C338" i="17"/>
  <c r="G85" i="16"/>
  <c r="C14" i="12"/>
  <c r="D172" i="46"/>
  <c r="D41" i="24"/>
  <c r="G964" i="17"/>
  <c r="E52" i="20"/>
  <c r="B984" i="17"/>
  <c r="E528"/>
  <c r="B166"/>
  <c r="B54" i="12"/>
  <c r="S407" i="6"/>
  <c r="D529" i="17"/>
  <c r="A167"/>
  <c r="C55" i="12"/>
  <c r="O408" i="6"/>
  <c r="C402" i="17"/>
  <c r="I39"/>
  <c r="E105" i="12"/>
  <c r="F325" i="6"/>
  <c r="D64" i="23"/>
  <c r="A984" i="17"/>
  <c r="E60" i="20"/>
  <c r="I1002" i="17"/>
  <c r="F535"/>
  <c r="C173"/>
  <c r="G63" i="12"/>
  <c r="G414" i="6"/>
  <c r="E536" i="17"/>
  <c r="B174"/>
  <c r="D65" i="12"/>
  <c r="C415" i="6"/>
  <c r="D409" i="17"/>
  <c r="A47"/>
  <c r="D118" i="12"/>
  <c r="J328" i="6"/>
  <c r="C65" i="24"/>
  <c r="F22" i="23"/>
  <c r="E68" i="20"/>
  <c r="C17" i="19"/>
  <c r="G542" i="17"/>
  <c r="D180"/>
  <c r="E76" i="12"/>
  <c r="C13" i="7"/>
  <c r="F543" i="17"/>
  <c r="C181"/>
  <c r="B78" i="12"/>
  <c r="B16" i="7"/>
  <c r="E416" i="17"/>
  <c r="B54"/>
  <c r="A145" i="12"/>
  <c r="N331" i="6"/>
  <c r="A264"/>
  <c r="B168" i="7"/>
  <c r="A332" i="17"/>
  <c r="G78" i="16"/>
  <c r="C7" i="12"/>
  <c r="N293" i="6"/>
  <c r="B283" i="17"/>
  <c r="G23" i="16"/>
  <c r="B253" i="12"/>
  <c r="N271" i="6"/>
  <c r="H526" i="17"/>
  <c r="G2" i="14"/>
  <c r="A214" i="12"/>
  <c r="D53" i="7"/>
  <c r="G527" i="17"/>
  <c r="C5" i="14"/>
  <c r="A218" i="12"/>
  <c r="C56" i="7"/>
  <c r="H408" i="6"/>
  <c r="G162"/>
  <c r="D391" i="5"/>
  <c r="G357" i="4"/>
  <c r="T389" i="6"/>
  <c r="C153"/>
  <c r="T381" i="5"/>
  <c r="B346" i="4"/>
  <c r="L371" i="6"/>
  <c r="S143"/>
  <c r="P372" i="5"/>
  <c r="AJ334" i="4"/>
  <c r="H372" i="6"/>
  <c r="G144"/>
  <c r="M289"/>
  <c r="Q232"/>
  <c r="B339" i="17"/>
  <c r="G86" i="16"/>
  <c r="C15" i="12"/>
  <c r="R296" i="6"/>
  <c r="C290" i="17"/>
  <c r="G31" i="16"/>
  <c r="H51" i="13"/>
  <c r="R274" i="6"/>
  <c r="I533" i="17"/>
  <c r="B8" i="15"/>
  <c r="A246" i="12"/>
  <c r="B75" i="7"/>
  <c r="H534" i="17"/>
  <c r="A11" i="15"/>
  <c r="A250" i="12"/>
  <c r="D77" i="7"/>
  <c r="P414" i="6"/>
  <c r="K165"/>
  <c r="H394" i="5"/>
  <c r="F361" i="4"/>
  <c r="H396" i="6"/>
  <c r="G156"/>
  <c r="D385" i="5"/>
  <c r="B350" i="4"/>
  <c r="T377" i="6"/>
  <c r="C147"/>
  <c r="T375" i="5"/>
  <c r="AH338" i="4"/>
  <c r="P378" i="6"/>
  <c r="K147"/>
  <c r="E315"/>
  <c r="I258"/>
  <c r="C346" i="17"/>
  <c r="G94" i="16"/>
  <c r="C23" i="12"/>
  <c r="B300" i="6"/>
  <c r="D297" i="17"/>
  <c r="G39" i="16"/>
  <c r="H115" i="13"/>
  <c r="B278" i="6"/>
  <c r="A541" i="17"/>
  <c r="F29" i="15"/>
  <c r="H44" i="13"/>
  <c r="C96" i="7"/>
  <c r="I541" i="17"/>
  <c r="E5" i="16"/>
  <c r="H52" i="13"/>
  <c r="B99" i="7"/>
  <c r="B15"/>
  <c r="O168" i="6"/>
  <c r="L397" i="5"/>
  <c r="E365" i="4"/>
  <c r="P402" i="6"/>
  <c r="K159"/>
  <c r="H388" i="5"/>
  <c r="AJ353" i="4"/>
  <c r="H384" i="6"/>
  <c r="G150"/>
  <c r="D379" i="5"/>
  <c r="AF342" i="4"/>
  <c r="D385" i="6"/>
  <c r="O150"/>
  <c r="Q340"/>
  <c r="A284"/>
  <c r="D353" i="17"/>
  <c r="G102" i="16"/>
  <c r="C31" i="12"/>
  <c r="F303" i="6"/>
  <c r="E304" i="17"/>
  <c r="G47" i="16"/>
  <c r="H179" i="13"/>
  <c r="F281" i="6"/>
  <c r="B548" i="17"/>
  <c r="E33" i="16"/>
  <c r="H108" i="13"/>
  <c r="D117" i="7"/>
  <c r="A549" i="17"/>
  <c r="E37" i="16"/>
  <c r="H116" i="13"/>
  <c r="C120" i="7"/>
  <c r="C36"/>
  <c r="S171" i="6"/>
  <c r="P400" i="5"/>
  <c r="E369" i="4"/>
  <c r="D409" i="6"/>
  <c r="O162"/>
  <c r="L391" i="5"/>
  <c r="AI357" i="4"/>
  <c r="P390" i="6"/>
  <c r="K153"/>
  <c r="H382" i="5"/>
  <c r="J346" i="4"/>
  <c r="L391" i="6"/>
  <c r="S153"/>
  <c r="N376"/>
  <c r="M309"/>
  <c r="E360" i="17"/>
  <c r="G110" i="16"/>
  <c r="D39" i="12"/>
  <c r="J306" i="6"/>
  <c r="F311" i="17"/>
  <c r="G55" i="16"/>
  <c r="E3" i="10"/>
  <c r="J284" i="6"/>
  <c r="B561" i="17"/>
  <c r="E65" i="16"/>
  <c r="H172" i="13"/>
  <c r="B139" i="7"/>
  <c r="G564" i="17"/>
  <c r="E69" i="16"/>
  <c r="H180" i="13"/>
  <c r="D141" i="7"/>
  <c r="D57"/>
  <c r="C175" i="6"/>
  <c r="T403" i="5"/>
  <c r="E373" i="4"/>
  <c r="L415" i="6"/>
  <c r="S165"/>
  <c r="P394" i="5"/>
  <c r="AH361" i="4"/>
  <c r="D397" i="6"/>
  <c r="O156"/>
  <c r="L385" i="5"/>
  <c r="J350" i="4"/>
  <c r="T397" i="6"/>
  <c r="C157"/>
  <c r="D34" i="7"/>
  <c r="R334" i="6"/>
  <c r="G310" i="17"/>
  <c r="G54" i="16"/>
  <c r="E2" i="10"/>
  <c r="B284" i="6"/>
  <c r="B198" i="20"/>
  <c r="H29" i="15"/>
  <c r="B157" i="12"/>
  <c r="B262" i="6"/>
  <c r="E505" i="17"/>
  <c r="B197" i="13"/>
  <c r="B31" i="23"/>
  <c r="D247"/>
  <c r="C291" i="20"/>
  <c r="D255" i="23"/>
  <c r="B87"/>
  <c r="C8" i="24"/>
  <c r="B215" i="23"/>
  <c r="D207"/>
  <c r="C131" i="20"/>
  <c r="D215" i="23"/>
  <c r="C163" i="20"/>
  <c r="H32" i="7"/>
  <c r="M372" i="6"/>
  <c r="H104" i="7"/>
  <c r="I401" i="6"/>
  <c r="H112" i="7"/>
  <c r="C275" i="17"/>
  <c r="C194" i="12"/>
  <c r="F11"/>
  <c r="C31" i="24"/>
  <c r="F242" i="23"/>
  <c r="H555" i="17"/>
  <c r="F42" i="20"/>
  <c r="I960" i="17"/>
  <c r="E465"/>
  <c r="B152" i="13"/>
  <c r="C52" i="12"/>
  <c r="L377" i="6"/>
  <c r="D466" i="17"/>
  <c r="B153" i="13"/>
  <c r="D53" i="12"/>
  <c r="H378" i="6"/>
  <c r="C339" i="17"/>
  <c r="B10" i="13"/>
  <c r="D101" i="12"/>
  <c r="A129" i="24"/>
  <c r="G606" i="17"/>
  <c r="I376"/>
  <c r="F114" i="20"/>
  <c r="F222" i="23"/>
  <c r="E529" i="17"/>
  <c r="G10" i="14"/>
  <c r="A226" i="12"/>
  <c r="D61" i="7"/>
  <c r="D530" i="17"/>
  <c r="C13" i="14"/>
  <c r="A230" i="12"/>
  <c r="C64" i="7"/>
  <c r="C403" i="17"/>
  <c r="B82" i="13"/>
  <c r="H205"/>
  <c r="F34" i="25"/>
  <c r="F663" i="17"/>
  <c r="A384"/>
  <c r="F122" i="20"/>
  <c r="E556" i="17"/>
  <c r="F536"/>
  <c r="B16" i="15"/>
  <c r="H4" i="13"/>
  <c r="B83" i="7"/>
  <c r="E537" i="17"/>
  <c r="A19" i="15"/>
  <c r="H12" i="13"/>
  <c r="D85" i="7"/>
  <c r="D410" i="17"/>
  <c r="B90" i="13"/>
  <c r="G7" i="10"/>
  <c r="A89" i="24"/>
  <c r="E720" i="17"/>
  <c r="H433"/>
  <c r="F130" i="20"/>
  <c r="F563" i="17"/>
  <c r="G543"/>
  <c r="E13" i="16"/>
  <c r="H68" i="13"/>
  <c r="C104" i="7"/>
  <c r="F544" i="17"/>
  <c r="E17" i="16"/>
  <c r="H76" i="13"/>
  <c r="B107" i="7"/>
  <c r="E417" i="17"/>
  <c r="B98" i="13"/>
  <c r="G1" i="11"/>
  <c r="F229" i="23"/>
  <c r="E518" i="17"/>
  <c r="S338" i="6"/>
  <c r="A333" i="17"/>
  <c r="B3" i="13"/>
  <c r="B90" i="12"/>
  <c r="G307" i="6"/>
  <c r="B284" i="17"/>
  <c r="C204" i="12"/>
  <c r="F21"/>
  <c r="G285" i="6"/>
  <c r="E546" i="17"/>
  <c r="E68"/>
  <c r="G21" i="12"/>
  <c r="B222" i="7"/>
  <c r="D547" i="17"/>
  <c r="A72"/>
  <c r="G22" i="12"/>
  <c r="D224" i="7"/>
  <c r="D140"/>
  <c r="P395" i="5"/>
  <c r="F237"/>
  <c r="M187"/>
  <c r="C79" i="7"/>
  <c r="L386" i="5"/>
  <c r="Q227"/>
  <c r="I178"/>
  <c r="B18" i="7"/>
  <c r="H377" i="5"/>
  <c r="M218"/>
  <c r="E169"/>
  <c r="D20" i="7"/>
  <c r="B245" i="23"/>
  <c r="E566" i="17"/>
  <c r="C342" i="6"/>
  <c r="B340" i="17"/>
  <c r="B11" i="13"/>
  <c r="A103" i="12"/>
  <c r="K310" i="6"/>
  <c r="C291" i="17"/>
  <c r="C212" i="12"/>
  <c r="F29"/>
  <c r="K288" i="6"/>
  <c r="B554" i="17"/>
  <c r="H113"/>
  <c r="G29" i="12"/>
  <c r="C243" i="7"/>
  <c r="G557" i="17"/>
  <c r="I120"/>
  <c r="G30" i="12"/>
  <c r="B246" i="7"/>
  <c r="B162"/>
  <c r="T398" i="5"/>
  <c r="B250"/>
  <c r="Q190"/>
  <c r="D100" i="7"/>
  <c r="P389" i="5"/>
  <c r="A231"/>
  <c r="M181"/>
  <c r="C39" i="7"/>
  <c r="L380" i="5"/>
  <c r="Q221"/>
  <c r="I172"/>
  <c r="B42" i="7"/>
  <c r="F1" i="24"/>
  <c r="C569" i="17"/>
  <c r="G345" i="6"/>
  <c r="C347" i="17"/>
  <c r="B19" i="13"/>
  <c r="G115" i="12"/>
  <c r="O313" i="6"/>
  <c r="D298" i="17"/>
  <c r="C220" i="12"/>
  <c r="F37"/>
  <c r="O291" i="6"/>
  <c r="F582" i="17"/>
  <c r="G170"/>
  <c r="G37" i="12"/>
  <c r="D264" i="7"/>
  <c r="B586" i="17"/>
  <c r="H177"/>
  <c r="H38" i="12"/>
  <c r="C267" i="7"/>
  <c r="C183"/>
  <c r="D402" i="5"/>
  <c r="Q271"/>
  <c r="A194"/>
  <c r="B122" i="7"/>
  <c r="T392" i="5"/>
  <c r="E234"/>
  <c r="Q184"/>
  <c r="D60" i="7"/>
  <c r="P383" i="5"/>
  <c r="A225"/>
  <c r="M175"/>
  <c r="C63" i="7"/>
  <c r="B199" i="24"/>
  <c r="Q279" i="6"/>
  <c r="A28" i="24"/>
  <c r="M308" i="6"/>
  <c r="A92" i="24"/>
  <c r="Q311" i="6"/>
  <c r="H158" i="24"/>
  <c r="B52" i="25"/>
  <c r="H685" i="17"/>
  <c r="E1" i="28"/>
  <c r="I692" i="17"/>
  <c r="A48" i="25"/>
  <c r="A700" i="17"/>
  <c r="D220" i="24"/>
  <c r="C650" i="17"/>
  <c r="C53" i="25"/>
  <c r="A957" i="17"/>
  <c r="B293" i="6"/>
  <c r="E3" i="19"/>
  <c r="R321" i="6"/>
  <c r="D47" i="20"/>
  <c r="B325" i="6"/>
  <c r="A16" i="38"/>
  <c r="F2" i="30"/>
  <c r="G742" i="17"/>
  <c r="D8" i="32"/>
  <c r="H749" i="17"/>
  <c r="H25" i="33"/>
  <c r="I756" i="17"/>
  <c r="A112" i="25"/>
  <c r="B707" i="17"/>
  <c r="A13" i="28"/>
  <c r="G958" i="17"/>
  <c r="N318" i="6"/>
  <c r="D2" i="19"/>
  <c r="J347" i="6"/>
  <c r="C185" i="20"/>
  <c r="N350" i="6"/>
  <c r="G14" i="38"/>
  <c r="G32" i="33"/>
  <c r="F799" i="17"/>
  <c r="E28" i="37"/>
  <c r="G806" i="17"/>
  <c r="A8" i="35"/>
  <c r="H813" i="17"/>
  <c r="D23" i="33"/>
  <c r="A764" i="17"/>
  <c r="H19" i="33"/>
  <c r="G957" i="17"/>
  <c r="F344" i="6"/>
  <c r="H136" i="24"/>
  <c r="E92" i="20"/>
  <c r="B180"/>
  <c r="I595" i="17"/>
  <c r="G201"/>
  <c r="A115" i="12"/>
  <c r="C77" i="7"/>
  <c r="E599" i="17"/>
  <c r="F202"/>
  <c r="E116" i="12"/>
  <c r="B80" i="7"/>
  <c r="H437" i="17"/>
  <c r="E75"/>
  <c r="A241" i="12"/>
  <c r="F341" i="6"/>
  <c r="A172" i="23"/>
  <c r="E658" i="17"/>
  <c r="E100" i="20"/>
  <c r="B244"/>
  <c r="D624" i="17"/>
  <c r="H208"/>
  <c r="B136" i="12"/>
  <c r="D98" i="7"/>
  <c r="I627" i="17"/>
  <c r="G209"/>
  <c r="B140" i="12"/>
  <c r="C101" i="7"/>
  <c r="C76" i="25"/>
  <c r="C108"/>
  <c r="C168" i="24"/>
  <c r="C1" i="32"/>
  <c r="B102" i="24"/>
  <c r="H238" i="20"/>
  <c r="A111" i="24"/>
  <c r="H246" i="20"/>
  <c r="B847" i="17"/>
  <c r="H21" i="23"/>
  <c r="D10" i="44"/>
  <c r="E55" i="46"/>
  <c r="H84" i="25"/>
  <c r="D978" i="17"/>
  <c r="H849"/>
  <c r="C979"/>
  <c r="G850"/>
  <c r="B980"/>
  <c r="F851"/>
  <c r="A981"/>
  <c r="E852"/>
  <c r="I981"/>
  <c r="D853"/>
  <c r="H982"/>
  <c r="C854"/>
  <c r="H29" i="23"/>
  <c r="D48" i="46"/>
  <c r="D20" i="19"/>
  <c r="F106" i="25"/>
  <c r="E985" i="17"/>
  <c r="I856"/>
  <c r="D986"/>
  <c r="H857"/>
  <c r="C987"/>
  <c r="G858"/>
  <c r="B988"/>
  <c r="F859"/>
  <c r="A989"/>
  <c r="E860"/>
  <c r="I989"/>
  <c r="D861"/>
  <c r="H85" i="23"/>
  <c r="C7" i="20"/>
  <c r="C8"/>
  <c r="A4" i="24"/>
  <c r="F992" i="17"/>
  <c r="A864"/>
  <c r="E993"/>
  <c r="I864"/>
  <c r="D994"/>
  <c r="H865"/>
  <c r="C995"/>
  <c r="G866"/>
  <c r="B996"/>
  <c r="F867"/>
  <c r="A997"/>
  <c r="E868"/>
  <c r="H65" i="24"/>
  <c r="F152" i="46"/>
  <c r="C8" i="44"/>
  <c r="A215" i="24"/>
  <c r="H942" i="17"/>
  <c r="C814"/>
  <c r="G943"/>
  <c r="B815"/>
  <c r="F944"/>
  <c r="A816"/>
  <c r="E945"/>
  <c r="I816"/>
  <c r="D946"/>
  <c r="H817"/>
  <c r="C947"/>
  <c r="G818"/>
  <c r="G134" i="24"/>
  <c r="D26" i="38"/>
  <c r="H45" i="46"/>
  <c r="A231" i="24"/>
  <c r="I949" i="17"/>
  <c r="D821"/>
  <c r="H950"/>
  <c r="C822"/>
  <c r="G951"/>
  <c r="B823"/>
  <c r="F952"/>
  <c r="B89" i="24"/>
  <c r="F601" i="17"/>
  <c r="E84" i="20"/>
  <c r="B116"/>
  <c r="E567" i="17"/>
  <c r="F194"/>
  <c r="B102" i="12"/>
  <c r="B56" i="7"/>
  <c r="A571" i="17"/>
  <c r="E195"/>
  <c r="G103" i="12"/>
  <c r="D58" i="7"/>
  <c r="G430" i="17"/>
  <c r="D68"/>
  <c r="A209" i="12"/>
  <c r="B338" i="6"/>
  <c r="B513" i="17"/>
  <c r="C836"/>
  <c r="E156" i="20"/>
  <c r="F586" i="17"/>
  <c r="E823"/>
  <c r="F378"/>
  <c r="H210" i="13"/>
  <c r="B248" i="7"/>
  <c r="A827" i="17"/>
  <c r="G385"/>
  <c r="H226" i="13"/>
  <c r="D250" i="7"/>
  <c r="G494" i="17"/>
  <c r="D132"/>
  <c r="B14" i="12"/>
  <c r="K377" i="6"/>
  <c r="I619" i="17"/>
  <c r="A886"/>
  <c r="E164" i="20"/>
  <c r="G593" i="17"/>
  <c r="I851"/>
  <c r="E435"/>
  <c r="A8" i="12"/>
  <c r="C269" i="7"/>
  <c r="E855" i="17"/>
  <c r="F442"/>
  <c r="A9" i="12"/>
  <c r="B272" i="7"/>
  <c r="A161" i="46"/>
  <c r="F194"/>
  <c r="C175" i="24"/>
  <c r="D1" i="31"/>
  <c r="F21" i="33"/>
  <c r="G242" i="20"/>
  <c r="E20" i="33"/>
  <c r="G250" i="20"/>
  <c r="A904" i="17"/>
  <c r="G22" i="24"/>
  <c r="C55" i="20"/>
  <c r="C56"/>
  <c r="A52" i="24"/>
  <c r="E6" i="20"/>
  <c r="G906" i="17"/>
  <c r="E7" i="20"/>
  <c r="F907" i="17"/>
  <c r="E8" i="20"/>
  <c r="E908" i="17"/>
  <c r="E9" i="20"/>
  <c r="D909" i="17"/>
  <c r="E10" i="20"/>
  <c r="C910" i="17"/>
  <c r="E11" i="20"/>
  <c r="B911" i="17"/>
  <c r="G30" i="24"/>
  <c r="C63" i="20"/>
  <c r="C64"/>
  <c r="A60" i="24"/>
  <c r="E14" i="20"/>
  <c r="H913" i="17"/>
  <c r="E15" i="20"/>
  <c r="G914" i="17"/>
  <c r="E16" i="20"/>
  <c r="F915" i="17"/>
  <c r="E17" i="20"/>
  <c r="E916" i="17"/>
  <c r="E18" i="20"/>
  <c r="D917" i="17"/>
  <c r="E19" i="20"/>
  <c r="C918" i="17"/>
  <c r="G86" i="24"/>
  <c r="C71" i="20"/>
  <c r="C72"/>
  <c r="A68" i="24"/>
  <c r="E22" i="20"/>
  <c r="I920" i="17"/>
  <c r="E23" i="20"/>
  <c r="H921" i="17"/>
  <c r="E24" i="20"/>
  <c r="G922" i="17"/>
  <c r="E25" i="20"/>
  <c r="F923" i="17"/>
  <c r="E26" i="20"/>
  <c r="E924" i="17"/>
  <c r="E27" i="20"/>
  <c r="D925" i="17"/>
  <c r="H93" i="23"/>
  <c r="C15" i="20"/>
  <c r="C16"/>
  <c r="A12" i="24"/>
  <c r="G999" i="17"/>
  <c r="B871"/>
  <c r="F1000"/>
  <c r="A872"/>
  <c r="E1001"/>
  <c r="I872"/>
  <c r="D1002"/>
  <c r="H873"/>
  <c r="C1003"/>
  <c r="G874"/>
  <c r="B1004"/>
  <c r="F875"/>
  <c r="H149" i="23"/>
  <c r="C23" i="20"/>
  <c r="C24"/>
  <c r="A20" i="24"/>
  <c r="H1006" i="17"/>
  <c r="C878"/>
  <c r="G1007"/>
  <c r="B879"/>
  <c r="F1008"/>
  <c r="A880"/>
  <c r="E1009"/>
  <c r="C456"/>
  <c r="B829"/>
  <c r="E148" i="20"/>
  <c r="E579" i="17"/>
  <c r="A795"/>
  <c r="G321"/>
  <c r="H145" i="13"/>
  <c r="D226" i="7"/>
  <c r="F798" i="17"/>
  <c r="H328"/>
  <c r="H153" i="13"/>
  <c r="C229" i="7"/>
  <c r="F487" i="17"/>
  <c r="C125"/>
  <c r="B6" i="12"/>
  <c r="C371" i="6"/>
  <c r="C551" i="17"/>
  <c r="G607"/>
  <c r="E220" i="20"/>
  <c r="E643" i="17"/>
  <c r="E223"/>
  <c r="H2" i="14"/>
  <c r="A70" i="12"/>
  <c r="Q244" i="6"/>
  <c r="D224" i="17"/>
  <c r="H3" i="14"/>
  <c r="E71" i="12"/>
  <c r="E245" i="6"/>
  <c r="F551" i="17"/>
  <c r="C189"/>
  <c r="E92" i="12"/>
  <c r="B40" i="7"/>
  <c r="G772" i="17"/>
  <c r="E657"/>
  <c r="E228" i="20"/>
  <c r="F650" i="17"/>
  <c r="F230"/>
  <c r="H10" i="14"/>
  <c r="G82" i="12"/>
  <c r="A248" i="6"/>
  <c r="E231" i="17"/>
  <c r="H11" i="14"/>
  <c r="D84" i="12"/>
  <c r="I248" i="6"/>
  <c r="C107" i="25"/>
  <c r="G42" i="23"/>
  <c r="E72" i="20"/>
  <c r="G50" i="23"/>
  <c r="E80" i="20"/>
  <c r="G106" i="23"/>
  <c r="E88" i="20"/>
  <c r="G94" i="24"/>
  <c r="E32" i="20"/>
  <c r="B192" i="24"/>
  <c r="E40" i="20"/>
  <c r="A225" i="13"/>
  <c r="B182" i="17"/>
  <c r="F20" i="16"/>
  <c r="A279" i="17"/>
  <c r="F28" i="16"/>
  <c r="B218" i="17"/>
  <c r="A227" i="13"/>
  <c r="H60" i="12"/>
  <c r="I242" i="6"/>
  <c r="F122" i="23"/>
  <c r="I892" i="17"/>
  <c r="I956"/>
  <c r="D828"/>
  <c r="D408"/>
  <c r="A46"/>
  <c r="B179" i="12"/>
  <c r="A328" i="6"/>
  <c r="C409" i="17"/>
  <c r="I46"/>
  <c r="B183" i="12"/>
  <c r="I328" i="6"/>
  <c r="B282" i="17"/>
  <c r="F22" i="16"/>
  <c r="A256" i="12"/>
  <c r="E271" i="6"/>
  <c r="A606" i="17"/>
  <c r="A186" i="20"/>
  <c r="E9" i="19"/>
  <c r="D892" i="17"/>
  <c r="D472"/>
  <c r="A110"/>
  <c r="A26" i="13"/>
  <c r="J357" i="6"/>
  <c r="C473" i="17"/>
  <c r="I110"/>
  <c r="A27" i="13"/>
  <c r="F358" i="6"/>
  <c r="B346" i="17"/>
  <c r="F94" i="16"/>
  <c r="C41" i="12"/>
  <c r="A300" i="6"/>
  <c r="I662" i="17"/>
  <c r="A194" i="20"/>
  <c r="E17" i="19"/>
  <c r="E899" i="17"/>
  <c r="E479"/>
  <c r="B117"/>
  <c r="A34" i="13"/>
  <c r="R363" i="6"/>
  <c r="D480" i="17"/>
  <c r="A118"/>
  <c r="A35" i="13"/>
  <c r="N364" i="6"/>
  <c r="C353" i="17"/>
  <c r="F102" i="16"/>
  <c r="D50" i="12"/>
  <c r="E303" i="6"/>
  <c r="H719" i="17"/>
  <c r="A250" i="20"/>
  <c r="D5"/>
  <c r="F906" i="17"/>
  <c r="F486"/>
  <c r="C124"/>
  <c r="A42" i="13"/>
  <c r="F370" i="6"/>
  <c r="E487" i="17"/>
  <c r="B125"/>
  <c r="A43" i="13"/>
  <c r="B371" i="6"/>
  <c r="D360" i="17"/>
  <c r="F110" i="16"/>
  <c r="E59" i="12"/>
  <c r="I306" i="6"/>
  <c r="B173" i="12"/>
  <c r="H20" i="13"/>
  <c r="I275" i="17"/>
  <c r="F15" i="16"/>
  <c r="A228" i="12"/>
  <c r="I268" i="6"/>
  <c r="A227" i="17"/>
  <c r="H6" i="14"/>
  <c r="D76" i="12"/>
  <c r="I246" i="6"/>
  <c r="H525" i="17"/>
  <c r="E163"/>
  <c r="G50" i="12"/>
  <c r="K405" i="6"/>
  <c r="G526" i="17"/>
  <c r="D164"/>
  <c r="H51" i="12"/>
  <c r="G406" i="6"/>
  <c r="F279"/>
  <c r="O345" i="5"/>
  <c r="S156" i="6"/>
  <c r="H136" i="5"/>
  <c r="C80" i="7"/>
  <c r="K336" i="5"/>
  <c r="O147" i="6"/>
  <c r="D127" i="5"/>
  <c r="S324" i="6"/>
  <c r="G327" i="5"/>
  <c r="K138" i="6"/>
  <c r="T117" i="5"/>
  <c r="C328" i="6"/>
  <c r="O327" i="5"/>
  <c r="E1" i="11"/>
  <c r="D31" i="12"/>
  <c r="A283" i="17"/>
  <c r="F23" i="16"/>
  <c r="H8" i="13"/>
  <c r="M271" i="6"/>
  <c r="B234" i="17"/>
  <c r="H14" i="14"/>
  <c r="B89" i="12"/>
  <c r="M249" i="6"/>
  <c r="I532" i="17"/>
  <c r="F170"/>
  <c r="H59" i="12"/>
  <c r="S411" i="6"/>
  <c r="H533" i="17"/>
  <c r="E171"/>
  <c r="A61" i="12"/>
  <c r="O412" i="6"/>
  <c r="R304"/>
  <c r="S348" i="5"/>
  <c r="C160" i="6"/>
  <c r="L139" i="5"/>
  <c r="B251" i="7"/>
  <c r="O339" i="5"/>
  <c r="S150" i="6"/>
  <c r="H130" i="5"/>
  <c r="K350" i="6"/>
  <c r="K330" i="5"/>
  <c r="O141" i="6"/>
  <c r="D121" i="5"/>
  <c r="O353" i="6"/>
  <c r="S330" i="5"/>
  <c r="A64" i="12"/>
  <c r="B120"/>
  <c r="B290" i="17"/>
  <c r="F31" i="16"/>
  <c r="H72" i="13"/>
  <c r="Q274" i="6"/>
  <c r="C241" i="17"/>
  <c r="G6" i="15"/>
  <c r="A102" i="12"/>
  <c r="Q252" i="6"/>
  <c r="A540" i="17"/>
  <c r="G177"/>
  <c r="G71" i="12"/>
  <c r="C5" i="7"/>
  <c r="I540" i="17"/>
  <c r="F178"/>
  <c r="D73" i="12"/>
  <c r="B8" i="7"/>
  <c r="J330" i="6"/>
  <c r="C352" i="5"/>
  <c r="G163" i="6"/>
  <c r="P142" i="5"/>
  <c r="R256" i="6"/>
  <c r="S342" i="5"/>
  <c r="C154" i="6"/>
  <c r="L133" i="5"/>
  <c r="T395" i="6"/>
  <c r="O333" i="5"/>
  <c r="S144" i="6"/>
  <c r="H124" i="5"/>
  <c r="H402" i="6"/>
  <c r="C334" i="5"/>
  <c r="A233" i="12"/>
  <c r="B2" i="14"/>
  <c r="C297" i="17"/>
  <c r="F39" i="16"/>
  <c r="H136" i="13"/>
  <c r="A278" i="6"/>
  <c r="D248" i="17"/>
  <c r="G14" i="15"/>
  <c r="G114" i="12"/>
  <c r="A256" i="6"/>
  <c r="B547" i="17"/>
  <c r="H184"/>
  <c r="E84" i="12"/>
  <c r="D26" i="7"/>
  <c r="A548" i="17"/>
  <c r="G185"/>
  <c r="B86" i="12"/>
  <c r="C29" i="7"/>
  <c r="C356" i="6"/>
  <c r="G355" i="5"/>
  <c r="K166" i="6"/>
  <c r="T145" i="5"/>
  <c r="J282" i="6"/>
  <c r="C346" i="5"/>
  <c r="G157" i="6"/>
  <c r="P136" i="5"/>
  <c r="D101" i="7"/>
  <c r="S336" i="5"/>
  <c r="C148" i="6"/>
  <c r="L127" i="5"/>
  <c r="B123" i="7"/>
  <c r="G337" i="5"/>
  <c r="B12" i="12"/>
  <c r="D47"/>
  <c r="D304" i="17"/>
  <c r="F47" i="16"/>
  <c r="H200" i="13"/>
  <c r="E281" i="6"/>
  <c r="E255" i="17"/>
  <c r="G22" i="15"/>
  <c r="A136" i="12"/>
  <c r="E259" i="6"/>
  <c r="H556" i="17"/>
  <c r="I191"/>
  <c r="D97" i="12"/>
  <c r="B48" i="7"/>
  <c r="D560" i="17"/>
  <c r="H192"/>
  <c r="A99" i="12"/>
  <c r="D50" i="7"/>
  <c r="C407" i="6"/>
  <c r="K358" i="5"/>
  <c r="O169" i="6"/>
  <c r="D149" i="5"/>
  <c r="B308" i="6"/>
  <c r="G349" i="5"/>
  <c r="K160" i="6"/>
  <c r="T139" i="5"/>
  <c r="C272" i="7"/>
  <c r="C340" i="5"/>
  <c r="G151" i="6"/>
  <c r="P130" i="5"/>
  <c r="D1" i="8"/>
  <c r="K340" i="5"/>
  <c r="E99" i="12"/>
  <c r="B198"/>
  <c r="F254" i="17"/>
  <c r="G21" i="15"/>
  <c r="A132" i="12"/>
  <c r="Q258" i="6"/>
  <c r="B159" i="20"/>
  <c r="A213" i="13"/>
  <c r="H44" i="12"/>
  <c r="Q236" i="6"/>
  <c r="E504" i="17"/>
  <c r="B142"/>
  <c r="D8" i="28"/>
  <c r="D139" i="23"/>
  <c r="D73" i="20"/>
  <c r="D147" i="23"/>
  <c r="D81" i="20"/>
  <c r="D203" i="23"/>
  <c r="D89" i="20"/>
  <c r="F48" i="25"/>
  <c r="D33" i="20"/>
  <c r="D11" i="23"/>
  <c r="D41" i="20"/>
  <c r="G95" i="17"/>
  <c r="I182"/>
  <c r="G159"/>
  <c r="C285"/>
  <c r="H166"/>
  <c r="A275"/>
  <c r="F14" i="16"/>
  <c r="A224" i="12"/>
  <c r="A268" i="6"/>
  <c r="F182" i="23"/>
  <c r="A130" i="20"/>
  <c r="F1" i="19"/>
  <c r="C885" i="17"/>
  <c r="C465"/>
  <c r="I102"/>
  <c r="A18" i="13"/>
  <c r="M353" i="6"/>
  <c r="B466" i="17"/>
  <c r="H103"/>
  <c r="A19" i="13"/>
  <c r="A354" i="6"/>
  <c r="A339" i="17"/>
  <c r="F86" i="16"/>
  <c r="H32" i="12"/>
  <c r="Q296" i="6"/>
  <c r="A605" i="17"/>
  <c r="H32" i="20"/>
  <c r="D53"/>
  <c r="F988" i="17"/>
  <c r="C529"/>
  <c r="I166"/>
  <c r="A90" i="13"/>
  <c r="N408" i="6"/>
  <c r="B530" i="17"/>
  <c r="H167"/>
  <c r="A91" i="13"/>
  <c r="J409" i="6"/>
  <c r="A403" i="17"/>
  <c r="G40"/>
  <c r="B155" i="12"/>
  <c r="M325" i="6"/>
  <c r="I661" i="17"/>
  <c r="H40" i="20"/>
  <c r="D61"/>
  <c r="D1007" i="17"/>
  <c r="D536"/>
  <c r="A174"/>
  <c r="A98" i="13"/>
  <c r="B415" i="6"/>
  <c r="C537" i="17"/>
  <c r="I174"/>
  <c r="A99" i="13"/>
  <c r="R415" i="6"/>
  <c r="B410" i="17"/>
  <c r="H47"/>
  <c r="B187" i="12"/>
  <c r="Q328" i="6"/>
  <c r="H718" i="17"/>
  <c r="H96" i="20"/>
  <c r="D69"/>
  <c r="B3"/>
  <c r="E543" i="17"/>
  <c r="B181"/>
  <c r="A106" i="13"/>
  <c r="D15" i="7"/>
  <c r="D544" i="17"/>
  <c r="A182"/>
  <c r="A107" i="13"/>
  <c r="C18" i="7"/>
  <c r="C417" i="17"/>
  <c r="I54"/>
  <c r="B219" i="12"/>
  <c r="A332" i="6"/>
  <c r="A184" i="12"/>
  <c r="B240"/>
  <c r="H332" i="17"/>
  <c r="F79" i="16"/>
  <c r="H25" i="12"/>
  <c r="A294" i="6"/>
  <c r="I283" i="17"/>
  <c r="F24" i="16"/>
  <c r="H16" i="13"/>
  <c r="A272" i="6"/>
  <c r="F670" i="17"/>
  <c r="G223"/>
  <c r="B188" i="12"/>
  <c r="C133" i="7"/>
  <c r="B674" i="17"/>
  <c r="H224"/>
  <c r="B192" i="12"/>
  <c r="B136" i="7"/>
  <c r="M279" i="6"/>
  <c r="G371" i="5"/>
  <c r="K182" i="6"/>
  <c r="T161" i="5"/>
  <c r="B160" i="7"/>
  <c r="C362" i="5"/>
  <c r="G173" i="6"/>
  <c r="P152" i="5"/>
  <c r="R336" i="6"/>
  <c r="S352" i="5"/>
  <c r="C164" i="6"/>
  <c r="L143" i="5"/>
  <c r="B340" i="6"/>
  <c r="G353" i="5"/>
  <c r="H14" i="12"/>
  <c r="A34"/>
  <c r="I339" i="17"/>
  <c r="F87" i="16"/>
  <c r="H33" i="12"/>
  <c r="E297" i="6"/>
  <c r="A291" i="17"/>
  <c r="F32" i="16"/>
  <c r="H80" i="13"/>
  <c r="E275" i="6"/>
  <c r="A699" i="17"/>
  <c r="B233"/>
  <c r="B220" i="12"/>
  <c r="D154" i="7"/>
  <c r="F702" i="17"/>
  <c r="D234"/>
  <c r="B224" i="12"/>
  <c r="C157" i="7"/>
  <c r="E305" i="6"/>
  <c r="K374" i="5"/>
  <c r="O185" i="6"/>
  <c r="D165" i="5"/>
  <c r="M231" i="6"/>
  <c r="G365" i="5"/>
  <c r="K176" i="6"/>
  <c r="T155" i="5"/>
  <c r="O368" i="6"/>
  <c r="C356" i="5"/>
  <c r="G167" i="6"/>
  <c r="P146" i="5"/>
  <c r="C375" i="6"/>
  <c r="K356" i="5"/>
  <c r="G93" i="12"/>
  <c r="A128"/>
  <c r="A347" i="17"/>
  <c r="F95" i="16"/>
  <c r="D42" i="12"/>
  <c r="I300" i="6"/>
  <c r="B298" i="17"/>
  <c r="F40" i="16"/>
  <c r="H144" i="13"/>
  <c r="I278" i="6"/>
  <c r="E727" i="17"/>
  <c r="F242"/>
  <c r="B252" i="12"/>
  <c r="B176" i="7"/>
  <c r="A731" i="17"/>
  <c r="H243"/>
  <c r="B256" i="12"/>
  <c r="D178" i="7"/>
  <c r="Q330" i="6"/>
  <c r="O377" i="5"/>
  <c r="S188" i="6"/>
  <c r="H168" i="5"/>
  <c r="E257" i="6"/>
  <c r="K368" i="5"/>
  <c r="O179" i="6"/>
  <c r="D159" i="5"/>
  <c r="D10" i="7"/>
  <c r="G359" i="5"/>
  <c r="K170" i="6"/>
  <c r="T149" i="5"/>
  <c r="B32" i="7"/>
  <c r="O359" i="5"/>
  <c r="H103" i="13"/>
  <c r="A5" i="11"/>
  <c r="B354" i="17"/>
  <c r="F103" i="16"/>
  <c r="E51" i="12"/>
  <c r="M303" i="6"/>
  <c r="C305" i="17"/>
  <c r="F48" i="16"/>
  <c r="H208" i="13"/>
  <c r="M281" i="6"/>
  <c r="I755" i="17"/>
  <c r="I255"/>
  <c r="H57" i="13"/>
  <c r="C197" i="7"/>
  <c r="E759" i="17"/>
  <c r="E258"/>
  <c r="H65" i="13"/>
  <c r="B200" i="7"/>
  <c r="N356" i="6"/>
  <c r="S380" i="5"/>
  <c r="C192" i="6"/>
  <c r="L171" i="5"/>
  <c r="Q282" i="6"/>
  <c r="O371" i="5"/>
  <c r="S182" i="6"/>
  <c r="H162" i="5"/>
  <c r="C181" i="7"/>
  <c r="K362" i="5"/>
  <c r="O173" i="6"/>
  <c r="D153" i="5"/>
  <c r="D202" i="7"/>
  <c r="S362" i="5"/>
  <c r="A50" i="13"/>
  <c r="D71" i="12"/>
  <c r="C361" i="17"/>
  <c r="F111" i="16"/>
  <c r="G60" i="12"/>
  <c r="Q306" i="6"/>
  <c r="D312" i="17"/>
  <c r="F56" i="16"/>
  <c r="H2" i="12"/>
  <c r="Q284" i="6"/>
  <c r="D784" i="17"/>
  <c r="D300"/>
  <c r="H121" i="13"/>
  <c r="D218" i="7"/>
  <c r="I787" i="17"/>
  <c r="E307"/>
  <c r="H129" i="13"/>
  <c r="C221" i="7"/>
  <c r="R407" i="6"/>
  <c r="C384" i="5"/>
  <c r="G195" i="6"/>
  <c r="P174" i="5"/>
  <c r="I308" i="6"/>
  <c r="S374" i="5"/>
  <c r="C186" i="6"/>
  <c r="L165" i="5"/>
  <c r="Q234" i="6"/>
  <c r="O365" i="5"/>
  <c r="S176" i="6"/>
  <c r="H156" i="5"/>
  <c r="A238" i="6"/>
  <c r="C366" i="5"/>
  <c r="D89" i="12"/>
  <c r="A177"/>
  <c r="E311" i="17"/>
  <c r="F55" i="16"/>
  <c r="A1" i="12"/>
  <c r="I284" i="6"/>
  <c r="F262" i="17"/>
  <c r="G30" i="15"/>
  <c r="A168" i="12"/>
  <c r="I262" i="6"/>
  <c r="C585" i="17"/>
  <c r="A199"/>
  <c r="B219" i="24"/>
  <c r="D246" i="23"/>
  <c r="B50" i="20"/>
  <c r="D254" i="23"/>
  <c r="B114" i="20"/>
  <c r="C7" i="24"/>
  <c r="B178" i="20"/>
  <c r="D206" i="23"/>
  <c r="H947" i="17"/>
  <c r="D214" i="23"/>
  <c r="B967" i="17"/>
  <c r="G160" i="13"/>
  <c r="G18"/>
  <c r="B15" i="15"/>
  <c r="G90" i="13"/>
  <c r="H7" i="16"/>
  <c r="B331" i="17"/>
  <c r="G77" i="16"/>
  <c r="C6" i="12"/>
  <c r="F66" i="46"/>
  <c r="E40" i="23"/>
  <c r="F890" i="17"/>
  <c r="E44" i="20"/>
  <c r="D965" i="17"/>
  <c r="D521"/>
  <c r="A159"/>
  <c r="A45" i="12"/>
  <c r="K401" i="6"/>
  <c r="C522" i="17"/>
  <c r="I159"/>
  <c r="B46" i="12"/>
  <c r="G402" i="6"/>
  <c r="B395" i="17"/>
  <c r="H32"/>
  <c r="G92" i="12"/>
  <c r="B322" i="6"/>
  <c r="G200" i="23"/>
  <c r="D715" i="17"/>
  <c r="E116" i="20"/>
  <c r="E56" i="24"/>
  <c r="C681" i="17"/>
  <c r="C227"/>
  <c r="B200" i="12"/>
  <c r="C141" i="7"/>
  <c r="H684" i="17"/>
  <c r="D228"/>
  <c r="B204" i="12"/>
  <c r="B144" i="7"/>
  <c r="B459" i="17"/>
  <c r="H96"/>
  <c r="H154" i="13"/>
  <c r="R350" i="6"/>
  <c r="F285" i="17"/>
  <c r="E722"/>
  <c r="E124" i="20"/>
  <c r="B558" i="17"/>
  <c r="G709"/>
  <c r="G236"/>
  <c r="B232" i="12"/>
  <c r="D162" i="7"/>
  <c r="C713" i="17"/>
  <c r="I237"/>
  <c r="B236" i="12"/>
  <c r="C165" i="7"/>
  <c r="C466" i="17"/>
  <c r="I103"/>
  <c r="H228" i="13"/>
  <c r="B354" i="6"/>
  <c r="E342" i="17"/>
  <c r="C772"/>
  <c r="E132" i="20"/>
  <c r="C565" i="17"/>
  <c r="B738"/>
  <c r="B246"/>
  <c r="H17" i="13"/>
  <c r="B184" i="7"/>
  <c r="G741" i="17"/>
  <c r="D247"/>
  <c r="H25" i="13"/>
  <c r="D186" i="7"/>
  <c r="D473" i="17"/>
  <c r="A111"/>
  <c r="D9" i="10"/>
  <c r="G358" i="6"/>
  <c r="A87" i="7"/>
  <c r="C170"/>
  <c r="I388" i="17"/>
  <c r="F26"/>
  <c r="E81" i="12"/>
  <c r="F319" i="6"/>
  <c r="A340" i="17"/>
  <c r="G87" i="16"/>
  <c r="C16" i="12"/>
  <c r="F297" i="6"/>
  <c r="I674" i="17"/>
  <c r="G71"/>
  <c r="D18" i="12"/>
  <c r="C224" i="7"/>
  <c r="E678" i="17"/>
  <c r="C75"/>
  <c r="D19" i="12"/>
  <c r="B227" i="7"/>
  <c r="B143"/>
  <c r="S187" i="6"/>
  <c r="P416" i="5"/>
  <c r="AJ388" i="4"/>
  <c r="D81" i="7"/>
  <c r="O178" i="6"/>
  <c r="L407" i="5"/>
  <c r="AG377" i="4"/>
  <c r="C20" i="7"/>
  <c r="K169" i="6"/>
  <c r="H398" i="5"/>
  <c r="E366" i="4"/>
  <c r="B23" i="7"/>
  <c r="S169" i="6"/>
  <c r="A151" i="7"/>
  <c r="A9"/>
  <c r="A396" i="17"/>
  <c r="G33"/>
  <c r="D94" i="12"/>
  <c r="J322" i="6"/>
  <c r="B347" i="17"/>
  <c r="G95" i="16"/>
  <c r="C24" i="12"/>
  <c r="J300" i="6"/>
  <c r="D703" i="17"/>
  <c r="A120"/>
  <c r="D26" i="12"/>
  <c r="D245" i="7"/>
  <c r="I706" i="17"/>
  <c r="B127"/>
  <c r="D27" i="12"/>
  <c r="C248" i="7"/>
  <c r="C164"/>
  <c r="C191" i="6"/>
  <c r="K6"/>
  <c r="AJ392" i="4"/>
  <c r="B103" i="7"/>
  <c r="S181" i="6"/>
  <c r="P410" i="5"/>
  <c r="AE381" i="4"/>
  <c r="D41" i="7"/>
  <c r="O172" i="6"/>
  <c r="L401" i="5"/>
  <c r="E370" i="4"/>
  <c r="C44" i="7"/>
  <c r="C173" i="6"/>
  <c r="A215" i="7"/>
  <c r="A73"/>
  <c r="B403" i="17"/>
  <c r="H40"/>
  <c r="B107" i="12"/>
  <c r="N325" i="6"/>
  <c r="C354" i="17"/>
  <c r="G103" i="16"/>
  <c r="C32" i="12"/>
  <c r="N303" i="6"/>
  <c r="H731" i="17"/>
  <c r="I176"/>
  <c r="D34" i="12"/>
  <c r="B267" i="7"/>
  <c r="D735" i="17"/>
  <c r="A184"/>
  <c r="D35" i="12"/>
  <c r="D269" i="7"/>
  <c r="D185"/>
  <c r="G194" i="6"/>
  <c r="O9"/>
  <c r="AI396" i="4"/>
  <c r="C124" i="7"/>
  <c r="C185" i="6"/>
  <c r="T413" i="5"/>
  <c r="J385" i="4"/>
  <c r="B63" i="7"/>
  <c r="S175" i="6"/>
  <c r="P404" i="5"/>
  <c r="E374" i="4"/>
  <c r="D65" i="7"/>
  <c r="F260" i="17"/>
  <c r="F158" i="7"/>
  <c r="F16"/>
  <c r="F230"/>
  <c r="F88"/>
  <c r="F238"/>
  <c r="F90" i="25"/>
  <c r="H100"/>
  <c r="H307" i="17"/>
  <c r="A2" i="24"/>
  <c r="I314" i="17"/>
  <c r="A10" i="24"/>
  <c r="A322" i="17"/>
  <c r="A227" i="24"/>
  <c r="D60" i="25"/>
  <c r="G15"/>
  <c r="D279" i="17"/>
  <c r="G223" i="7"/>
  <c r="G81"/>
  <c r="F3" i="8"/>
  <c r="G153" i="7"/>
  <c r="F11" i="8"/>
  <c r="E33" i="28"/>
  <c r="A58" i="24"/>
  <c r="G364" i="17"/>
  <c r="A66" i="24"/>
  <c r="H371" i="17"/>
  <c r="A74" i="24"/>
  <c r="I378" i="17"/>
  <c r="A18" i="24"/>
  <c r="B329" i="17"/>
  <c r="A26" i="24"/>
  <c r="C336" i="17"/>
  <c r="G287" i="7"/>
  <c r="G145"/>
  <c r="F12" i="10"/>
  <c r="G217" i="7"/>
  <c r="K358" i="6"/>
  <c r="E32" i="28"/>
  <c r="H134" i="24"/>
  <c r="F421" i="17"/>
  <c r="H150" i="24"/>
  <c r="G428" i="17"/>
  <c r="H166" i="24"/>
  <c r="H435" i="17"/>
  <c r="A82" i="24"/>
  <c r="A386" i="17"/>
  <c r="A90" i="24"/>
  <c r="B393" i="17"/>
  <c r="E39" i="9"/>
  <c r="G209" i="7"/>
  <c r="D93" i="20"/>
  <c r="B195"/>
  <c r="D599" i="17"/>
  <c r="E202"/>
  <c r="A130" i="13"/>
  <c r="D79" i="7"/>
  <c r="I602" i="17"/>
  <c r="D203"/>
  <c r="A131" i="13"/>
  <c r="C82" i="7"/>
  <c r="F438" i="17"/>
  <c r="C76"/>
  <c r="H119" i="13"/>
  <c r="M341" i="6"/>
  <c r="G980" i="17"/>
  <c r="H224" i="20"/>
  <c r="D101"/>
  <c r="B259"/>
  <c r="H627" i="17"/>
  <c r="F209"/>
  <c r="A138" i="13"/>
  <c r="B101" i="7"/>
  <c r="D631" i="17"/>
  <c r="E210"/>
  <c r="A139" i="13"/>
  <c r="D103" i="7"/>
  <c r="G343" i="46"/>
  <c r="C11" i="28"/>
  <c r="G196" i="23"/>
  <c r="F85" i="24"/>
  <c r="A222"/>
  <c r="F331" i="17"/>
  <c r="B335"/>
  <c r="G338"/>
  <c r="H848"/>
  <c r="E115" i="23"/>
  <c r="E94"/>
  <c r="E95"/>
  <c r="H30" i="24"/>
  <c r="A980" i="17"/>
  <c r="E851"/>
  <c r="I980"/>
  <c r="D852"/>
  <c r="H981"/>
  <c r="C853"/>
  <c r="G982"/>
  <c r="B854"/>
  <c r="F983"/>
  <c r="A855"/>
  <c r="E984"/>
  <c r="I855"/>
  <c r="E123" i="23"/>
  <c r="E102"/>
  <c r="E103"/>
  <c r="H38" i="24"/>
  <c r="B987" i="17"/>
  <c r="F858"/>
  <c r="A988"/>
  <c r="E859"/>
  <c r="I988"/>
  <c r="D860"/>
  <c r="H989"/>
  <c r="C861"/>
  <c r="G990"/>
  <c r="B862"/>
  <c r="F991"/>
  <c r="A863"/>
  <c r="E179" i="23"/>
  <c r="E110"/>
  <c r="E111"/>
  <c r="H46" i="24"/>
  <c r="C994" i="17"/>
  <c r="G865"/>
  <c r="B995"/>
  <c r="F866"/>
  <c r="A996"/>
  <c r="E867"/>
  <c r="I996"/>
  <c r="D868"/>
  <c r="H997"/>
  <c r="C869"/>
  <c r="G998"/>
  <c r="B870"/>
  <c r="B155" i="23"/>
  <c r="E54"/>
  <c r="E55"/>
  <c r="A245"/>
  <c r="E944" i="17"/>
  <c r="I815"/>
  <c r="D945"/>
  <c r="H816"/>
  <c r="C946"/>
  <c r="G817"/>
  <c r="B947"/>
  <c r="F818"/>
  <c r="A948"/>
  <c r="E819"/>
  <c r="I948"/>
  <c r="D820"/>
  <c r="G1" i="22"/>
  <c r="E62" i="23"/>
  <c r="E63"/>
  <c r="A253"/>
  <c r="F951" i="17"/>
  <c r="A823"/>
  <c r="E952"/>
  <c r="I823"/>
  <c r="D953"/>
  <c r="H824"/>
  <c r="C954"/>
  <c r="F832"/>
  <c r="H160" i="20"/>
  <c r="D85"/>
  <c r="B131"/>
  <c r="I570" i="17"/>
  <c r="D195"/>
  <c r="A122" i="13"/>
  <c r="C58" i="7"/>
  <c r="E574" i="17"/>
  <c r="C196"/>
  <c r="A123" i="13"/>
  <c r="B61" i="7"/>
  <c r="E431" i="17"/>
  <c r="B69"/>
  <c r="H55" i="13"/>
  <c r="I338" i="6"/>
  <c r="C890" i="17"/>
  <c r="E955"/>
  <c r="D157" i="20"/>
  <c r="B589" i="17"/>
  <c r="I826"/>
  <c r="H384"/>
  <c r="A194" i="13"/>
  <c r="C250" i="7"/>
  <c r="E830" i="17"/>
  <c r="I391"/>
  <c r="A195" i="13"/>
  <c r="B253" i="7"/>
  <c r="E495" i="17"/>
  <c r="B133"/>
  <c r="A52" i="13"/>
  <c r="F378" i="6"/>
  <c r="B983" i="17"/>
  <c r="C1005"/>
  <c r="D165" i="20"/>
  <c r="C596" i="17"/>
  <c r="D855"/>
  <c r="G441"/>
  <c r="A202" i="13"/>
  <c r="D271" i="7"/>
  <c r="I858" i="17"/>
  <c r="H448"/>
  <c r="A203" i="13"/>
  <c r="C274" i="7"/>
  <c r="E393" i="46"/>
  <c r="C269"/>
  <c r="E6" i="29"/>
  <c r="G24" i="37"/>
  <c r="A79" i="46"/>
  <c r="B664" i="17"/>
  <c r="G667"/>
  <c r="C671"/>
  <c r="G905"/>
  <c r="G123" i="24"/>
  <c r="E158" i="23"/>
  <c r="E159"/>
  <c r="H94" i="24"/>
  <c r="D7" i="20"/>
  <c r="D908" i="17"/>
  <c r="D8" i="20"/>
  <c r="C909" i="17"/>
  <c r="D9" i="20"/>
  <c r="B910" i="17"/>
  <c r="D10" i="20"/>
  <c r="A911" i="17"/>
  <c r="D11" i="20"/>
  <c r="I911" i="17"/>
  <c r="D12" i="20"/>
  <c r="H912" i="17"/>
  <c r="G139" i="24"/>
  <c r="E166" i="23"/>
  <c r="E167"/>
  <c r="H102" i="24"/>
  <c r="D15" i="20"/>
  <c r="E915" i="17"/>
  <c r="D16" i="20"/>
  <c r="D916" i="17"/>
  <c r="D17" i="20"/>
  <c r="C917" i="17"/>
  <c r="D18" i="20"/>
  <c r="B918" i="17"/>
  <c r="D19" i="20"/>
  <c r="A919" i="17"/>
  <c r="D20" i="20"/>
  <c r="I919" i="17"/>
  <c r="H26" i="25"/>
  <c r="E174" i="23"/>
  <c r="E175"/>
  <c r="G112" i="24"/>
  <c r="D23" i="20"/>
  <c r="F922" i="17"/>
  <c r="D24" i="20"/>
  <c r="E923" i="17"/>
  <c r="D25" i="20"/>
  <c r="D924" i="17"/>
  <c r="D26" i="20"/>
  <c r="C925" i="17"/>
  <c r="D27" i="20"/>
  <c r="B927" i="17"/>
  <c r="D28" i="20"/>
  <c r="B929" i="17"/>
  <c r="E187" i="23"/>
  <c r="E118"/>
  <c r="E119"/>
  <c r="H54" i="24"/>
  <c r="D1001" i="17"/>
  <c r="H872"/>
  <c r="C1002"/>
  <c r="G873"/>
  <c r="B1003"/>
  <c r="F874"/>
  <c r="A1004"/>
  <c r="E875"/>
  <c r="I1004"/>
  <c r="D876"/>
  <c r="H1005"/>
  <c r="C877"/>
  <c r="E243" i="23"/>
  <c r="E126"/>
  <c r="E127"/>
  <c r="H62" i="24"/>
  <c r="E1008" i="17"/>
  <c r="I879"/>
  <c r="D1009"/>
  <c r="H880"/>
  <c r="C1010"/>
  <c r="G881"/>
  <c r="B1011"/>
  <c r="D833"/>
  <c r="D948"/>
  <c r="D149" i="20"/>
  <c r="A582" i="17"/>
  <c r="E798"/>
  <c r="I327"/>
  <c r="A186" i="13"/>
  <c r="B229" i="7"/>
  <c r="A802" i="17"/>
  <c r="A335"/>
  <c r="A187" i="13"/>
  <c r="D231" i="7"/>
  <c r="D488" i="17"/>
  <c r="A126"/>
  <c r="A44" i="13"/>
  <c r="R371" i="6"/>
  <c r="H193" i="24"/>
  <c r="G172" i="20"/>
  <c r="D221"/>
  <c r="A646" i="17"/>
  <c r="D263"/>
  <c r="H102"/>
  <c r="H84" i="16"/>
  <c r="A39" i="7"/>
  <c r="C264" i="17"/>
  <c r="G103"/>
  <c r="H88" i="16"/>
  <c r="A40" i="7"/>
  <c r="D552" i="17"/>
  <c r="A190"/>
  <c r="A116" i="13"/>
  <c r="C42" i="7"/>
  <c r="H37" i="20"/>
  <c r="G228"/>
  <c r="D229"/>
  <c r="B653" i="17"/>
  <c r="E270"/>
  <c r="I109"/>
  <c r="F3"/>
  <c r="A47" i="7"/>
  <c r="D271" i="17"/>
  <c r="H110"/>
  <c r="B7"/>
  <c r="A48" i="7"/>
  <c r="C75" i="25"/>
  <c r="C13" i="19"/>
  <c r="B12" i="20"/>
  <c r="B44"/>
  <c r="B76"/>
  <c r="B108"/>
  <c r="B140"/>
  <c r="B172"/>
  <c r="D934" i="17"/>
  <c r="A944"/>
  <c r="B953"/>
  <c r="D216"/>
  <c r="E544"/>
  <c r="D280"/>
  <c r="G773"/>
  <c r="E287"/>
  <c r="A258"/>
  <c r="E97"/>
  <c r="H60" i="16"/>
  <c r="A33" i="7"/>
  <c r="E111" i="20"/>
  <c r="F6" i="19"/>
  <c r="I955" i="17"/>
  <c r="I830"/>
  <c r="C655"/>
  <c r="A786"/>
  <c r="H120" i="12"/>
  <c r="A247" i="7"/>
  <c r="D662" i="17"/>
  <c r="E814"/>
  <c r="H121" i="12"/>
  <c r="A248" i="7"/>
  <c r="C897" i="17"/>
  <c r="E161"/>
  <c r="A21" i="15"/>
  <c r="A105" i="7"/>
  <c r="D176" i="20"/>
  <c r="G4" i="22"/>
  <c r="D8" i="19"/>
  <c r="I894" i="17"/>
  <c r="H713"/>
  <c r="E25" i="15"/>
  <c r="H192" i="12"/>
  <c r="G7" i="9"/>
  <c r="I720" i="17"/>
  <c r="E26" i="15"/>
  <c r="H193" i="12"/>
  <c r="G8" i="9"/>
  <c r="A280" i="17"/>
  <c r="E230"/>
  <c r="F203"/>
  <c r="A177" i="7"/>
  <c r="D240" i="20"/>
  <c r="B16" i="23"/>
  <c r="D16" i="19"/>
  <c r="A902" i="17"/>
  <c r="G770"/>
  <c r="D3" i="16"/>
  <c r="H200" i="12"/>
  <c r="G15" i="9"/>
  <c r="H777" i="17"/>
  <c r="D4" i="16"/>
  <c r="H201" i="12"/>
  <c r="G16" i="9"/>
  <c r="I336" i="17"/>
  <c r="I239"/>
  <c r="G393"/>
  <c r="A185" i="7"/>
  <c r="F11" i="23"/>
  <c r="B240"/>
  <c r="C17" i="20"/>
  <c r="B909" i="17"/>
  <c r="F827"/>
  <c r="D11" i="16"/>
  <c r="H208" i="12"/>
  <c r="G23" i="9"/>
  <c r="G834" i="17"/>
  <c r="D12" i="16"/>
  <c r="H209" i="12"/>
  <c r="G24" i="9"/>
  <c r="H393" i="17"/>
  <c r="F250"/>
  <c r="H66" i="12"/>
  <c r="A193" i="7"/>
  <c r="G3" i="16"/>
  <c r="F21" i="15"/>
  <c r="B698" i="17"/>
  <c r="C155"/>
  <c r="B2" i="15"/>
  <c r="A98" i="7"/>
  <c r="I266" i="17"/>
  <c r="D106"/>
  <c r="H100" i="16"/>
  <c r="A43" i="7"/>
  <c r="F526" i="17"/>
  <c r="C164"/>
  <c r="A87" i="13"/>
  <c r="F406" i="6"/>
  <c r="E527" i="17"/>
  <c r="B165"/>
  <c r="A88" i="13"/>
  <c r="B407" i="6"/>
  <c r="H139" i="13"/>
  <c r="J137" i="6"/>
  <c r="K365" i="5"/>
  <c r="I346" i="4"/>
  <c r="A254" i="12"/>
  <c r="F128" i="6"/>
  <c r="G356" i="5"/>
  <c r="G335" i="4"/>
  <c r="B218" i="12"/>
  <c r="B119" i="6"/>
  <c r="C347" i="5"/>
  <c r="B324" i="4"/>
  <c r="B250" i="12"/>
  <c r="J119" i="6"/>
  <c r="G67" i="16"/>
  <c r="F155" i="17"/>
  <c r="H925"/>
  <c r="D162"/>
  <c r="F23" i="15"/>
  <c r="A106" i="7"/>
  <c r="A274" i="17"/>
  <c r="E113"/>
  <c r="H17"/>
  <c r="A51" i="7"/>
  <c r="G533" i="17"/>
  <c r="D171"/>
  <c r="A95" i="13"/>
  <c r="N412" i="6"/>
  <c r="F534" i="17"/>
  <c r="C172"/>
  <c r="A96" i="13"/>
  <c r="J413" i="6"/>
  <c r="C35" i="12"/>
  <c r="N140" i="6"/>
  <c r="O368" i="5"/>
  <c r="I350" i="4"/>
  <c r="D28" i="12"/>
  <c r="J131" i="6"/>
  <c r="K359" i="5"/>
  <c r="E339" i="4"/>
  <c r="E9" i="12"/>
  <c r="F122" i="6"/>
  <c r="G350" i="5"/>
  <c r="A328" i="4"/>
  <c r="E17" i="12"/>
  <c r="N122" i="6"/>
  <c r="H16" i="17"/>
  <c r="H19" i="15"/>
  <c r="D286" i="17"/>
  <c r="E169"/>
  <c r="E20" i="16"/>
  <c r="A114" i="7"/>
  <c r="C312" i="17"/>
  <c r="F120"/>
  <c r="C46"/>
  <c r="A59" i="7"/>
  <c r="H540" i="17"/>
  <c r="E178"/>
  <c r="A103" i="13"/>
  <c r="D7" i="7"/>
  <c r="G541" i="17"/>
  <c r="D179"/>
  <c r="A104" i="13"/>
  <c r="C10" i="7"/>
  <c r="A133" i="12"/>
  <c r="R143" i="6"/>
  <c r="S371" i="5"/>
  <c r="G354" i="4"/>
  <c r="D115" i="12"/>
  <c r="N134" i="6"/>
  <c r="O362" i="5"/>
  <c r="C343" i="4"/>
  <c r="B85" i="12"/>
  <c r="J125" i="6"/>
  <c r="K353" i="5"/>
  <c r="AJ331" i="4"/>
  <c r="A98" i="12"/>
  <c r="R125" i="6"/>
  <c r="G73" i="17"/>
  <c r="G53" i="16"/>
  <c r="C343" i="17"/>
  <c r="F176"/>
  <c r="E52" i="16"/>
  <c r="A122" i="7"/>
  <c r="B369" i="17"/>
  <c r="G127"/>
  <c r="G74"/>
  <c r="A67" i="7"/>
  <c r="I547" i="17"/>
  <c r="F185"/>
  <c r="A111" i="13"/>
  <c r="B29" i="7"/>
  <c r="H548" i="17"/>
  <c r="E186"/>
  <c r="A112" i="13"/>
  <c r="D31" i="7"/>
  <c r="D6" i="10"/>
  <c r="B147" i="6"/>
  <c r="C375" i="5"/>
  <c r="F358" i="4"/>
  <c r="H203" i="13"/>
  <c r="R137" i="6"/>
  <c r="S365" i="5"/>
  <c r="A347" i="4"/>
  <c r="H60" i="13"/>
  <c r="N128" i="6"/>
  <c r="O356" i="5"/>
  <c r="AH335" i="4"/>
  <c r="H124" i="13"/>
  <c r="B129" i="6"/>
  <c r="F130" i="17"/>
  <c r="D4"/>
  <c r="B400"/>
  <c r="G183"/>
  <c r="E84" i="16"/>
  <c r="A130" i="7"/>
  <c r="A426" i="17"/>
  <c r="H134"/>
  <c r="C126"/>
  <c r="A75" i="7"/>
  <c r="C560" i="17"/>
  <c r="G192"/>
  <c r="A119" i="13"/>
  <c r="C50" i="7"/>
  <c r="H563" i="17"/>
  <c r="F193"/>
  <c r="A120" i="13"/>
  <c r="B53" i="7"/>
  <c r="A53" i="12"/>
  <c r="F150" i="6"/>
  <c r="G378" i="5"/>
  <c r="E362" i="4"/>
  <c r="A44" i="12"/>
  <c r="B141" i="6"/>
  <c r="C369" i="5"/>
  <c r="A351" i="4"/>
  <c r="D36" i="12"/>
  <c r="R131" i="6"/>
  <c r="S359" i="5"/>
  <c r="AG339" i="4"/>
  <c r="C45" i="12"/>
  <c r="F132" i="6"/>
  <c r="B184" i="13"/>
  <c r="B42"/>
  <c r="I418" i="17"/>
  <c r="I133"/>
  <c r="B119"/>
  <c r="A74" i="7"/>
  <c r="B190" i="20"/>
  <c r="A85" i="17"/>
  <c r="H4" i="16"/>
  <c r="A19" i="7"/>
  <c r="C505" i="17"/>
  <c r="I142"/>
  <c r="E399" i="46"/>
  <c r="B1" i="20"/>
  <c r="B27"/>
  <c r="B59"/>
  <c r="B91"/>
  <c r="B123"/>
  <c r="B155"/>
  <c r="B187"/>
  <c r="H938" i="17"/>
  <c r="E948"/>
  <c r="F957"/>
  <c r="C256"/>
  <c r="C545"/>
  <c r="D840"/>
  <c r="B777"/>
  <c r="A265"/>
  <c r="G669"/>
  <c r="D154"/>
  <c r="A626"/>
  <c r="A97" i="7"/>
  <c r="D112" i="20"/>
  <c r="E242"/>
  <c r="H1012" i="17"/>
  <c r="H887"/>
  <c r="I656"/>
  <c r="E17" i="15"/>
  <c r="H184" i="12"/>
  <c r="H19" i="8"/>
  <c r="A664" i="17"/>
  <c r="E18" i="15"/>
  <c r="H185" i="12"/>
  <c r="H20" i="8"/>
  <c r="B223" i="17"/>
  <c r="A221"/>
  <c r="G146"/>
  <c r="A169" i="7"/>
  <c r="D35" i="24"/>
  <c r="D43" i="20"/>
  <c r="C209"/>
  <c r="F995" i="17"/>
  <c r="E715"/>
  <c r="D59" i="16"/>
  <c r="H256" i="12"/>
  <c r="I365" i="6"/>
  <c r="F722" i="17"/>
  <c r="D60" i="16"/>
  <c r="H1" i="13"/>
  <c r="Q365" i="6"/>
  <c r="F612" i="17"/>
  <c r="D615"/>
  <c r="H114" i="12"/>
  <c r="A241" i="7"/>
  <c r="D58" i="23"/>
  <c r="D51" i="20"/>
  <c r="C241"/>
  <c r="D1" i="19"/>
  <c r="D772" i="17"/>
  <c r="D67" i="16"/>
  <c r="G8" i="13"/>
  <c r="M368" i="6"/>
  <c r="E779" i="17"/>
  <c r="D68" i="16"/>
  <c r="G9" i="13"/>
  <c r="A369" i="6"/>
  <c r="E669" i="17"/>
  <c r="I842"/>
  <c r="H122" i="12"/>
  <c r="A249" i="7"/>
  <c r="C59" i="24"/>
  <c r="D107" i="20"/>
  <c r="C273"/>
  <c r="B18"/>
  <c r="C829" i="17"/>
  <c r="D75" i="16"/>
  <c r="G16" i="13"/>
  <c r="Q371" i="6"/>
  <c r="D836" i="17"/>
  <c r="D76" i="16"/>
  <c r="G17" i="13"/>
  <c r="E372" i="6"/>
  <c r="D726" i="17"/>
  <c r="G210" i="13"/>
  <c r="H130" i="12"/>
  <c r="A257" i="7"/>
  <c r="F4" i="16"/>
  <c r="A239" i="17"/>
  <c r="I850"/>
  <c r="G212"/>
  <c r="I96"/>
  <c r="A162" i="7"/>
  <c r="H1001" i="17"/>
  <c r="C163"/>
  <c r="B26" i="15"/>
  <c r="A107" i="7"/>
  <c r="A674" i="17"/>
  <c r="G224"/>
  <c r="A151" i="13"/>
  <c r="D135" i="7"/>
  <c r="F677" i="17"/>
  <c r="I225"/>
  <c r="A152" i="13"/>
  <c r="C138" i="7"/>
  <c r="H168" i="13"/>
  <c r="B163" i="6"/>
  <c r="C391" i="5"/>
  <c r="D378" i="4"/>
  <c r="B228" i="12"/>
  <c r="R153" i="6"/>
  <c r="S381" i="5"/>
  <c r="AF366" i="4"/>
  <c r="A197" i="12"/>
  <c r="N144" i="6"/>
  <c r="O372" i="5"/>
  <c r="F355" i="4"/>
  <c r="A229" i="12"/>
  <c r="B145" i="6"/>
  <c r="F68" i="16"/>
  <c r="F821" i="17"/>
  <c r="C230"/>
  <c r="B222"/>
  <c r="H153"/>
  <c r="A170" i="7"/>
  <c r="E293" i="17"/>
  <c r="D170"/>
  <c r="E24" i="16"/>
  <c r="A115" i="7"/>
  <c r="E702" i="17"/>
  <c r="C234"/>
  <c r="A159" i="13"/>
  <c r="B157" i="7"/>
  <c r="A706" i="17"/>
  <c r="D235"/>
  <c r="A160" i="13"/>
  <c r="D159" i="7"/>
  <c r="B56" i="12"/>
  <c r="F166" i="6"/>
  <c r="G394" i="5"/>
  <c r="B382" i="4"/>
  <c r="A31" i="12"/>
  <c r="B157" i="6"/>
  <c r="C385" i="5"/>
  <c r="AF370" i="4"/>
  <c r="B3" i="12"/>
  <c r="R147" i="6"/>
  <c r="S375" i="5"/>
  <c r="E359" i="4"/>
  <c r="B11" i="12"/>
  <c r="F148" i="6"/>
  <c r="F17" i="17"/>
  <c r="G20" i="15"/>
  <c r="B287" i="17"/>
  <c r="G231"/>
  <c r="H210"/>
  <c r="A178" i="7"/>
  <c r="D350" i="17"/>
  <c r="E177"/>
  <c r="E56" i="16"/>
  <c r="A123" i="7"/>
  <c r="I730" i="17"/>
  <c r="G243"/>
  <c r="A167" i="13"/>
  <c r="C178" i="7"/>
  <c r="E734" i="17"/>
  <c r="I244"/>
  <c r="A168" i="13"/>
  <c r="B181" i="7"/>
  <c r="B207" i="12"/>
  <c r="J169" i="6"/>
  <c r="K397" i="5"/>
  <c r="AJ385" i="4"/>
  <c r="E119" i="12"/>
  <c r="F160" i="6"/>
  <c r="G388" i="5"/>
  <c r="AF374" i="4"/>
  <c r="A75" i="12"/>
  <c r="B151" i="6"/>
  <c r="C379" i="5"/>
  <c r="D363" i="4"/>
  <c r="G87" i="12"/>
  <c r="J151" i="6"/>
  <c r="E74" i="17"/>
  <c r="F54" i="16"/>
  <c r="A344" i="17"/>
  <c r="B241"/>
  <c r="F450"/>
  <c r="A186" i="7"/>
  <c r="C407" i="17"/>
  <c r="F184"/>
  <c r="E88" i="16"/>
  <c r="A131" i="7"/>
  <c r="D759" i="17"/>
  <c r="C258"/>
  <c r="A175" i="13"/>
  <c r="D199" i="7"/>
  <c r="I762" i="17"/>
  <c r="I260"/>
  <c r="A176" i="13"/>
  <c r="C202" i="7"/>
  <c r="A25" i="13"/>
  <c r="N172" i="6"/>
  <c r="O400" i="5"/>
  <c r="AI389" i="4"/>
  <c r="A2" i="11"/>
  <c r="J163" i="6"/>
  <c r="K391" i="5"/>
  <c r="AE378" i="4"/>
  <c r="H9" i="13"/>
  <c r="F154" i="6"/>
  <c r="G382" i="5"/>
  <c r="D367" i="4"/>
  <c r="H73" i="13"/>
  <c r="N154" i="6"/>
  <c r="D131" i="17"/>
  <c r="B5"/>
  <c r="I400"/>
  <c r="B253"/>
  <c r="H67" i="12"/>
  <c r="A194" i="7"/>
  <c r="B464" i="17"/>
  <c r="G191"/>
  <c r="H6"/>
  <c r="A139" i="7"/>
  <c r="H787" i="17"/>
  <c r="F306"/>
  <c r="A183" i="13"/>
  <c r="B221" i="7"/>
  <c r="D791" i="17"/>
  <c r="G313"/>
  <c r="A184" i="13"/>
  <c r="D223" i="7"/>
  <c r="A89" i="13"/>
  <c r="R175" i="6"/>
  <c r="S403" i="5"/>
  <c r="AI393" i="4"/>
  <c r="E66" i="12"/>
  <c r="N166" i="6"/>
  <c r="O394" i="5"/>
  <c r="J382" i="4"/>
  <c r="B39" i="12"/>
  <c r="J157" i="6"/>
  <c r="K385" i="5"/>
  <c r="D371" i="4"/>
  <c r="C48" i="12"/>
  <c r="R157" i="6"/>
  <c r="E187" i="17"/>
  <c r="C61"/>
  <c r="A457"/>
  <c r="H190"/>
  <c r="C3"/>
  <c r="A138" i="7"/>
  <c r="I482" i="17"/>
  <c r="I141"/>
  <c r="B183"/>
  <c r="A83" i="7"/>
  <c r="G588" i="17"/>
  <c r="H199"/>
  <c r="C99" i="25"/>
  <c r="D182" i="24"/>
  <c r="C289" i="20"/>
  <c r="A74" i="25"/>
  <c r="B79" i="23"/>
  <c r="A14" i="33"/>
  <c r="B207" i="23"/>
  <c r="D25" i="37"/>
  <c r="C129" i="20"/>
  <c r="H50" i="46"/>
  <c r="C161" i="20"/>
  <c r="G94" i="17"/>
  <c r="D77" i="16"/>
  <c r="G158" i="17"/>
  <c r="E32"/>
  <c r="H165"/>
  <c r="I331"/>
  <c r="F78" i="16"/>
  <c r="H24" i="12"/>
  <c r="M293" i="6"/>
  <c r="F210" i="23"/>
  <c r="G16" i="25"/>
  <c r="D45" i="20"/>
  <c r="H969" i="17"/>
  <c r="B522"/>
  <c r="H159"/>
  <c r="A82" i="13"/>
  <c r="F402" i="6"/>
  <c r="A523" i="17"/>
  <c r="G160"/>
  <c r="A83" i="13"/>
  <c r="B403" i="6"/>
  <c r="I395" i="17"/>
  <c r="F33"/>
  <c r="D123" i="12"/>
  <c r="I322" i="6"/>
  <c r="H605" i="17"/>
  <c r="H288" i="20"/>
  <c r="D117"/>
  <c r="H61" i="25"/>
  <c r="G684" i="17"/>
  <c r="C228"/>
  <c r="A154" i="13"/>
  <c r="D143" i="7"/>
  <c r="C688" i="17"/>
  <c r="E229"/>
  <c r="A155" i="13"/>
  <c r="C146" i="7"/>
  <c r="I459" i="17"/>
  <c r="F97"/>
  <c r="A12" i="13"/>
  <c r="E351" i="6"/>
  <c r="G662" i="17"/>
  <c r="B3" i="22"/>
  <c r="D125" i="20"/>
  <c r="G560" i="17"/>
  <c r="B713"/>
  <c r="H237"/>
  <c r="A162" i="13"/>
  <c r="B165" i="7"/>
  <c r="G716" i="17"/>
  <c r="I238"/>
  <c r="A163" i="13"/>
  <c r="D167" i="7"/>
  <c r="A467" i="17"/>
  <c r="G104"/>
  <c r="A20" i="13"/>
  <c r="I354" i="6"/>
  <c r="F719" i="17"/>
  <c r="F209" i="23"/>
  <c r="D133" i="20"/>
  <c r="H567" i="17"/>
  <c r="F741"/>
  <c r="C247"/>
  <c r="A170" i="13"/>
  <c r="C186" i="7"/>
  <c r="B745" i="17"/>
  <c r="H248"/>
  <c r="A171" i="13"/>
  <c r="B189" i="7"/>
  <c r="B474" i="17"/>
  <c r="H111"/>
  <c r="A28" i="13"/>
  <c r="B359" i="6"/>
  <c r="A212" i="17"/>
  <c r="A164" i="13"/>
  <c r="G389" i="17"/>
  <c r="D27"/>
  <c r="D111" i="12"/>
  <c r="M319" i="6"/>
  <c r="H340" i="17"/>
  <c r="F88" i="16"/>
  <c r="H34" i="12"/>
  <c r="M297" i="6"/>
  <c r="B898" i="17"/>
  <c r="I527"/>
  <c r="A21" i="12"/>
  <c r="B16" i="8"/>
  <c r="G901" i="17"/>
  <c r="A535"/>
  <c r="A22" i="12"/>
  <c r="B20" i="8"/>
  <c r="A126" i="7"/>
  <c r="S396" i="5"/>
  <c r="C208" i="6"/>
  <c r="L187" i="5"/>
  <c r="C162" i="7"/>
  <c r="O387" i="5"/>
  <c r="S198" i="6"/>
  <c r="H178" i="5"/>
  <c r="E337" i="6"/>
  <c r="K378" i="5"/>
  <c r="O189" i="6"/>
  <c r="D169" i="5"/>
  <c r="I340" i="6"/>
  <c r="S378" i="5"/>
  <c r="E49" i="17"/>
  <c r="B5" i="15"/>
  <c r="H396" i="17"/>
  <c r="E34"/>
  <c r="B127" i="12"/>
  <c r="Q322" i="6"/>
  <c r="I347" i="17"/>
  <c r="F96" i="16"/>
  <c r="E43" i="12"/>
  <c r="Q300" i="6"/>
  <c r="B928" i="17"/>
  <c r="D679"/>
  <c r="A29" i="12"/>
  <c r="Q230" i="6"/>
  <c r="H937" i="17"/>
  <c r="H707"/>
  <c r="A30" i="12"/>
  <c r="E231" i="6"/>
  <c r="A190" i="7"/>
  <c r="C400" i="5"/>
  <c r="G211" i="6"/>
  <c r="P190" i="5"/>
  <c r="A6" i="7"/>
  <c r="S390" i="5"/>
  <c r="C202" i="6"/>
  <c r="L181" i="5"/>
  <c r="J369" i="6"/>
  <c r="O381" i="5"/>
  <c r="S192" i="6"/>
  <c r="H172" i="5"/>
  <c r="R375" i="6"/>
  <c r="C382" i="5"/>
  <c r="H88" i="12"/>
  <c r="A112" i="17"/>
  <c r="I403"/>
  <c r="F41"/>
  <c r="B159" i="12"/>
  <c r="A326" i="6"/>
  <c r="A355" i="17"/>
  <c r="F104" i="16"/>
  <c r="G52" i="12"/>
  <c r="A304" i="6"/>
  <c r="H1003" i="17"/>
  <c r="I906"/>
  <c r="A37" i="12"/>
  <c r="A234" i="6"/>
  <c r="B3" i="19"/>
  <c r="D951" i="17"/>
  <c r="A38" i="12"/>
  <c r="I234" i="6"/>
  <c r="A254" i="7"/>
  <c r="G403" i="5"/>
  <c r="K214" i="6"/>
  <c r="T193" i="5"/>
  <c r="A70" i="7"/>
  <c r="C394" i="5"/>
  <c r="G205" i="6"/>
  <c r="P184" i="5"/>
  <c r="B13" i="7"/>
  <c r="S384" i="5"/>
  <c r="C196" i="6"/>
  <c r="L175" i="5"/>
  <c r="C34" i="7"/>
  <c r="A56" i="20"/>
  <c r="E128" i="12"/>
  <c r="E182" i="13"/>
  <c r="E200" i="12"/>
  <c r="H66" i="16"/>
  <c r="E208" i="12"/>
  <c r="E2" i="25"/>
  <c r="F98"/>
  <c r="I684" i="17"/>
  <c r="A9" i="24"/>
  <c r="A692" i="17"/>
  <c r="A17" i="24"/>
  <c r="B699" i="17"/>
  <c r="A225" i="24"/>
  <c r="D649" i="17"/>
  <c r="H12" i="25"/>
  <c r="E656" i="17"/>
  <c r="F132" i="12"/>
  <c r="A13" i="17"/>
  <c r="F204" i="12"/>
  <c r="F62"/>
  <c r="F212"/>
  <c r="E14" i="25"/>
  <c r="F103"/>
  <c r="H741" i="17"/>
  <c r="A2" i="23"/>
  <c r="I748" i="17"/>
  <c r="A58" i="23"/>
  <c r="A756" i="17"/>
  <c r="A25" i="24"/>
  <c r="C706" i="17"/>
  <c r="A81" i="24"/>
  <c r="D713" i="17"/>
  <c r="F196" i="12"/>
  <c r="F54"/>
  <c r="E12" i="13"/>
  <c r="F126" i="12"/>
  <c r="E20" i="13"/>
  <c r="H132" i="23"/>
  <c r="A250"/>
  <c r="G798" i="17"/>
  <c r="H3" i="24"/>
  <c r="H805" i="17"/>
  <c r="H59" i="24"/>
  <c r="I812" i="17"/>
  <c r="A66" i="23"/>
  <c r="B763" i="17"/>
  <c r="A122" i="23"/>
  <c r="C770" i="17"/>
  <c r="E4" i="13"/>
  <c r="F118" i="12"/>
  <c r="E33" i="24"/>
  <c r="B210" i="20"/>
  <c r="F118" i="23"/>
  <c r="D99" i="16"/>
  <c r="G40" i="13"/>
  <c r="I381" i="6"/>
  <c r="E554" i="17"/>
  <c r="D100" i="16"/>
  <c r="G41" i="13"/>
  <c r="Q381" i="6"/>
  <c r="A897" i="17"/>
  <c r="F3" i="14"/>
  <c r="H154" i="12"/>
  <c r="A281" i="7"/>
  <c r="A166" i="23"/>
  <c r="D235" i="20"/>
  <c r="F6" i="22"/>
  <c r="B274" i="20"/>
  <c r="C604" i="17"/>
  <c r="D107" i="16"/>
  <c r="G48" i="13"/>
  <c r="M384" i="6"/>
  <c r="D611" i="17"/>
  <c r="D108" i="16"/>
  <c r="G49" i="13"/>
  <c r="A385" i="6"/>
  <c r="A1001" i="17"/>
  <c r="C100" i="25"/>
  <c r="B221" i="24"/>
  <c r="F84"/>
  <c r="A220"/>
  <c r="H237" i="20"/>
  <c r="H241"/>
  <c r="H245"/>
  <c r="H249"/>
  <c r="D176" i="24"/>
  <c r="D118" i="23"/>
  <c r="D119"/>
  <c r="G59" i="24"/>
  <c r="A979" i="17"/>
  <c r="A854"/>
  <c r="I979"/>
  <c r="I854"/>
  <c r="H980"/>
  <c r="H855"/>
  <c r="G981"/>
  <c r="G856"/>
  <c r="F982"/>
  <c r="F857"/>
  <c r="E983"/>
  <c r="E858"/>
  <c r="A68" i="25"/>
  <c r="D126" i="23"/>
  <c r="D127"/>
  <c r="G67" i="24"/>
  <c r="B986" i="17"/>
  <c r="B861"/>
  <c r="A987"/>
  <c r="A862"/>
  <c r="I987"/>
  <c r="I862"/>
  <c r="H988"/>
  <c r="H863"/>
  <c r="G989"/>
  <c r="G864"/>
  <c r="F990"/>
  <c r="F865"/>
  <c r="D4" i="33"/>
  <c r="D134" i="23"/>
  <c r="D135"/>
  <c r="G75" i="24"/>
  <c r="C993" i="17"/>
  <c r="C868"/>
  <c r="B994"/>
  <c r="B869"/>
  <c r="A995"/>
  <c r="A870"/>
  <c r="I995"/>
  <c r="I870"/>
  <c r="H996"/>
  <c r="H871"/>
  <c r="G997"/>
  <c r="G872"/>
  <c r="D11" i="37"/>
  <c r="D78" i="23"/>
  <c r="D79"/>
  <c r="G19" i="24"/>
  <c r="E943" i="17"/>
  <c r="E818"/>
  <c r="D944"/>
  <c r="D819"/>
  <c r="C945"/>
  <c r="C820"/>
  <c r="B946"/>
  <c r="B821"/>
  <c r="A947"/>
  <c r="A822"/>
  <c r="I947"/>
  <c r="I822"/>
  <c r="D38" i="46"/>
  <c r="D86" i="23"/>
  <c r="D87"/>
  <c r="G27" i="24"/>
  <c r="F950" i="17"/>
  <c r="F825"/>
  <c r="E951"/>
  <c r="E826"/>
  <c r="D952"/>
  <c r="D827"/>
  <c r="C953"/>
  <c r="B83" i="24"/>
  <c r="D171" i="20"/>
  <c r="B143" i="23"/>
  <c r="B146" i="20"/>
  <c r="H971" i="17"/>
  <c r="D91" i="16"/>
  <c r="G32" i="13"/>
  <c r="E378" i="6"/>
  <c r="B991" i="17"/>
  <c r="D92" i="16"/>
  <c r="G33" i="13"/>
  <c r="M378" i="6"/>
  <c r="B840" i="17"/>
  <c r="G226" i="13"/>
  <c r="H146" i="12"/>
  <c r="A273" i="7"/>
  <c r="C512" i="17"/>
  <c r="C961"/>
  <c r="E216" i="23"/>
  <c r="B588" i="17"/>
  <c r="F146" i="23"/>
  <c r="I44" i="17"/>
  <c r="G104" i="13"/>
  <c r="A407" i="6"/>
  <c r="E553" i="17"/>
  <c r="H45"/>
  <c r="G105" i="13"/>
  <c r="I407" i="6"/>
  <c r="G898" i="17"/>
  <c r="D21" i="16"/>
  <c r="H218" i="12"/>
  <c r="G33" i="9"/>
  <c r="D616" i="17"/>
  <c r="A1011"/>
  <c r="E248" i="23"/>
  <c r="C595" i="17"/>
  <c r="C603"/>
  <c r="A52"/>
  <c r="G112" i="13"/>
  <c r="E410" i="6"/>
  <c r="D610" i="17"/>
  <c r="I52"/>
  <c r="G113" i="13"/>
  <c r="M410" i="6"/>
  <c r="E1005" i="17"/>
  <c r="D182" i="46"/>
  <c r="F67" i="24"/>
  <c r="G16" i="37"/>
  <c r="I71" i="46"/>
  <c r="G241" i="20"/>
  <c r="G245"/>
  <c r="G249"/>
  <c r="G253"/>
  <c r="D183" i="24"/>
  <c r="D182" i="23"/>
  <c r="D183"/>
  <c r="B138" i="24"/>
  <c r="C25" i="20"/>
  <c r="I910" i="17"/>
  <c r="C27" i="20"/>
  <c r="H911" i="17"/>
  <c r="C33" i="20"/>
  <c r="G912" i="17"/>
  <c r="C35" i="20"/>
  <c r="F913" i="17"/>
  <c r="C41" i="20"/>
  <c r="E914" i="17"/>
  <c r="C43" i="20"/>
  <c r="D915" i="17"/>
  <c r="A75" i="25"/>
  <c r="D190" i="23"/>
  <c r="D191"/>
  <c r="B154" i="24"/>
  <c r="C57" i="20"/>
  <c r="A918" i="17"/>
  <c r="C59" i="20"/>
  <c r="I918" i="17"/>
  <c r="C65" i="20"/>
  <c r="H919" i="17"/>
  <c r="C67" i="20"/>
  <c r="G920" i="17"/>
  <c r="C73" i="20"/>
  <c r="F921" i="17"/>
  <c r="C75" i="20"/>
  <c r="E922" i="17"/>
  <c r="F15" i="33"/>
  <c r="D198" i="23"/>
  <c r="D199"/>
  <c r="B170" i="24"/>
  <c r="C89" i="20"/>
  <c r="B925" i="17"/>
  <c r="C91" i="20"/>
  <c r="E926" i="17"/>
  <c r="C97" i="20"/>
  <c r="A929" i="17"/>
  <c r="C99" i="20"/>
  <c r="F931" i="17"/>
  <c r="C105" i="20"/>
  <c r="F933" i="17"/>
  <c r="C107" i="20"/>
  <c r="B936" i="17"/>
  <c r="D18" i="37"/>
  <c r="D142" i="23"/>
  <c r="D143"/>
  <c r="G83" i="24"/>
  <c r="D1000" i="17"/>
  <c r="D875"/>
  <c r="C1001"/>
  <c r="C876"/>
  <c r="B1002"/>
  <c r="B877"/>
  <c r="A1003"/>
  <c r="A878"/>
  <c r="I1003"/>
  <c r="I878"/>
  <c r="H1004"/>
  <c r="H879"/>
  <c r="F44" i="46"/>
  <c r="D150" i="23"/>
  <c r="D151"/>
  <c r="G91" i="24"/>
  <c r="E1007" i="17"/>
  <c r="E882"/>
  <c r="D1008"/>
  <c r="D883"/>
  <c r="C1009"/>
  <c r="C884"/>
  <c r="B1010"/>
  <c r="D455"/>
  <c r="B954"/>
  <c r="E184" i="23"/>
  <c r="A581" i="17"/>
  <c r="H978"/>
  <c r="H37"/>
  <c r="G96" i="13"/>
  <c r="Q403" i="6"/>
  <c r="F997" i="17"/>
  <c r="G38"/>
  <c r="G97" i="13"/>
  <c r="E404" i="6"/>
  <c r="H841" i="17"/>
  <c r="D13" i="16"/>
  <c r="H210" i="12"/>
  <c r="G25" i="9"/>
  <c r="D550" i="17"/>
  <c r="D49" i="24"/>
  <c r="F3" i="21"/>
  <c r="A645" i="17"/>
  <c r="F174" i="23"/>
  <c r="H101" i="17"/>
  <c r="G168" i="13"/>
  <c r="H40" i="7"/>
  <c r="C554" i="17"/>
  <c r="G102"/>
  <c r="G169" i="13"/>
  <c r="H41" i="7"/>
  <c r="D900" i="17"/>
  <c r="D85" i="16"/>
  <c r="G26" i="13"/>
  <c r="Q375" i="6"/>
  <c r="B769" i="17"/>
  <c r="D40" i="23"/>
  <c r="D48"/>
  <c r="B652" i="17"/>
  <c r="A604"/>
  <c r="I108"/>
  <c r="G176" i="13"/>
  <c r="H48" i="7"/>
  <c r="B611" i="17"/>
  <c r="H109"/>
  <c r="G177" i="13"/>
  <c r="H49" i="7"/>
  <c r="I1009" i="17"/>
  <c r="F254" i="20"/>
  <c r="E71"/>
  <c r="E75"/>
  <c r="E79"/>
  <c r="E83"/>
  <c r="E87"/>
  <c r="E91"/>
  <c r="E31"/>
  <c r="E35"/>
  <c r="E39"/>
  <c r="D636" i="17"/>
  <c r="A242" i="6"/>
  <c r="D700" i="17"/>
  <c r="Q270" i="6"/>
  <c r="E707" i="17"/>
  <c r="A274" i="6"/>
  <c r="E96" i="17"/>
  <c r="G162" i="13"/>
  <c r="H34" i="7"/>
  <c r="F90" i="23"/>
  <c r="I514" i="17"/>
  <c r="G516"/>
  <c r="I829"/>
  <c r="G231" i="20"/>
  <c r="A754" i="17"/>
  <c r="G179" i="12"/>
  <c r="H248" i="7"/>
  <c r="G239" i="20"/>
  <c r="E782" i="17"/>
  <c r="G180" i="12"/>
  <c r="H249" i="7"/>
  <c r="A13" i="20"/>
  <c r="E160" i="17"/>
  <c r="F20" i="15"/>
  <c r="H106" i="7"/>
  <c r="B605" i="17"/>
  <c r="C375"/>
  <c r="A377"/>
  <c r="I893"/>
  <c r="C10" i="22"/>
  <c r="D25" i="15"/>
  <c r="G251" i="12"/>
  <c r="F8" i="9"/>
  <c r="F24" i="23"/>
  <c r="D26" i="15"/>
  <c r="G252" i="12"/>
  <c r="F9" i="9"/>
  <c r="H179" i="20"/>
  <c r="B229" i="17"/>
  <c r="G202"/>
  <c r="H178" i="7"/>
  <c r="A662" i="17"/>
  <c r="D382"/>
  <c r="B384"/>
  <c r="A901"/>
  <c r="F248" i="23"/>
  <c r="C3" i="16"/>
  <c r="F3" i="13"/>
  <c r="F16" i="9"/>
  <c r="E44" i="24"/>
  <c r="C4" i="16"/>
  <c r="F4" i="13"/>
  <c r="F17" i="9"/>
  <c r="H243" i="20"/>
  <c r="G238" i="17"/>
  <c r="F386"/>
  <c r="H186" i="7"/>
  <c r="I718" i="17"/>
  <c r="B432"/>
  <c r="I433"/>
  <c r="B908"/>
  <c r="B956"/>
  <c r="C11" i="16"/>
  <c r="F11" i="13"/>
  <c r="F24" i="9"/>
  <c r="C963" i="17"/>
  <c r="C12" i="16"/>
  <c r="F12" i="13"/>
  <c r="F25" i="9"/>
  <c r="F29" i="23"/>
  <c r="E248" i="17"/>
  <c r="G125" i="12"/>
  <c r="H194" i="7"/>
  <c r="D265" i="17"/>
  <c r="D538"/>
  <c r="B32" i="20"/>
  <c r="C154" i="17"/>
  <c r="A2" i="15"/>
  <c r="H99" i="7"/>
  <c r="F575" i="17"/>
  <c r="D105"/>
  <c r="G172" i="13"/>
  <c r="H44" i="7"/>
  <c r="B694" i="17"/>
  <c r="D56" i="16"/>
  <c r="H253" i="12"/>
  <c r="E364" i="6"/>
  <c r="C701" i="17"/>
  <c r="D57" i="16"/>
  <c r="H254" i="12"/>
  <c r="M364" i="6"/>
  <c r="G42" i="16"/>
  <c r="F363" i="5"/>
  <c r="F157" i="6"/>
  <c r="O152" i="5"/>
  <c r="F13" i="15"/>
  <c r="B354" i="5"/>
  <c r="B148" i="6"/>
  <c r="K143" i="5"/>
  <c r="B47" i="13"/>
  <c r="R344" i="5"/>
  <c r="R138" i="6"/>
  <c r="G134" i="5"/>
  <c r="B55" i="13"/>
  <c r="F345" i="5"/>
  <c r="C322" i="17"/>
  <c r="B721"/>
  <c r="A21" i="20"/>
  <c r="D161" i="17"/>
  <c r="B23" i="15"/>
  <c r="H107" i="7"/>
  <c r="E632" i="17"/>
  <c r="E112"/>
  <c r="G180" i="13"/>
  <c r="H52" i="7"/>
  <c r="A751" i="17"/>
  <c r="D64" i="16"/>
  <c r="G5" i="13"/>
  <c r="I367" i="6"/>
  <c r="B758" i="17"/>
  <c r="D65" i="16"/>
  <c r="G6" i="13"/>
  <c r="Q367" i="6"/>
  <c r="G106" i="16"/>
  <c r="J366" i="5"/>
  <c r="J160" i="6"/>
  <c r="S155" i="5"/>
  <c r="C134" i="17"/>
  <c r="F357" i="5"/>
  <c r="F151" i="6"/>
  <c r="O146" i="5"/>
  <c r="B111" i="13"/>
  <c r="B348" i="5"/>
  <c r="B142" i="6"/>
  <c r="K137" i="5"/>
  <c r="B119" i="13"/>
  <c r="J348" i="5"/>
  <c r="B379" i="17"/>
  <c r="I986"/>
  <c r="A85" i="20"/>
  <c r="E168" i="17"/>
  <c r="H19" i="16"/>
  <c r="H115" i="7"/>
  <c r="D689" i="17"/>
  <c r="F119"/>
  <c r="G188" i="13"/>
  <c r="H60" i="7"/>
  <c r="I807" i="17"/>
  <c r="D72" i="16"/>
  <c r="G13" i="13"/>
  <c r="M370" i="6"/>
  <c r="A815" i="17"/>
  <c r="D73" i="16"/>
  <c r="G14" i="13"/>
  <c r="A371" i="6"/>
  <c r="E51" i="17"/>
  <c r="N369" i="5"/>
  <c r="N163" i="6"/>
  <c r="C159" i="5"/>
  <c r="H16" i="15"/>
  <c r="J360" i="5"/>
  <c r="J154" i="6"/>
  <c r="S149" i="5"/>
  <c r="B175" i="13"/>
  <c r="F351" i="5"/>
  <c r="F145" i="6"/>
  <c r="O140" i="5"/>
  <c r="B183" i="13"/>
  <c r="N351" i="5"/>
  <c r="A436" i="17"/>
  <c r="H309"/>
  <c r="A149" i="20"/>
  <c r="F175" i="17"/>
  <c r="H51" i="16"/>
  <c r="H123" i="7"/>
  <c r="C746" i="17"/>
  <c r="G126"/>
  <c r="G196" i="13"/>
  <c r="H68" i="7"/>
  <c r="H864" i="17"/>
  <c r="D80" i="16"/>
  <c r="G21" i="13"/>
  <c r="Q373" i="6"/>
  <c r="I871" i="17"/>
  <c r="D81" i="16"/>
  <c r="G22" i="13"/>
  <c r="E374" i="6"/>
  <c r="D108" i="17"/>
  <c r="R372" i="5"/>
  <c r="R166" i="6"/>
  <c r="G162" i="5"/>
  <c r="G50" i="16"/>
  <c r="N363" i="5"/>
  <c r="N157" i="6"/>
  <c r="C153" i="5"/>
  <c r="E9" i="16"/>
  <c r="J354" i="5"/>
  <c r="J148" i="6"/>
  <c r="S143" i="5"/>
  <c r="E41" i="16"/>
  <c r="R354" i="5"/>
  <c r="I492" i="17"/>
  <c r="G366"/>
  <c r="A213" i="20"/>
  <c r="G182" i="17"/>
  <c r="H83" i="16"/>
  <c r="H131" i="7"/>
  <c r="B803" i="17"/>
  <c r="H133"/>
  <c r="G204" i="13"/>
  <c r="H76" i="7"/>
  <c r="G921" i="17"/>
  <c r="D88" i="16"/>
  <c r="G29" i="13"/>
  <c r="A377" i="6"/>
  <c r="C934" i="17"/>
  <c r="D89" i="16"/>
  <c r="G30" i="13"/>
  <c r="I377" i="6"/>
  <c r="C165" i="17"/>
  <c r="B376" i="5"/>
  <c r="B170" i="6"/>
  <c r="K165" i="5"/>
  <c r="G114" i="16"/>
  <c r="R366" i="5"/>
  <c r="R160" i="6"/>
  <c r="G156" i="5"/>
  <c r="B191" i="17"/>
  <c r="N357" i="5"/>
  <c r="N151" i="6"/>
  <c r="C147" i="5"/>
  <c r="B294" i="17"/>
  <c r="B358" i="5"/>
  <c r="I493" i="17"/>
  <c r="G367"/>
  <c r="A796"/>
  <c r="I132"/>
  <c r="G203" i="13"/>
  <c r="H75" i="7"/>
  <c r="C859" i="17"/>
  <c r="A84"/>
  <c r="G148" i="13"/>
  <c r="H20" i="7"/>
  <c r="B124" i="20"/>
  <c r="D32" i="16"/>
  <c r="H229" i="12"/>
  <c r="I672" i="17"/>
  <c r="D72" i="20"/>
  <c r="D76"/>
  <c r="D80"/>
  <c r="D84"/>
  <c r="D88"/>
  <c r="D92"/>
  <c r="D32"/>
  <c r="D36"/>
  <c r="D40"/>
  <c r="I638" i="17"/>
  <c r="A32" i="7"/>
  <c r="I702" i="17"/>
  <c r="A104" i="7"/>
  <c r="A710" i="17"/>
  <c r="A112" i="7"/>
  <c r="D153" i="17"/>
  <c r="G1" i="15"/>
  <c r="H98" i="7"/>
  <c r="F150" i="23"/>
  <c r="E325" i="17"/>
  <c r="C327"/>
  <c r="H886"/>
  <c r="F235" i="20"/>
  <c r="D17" i="15"/>
  <c r="G243" i="12"/>
  <c r="G20" i="8"/>
  <c r="F243" i="20"/>
  <c r="D18" i="15"/>
  <c r="G244" i="12"/>
  <c r="G1" i="9"/>
  <c r="H115" i="20"/>
  <c r="G219" i="17"/>
  <c r="H145"/>
  <c r="H170" i="7"/>
  <c r="B604" i="17"/>
  <c r="D751"/>
  <c r="E758"/>
  <c r="I992"/>
  <c r="G12" i="22"/>
  <c r="C59" i="16"/>
  <c r="F59" i="13"/>
  <c r="H365" i="6"/>
  <c r="B28" i="23"/>
  <c r="C60" i="16"/>
  <c r="F60" i="13"/>
  <c r="P365" i="6"/>
  <c r="G183" i="20"/>
  <c r="D583" i="17"/>
  <c r="G173" i="12"/>
  <c r="H242" i="7"/>
  <c r="A661" i="17"/>
  <c r="H779"/>
  <c r="I786"/>
  <c r="G1011"/>
  <c r="B252" i="23"/>
  <c r="C67" i="16"/>
  <c r="F67" i="13"/>
  <c r="L368" i="6"/>
  <c r="E51" i="24"/>
  <c r="C68" i="16"/>
  <c r="F68" i="13"/>
  <c r="T368" i="6"/>
  <c r="G247" i="20"/>
  <c r="I810" i="17"/>
  <c r="G181" i="12"/>
  <c r="H250" i="7"/>
  <c r="I717" i="17"/>
  <c r="B150" i="20"/>
  <c r="B214"/>
  <c r="B17"/>
  <c r="H957" i="17"/>
  <c r="C75" i="16"/>
  <c r="F75" i="13"/>
  <c r="P371" i="6"/>
  <c r="I964" i="17"/>
  <c r="C76" i="16"/>
  <c r="F76" i="13"/>
  <c r="D372" i="6"/>
  <c r="B45" i="23"/>
  <c r="F210" i="13"/>
  <c r="G189" i="12"/>
  <c r="H258" i="7"/>
  <c r="B266" i="17"/>
  <c r="H716"/>
  <c r="H59" i="20"/>
  <c r="D211" i="17"/>
  <c r="A96"/>
  <c r="H163" i="7"/>
  <c r="A29" i="20"/>
  <c r="C162" i="17"/>
  <c r="A26" i="15"/>
  <c r="H108" i="7"/>
  <c r="G696" i="17"/>
  <c r="G6"/>
  <c r="G61" i="13"/>
  <c r="Q389" i="6"/>
  <c r="H703" i="17"/>
  <c r="F7"/>
  <c r="G62" i="13"/>
  <c r="E390" i="6"/>
  <c r="F43" i="16"/>
  <c r="R388" i="5"/>
  <c r="R182" i="6"/>
  <c r="G178" i="5"/>
  <c r="E235" i="17"/>
  <c r="N379" i="5"/>
  <c r="N173" i="6"/>
  <c r="C169" i="5"/>
  <c r="G65" i="17"/>
  <c r="J370" i="5"/>
  <c r="J164" i="6"/>
  <c r="S159" i="5"/>
  <c r="H72" i="17"/>
  <c r="R370" i="5"/>
  <c r="A323" i="17"/>
  <c r="D975"/>
  <c r="H123" i="20"/>
  <c r="I220" i="17"/>
  <c r="I152"/>
  <c r="H171" i="7"/>
  <c r="A93" i="20"/>
  <c r="D169" i="17"/>
  <c r="H23" i="16"/>
  <c r="H116" i="7"/>
  <c r="F753" i="17"/>
  <c r="H13"/>
  <c r="G69" i="13"/>
  <c r="A393" i="6"/>
  <c r="G760" i="17"/>
  <c r="G14"/>
  <c r="G70" i="13"/>
  <c r="I393" i="6"/>
  <c r="F107" i="16"/>
  <c r="B392" i="5"/>
  <c r="B186" i="6"/>
  <c r="K181" i="5"/>
  <c r="C736" i="17"/>
  <c r="R382" i="5"/>
  <c r="R176" i="6"/>
  <c r="G172" i="5"/>
  <c r="F122" i="17"/>
  <c r="N373" i="5"/>
  <c r="N167" i="6"/>
  <c r="C163" i="5"/>
  <c r="G129" i="17"/>
  <c r="B374" i="5"/>
  <c r="I379" i="17"/>
  <c r="G253"/>
  <c r="H187" i="20"/>
  <c r="D230" i="17"/>
  <c r="H209"/>
  <c r="H179" i="7"/>
  <c r="A157" i="20"/>
  <c r="E176" i="17"/>
  <c r="H55" i="16"/>
  <c r="H124" i="7"/>
  <c r="E810" i="17"/>
  <c r="I20"/>
  <c r="G77" i="13"/>
  <c r="E396" i="6"/>
  <c r="F817" i="17"/>
  <c r="H21"/>
  <c r="G78" i="13"/>
  <c r="M396" i="6"/>
  <c r="C52" i="17"/>
  <c r="F395" i="5"/>
  <c r="F189" i="6"/>
  <c r="O184" i="5"/>
  <c r="G17" i="15"/>
  <c r="B386" i="5"/>
  <c r="B180" i="6"/>
  <c r="K175" i="5"/>
  <c r="E179" i="17"/>
  <c r="R376" i="5"/>
  <c r="R170" i="6"/>
  <c r="G166" i="5"/>
  <c r="F186" i="17"/>
  <c r="F377" i="5"/>
  <c r="H436" i="17"/>
  <c r="F310"/>
  <c r="H251" i="20"/>
  <c r="H239" i="17"/>
  <c r="E443"/>
  <c r="H187" i="7"/>
  <c r="A221" i="20"/>
  <c r="F183" i="17"/>
  <c r="H87" i="16"/>
  <c r="H132" i="7"/>
  <c r="D867" i="17"/>
  <c r="A28"/>
  <c r="G85" i="13"/>
  <c r="I399" i="6"/>
  <c r="E874" i="17"/>
  <c r="I28"/>
  <c r="G86" i="13"/>
  <c r="Q399" i="6"/>
  <c r="B109" i="17"/>
  <c r="J398" i="5"/>
  <c r="J192" i="6"/>
  <c r="S187" i="5"/>
  <c r="F51" i="16"/>
  <c r="F389" i="5"/>
  <c r="F183" i="6"/>
  <c r="O178" i="5"/>
  <c r="A245" i="17"/>
  <c r="B380" i="5"/>
  <c r="B174" i="6"/>
  <c r="K169" i="5"/>
  <c r="C261" i="17"/>
  <c r="J380" i="5"/>
  <c r="G493" i="17"/>
  <c r="E367"/>
  <c r="F61" i="23"/>
  <c r="E250" i="17"/>
  <c r="G126" i="12"/>
  <c r="H195" i="7"/>
  <c r="A285" i="20"/>
  <c r="G190" i="17"/>
  <c r="C6"/>
  <c r="H140" i="7"/>
  <c r="C924" i="17"/>
  <c r="B35"/>
  <c r="G93" i="13"/>
  <c r="M402" i="6"/>
  <c r="G940" i="17"/>
  <c r="A36"/>
  <c r="G94" i="13"/>
  <c r="A403" i="6"/>
  <c r="A166" i="17"/>
  <c r="N401" i="5"/>
  <c r="N195" i="6"/>
  <c r="C191" i="5"/>
  <c r="F115" i="16"/>
  <c r="J392" i="5"/>
  <c r="J186" i="6"/>
  <c r="S181" i="5"/>
  <c r="B78" i="20"/>
  <c r="F383" i="5"/>
  <c r="F177" i="6"/>
  <c r="O172" i="5"/>
  <c r="A216" i="13"/>
  <c r="N383" i="5"/>
  <c r="H549" i="17"/>
  <c r="F423"/>
  <c r="A277" i="20"/>
  <c r="H189" i="17"/>
  <c r="H115" i="16"/>
  <c r="H139" i="7"/>
  <c r="A860" i="17"/>
  <c r="I140"/>
  <c r="D216" i="13"/>
  <c r="H84" i="7"/>
  <c r="B139" i="20"/>
  <c r="D96" i="16"/>
  <c r="G37" i="13"/>
  <c r="F257" i="20"/>
  <c r="B42"/>
  <c r="B74"/>
  <c r="B106"/>
  <c r="B138"/>
  <c r="B170"/>
  <c r="B202"/>
  <c r="H945" i="17"/>
  <c r="I954"/>
  <c r="F964"/>
  <c r="B976"/>
  <c r="E843"/>
  <c r="F202" i="23"/>
  <c r="I902" i="17"/>
  <c r="A61" i="20"/>
  <c r="C4" i="19"/>
  <c r="E211" i="17"/>
  <c r="H89"/>
  <c r="A161" i="7"/>
  <c r="E34" i="23"/>
  <c r="E7" i="19"/>
  <c r="C177" i="20"/>
  <c r="C976" i="17"/>
  <c r="F658"/>
  <c r="D51" i="16"/>
  <c r="H248" i="12"/>
  <c r="E362" i="6"/>
  <c r="G665" i="17"/>
  <c r="D52" i="16"/>
  <c r="H249" i="12"/>
  <c r="M362" i="6"/>
  <c r="G555" i="17"/>
  <c r="I511"/>
  <c r="H106" i="12"/>
  <c r="A233" i="7"/>
  <c r="G192" i="23"/>
  <c r="G9" i="22"/>
  <c r="E56" i="23"/>
  <c r="G40" i="25"/>
  <c r="A718" i="17"/>
  <c r="D9"/>
  <c r="G64" i="13"/>
  <c r="A391" i="6"/>
  <c r="B725" i="17"/>
  <c r="C10"/>
  <c r="G65" i="13"/>
  <c r="I391" i="6"/>
  <c r="C614" i="17"/>
  <c r="E11" i="15"/>
  <c r="H178" i="12"/>
  <c r="H13" i="8"/>
  <c r="G284" i="17"/>
  <c r="F23" i="23"/>
  <c r="E88"/>
  <c r="G559" i="17"/>
  <c r="I774"/>
  <c r="E16"/>
  <c r="G72" i="13"/>
  <c r="E394" i="6"/>
  <c r="A782" i="17"/>
  <c r="D17"/>
  <c r="G73" i="13"/>
  <c r="M394" i="6"/>
  <c r="B671" i="17"/>
  <c r="E19" i="15"/>
  <c r="H186" i="12"/>
  <c r="H1" i="9"/>
  <c r="F341" i="17"/>
  <c r="F247" i="23"/>
  <c r="E120"/>
  <c r="H566" i="17"/>
  <c r="H831"/>
  <c r="F23"/>
  <c r="G80" i="13"/>
  <c r="I397" i="6"/>
  <c r="I838" i="17"/>
  <c r="E24"/>
  <c r="G81" i="13"/>
  <c r="Q397" i="6"/>
  <c r="A728" i="17"/>
  <c r="E27" i="15"/>
  <c r="H194" i="12"/>
  <c r="G9" i="9"/>
  <c r="E145" i="17"/>
  <c r="B240"/>
  <c r="G853"/>
  <c r="B462"/>
  <c r="H99" i="12"/>
  <c r="A226" i="7"/>
  <c r="D237" i="17"/>
  <c r="D223"/>
  <c r="I160"/>
  <c r="A171" i="7"/>
  <c r="F901" i="17"/>
  <c r="B534"/>
  <c r="B221" i="13"/>
  <c r="C19" i="8"/>
  <c r="B905" i="17"/>
  <c r="C541"/>
  <c r="B223" i="13"/>
  <c r="B8" i="9"/>
  <c r="E68" i="16"/>
  <c r="N188" i="6"/>
  <c r="O416" i="5"/>
  <c r="AF409" i="4"/>
  <c r="A161" i="13"/>
  <c r="J179" i="6"/>
  <c r="K407" i="5"/>
  <c r="F398" i="4"/>
  <c r="H31" i="13"/>
  <c r="F170" i="6"/>
  <c r="G398" i="5"/>
  <c r="AJ386" i="4"/>
  <c r="H95" i="13"/>
  <c r="N170" i="6"/>
  <c r="D202" i="17"/>
  <c r="E846"/>
  <c r="H562"/>
  <c r="A519"/>
  <c r="H107" i="12"/>
  <c r="A234" i="7"/>
  <c r="C294" i="17"/>
  <c r="H232"/>
  <c r="C220"/>
  <c r="A179" i="7"/>
  <c r="B937" i="17"/>
  <c r="C704"/>
  <c r="G7" i="14"/>
  <c r="A4" i="7"/>
  <c r="H946" i="17"/>
  <c r="G732"/>
  <c r="C10" i="14"/>
  <c r="A5" i="7"/>
  <c r="H63" i="12"/>
  <c r="R191" i="6"/>
  <c r="R6"/>
  <c r="J413" i="4"/>
  <c r="B13" i="14"/>
  <c r="N182" i="6"/>
  <c r="O410" i="5"/>
  <c r="E402" i="4"/>
  <c r="A41" i="13"/>
  <c r="J173" i="6"/>
  <c r="K401" i="5"/>
  <c r="AI390" i="4"/>
  <c r="A49" i="13"/>
  <c r="R173" i="6"/>
  <c r="I383" i="17"/>
  <c r="A133"/>
  <c r="G619"/>
  <c r="H643"/>
  <c r="H115" i="12"/>
  <c r="A242" i="7"/>
  <c r="B351" i="17"/>
  <c r="D242"/>
  <c r="E507"/>
  <c r="A187" i="7"/>
  <c r="C2" i="19"/>
  <c r="C942" i="17"/>
  <c r="B13" i="15"/>
  <c r="A12" i="7"/>
  <c r="C18" i="19"/>
  <c r="B46" i="20"/>
  <c r="A16" i="15"/>
  <c r="A13" i="7"/>
  <c r="H127" i="12"/>
  <c r="B195" i="6"/>
  <c r="B10"/>
  <c r="I417" i="4"/>
  <c r="G90" i="17"/>
  <c r="R185" i="6"/>
  <c r="S413" i="5"/>
  <c r="D406" i="4"/>
  <c r="A105" i="13"/>
  <c r="N176" i="6"/>
  <c r="O404" i="5"/>
  <c r="AH394" i="4"/>
  <c r="A113" i="13"/>
  <c r="G259" i="17"/>
  <c r="B209"/>
  <c r="I82"/>
  <c r="A495"/>
  <c r="I146"/>
  <c r="I551"/>
  <c r="H65" i="46"/>
  <c r="D303" i="17"/>
  <c r="I306"/>
  <c r="E310"/>
  <c r="A314"/>
  <c r="F317"/>
  <c r="B321"/>
  <c r="G324"/>
  <c r="E227" i="24"/>
  <c r="D228"/>
  <c r="E278" i="17"/>
  <c r="I431"/>
  <c r="A139"/>
  <c r="D1" i="15"/>
  <c r="A203" i="17"/>
  <c r="C9" i="15"/>
  <c r="H350" i="46"/>
  <c r="C360" i="17"/>
  <c r="H363"/>
  <c r="D367"/>
  <c r="I370"/>
  <c r="E374"/>
  <c r="A378"/>
  <c r="F381"/>
  <c r="C328"/>
  <c r="H331"/>
  <c r="D335"/>
  <c r="D9" i="14"/>
  <c r="I195" i="17"/>
  <c r="B35" i="16"/>
  <c r="C389" i="17"/>
  <c r="B43" i="16"/>
  <c r="H164" i="23"/>
  <c r="B417" i="17"/>
  <c r="G420"/>
  <c r="C424"/>
  <c r="H427"/>
  <c r="D431"/>
  <c r="I434"/>
  <c r="E438"/>
  <c r="B385"/>
  <c r="G388"/>
  <c r="C392"/>
  <c r="B27" i="16"/>
  <c r="D332" i="17"/>
  <c r="B271"/>
  <c r="B209" i="20"/>
  <c r="D110"/>
  <c r="C99" i="16"/>
  <c r="F99" i="13"/>
  <c r="H381" i="6"/>
  <c r="D118" i="20"/>
  <c r="C100" i="16"/>
  <c r="F100" i="13"/>
  <c r="P381" i="6"/>
  <c r="G15" i="19"/>
  <c r="E3" i="14"/>
  <c r="G213" i="12"/>
  <c r="H282" i="7"/>
  <c r="G978" i="17"/>
  <c r="B319"/>
  <c r="I320"/>
  <c r="B273" i="20"/>
  <c r="D174"/>
  <c r="C107" i="16"/>
  <c r="F107" i="13"/>
  <c r="L384" i="6"/>
  <c r="D182" i="20"/>
  <c r="C108" i="16"/>
  <c r="F108" i="13"/>
  <c r="T384" i="6"/>
  <c r="F59" i="20"/>
  <c r="C112" i="25"/>
  <c r="C93" i="24"/>
  <c r="F83"/>
  <c r="A218"/>
  <c r="G330" i="17"/>
  <c r="C334"/>
  <c r="H337"/>
  <c r="D341"/>
  <c r="A229" i="24"/>
  <c r="C142" i="23"/>
  <c r="C143"/>
  <c r="F80" i="24"/>
  <c r="F18" i="25"/>
  <c r="A853" i="17"/>
  <c r="G23" i="25"/>
  <c r="I853" i="17"/>
  <c r="G39" i="25"/>
  <c r="H854" i="17"/>
  <c r="H44" i="25"/>
  <c r="G855" i="17"/>
  <c r="H60" i="25"/>
  <c r="F856" i="17"/>
  <c r="F66" i="25"/>
  <c r="E857" i="17"/>
  <c r="F82" i="25"/>
  <c r="C150" i="23"/>
  <c r="C151"/>
  <c r="F88" i="24"/>
  <c r="G103" i="25"/>
  <c r="B860" i="17"/>
  <c r="H108" i="25"/>
  <c r="A861" i="17"/>
  <c r="A3" i="24"/>
  <c r="I861" i="17"/>
  <c r="A5" i="24"/>
  <c r="H862" i="17"/>
  <c r="A11" i="24"/>
  <c r="G863" i="17"/>
  <c r="A13" i="24"/>
  <c r="F864" i="17"/>
  <c r="A19" i="24"/>
  <c r="C158" i="23"/>
  <c r="C159"/>
  <c r="F96" i="24"/>
  <c r="A27"/>
  <c r="C867" i="17"/>
  <c r="A29" i="24"/>
  <c r="B868" i="17"/>
  <c r="A35" i="24"/>
  <c r="A869" i="17"/>
  <c r="A37" i="24"/>
  <c r="I869" i="17"/>
  <c r="A43" i="24"/>
  <c r="H870" i="17"/>
  <c r="A45" i="24"/>
  <c r="G871" i="17"/>
  <c r="A51" i="24"/>
  <c r="C102" i="23"/>
  <c r="C103"/>
  <c r="F40" i="24"/>
  <c r="B17"/>
  <c r="E817" i="17"/>
  <c r="B19" i="24"/>
  <c r="D818" i="17"/>
  <c r="B25" i="24"/>
  <c r="C819" i="17"/>
  <c r="B27" i="24"/>
  <c r="B820" i="17"/>
  <c r="B33" i="24"/>
  <c r="A821" i="17"/>
  <c r="B35" i="24"/>
  <c r="I821" i="17"/>
  <c r="B41" i="24"/>
  <c r="C110" i="23"/>
  <c r="C111"/>
  <c r="F48" i="24"/>
  <c r="B49"/>
  <c r="F824" i="17"/>
  <c r="B51" i="24"/>
  <c r="E825" i="17"/>
  <c r="B57" i="24"/>
  <c r="D826" i="17"/>
  <c r="B59" i="24"/>
  <c r="G831" i="17"/>
  <c r="C262"/>
  <c r="A264"/>
  <c r="B145" i="20"/>
  <c r="D46"/>
  <c r="C91" i="16"/>
  <c r="F91" i="13"/>
  <c r="D378" i="6"/>
  <c r="D54" i="20"/>
  <c r="C92" i="16"/>
  <c r="F92" i="13"/>
  <c r="L378" i="6"/>
  <c r="G968" i="17"/>
  <c r="F226" i="13"/>
  <c r="G205" i="12"/>
  <c r="H274" i="7"/>
  <c r="D889" i="17"/>
  <c r="I496"/>
  <c r="G498"/>
  <c r="I588"/>
  <c r="E26" i="23"/>
  <c r="H44" i="17"/>
  <c r="F163" i="13"/>
  <c r="T406" i="6"/>
  <c r="E58" i="23"/>
  <c r="G45" i="17"/>
  <c r="F164" i="13"/>
  <c r="H407" i="6"/>
  <c r="F17" i="19"/>
  <c r="C21" i="16"/>
  <c r="F21" i="13"/>
  <c r="F34" i="9"/>
  <c r="F980" i="17"/>
  <c r="G546"/>
  <c r="E548"/>
  <c r="A596"/>
  <c r="D27" i="24"/>
  <c r="I51" i="17"/>
  <c r="F171" i="13"/>
  <c r="D410" i="6"/>
  <c r="D59" i="24"/>
  <c r="H52" i="17"/>
  <c r="F172" i="13"/>
  <c r="L410" i="6"/>
  <c r="E61" i="20"/>
  <c r="D212" i="46"/>
  <c r="G250" i="23"/>
  <c r="G8" i="37"/>
  <c r="H64" i="46"/>
  <c r="C663" i="17"/>
  <c r="H666"/>
  <c r="D670"/>
  <c r="I673"/>
  <c r="G108" i="25"/>
  <c r="C206" i="23"/>
  <c r="C207"/>
  <c r="A180" i="24"/>
  <c r="A4" i="23"/>
  <c r="I909" i="17"/>
  <c r="A6" i="23"/>
  <c r="H910" i="17"/>
  <c r="A12" i="23"/>
  <c r="G911" i="17"/>
  <c r="A14" i="23"/>
  <c r="F912" i="17"/>
  <c r="A20" i="23"/>
  <c r="E913" i="17"/>
  <c r="A22" i="23"/>
  <c r="D914" i="17"/>
  <c r="A28" i="23"/>
  <c r="C214"/>
  <c r="C215"/>
  <c r="A196" i="24"/>
  <c r="A36" i="23"/>
  <c r="A917" i="17"/>
  <c r="A38" i="23"/>
  <c r="I917" i="17"/>
  <c r="A44" i="23"/>
  <c r="H918" i="17"/>
  <c r="A46" i="23"/>
  <c r="G919" i="17"/>
  <c r="A52" i="23"/>
  <c r="F920" i="17"/>
  <c r="A54" i="23"/>
  <c r="E921" i="17"/>
  <c r="A60" i="23"/>
  <c r="C222"/>
  <c r="C223"/>
  <c r="A212" i="24"/>
  <c r="A68" i="23"/>
  <c r="B924" i="17"/>
  <c r="A70" i="23"/>
  <c r="A925" i="17"/>
  <c r="A76" i="23"/>
  <c r="D926" i="17"/>
  <c r="A78" i="23"/>
  <c r="I928" i="17"/>
  <c r="A84" i="23"/>
  <c r="I930" i="17"/>
  <c r="A86" i="23"/>
  <c r="E933" i="17"/>
  <c r="A92" i="23"/>
  <c r="C166"/>
  <c r="C167"/>
  <c r="F104" i="24"/>
  <c r="A59"/>
  <c r="D874" i="17"/>
  <c r="A61" i="24"/>
  <c r="C875" i="17"/>
  <c r="A67" i="24"/>
  <c r="B876" i="17"/>
  <c r="A69" i="24"/>
  <c r="A877" i="17"/>
  <c r="A75" i="24"/>
  <c r="I877" i="17"/>
  <c r="A77" i="24"/>
  <c r="H878" i="17"/>
  <c r="A83" i="24"/>
  <c r="C174" i="23"/>
  <c r="C175"/>
  <c r="A116" i="24"/>
  <c r="A91"/>
  <c r="E881" i="17"/>
  <c r="A93" i="24"/>
  <c r="D882" i="17"/>
  <c r="A99" i="24"/>
  <c r="C883" i="17"/>
  <c r="A101" i="24"/>
  <c r="E832" i="17"/>
  <c r="H489"/>
  <c r="F491"/>
  <c r="H581"/>
  <c r="C179" i="20"/>
  <c r="G37" i="17"/>
  <c r="F155" i="13"/>
  <c r="P403" i="6"/>
  <c r="C211" i="20"/>
  <c r="F38" i="17"/>
  <c r="F156" i="13"/>
  <c r="D404" i="6"/>
  <c r="D970" i="17"/>
  <c r="C13" i="16"/>
  <c r="F13" i="13"/>
  <c r="F26" i="9"/>
  <c r="H177" i="24"/>
  <c r="I601" i="17"/>
  <c r="G603"/>
  <c r="H645"/>
  <c r="H155" i="23"/>
  <c r="G101" i="17"/>
  <c r="B4" i="15"/>
  <c r="G39" i="7"/>
  <c r="H219" i="23"/>
  <c r="F102" i="17"/>
  <c r="A7" i="15"/>
  <c r="G40" i="7"/>
  <c r="E18" i="19"/>
  <c r="C85" i="16"/>
  <c r="F85" i="13"/>
  <c r="P375" i="6"/>
  <c r="H36" i="20"/>
  <c r="G651" i="17"/>
  <c r="E653"/>
  <c r="I652"/>
  <c r="G176" i="23"/>
  <c r="H108" i="17"/>
  <c r="F25" i="15"/>
  <c r="G47" i="7"/>
  <c r="G240" i="23"/>
  <c r="G109" i="17"/>
  <c r="B28" i="15"/>
  <c r="G48" i="7"/>
  <c r="D62" i="20"/>
  <c r="B109" i="24"/>
  <c r="B4" i="20"/>
  <c r="B36"/>
  <c r="B68"/>
  <c r="B100"/>
  <c r="B132"/>
  <c r="B164"/>
  <c r="H931" i="17"/>
  <c r="E941"/>
  <c r="B951"/>
  <c r="E212" i="20"/>
  <c r="G59" i="12"/>
  <c r="E284" i="20"/>
  <c r="A252" i="12"/>
  <c r="E292" i="20"/>
  <c r="H56" i="13"/>
  <c r="D96" i="17"/>
  <c r="B4" i="14"/>
  <c r="G33" i="7"/>
  <c r="E110" i="20"/>
  <c r="A888" i="17"/>
  <c r="H889"/>
  <c r="G830"/>
  <c r="F453"/>
  <c r="E750"/>
  <c r="F156" i="12"/>
  <c r="G247" i="7"/>
  <c r="N302" i="6"/>
  <c r="I778" i="17"/>
  <c r="F157" i="12"/>
  <c r="G248" i="7"/>
  <c r="B303" i="6"/>
  <c r="D160" i="17"/>
  <c r="E116"/>
  <c r="G105" i="7"/>
  <c r="D175" i="20"/>
  <c r="I711" i="17"/>
  <c r="G713"/>
  <c r="G894"/>
  <c r="F517"/>
  <c r="C25" i="15"/>
  <c r="F228" i="12"/>
  <c r="E7" i="9"/>
  <c r="J331" i="6"/>
  <c r="C26" i="15"/>
  <c r="F229" i="12"/>
  <c r="E8" i="9"/>
  <c r="R331" i="6"/>
  <c r="A229" i="17"/>
  <c r="F86" i="12"/>
  <c r="G177" i="7"/>
  <c r="D239" i="20"/>
  <c r="A719" i="17"/>
  <c r="H720"/>
  <c r="H901"/>
  <c r="G524"/>
  <c r="B3" i="16"/>
  <c r="F236" i="12"/>
  <c r="E15" i="9"/>
  <c r="N334" i="6"/>
  <c r="B4" i="16"/>
  <c r="F237" i="12"/>
  <c r="E16" i="9"/>
  <c r="B335" i="6"/>
  <c r="E238" i="17"/>
  <c r="F94" i="12"/>
  <c r="G185" i="7"/>
  <c r="F7" i="23"/>
  <c r="H768" i="17"/>
  <c r="F770"/>
  <c r="I908"/>
  <c r="H531"/>
  <c r="B11" i="16"/>
  <c r="F244" i="12"/>
  <c r="E23" i="9"/>
  <c r="R337" i="6"/>
  <c r="B12" i="16"/>
  <c r="F245" i="12"/>
  <c r="E24" i="9"/>
  <c r="F338" i="6"/>
  <c r="C248" i="17"/>
  <c r="F102" i="12"/>
  <c r="G193" i="7"/>
  <c r="E684" i="17"/>
  <c r="B264" i="6"/>
  <c r="N274"/>
  <c r="B154" i="17"/>
  <c r="E73"/>
  <c r="G98" i="7"/>
  <c r="B204" i="24"/>
  <c r="C105" i="17"/>
  <c r="A15" i="15"/>
  <c r="G43" i="7"/>
  <c r="E277" i="20"/>
  <c r="C56" i="16"/>
  <c r="F56" i="13"/>
  <c r="D364" i="6"/>
  <c r="E285" i="20"/>
  <c r="C57" i="16"/>
  <c r="F57" i="13"/>
  <c r="L364" i="6"/>
  <c r="A300" i="17"/>
  <c r="A155" i="6"/>
  <c r="F366" i="5"/>
  <c r="C367" i="4"/>
  <c r="G535" i="17"/>
  <c r="Q145" i="6"/>
  <c r="B357" i="5"/>
  <c r="AG355" i="4"/>
  <c r="B372" i="17"/>
  <c r="M136" i="6"/>
  <c r="R347" i="5"/>
  <c r="J344" i="4"/>
  <c r="C379" i="17"/>
  <c r="A137" i="6"/>
  <c r="D741" i="17"/>
  <c r="N289" i="6"/>
  <c r="R277"/>
  <c r="C161" i="17"/>
  <c r="F123"/>
  <c r="G106" i="7"/>
  <c r="G19" i="25"/>
  <c r="D112" i="17"/>
  <c r="E7" i="16"/>
  <c r="G51" i="7"/>
  <c r="B156" i="23"/>
  <c r="C64" i="16"/>
  <c r="F64" i="13"/>
  <c r="H367" i="6"/>
  <c r="B188" i="23"/>
  <c r="C65" i="16"/>
  <c r="F65" i="13"/>
  <c r="P367" i="6"/>
  <c r="I356" i="17"/>
  <c r="E158" i="6"/>
  <c r="J369" i="5"/>
  <c r="C371" i="4"/>
  <c r="E710" i="17"/>
  <c r="A149" i="6"/>
  <c r="F360" i="5"/>
  <c r="AF359" i="4"/>
  <c r="A429" i="17"/>
  <c r="Q139" i="6"/>
  <c r="B351" i="5"/>
  <c r="H348" i="4"/>
  <c r="B436" i="17"/>
  <c r="E140" i="6"/>
  <c r="C798" i="17"/>
  <c r="F315" i="6"/>
  <c r="B281"/>
  <c r="D168" i="17"/>
  <c r="E180"/>
  <c r="G114" i="7"/>
  <c r="J249" i="6"/>
  <c r="E119" i="17"/>
  <c r="E39" i="16"/>
  <c r="G59" i="7"/>
  <c r="E936" i="17"/>
  <c r="C72" i="16"/>
  <c r="F72" i="13"/>
  <c r="L370" i="6"/>
  <c r="F943" i="17"/>
  <c r="C73" i="16"/>
  <c r="F73" i="13"/>
  <c r="T370" i="6"/>
  <c r="H413" i="17"/>
  <c r="I161" i="6"/>
  <c r="N372" i="5"/>
  <c r="C375" i="4"/>
  <c r="E958" i="17"/>
  <c r="E152" i="6"/>
  <c r="J363" i="5"/>
  <c r="AE363" i="4"/>
  <c r="I485" i="17"/>
  <c r="A143" i="6"/>
  <c r="F354" i="5"/>
  <c r="H352" i="4"/>
  <c r="A493" i="17"/>
  <c r="I143" i="6"/>
  <c r="B855" i="17"/>
  <c r="R340" i="6"/>
  <c r="F284"/>
  <c r="E175" i="17"/>
  <c r="D246"/>
  <c r="G122" i="7"/>
  <c r="N252" i="6"/>
  <c r="F126" i="17"/>
  <c r="E71" i="16"/>
  <c r="G67" i="7"/>
  <c r="D993" i="17"/>
  <c r="C80" i="16"/>
  <c r="F80" i="13"/>
  <c r="P373" i="6"/>
  <c r="E1000" i="17"/>
  <c r="C81" i="16"/>
  <c r="F81" i="13"/>
  <c r="D374" i="6"/>
  <c r="G470" i="17"/>
  <c r="M164" i="6"/>
  <c r="R375" i="5"/>
  <c r="B379" i="4"/>
  <c r="B307" i="17"/>
  <c r="I155" i="6"/>
  <c r="N366" i="5"/>
  <c r="AE367" i="4"/>
  <c r="H542" i="17"/>
  <c r="E146" i="6"/>
  <c r="J357" i="5"/>
  <c r="E356" i="4"/>
  <c r="I549" i="17"/>
  <c r="M146" i="6"/>
  <c r="A912" i="17"/>
  <c r="O376" i="6"/>
  <c r="J287"/>
  <c r="F182" i="17"/>
  <c r="F39" i="12"/>
  <c r="G130" i="7"/>
  <c r="R255" i="6"/>
  <c r="G133" i="17"/>
  <c r="E103" i="16"/>
  <c r="G75" i="7"/>
  <c r="D22" i="20"/>
  <c r="C88" i="16"/>
  <c r="F88" i="13"/>
  <c r="T376" i="6"/>
  <c r="D30" i="20"/>
  <c r="C89" i="16"/>
  <c r="F89" i="13"/>
  <c r="H377" i="6"/>
  <c r="F527" i="17"/>
  <c r="Q167" i="6"/>
  <c r="B379" i="5"/>
  <c r="AJ382" i="4"/>
  <c r="A364" i="17"/>
  <c r="M158" i="6"/>
  <c r="R369" i="5"/>
  <c r="AE371" i="4"/>
  <c r="I738" i="17"/>
  <c r="I149" i="6"/>
  <c r="N360" i="5"/>
  <c r="D360" i="4"/>
  <c r="D767" i="17"/>
  <c r="Q149" i="6"/>
  <c r="B37" i="20"/>
  <c r="T403" i="6"/>
  <c r="B265"/>
  <c r="H132" i="17"/>
  <c r="E99" i="16"/>
  <c r="G74" i="7"/>
  <c r="G87" i="25"/>
  <c r="I83" i="17"/>
  <c r="F207" i="13"/>
  <c r="G19" i="7"/>
  <c r="E85" i="20"/>
  <c r="C32" i="16"/>
  <c r="F32" i="13"/>
  <c r="D669" i="17"/>
  <c r="B19" i="20"/>
  <c r="B51"/>
  <c r="B83"/>
  <c r="B115"/>
  <c r="B147"/>
  <c r="B179"/>
  <c r="C936" i="17"/>
  <c r="I945"/>
  <c r="F955"/>
  <c r="D213" i="20"/>
  <c r="H56" i="16"/>
  <c r="D285" i="20"/>
  <c r="B18" i="15"/>
  <c r="D1" i="21"/>
  <c r="E12" i="16"/>
  <c r="C153" i="17"/>
  <c r="I69"/>
  <c r="G97" i="7"/>
  <c r="D111" i="20"/>
  <c r="B662" i="17"/>
  <c r="I663"/>
  <c r="F887"/>
  <c r="E510"/>
  <c r="C17" i="15"/>
  <c r="F220" i="12"/>
  <c r="F19" i="8"/>
  <c r="F328" i="6"/>
  <c r="C18" i="15"/>
  <c r="F221" i="12"/>
  <c r="F20" i="8"/>
  <c r="N328" i="6"/>
  <c r="E219" i="17"/>
  <c r="F78" i="12"/>
  <c r="G169" i="7"/>
  <c r="D33" i="24"/>
  <c r="G962" i="17"/>
  <c r="C967"/>
  <c r="H994"/>
  <c r="G637"/>
  <c r="B59" i="16"/>
  <c r="E36" i="13"/>
  <c r="S364" i="6"/>
  <c r="S357"/>
  <c r="B60" i="16"/>
  <c r="E37" i="13"/>
  <c r="G365" i="6"/>
  <c r="O358"/>
  <c r="H579" i="17"/>
  <c r="F150" i="12"/>
  <c r="G241" i="7"/>
  <c r="D56" i="23"/>
  <c r="E981" i="17"/>
  <c r="A986"/>
  <c r="B1" i="19"/>
  <c r="B666" i="17"/>
  <c r="B67" i="16"/>
  <c r="E44" i="13"/>
  <c r="C368" i="6"/>
  <c r="G364"/>
  <c r="B68" i="16"/>
  <c r="E45" i="13"/>
  <c r="K368" i="6"/>
  <c r="C365"/>
  <c r="D807" i="17"/>
  <c r="F158" i="12"/>
  <c r="G249" i="7"/>
  <c r="C57" i="24"/>
  <c r="C6" i="22"/>
  <c r="F54" i="23"/>
  <c r="B24" i="20"/>
  <c r="F694" i="17"/>
  <c r="B75" i="16"/>
  <c r="E52" i="13"/>
  <c r="G371" i="6"/>
  <c r="O370"/>
  <c r="B76" i="16"/>
  <c r="E53" i="13"/>
  <c r="O371" i="6"/>
  <c r="K371"/>
  <c r="E210" i="13"/>
  <c r="F166" i="12"/>
  <c r="G257" i="7"/>
  <c r="B686" i="17"/>
  <c r="I264" i="6"/>
  <c r="F300"/>
  <c r="C211" i="17"/>
  <c r="F71" i="12"/>
  <c r="G162" i="7"/>
  <c r="N268" i="6"/>
  <c r="B162" i="17"/>
  <c r="G130"/>
  <c r="G107" i="7"/>
  <c r="D278" i="20"/>
  <c r="F6" i="17"/>
  <c r="F120" i="13"/>
  <c r="P389" i="6"/>
  <c r="D286" i="20"/>
  <c r="E7" i="17"/>
  <c r="F121" i="13"/>
  <c r="D390" i="6"/>
  <c r="H300" i="17"/>
  <c r="M180" i="6"/>
  <c r="R391" i="5"/>
  <c r="AF398" i="4"/>
  <c r="B706" i="17"/>
  <c r="I171" i="6"/>
  <c r="N382" i="5"/>
  <c r="G387" i="4"/>
  <c r="A428" i="17"/>
  <c r="E162" i="6"/>
  <c r="J373" i="5"/>
  <c r="C376" i="4"/>
  <c r="B435" i="17"/>
  <c r="M162" i="6"/>
  <c r="A743" i="17"/>
  <c r="A290" i="6"/>
  <c r="J303"/>
  <c r="G220" i="17"/>
  <c r="F79" i="12"/>
  <c r="G170" i="7"/>
  <c r="R271" i="6"/>
  <c r="C169" i="17"/>
  <c r="F187"/>
  <c r="G115" i="7"/>
  <c r="F163" i="23"/>
  <c r="G13" i="17"/>
  <c r="F128" i="13"/>
  <c r="T392" i="6"/>
  <c r="F195" i="23"/>
  <c r="F14" i="17"/>
  <c r="F129" i="13"/>
  <c r="H393" i="6"/>
  <c r="G357" i="17"/>
  <c r="Q183" i="6"/>
  <c r="B395" i="5"/>
  <c r="AF402" i="4"/>
  <c r="I946" i="17"/>
  <c r="M174" i="6"/>
  <c r="R385" i="5"/>
  <c r="F391" i="4"/>
  <c r="I484" i="17"/>
  <c r="I165" i="6"/>
  <c r="N376" i="5"/>
  <c r="A380" i="4"/>
  <c r="A492" i="17"/>
  <c r="Q165" i="6"/>
  <c r="I799" i="17"/>
  <c r="M315" i="6"/>
  <c r="N306"/>
  <c r="B230" i="17"/>
  <c r="F87" i="12"/>
  <c r="G178" i="7"/>
  <c r="B275" i="6"/>
  <c r="D176" i="17"/>
  <c r="G265"/>
  <c r="G123" i="7"/>
  <c r="E935" i="17"/>
  <c r="H20"/>
  <c r="F136" i="13"/>
  <c r="D396" i="6"/>
  <c r="F942" i="17"/>
  <c r="G21"/>
  <c r="F137" i="13"/>
  <c r="L396" i="6"/>
  <c r="F414" i="17"/>
  <c r="A187" i="6"/>
  <c r="F398" i="5"/>
  <c r="AE406" i="4"/>
  <c r="A251" i="17"/>
  <c r="Q177" i="6"/>
  <c r="B389" i="5"/>
  <c r="E395" i="4"/>
  <c r="H541" i="17"/>
  <c r="M168" i="6"/>
  <c r="R379" i="5"/>
  <c r="AJ383" i="4"/>
  <c r="I548" i="17"/>
  <c r="A169" i="6"/>
  <c r="H856" i="17"/>
  <c r="E341" i="6"/>
  <c r="R309"/>
  <c r="G239" i="17"/>
  <c r="F95" i="12"/>
  <c r="G186" i="7"/>
  <c r="F278" i="6"/>
  <c r="E183" i="17"/>
  <c r="F40" i="12"/>
  <c r="G131" i="7"/>
  <c r="D992" i="17"/>
  <c r="I27"/>
  <c r="F144" i="13"/>
  <c r="H399" i="6"/>
  <c r="E999" i="17"/>
  <c r="H28"/>
  <c r="F145" i="13"/>
  <c r="P399" i="6"/>
  <c r="E471" i="17"/>
  <c r="E190" i="6"/>
  <c r="J401" i="5"/>
  <c r="AE410" i="4"/>
  <c r="I307" i="17"/>
  <c r="A181" i="6"/>
  <c r="F392" i="5"/>
  <c r="D399" i="4"/>
  <c r="F734" i="17"/>
  <c r="Q171" i="6"/>
  <c r="B383" i="5"/>
  <c r="AH387" i="4"/>
  <c r="A763" i="17"/>
  <c r="E172" i="6"/>
  <c r="G913" i="17"/>
  <c r="J377" i="6"/>
  <c r="B313"/>
  <c r="C250" i="17"/>
  <c r="F103" i="12"/>
  <c r="G194" i="7"/>
  <c r="J281" i="6"/>
  <c r="F190" i="17"/>
  <c r="F48" i="12"/>
  <c r="G139" i="7"/>
  <c r="C83" i="20"/>
  <c r="A35" i="17"/>
  <c r="F152" i="13"/>
  <c r="L402" i="6"/>
  <c r="C115" i="20"/>
  <c r="I35" i="17"/>
  <c r="F153" i="13"/>
  <c r="T402" i="6"/>
  <c r="D528" i="17"/>
  <c r="I193" i="6"/>
  <c r="N404" i="5"/>
  <c r="H414" i="4"/>
  <c r="H364" i="17"/>
  <c r="E184" i="6"/>
  <c r="J395" i="5"/>
  <c r="D403" i="4"/>
  <c r="B19" i="19"/>
  <c r="A175" i="6"/>
  <c r="F386" i="5"/>
  <c r="AH391" i="4"/>
  <c r="B255" i="20"/>
  <c r="I175" i="6"/>
  <c r="B52" i="20"/>
  <c r="C37" i="7"/>
  <c r="N290" i="6"/>
  <c r="G189" i="17"/>
  <c r="F47" i="12"/>
  <c r="G138" i="7"/>
  <c r="B259" i="6"/>
  <c r="H140" i="17"/>
  <c r="B20"/>
  <c r="G83" i="7"/>
  <c r="D86" i="20"/>
  <c r="C96" i="16"/>
  <c r="F96" i="13"/>
  <c r="F253" i="20"/>
  <c r="C283"/>
  <c r="C9" i="22"/>
  <c r="B55" i="23"/>
  <c r="B119"/>
  <c r="B183"/>
  <c r="B247"/>
  <c r="C123" i="20"/>
  <c r="C139"/>
  <c r="C155"/>
  <c r="I637" i="17"/>
  <c r="H33" i="7"/>
  <c r="I701" i="17"/>
  <c r="H105" i="7"/>
  <c r="A709" i="17"/>
  <c r="H113" i="7"/>
  <c r="C210" i="17"/>
  <c r="I88"/>
  <c r="H162" i="7"/>
  <c r="F178" i="23"/>
  <c r="A553" i="17"/>
  <c r="D559"/>
  <c r="F973"/>
  <c r="E237" i="20"/>
  <c r="C51" i="16"/>
  <c r="F51" i="13"/>
  <c r="D362" i="6"/>
  <c r="E245" i="20"/>
  <c r="C52" i="16"/>
  <c r="F52" i="13"/>
  <c r="L362" i="6"/>
  <c r="G119" i="20"/>
  <c r="I503" i="17"/>
  <c r="G165" i="12"/>
  <c r="H234" i="7"/>
  <c r="I604" i="17"/>
  <c r="A376"/>
  <c r="H377"/>
  <c r="D553"/>
  <c r="F3" i="23"/>
  <c r="C9" i="17"/>
  <c r="F123" i="13"/>
  <c r="T390" i="6"/>
  <c r="F35" i="23"/>
  <c r="B10" i="17"/>
  <c r="F124" i="13"/>
  <c r="H391" i="6"/>
  <c r="F187" i="20"/>
  <c r="D11" i="15"/>
  <c r="G237" i="12"/>
  <c r="G14" i="8"/>
  <c r="H661" i="17"/>
  <c r="B383"/>
  <c r="I384"/>
  <c r="E560"/>
  <c r="E2" i="24"/>
  <c r="D16" i="17"/>
  <c r="F131" i="13"/>
  <c r="D394" i="6"/>
  <c r="E66" i="24"/>
  <c r="C17" i="17"/>
  <c r="F132" i="13"/>
  <c r="L394" i="6"/>
  <c r="F251" i="20"/>
  <c r="D19" i="15"/>
  <c r="G245" i="12"/>
  <c r="F2" i="9"/>
  <c r="G718" i="17"/>
  <c r="I432"/>
  <c r="G434"/>
  <c r="F567"/>
  <c r="H956"/>
  <c r="E23"/>
  <c r="F139" i="13"/>
  <c r="H397" i="6"/>
  <c r="I963" i="17"/>
  <c r="D24"/>
  <c r="F140" i="13"/>
  <c r="P397" i="6"/>
  <c r="F56" i="23"/>
  <c r="D27" i="15"/>
  <c r="G253" i="12"/>
  <c r="F10" i="9"/>
  <c r="D511" i="17"/>
  <c r="C720"/>
  <c r="G63" i="20"/>
  <c r="B454" i="17"/>
  <c r="G158" i="12"/>
  <c r="H227" i="7"/>
  <c r="H131" i="20"/>
  <c r="A222" i="17"/>
  <c r="A160"/>
  <c r="H172" i="7"/>
  <c r="G695" i="17"/>
  <c r="F63"/>
  <c r="G125" i="13"/>
  <c r="I415" i="6"/>
  <c r="H702" i="17"/>
  <c r="E64"/>
  <c r="G126" i="13"/>
  <c r="Q415" i="6"/>
  <c r="B180" i="17"/>
  <c r="J414" i="5"/>
  <c r="J208" i="6"/>
  <c r="S203" i="5"/>
  <c r="F236" i="17"/>
  <c r="F405" i="5"/>
  <c r="F199" i="6"/>
  <c r="O194" i="5"/>
  <c r="E66" i="17"/>
  <c r="B396" i="5"/>
  <c r="B190" i="6"/>
  <c r="K185" i="5"/>
  <c r="F73" i="17"/>
  <c r="J396" i="5"/>
  <c r="E549" i="17"/>
  <c r="I984"/>
  <c r="G127" i="20"/>
  <c r="A511" i="17"/>
  <c r="G166" i="12"/>
  <c r="H235" i="7"/>
  <c r="H195" i="20"/>
  <c r="F231" i="17"/>
  <c r="B219"/>
  <c r="H180" i="7"/>
  <c r="F752" i="17"/>
  <c r="G70"/>
  <c r="G133" i="13"/>
  <c r="H5" i="7"/>
  <c r="G759" i="17"/>
  <c r="F71"/>
  <c r="G134" i="13"/>
  <c r="H6" i="7"/>
  <c r="I245" i="17"/>
  <c r="N417" i="5"/>
  <c r="N211" i="6"/>
  <c r="C207" i="5"/>
  <c r="B761" i="17"/>
  <c r="J408" i="5"/>
  <c r="J202" i="6"/>
  <c r="S197" i="5"/>
  <c r="D123" i="17"/>
  <c r="F399" i="5"/>
  <c r="F193" i="6"/>
  <c r="O188" i="5"/>
  <c r="E130" i="17"/>
  <c r="N399" i="5"/>
  <c r="C550" i="17"/>
  <c r="H411"/>
  <c r="G191" i="20"/>
  <c r="H611" i="17"/>
  <c r="G174" i="12"/>
  <c r="H243" i="7"/>
  <c r="H259" i="20"/>
  <c r="A241" i="17"/>
  <c r="D500"/>
  <c r="H188" i="7"/>
  <c r="E809" i="17"/>
  <c r="H77"/>
  <c r="G141" i="13"/>
  <c r="H13" i="7"/>
  <c r="F816" i="17"/>
  <c r="G78"/>
  <c r="G142" i="13"/>
  <c r="H14" i="7"/>
  <c r="B14" i="20"/>
  <c r="Q7" i="6"/>
  <c r="R214"/>
  <c r="G210" i="5"/>
  <c r="D130" i="17"/>
  <c r="N411" i="5"/>
  <c r="N205" i="6"/>
  <c r="C201" i="5"/>
  <c r="C180" i="17"/>
  <c r="J402" i="5"/>
  <c r="J196" i="6"/>
  <c r="S191" i="5"/>
  <c r="D187" i="17"/>
  <c r="A55" i="20"/>
  <c r="E413" i="17"/>
  <c r="E280" i="6"/>
  <c r="E477" i="17"/>
  <c r="A309" i="6"/>
  <c r="F484" i="17"/>
  <c r="E312" i="6"/>
  <c r="H678" i="17"/>
  <c r="A684"/>
  <c r="F687"/>
  <c r="B691"/>
  <c r="G694"/>
  <c r="C698"/>
  <c r="H701"/>
  <c r="E648"/>
  <c r="A652"/>
  <c r="F655"/>
  <c r="C432"/>
  <c r="J293" i="6"/>
  <c r="C496" i="17"/>
  <c r="F322" i="6"/>
  <c r="D503" i="17"/>
  <c r="J325" i="6"/>
  <c r="F679" i="17"/>
  <c r="I740"/>
  <c r="E744"/>
  <c r="A748"/>
  <c r="F751"/>
  <c r="B755"/>
  <c r="G758"/>
  <c r="D705"/>
  <c r="I708"/>
  <c r="E712"/>
  <c r="B489"/>
  <c r="B319" i="6"/>
  <c r="B553" i="17"/>
  <c r="R347" i="6"/>
  <c r="H580" i="17"/>
  <c r="B351" i="6"/>
  <c r="A146" i="20"/>
  <c r="H797" i="17"/>
  <c r="D801"/>
  <c r="I804"/>
  <c r="E808"/>
  <c r="A812"/>
  <c r="F815"/>
  <c r="C762"/>
  <c r="H765"/>
  <c r="D769"/>
  <c r="A546"/>
  <c r="N344" i="6"/>
  <c r="F609" i="17"/>
  <c r="B216" i="20"/>
  <c r="I779" i="17"/>
  <c r="B99" i="16"/>
  <c r="E76" i="13"/>
  <c r="S380" i="6"/>
  <c r="S389"/>
  <c r="B100" i="16"/>
  <c r="E77" i="13"/>
  <c r="G381" i="6"/>
  <c r="O390"/>
  <c r="D3" i="14"/>
  <c r="F190" i="12"/>
  <c r="G281" i="7"/>
  <c r="A164" i="23"/>
  <c r="F657" i="17"/>
  <c r="D659"/>
  <c r="B280" i="20"/>
  <c r="D808" i="17"/>
  <c r="B107" i="16"/>
  <c r="E84" i="13"/>
  <c r="C384" i="6"/>
  <c r="G396"/>
  <c r="B108" i="16"/>
  <c r="E85" i="13"/>
  <c r="K384" i="6"/>
  <c r="C397"/>
  <c r="C92" i="25"/>
  <c r="C60"/>
  <c r="E31" i="28"/>
  <c r="F13" i="38"/>
  <c r="H236" i="20"/>
  <c r="H240"/>
  <c r="H244"/>
  <c r="H248"/>
  <c r="A474" i="17"/>
  <c r="H23" i="23"/>
  <c r="H41" i="25"/>
  <c r="H147" i="46"/>
  <c r="F41" i="44"/>
  <c r="H853" i="17"/>
  <c r="G476"/>
  <c r="G854"/>
  <c r="F477"/>
  <c r="F855"/>
  <c r="E478"/>
  <c r="E856"/>
  <c r="D479"/>
  <c r="D857"/>
  <c r="C480"/>
  <c r="C858"/>
  <c r="B481"/>
  <c r="H31" i="23"/>
  <c r="F63" i="25"/>
  <c r="C23" i="38"/>
  <c r="I33" i="46"/>
  <c r="I860" i="17"/>
  <c r="H483"/>
  <c r="H861"/>
  <c r="G484"/>
  <c r="G862"/>
  <c r="F485"/>
  <c r="F863"/>
  <c r="E486"/>
  <c r="E864"/>
  <c r="D487"/>
  <c r="D865"/>
  <c r="C488"/>
  <c r="H87" i="23"/>
  <c r="G84" i="25"/>
  <c r="H26" i="46"/>
  <c r="H90"/>
  <c r="A868" i="17"/>
  <c r="I490"/>
  <c r="I868"/>
  <c r="H491"/>
  <c r="H869"/>
  <c r="G492"/>
  <c r="G870"/>
  <c r="F493"/>
  <c r="F871"/>
  <c r="E494"/>
  <c r="E872"/>
  <c r="D495"/>
  <c r="H67" i="24"/>
  <c r="H182"/>
  <c r="D23" i="46"/>
  <c r="H43"/>
  <c r="C818" i="17"/>
  <c r="B441"/>
  <c r="B819"/>
  <c r="A442"/>
  <c r="A820"/>
  <c r="I442"/>
  <c r="I820"/>
  <c r="H443"/>
  <c r="H821"/>
  <c r="G444"/>
  <c r="G822"/>
  <c r="F445"/>
  <c r="G138" i="24"/>
  <c r="H198"/>
  <c r="C11" i="44"/>
  <c r="H99" i="46"/>
  <c r="D825" i="17"/>
  <c r="C448"/>
  <c r="C826"/>
  <c r="B449"/>
  <c r="B827"/>
  <c r="A450"/>
  <c r="B81" i="24"/>
  <c r="G600" i="17"/>
  <c r="E602"/>
  <c r="B152" i="20"/>
  <c r="E751" i="17"/>
  <c r="B91" i="16"/>
  <c r="E68" i="13"/>
  <c r="O377" i="6"/>
  <c r="K383"/>
  <c r="B92" i="16"/>
  <c r="E69" i="13"/>
  <c r="C378" i="6"/>
  <c r="G384"/>
  <c r="E226" i="13"/>
  <c r="F182" i="12"/>
  <c r="G273" i="7"/>
  <c r="D29" i="46"/>
  <c r="D835" i="17"/>
  <c r="B837"/>
  <c r="A44" i="20"/>
  <c r="I249" i="17"/>
  <c r="F45"/>
  <c r="E140" i="13"/>
  <c r="K406" i="6"/>
  <c r="C81" i="7"/>
  <c r="E46" i="17"/>
  <c r="E141" i="13"/>
  <c r="S406" i="6"/>
  <c r="B84" i="7"/>
  <c r="B21" i="16"/>
  <c r="F254" i="12"/>
  <c r="E33" i="9"/>
  <c r="C60" i="46"/>
  <c r="B885" i="17"/>
  <c r="I886"/>
  <c r="A52" i="20"/>
  <c r="A257" i="17"/>
  <c r="G52"/>
  <c r="E148" i="13"/>
  <c r="O409" i="6"/>
  <c r="D102" i="7"/>
  <c r="F53" i="17"/>
  <c r="E149" i="13"/>
  <c r="C410" i="6"/>
  <c r="C105" i="7"/>
  <c r="C175" i="46"/>
  <c r="H146"/>
  <c r="D3" i="29"/>
  <c r="A23" i="38"/>
  <c r="G240" i="20"/>
  <c r="G244"/>
  <c r="G248"/>
  <c r="G252"/>
  <c r="I530" i="17"/>
  <c r="G24" i="24"/>
  <c r="A35" i="23"/>
  <c r="A136" i="46"/>
  <c r="D268"/>
  <c r="G910" i="17"/>
  <c r="F533"/>
  <c r="F911"/>
  <c r="E534"/>
  <c r="E912"/>
  <c r="D535"/>
  <c r="D913"/>
  <c r="C536"/>
  <c r="C914"/>
  <c r="B537"/>
  <c r="B915"/>
  <c r="A538"/>
  <c r="G32" i="24"/>
  <c r="A43" i="23"/>
  <c r="E211" i="46"/>
  <c r="F50"/>
  <c r="H917" i="17"/>
  <c r="G540"/>
  <c r="G918"/>
  <c r="F541"/>
  <c r="F919"/>
  <c r="E542"/>
  <c r="E920"/>
  <c r="D543"/>
  <c r="D921"/>
  <c r="C544"/>
  <c r="C922"/>
  <c r="B545"/>
  <c r="G88" i="24"/>
  <c r="A51" i="23"/>
  <c r="E43" i="46"/>
  <c r="E107"/>
  <c r="I924" i="17"/>
  <c r="H547"/>
  <c r="C926"/>
  <c r="G548"/>
  <c r="C928"/>
  <c r="F549"/>
  <c r="H930"/>
  <c r="E550"/>
  <c r="D933"/>
  <c r="D551"/>
  <c r="D935"/>
  <c r="C552"/>
  <c r="H95" i="23"/>
  <c r="H105" i="25"/>
  <c r="G83" i="46"/>
  <c r="G147"/>
  <c r="B875" i="17"/>
  <c r="A498"/>
  <c r="A876"/>
  <c r="I498"/>
  <c r="I876"/>
  <c r="H499"/>
  <c r="H877"/>
  <c r="G500"/>
  <c r="G878"/>
  <c r="F501"/>
  <c r="F879"/>
  <c r="E502"/>
  <c r="H151" i="23"/>
  <c r="A3"/>
  <c r="F140" i="46"/>
  <c r="H12" i="38"/>
  <c r="C882" i="17"/>
  <c r="B505"/>
  <c r="B883"/>
  <c r="A506"/>
  <c r="A884"/>
  <c r="I506"/>
  <c r="F28" i="38"/>
  <c r="C828" i="17"/>
  <c r="A830"/>
  <c r="A36" i="20"/>
  <c r="B151"/>
  <c r="E38" i="17"/>
  <c r="E132" i="13"/>
  <c r="G403" i="6"/>
  <c r="B60" i="7"/>
  <c r="D39" i="17"/>
  <c r="E133" i="13"/>
  <c r="O403" i="6"/>
  <c r="D62" i="7"/>
  <c r="B13" i="16"/>
  <c r="F246" i="12"/>
  <c r="E25" i="9"/>
  <c r="B179" i="23"/>
  <c r="H606" i="17"/>
  <c r="F608"/>
  <c r="A108" i="20"/>
  <c r="H306" i="17"/>
  <c r="E102"/>
  <c r="E204" i="13"/>
  <c r="F38" i="7"/>
  <c r="B252"/>
  <c r="D103" i="17"/>
  <c r="E205" i="13"/>
  <c r="F39" i="7"/>
  <c r="D254"/>
  <c r="B85" i="16"/>
  <c r="E62" i="13"/>
  <c r="G375" i="6"/>
  <c r="F1" i="23"/>
  <c r="F656" i="17"/>
  <c r="D658"/>
  <c r="A116" i="20"/>
  <c r="I313" i="17"/>
  <c r="F109"/>
  <c r="B216" i="13"/>
  <c r="F46" i="7"/>
  <c r="C273"/>
  <c r="E110" i="17"/>
  <c r="B218" i="13"/>
  <c r="F47" i="7"/>
  <c r="B276"/>
  <c r="F246" i="20"/>
  <c r="E70"/>
  <c r="E74"/>
  <c r="E78"/>
  <c r="E82"/>
  <c r="E86"/>
  <c r="E90"/>
  <c r="E30"/>
  <c r="E34"/>
  <c r="E38"/>
  <c r="F600" i="17"/>
  <c r="A226" i="13"/>
  <c r="C835" i="17"/>
  <c r="F21" i="16"/>
  <c r="A885" i="17"/>
  <c r="F29" i="16"/>
  <c r="B97" i="17"/>
  <c r="E198" i="13"/>
  <c r="F32" i="7"/>
  <c r="H202" i="24"/>
  <c r="A892" i="17"/>
  <c r="H893"/>
  <c r="B62" i="23"/>
  <c r="G491" i="17"/>
  <c r="D775"/>
  <c r="E216" i="12"/>
  <c r="F246" i="7"/>
  <c r="A315" i="6"/>
  <c r="H803" i="17"/>
  <c r="E217" i="12"/>
  <c r="F247" i="7"/>
  <c r="I315" i="6"/>
  <c r="B161" i="17"/>
  <c r="A16"/>
  <c r="F104" i="7"/>
  <c r="H34" i="23"/>
  <c r="A185" i="20"/>
  <c r="A187"/>
  <c r="F59" i="25"/>
  <c r="I562" i="17"/>
  <c r="A65" i="16"/>
  <c r="D32" i="13"/>
  <c r="D6" i="9"/>
  <c r="Q343" i="6"/>
  <c r="A66" i="16"/>
  <c r="D33" i="13"/>
  <c r="D7" i="9"/>
  <c r="E344" i="6"/>
  <c r="A230" i="17"/>
  <c r="E146" i="12"/>
  <c r="F176" i="7"/>
  <c r="H98" i="23"/>
  <c r="A193" i="20"/>
  <c r="A195"/>
  <c r="A6" i="19"/>
  <c r="D591" i="17"/>
  <c r="A73" i="16"/>
  <c r="D40" i="13"/>
  <c r="D14" i="9"/>
  <c r="A347" i="6"/>
  <c r="A74" i="16"/>
  <c r="D41" i="13"/>
  <c r="D15" i="9"/>
  <c r="I347" i="6"/>
  <c r="F239" i="17"/>
  <c r="E154" i="12"/>
  <c r="F184" i="7"/>
  <c r="H162" i="23"/>
  <c r="A249" i="20"/>
  <c r="A251"/>
  <c r="A14" i="19"/>
  <c r="H619" i="17"/>
  <c r="A81" i="16"/>
  <c r="D48" i="13"/>
  <c r="D22" i="9"/>
  <c r="E350" i="6"/>
  <c r="A82" i="16"/>
  <c r="D49" i="13"/>
  <c r="D23" i="9"/>
  <c r="M350" i="6"/>
  <c r="G249" i="17"/>
  <c r="E162" i="12"/>
  <c r="F192" i="7"/>
  <c r="F266" i="20"/>
  <c r="B177" i="12"/>
  <c r="A287" i="6"/>
  <c r="I154" i="17"/>
  <c r="H102" i="16"/>
  <c r="F97" i="7"/>
  <c r="I255" i="6"/>
  <c r="A106" i="17"/>
  <c r="E208" i="13"/>
  <c r="F42" i="7"/>
  <c r="D262"/>
  <c r="B56" i="16"/>
  <c r="E33" i="13"/>
  <c r="O363" i="6"/>
  <c r="R355"/>
  <c r="B57" i="16"/>
  <c r="E34" i="13"/>
  <c r="C364" i="6"/>
  <c r="G356"/>
  <c r="E363" i="5"/>
  <c r="A158" i="6"/>
  <c r="J169" i="5"/>
  <c r="N119"/>
  <c r="A354"/>
  <c r="Q148" i="6"/>
  <c r="F160" i="5"/>
  <c r="J110"/>
  <c r="Q344"/>
  <c r="M139" i="6"/>
  <c r="B151" i="5"/>
  <c r="F101"/>
  <c r="E345"/>
  <c r="F116" i="23"/>
  <c r="D2" i="11"/>
  <c r="E290" i="6"/>
  <c r="A162" i="17"/>
  <c r="F19"/>
  <c r="F105" i="7"/>
  <c r="M258" i="6"/>
  <c r="B113" i="17"/>
  <c r="B224" i="13"/>
  <c r="F50" i="7"/>
  <c r="B284"/>
  <c r="B64" i="16"/>
  <c r="E41" i="13"/>
  <c r="S366" i="6"/>
  <c r="S361"/>
  <c r="B65" i="16"/>
  <c r="E42" i="13"/>
  <c r="G367" i="6"/>
  <c r="O362"/>
  <c r="I366" i="5"/>
  <c r="E161" i="6"/>
  <c r="N172" i="5"/>
  <c r="R122"/>
  <c r="E357"/>
  <c r="A152" i="6"/>
  <c r="J163" i="5"/>
  <c r="N113"/>
  <c r="A348"/>
  <c r="Q142" i="6"/>
  <c r="F154" i="5"/>
  <c r="J104"/>
  <c r="I348"/>
  <c r="H926" i="17"/>
  <c r="E65" i="12"/>
  <c r="I293" i="6"/>
  <c r="B169" i="17"/>
  <c r="A48"/>
  <c r="F113" i="7"/>
  <c r="Q261" i="6"/>
  <c r="C120" i="17"/>
  <c r="G11" i="14"/>
  <c r="F58" i="7"/>
  <c r="B18" i="8"/>
  <c r="B72" i="16"/>
  <c r="E49" i="13"/>
  <c r="C370" i="6"/>
  <c r="G368"/>
  <c r="B73" i="16"/>
  <c r="E50" i="13"/>
  <c r="K370" i="6"/>
  <c r="C369"/>
  <c r="M369" i="5"/>
  <c r="I164" i="6"/>
  <c r="R175" i="5"/>
  <c r="B126"/>
  <c r="I360"/>
  <c r="E155" i="6"/>
  <c r="N166" i="5"/>
  <c r="R116"/>
  <c r="E351"/>
  <c r="A146" i="6"/>
  <c r="J157" i="5"/>
  <c r="N107"/>
  <c r="M351"/>
  <c r="G983" i="17"/>
  <c r="A237" i="12"/>
  <c r="M296" i="6"/>
  <c r="C176" i="17"/>
  <c r="E76"/>
  <c r="F121" i="7"/>
  <c r="A265" i="6"/>
  <c r="D127" i="17"/>
  <c r="B17" i="15"/>
  <c r="F66" i="7"/>
  <c r="A243" i="6"/>
  <c r="B80" i="16"/>
  <c r="E57" i="13"/>
  <c r="G373" i="6"/>
  <c r="O374"/>
  <c r="B81" i="16"/>
  <c r="E58" i="13"/>
  <c r="O373" i="6"/>
  <c r="K375"/>
  <c r="Q372" i="5"/>
  <c r="M167" i="6"/>
  <c r="B179" i="5"/>
  <c r="F129"/>
  <c r="M363"/>
  <c r="I158" i="6"/>
  <c r="R169" i="5"/>
  <c r="B120"/>
  <c r="I354"/>
  <c r="E149" i="6"/>
  <c r="N160" i="5"/>
  <c r="R110"/>
  <c r="Q354"/>
  <c r="E12" i="20"/>
  <c r="B13" i="12"/>
  <c r="Q299" i="6"/>
  <c r="D183" i="17"/>
  <c r="H129"/>
  <c r="F129" i="7"/>
  <c r="E268" i="6"/>
  <c r="E134" i="17"/>
  <c r="H10" i="16"/>
  <c r="F74" i="7"/>
  <c r="E246" i="6"/>
  <c r="B88" i="16"/>
  <c r="E65" i="13"/>
  <c r="K376" i="6"/>
  <c r="C381"/>
  <c r="B89" i="16"/>
  <c r="E66" i="13"/>
  <c r="S376" i="6"/>
  <c r="S381"/>
  <c r="A376" i="5"/>
  <c r="Q170" i="6"/>
  <c r="F182" i="5"/>
  <c r="J132"/>
  <c r="Q366"/>
  <c r="M161" i="6"/>
  <c r="B173" i="5"/>
  <c r="F123"/>
  <c r="M357"/>
  <c r="I152" i="6"/>
  <c r="R163" i="5"/>
  <c r="B114"/>
  <c r="A358"/>
  <c r="F74" i="20"/>
  <c r="B101" i="12"/>
  <c r="I277" i="6"/>
  <c r="F133" i="17"/>
  <c r="H6" i="16"/>
  <c r="F73" i="7"/>
  <c r="Q245" i="6"/>
  <c r="G84" i="17"/>
  <c r="E184" i="13"/>
  <c r="F18" i="7"/>
  <c r="D198"/>
  <c r="B32" i="16"/>
  <c r="E9" i="13"/>
  <c r="H665" i="17"/>
  <c r="D71" i="20"/>
  <c r="D75"/>
  <c r="D79"/>
  <c r="D83"/>
  <c r="D87"/>
  <c r="D91"/>
  <c r="D31"/>
  <c r="D35"/>
  <c r="D39"/>
  <c r="G164"/>
  <c r="F96" i="17"/>
  <c r="I958"/>
  <c r="F160"/>
  <c r="G1008"/>
  <c r="G167"/>
  <c r="A154"/>
  <c r="H98" i="16"/>
  <c r="F96" i="7"/>
  <c r="F76" i="25"/>
  <c r="A129" i="20"/>
  <c r="A131"/>
  <c r="H145" i="24"/>
  <c r="F548" i="17"/>
  <c r="A57" i="16"/>
  <c r="D24" i="13"/>
  <c r="E18" i="8"/>
  <c r="M340" i="6"/>
  <c r="A58" i="16"/>
  <c r="D25" i="13"/>
  <c r="E19" i="8"/>
  <c r="A341" i="6"/>
  <c r="F220" i="17"/>
  <c r="E138" i="12"/>
  <c r="F168" i="7"/>
  <c r="G55" i="23"/>
  <c r="H31" i="20"/>
  <c r="H33"/>
  <c r="H42"/>
  <c r="E790" i="17"/>
  <c r="C15"/>
  <c r="D96" i="13"/>
  <c r="J364" i="6"/>
  <c r="N382"/>
  <c r="B16" i="17"/>
  <c r="D97" i="13"/>
  <c r="R364" i="6"/>
  <c r="J383"/>
  <c r="G604" i="17"/>
  <c r="E210" i="12"/>
  <c r="F240" i="7"/>
  <c r="G119" i="23"/>
  <c r="H39" i="20"/>
  <c r="H41"/>
  <c r="H50"/>
  <c r="I818" i="17"/>
  <c r="D22"/>
  <c r="D104" i="13"/>
  <c r="N367" i="6"/>
  <c r="B389"/>
  <c r="C23" i="17"/>
  <c r="D105" i="13"/>
  <c r="B368" i="6"/>
  <c r="R389"/>
  <c r="C832" i="17"/>
  <c r="E218" i="12"/>
  <c r="F248" i="7"/>
  <c r="G183" i="23"/>
  <c r="H95" i="20"/>
  <c r="H97"/>
  <c r="H58"/>
  <c r="D847" i="17"/>
  <c r="E29"/>
  <c r="D112" i="13"/>
  <c r="R370" i="6"/>
  <c r="J395"/>
  <c r="D30" i="17"/>
  <c r="D113" i="13"/>
  <c r="F371" i="6"/>
  <c r="F396"/>
  <c r="A3" i="16"/>
  <c r="E226" i="12"/>
  <c r="F256" i="7"/>
  <c r="E268" i="20"/>
  <c r="A188" i="12"/>
  <c r="M312" i="6"/>
  <c r="C212" i="17"/>
  <c r="E131" i="12"/>
  <c r="F161" i="7"/>
  <c r="A281" i="6"/>
  <c r="I162" i="17"/>
  <c r="B23"/>
  <c r="F106" i="7"/>
  <c r="A259" i="6"/>
  <c r="D7" i="17"/>
  <c r="E97" i="13"/>
  <c r="G389" i="6"/>
  <c r="O406"/>
  <c r="C8" i="17"/>
  <c r="E98" i="13"/>
  <c r="O389" i="6"/>
  <c r="K407"/>
  <c r="Q388" i="5"/>
  <c r="M183" i="6"/>
  <c r="B195" i="5"/>
  <c r="F145"/>
  <c r="M379"/>
  <c r="I174" i="6"/>
  <c r="R185" i="5"/>
  <c r="B136"/>
  <c r="I370"/>
  <c r="E165" i="6"/>
  <c r="N176" i="5"/>
  <c r="R126"/>
  <c r="Q370"/>
  <c r="B120" i="23"/>
  <c r="H15" i="12"/>
  <c r="Q315" i="6"/>
  <c r="H221" i="17"/>
  <c r="E139" i="12"/>
  <c r="F169" i="7"/>
  <c r="E284" i="6"/>
  <c r="A170" i="17"/>
  <c r="F51"/>
  <c r="F114" i="7"/>
  <c r="E262" i="6"/>
  <c r="E14" i="17"/>
  <c r="E105" i="13"/>
  <c r="K392" i="6"/>
  <c r="C413"/>
  <c r="D15" i="17"/>
  <c r="E106" i="13"/>
  <c r="S392" i="6"/>
  <c r="S413"/>
  <c r="A392" i="5"/>
  <c r="Q186" i="6"/>
  <c r="F198" i="5"/>
  <c r="J148"/>
  <c r="Q382"/>
  <c r="M177" i="6"/>
  <c r="B189" i="5"/>
  <c r="F139"/>
  <c r="M373"/>
  <c r="I168" i="6"/>
  <c r="R179" i="5"/>
  <c r="B130"/>
  <c r="A374"/>
  <c r="E928" i="17"/>
  <c r="D95" i="12"/>
  <c r="A319" i="6"/>
  <c r="C231" i="17"/>
  <c r="E147" i="12"/>
  <c r="F177" i="7"/>
  <c r="I287" i="6"/>
  <c r="B177" i="17"/>
  <c r="A80"/>
  <c r="F122" i="7"/>
  <c r="I265" i="6"/>
  <c r="F21" i="17"/>
  <c r="E113" i="13"/>
  <c r="O395" i="6"/>
  <c r="C9" i="7"/>
  <c r="E22" i="17"/>
  <c r="E114" i="13"/>
  <c r="C396" i="6"/>
  <c r="B12" i="7"/>
  <c r="E395" i="5"/>
  <c r="A190" i="6"/>
  <c r="J201" i="5"/>
  <c r="N151"/>
  <c r="A386"/>
  <c r="Q180" i="6"/>
  <c r="F192" i="5"/>
  <c r="J142"/>
  <c r="Q376"/>
  <c r="M171" i="6"/>
  <c r="B183" i="5"/>
  <c r="F133"/>
  <c r="E377"/>
  <c r="D985" i="17"/>
  <c r="H111" i="13"/>
  <c r="E322" i="6"/>
  <c r="G240" i="17"/>
  <c r="E155" i="12"/>
  <c r="F185" i="7"/>
  <c r="M290" i="6"/>
  <c r="C184" i="17"/>
  <c r="I136"/>
  <c r="F130" i="7"/>
  <c r="M268" i="6"/>
  <c r="G28" i="17"/>
  <c r="E121" i="13"/>
  <c r="S398" i="6"/>
  <c r="D30" i="7"/>
  <c r="F29" i="17"/>
  <c r="E122" i="13"/>
  <c r="G399" i="6"/>
  <c r="C33" i="7"/>
  <c r="I398" i="5"/>
  <c r="E193" i="6"/>
  <c r="N204" i="5"/>
  <c r="R154"/>
  <c r="E389"/>
  <c r="A184" i="6"/>
  <c r="J195" i="5"/>
  <c r="N145"/>
  <c r="A380"/>
  <c r="Q174" i="6"/>
  <c r="F186" i="5"/>
  <c r="J136"/>
  <c r="I380"/>
  <c r="D13" i="20"/>
  <c r="A51" i="13"/>
  <c r="I325" i="6"/>
  <c r="C252" i="17"/>
  <c r="E163" i="12"/>
  <c r="F193" i="7"/>
  <c r="Q293" i="6"/>
  <c r="D191" i="17"/>
  <c r="H193"/>
  <c r="F138" i="7"/>
  <c r="Q271" i="6"/>
  <c r="H35" i="17"/>
  <c r="E129" i="13"/>
  <c r="C402" i="6"/>
  <c r="B52" i="7"/>
  <c r="G36" i="17"/>
  <c r="E130" i="13"/>
  <c r="K402" i="6"/>
  <c r="D54" i="7"/>
  <c r="M401" i="5"/>
  <c r="I196" i="6"/>
  <c r="R207" i="5"/>
  <c r="B158"/>
  <c r="I392"/>
  <c r="E187" i="6"/>
  <c r="N198" i="5"/>
  <c r="R148"/>
  <c r="E383"/>
  <c r="A178" i="6"/>
  <c r="J189" i="5"/>
  <c r="N139"/>
  <c r="M383"/>
  <c r="E76" i="20"/>
  <c r="A91" i="12"/>
  <c r="A303" i="6"/>
  <c r="E190" i="17"/>
  <c r="G186"/>
  <c r="F137" i="7"/>
  <c r="I271" i="6"/>
  <c r="F141" i="17"/>
  <c r="H42" i="16"/>
  <c r="F82" i="7"/>
  <c r="I249" i="6"/>
  <c r="B96" i="16"/>
  <c r="E73" i="13"/>
  <c r="F249" i="20"/>
  <c r="B34"/>
  <c r="B66"/>
  <c r="B98"/>
  <c r="B130"/>
  <c r="B162"/>
  <c r="B194"/>
  <c r="C943" i="17"/>
  <c r="I952"/>
  <c r="A962"/>
  <c r="F40" i="25"/>
  <c r="G161" i="13"/>
  <c r="B105" i="24"/>
  <c r="A18" i="15"/>
  <c r="H120" i="24"/>
  <c r="H11" i="16"/>
  <c r="B210" i="17"/>
  <c r="F70" i="12"/>
  <c r="G161" i="7"/>
  <c r="E32" i="23"/>
  <c r="G889" i="17"/>
  <c r="E891"/>
  <c r="A976"/>
  <c r="C609"/>
  <c r="B51" i="16"/>
  <c r="E28" i="13"/>
  <c r="O361" i="6"/>
  <c r="R353"/>
  <c r="B52" i="16"/>
  <c r="E29" i="13"/>
  <c r="C362" i="6"/>
  <c r="F354"/>
  <c r="A503" i="17"/>
  <c r="F142" i="12"/>
  <c r="G233" i="7"/>
  <c r="G184" i="23"/>
  <c r="E714" i="17"/>
  <c r="C716"/>
  <c r="A4" i="20"/>
  <c r="C865" i="17"/>
  <c r="A10"/>
  <c r="E100" i="13"/>
  <c r="K390" i="6"/>
  <c r="C409"/>
  <c r="I10" i="17"/>
  <c r="E101" i="13"/>
  <c r="S390" i="6"/>
  <c r="S409"/>
  <c r="C11" i="15"/>
  <c r="F214" i="12"/>
  <c r="F13" i="8"/>
  <c r="C163" i="24"/>
  <c r="F721" i="17"/>
  <c r="D723"/>
  <c r="A12" i="20"/>
  <c r="G893" i="17"/>
  <c r="B17"/>
  <c r="E108" i="13"/>
  <c r="O393" i="6"/>
  <c r="K415"/>
  <c r="A18" i="17"/>
  <c r="E109" i="13"/>
  <c r="C394" i="6"/>
  <c r="G416"/>
  <c r="C19" i="15"/>
  <c r="F222" i="12"/>
  <c r="F1" i="9"/>
  <c r="F9" i="28"/>
  <c r="D771" i="17"/>
  <c r="B773"/>
  <c r="A20" i="20"/>
  <c r="B922" i="17"/>
  <c r="C24"/>
  <c r="E116" i="13"/>
  <c r="S396" i="6"/>
  <c r="C17" i="7"/>
  <c r="B25" i="17"/>
  <c r="E117" i="13"/>
  <c r="G397" i="6"/>
  <c r="B20" i="7"/>
  <c r="C27" i="15"/>
  <c r="F230" i="12"/>
  <c r="E9" i="9"/>
  <c r="G688" i="17"/>
  <c r="A88" i="7"/>
  <c r="R325" i="6"/>
  <c r="C453" i="17"/>
  <c r="F135" i="12"/>
  <c r="G226" i="7"/>
  <c r="F294" i="6"/>
  <c r="I221" i="17"/>
  <c r="F80" i="12"/>
  <c r="G171" i="7"/>
  <c r="D210" i="23"/>
  <c r="E63" i="17"/>
  <c r="F184" i="13"/>
  <c r="H415" i="6"/>
  <c r="D242" i="23"/>
  <c r="D64" i="17"/>
  <c r="F185" i="13"/>
  <c r="P415" i="6"/>
  <c r="G371" i="17"/>
  <c r="E206" i="6"/>
  <c r="J417" i="5"/>
  <c r="R15"/>
  <c r="F709" i="17"/>
  <c r="A197" i="6"/>
  <c r="F408" i="5"/>
  <c r="N6"/>
  <c r="H428" i="17"/>
  <c r="Q187" i="6"/>
  <c r="B399" i="5"/>
  <c r="AE407" i="4"/>
  <c r="I435" i="17"/>
  <c r="E188" i="6"/>
  <c r="F745" i="17"/>
  <c r="A152" i="7"/>
  <c r="B329" i="6"/>
  <c r="B510" i="17"/>
  <c r="F143" i="12"/>
  <c r="G234" i="7"/>
  <c r="J297" i="6"/>
  <c r="D231" i="17"/>
  <c r="F88" i="12"/>
  <c r="G179" i="7"/>
  <c r="F109" i="25"/>
  <c r="F70" i="17"/>
  <c r="F192" i="13"/>
  <c r="G4" i="7"/>
  <c r="C10" i="23"/>
  <c r="E71" i="17"/>
  <c r="F193" i="13"/>
  <c r="G5" i="7"/>
  <c r="E372" i="17"/>
  <c r="I209" i="6"/>
  <c r="M7"/>
  <c r="B19" i="5"/>
  <c r="E956" i="17"/>
  <c r="E200" i="6"/>
  <c r="J411" i="5"/>
  <c r="R9"/>
  <c r="G485" i="17"/>
  <c r="A191" i="6"/>
  <c r="F402" i="5"/>
  <c r="AD411" i="4"/>
  <c r="H492" i="17"/>
  <c r="I191" i="6"/>
  <c r="E802" i="17"/>
  <c r="A216" i="7"/>
  <c r="F332" i="6"/>
  <c r="C608" i="17"/>
  <c r="F151" i="12"/>
  <c r="G242" i="7"/>
  <c r="N300" i="6"/>
  <c r="H240" i="17"/>
  <c r="F96" i="12"/>
  <c r="G187" i="7"/>
  <c r="C234" i="23"/>
  <c r="G77" i="17"/>
  <c r="F200" i="13"/>
  <c r="G12" i="7"/>
  <c r="B11" i="24"/>
  <c r="F78" i="17"/>
  <c r="F201" i="13"/>
  <c r="G13" i="7"/>
  <c r="A705" i="17"/>
  <c r="M212" i="6"/>
  <c r="Q10"/>
  <c r="F22" i="5"/>
  <c r="E390" i="17"/>
  <c r="I203" i="6"/>
  <c r="N414" i="5"/>
  <c r="B13"/>
  <c r="F542" i="17"/>
  <c r="E194" i="6"/>
  <c r="J405" i="5"/>
  <c r="H415" i="4"/>
  <c r="G549" i="17"/>
  <c r="H258"/>
  <c r="A228" i="20"/>
  <c r="F159" i="7"/>
  <c r="B14" i="22"/>
  <c r="F231" i="7"/>
  <c r="B30" i="23"/>
  <c r="F239" i="7"/>
  <c r="C675" i="17"/>
  <c r="A306"/>
  <c r="F309"/>
  <c r="B313"/>
  <c r="G316"/>
  <c r="C320"/>
  <c r="H323"/>
  <c r="E163" i="24"/>
  <c r="D164"/>
  <c r="F277" i="17"/>
  <c r="D809"/>
  <c r="G224" i="7"/>
  <c r="D873" i="17"/>
  <c r="F4" i="8"/>
  <c r="E880" i="17"/>
  <c r="F12" i="8"/>
  <c r="A676" i="17"/>
  <c r="I362"/>
  <c r="E366"/>
  <c r="A370"/>
  <c r="F373"/>
  <c r="B377"/>
  <c r="G380"/>
  <c r="D327"/>
  <c r="I330"/>
  <c r="E334"/>
  <c r="C866"/>
  <c r="G288" i="7"/>
  <c r="I937" i="17"/>
  <c r="B1" i="11"/>
  <c r="G956" i="17"/>
  <c r="S358" i="6"/>
  <c r="A142" i="20"/>
  <c r="H419" i="17"/>
  <c r="D423"/>
  <c r="I426"/>
  <c r="E430"/>
  <c r="A434"/>
  <c r="F437"/>
  <c r="C384"/>
  <c r="H387"/>
  <c r="D391"/>
  <c r="B923"/>
  <c r="E40" i="9"/>
  <c r="H169" i="20"/>
  <c r="H82"/>
  <c r="C944" i="17"/>
  <c r="H50"/>
  <c r="D136" i="13"/>
  <c r="J380" i="6"/>
  <c r="N414"/>
  <c r="G51" i="17"/>
  <c r="D137" i="13"/>
  <c r="R380" i="6"/>
  <c r="J415"/>
  <c r="A27" i="16"/>
  <c r="E250" i="12"/>
  <c r="F280" i="7"/>
  <c r="F38" i="25"/>
  <c r="H223" i="20"/>
  <c r="H225"/>
  <c r="H90"/>
  <c r="C14" i="19"/>
  <c r="I57" i="17"/>
  <c r="D144" i="13"/>
  <c r="N383" i="6"/>
  <c r="C14" i="7"/>
  <c r="H58" i="17"/>
  <c r="D145" i="13"/>
  <c r="B384" i="6"/>
  <c r="B17" i="7"/>
  <c r="C104" i="25"/>
  <c r="C72"/>
  <c r="F13" i="24"/>
  <c r="F93"/>
  <c r="E201" i="23"/>
  <c r="D333" i="17"/>
  <c r="E209" i="23"/>
  <c r="E340" i="17"/>
  <c r="B512"/>
  <c r="E117" i="23"/>
  <c r="A14" i="22"/>
  <c r="H9" i="23"/>
  <c r="B19"/>
  <c r="B166"/>
  <c r="H514" i="17"/>
  <c r="B170" i="23"/>
  <c r="G515" i="17"/>
  <c r="B174" i="23"/>
  <c r="F516" i="17"/>
  <c r="B178" i="23"/>
  <c r="E517" i="17"/>
  <c r="B182" i="23"/>
  <c r="D518" i="17"/>
  <c r="B186" i="23"/>
  <c r="C519" i="17"/>
  <c r="E125" i="23"/>
  <c r="H8"/>
  <c r="H17"/>
  <c r="B51"/>
  <c r="B198"/>
  <c r="I521" i="17"/>
  <c r="B202" i="23"/>
  <c r="H522" i="17"/>
  <c r="B206" i="23"/>
  <c r="G523" i="17"/>
  <c r="B210" i="23"/>
  <c r="F524" i="17"/>
  <c r="B214" i="23"/>
  <c r="E525" i="17"/>
  <c r="B218" i="23"/>
  <c r="D526" i="17"/>
  <c r="E181" i="23"/>
  <c r="H16"/>
  <c r="H25"/>
  <c r="B83"/>
  <c r="B230"/>
  <c r="A529" i="17"/>
  <c r="B234" i="23"/>
  <c r="I529" i="17"/>
  <c r="B238" i="23"/>
  <c r="H530" i="17"/>
  <c r="B242" i="23"/>
  <c r="G531" i="17"/>
  <c r="B246" i="23"/>
  <c r="F532" i="17"/>
  <c r="B250" i="23"/>
  <c r="E533" i="17"/>
  <c r="B163" i="23"/>
  <c r="G49" i="25"/>
  <c r="G73"/>
  <c r="C266" i="20"/>
  <c r="B6" i="23"/>
  <c r="C479" i="17"/>
  <c r="B10" i="23"/>
  <c r="B480" i="17"/>
  <c r="B14" i="23"/>
  <c r="A481" i="17"/>
  <c r="B18" i="23"/>
  <c r="I481" i="17"/>
  <c r="B22" i="23"/>
  <c r="H482" i="17"/>
  <c r="B26" i="23"/>
  <c r="G483" i="17"/>
  <c r="F3" i="22"/>
  <c r="H70" i="25"/>
  <c r="H94"/>
  <c r="C274" i="20"/>
  <c r="B38" i="23"/>
  <c r="D486" i="17"/>
  <c r="B42" i="23"/>
  <c r="C487" i="17"/>
  <c r="B46" i="23"/>
  <c r="B488" i="17"/>
  <c r="F56" i="24"/>
  <c r="H159" i="20"/>
  <c r="H161"/>
  <c r="H74"/>
  <c r="C904" i="17"/>
  <c r="G43"/>
  <c r="D128" i="13"/>
  <c r="F377" i="6"/>
  <c r="F408"/>
  <c r="F44" i="17"/>
  <c r="D129" i="13"/>
  <c r="N377" i="6"/>
  <c r="B409"/>
  <c r="A19" i="16"/>
  <c r="E242" i="12"/>
  <c r="F272" i="7"/>
  <c r="I247" i="46"/>
  <c r="F954" i="17"/>
  <c r="D956"/>
  <c r="H146" i="20"/>
  <c r="G250" i="17"/>
  <c r="G107"/>
  <c r="D200" i="13"/>
  <c r="B406" i="6"/>
  <c r="D163" i="7"/>
  <c r="F108" i="17"/>
  <c r="D201" i="13"/>
  <c r="J406" i="6"/>
  <c r="C166" i="7"/>
  <c r="A91" i="16"/>
  <c r="D58" i="13"/>
  <c r="D32" i="9"/>
  <c r="F17" i="44"/>
  <c r="D1004" i="17"/>
  <c r="B1006"/>
  <c r="H154" i="20"/>
  <c r="H257" i="17"/>
  <c r="H114"/>
  <c r="D208" i="13"/>
  <c r="F409" i="6"/>
  <c r="B185" i="7"/>
  <c r="G115" i="17"/>
  <c r="H209" i="13"/>
  <c r="N409" i="6"/>
  <c r="D187" i="7"/>
  <c r="I185" i="46"/>
  <c r="E157"/>
  <c r="G8" i="33"/>
  <c r="E5" i="46"/>
  <c r="D225" i="23"/>
  <c r="I665" i="17"/>
  <c r="D233" i="23"/>
  <c r="A673" i="17"/>
  <c r="C616"/>
  <c r="G127" i="24"/>
  <c r="H64" i="23"/>
  <c r="H73"/>
  <c r="E41" i="24"/>
  <c r="A16" i="19"/>
  <c r="I626" i="17"/>
  <c r="A17" i="19"/>
  <c r="E630" i="17"/>
  <c r="A18" i="19"/>
  <c r="A634" i="17"/>
  <c r="A19" i="19"/>
  <c r="F637" i="17"/>
  <c r="A20" i="19"/>
  <c r="B641" i="17"/>
  <c r="A1" i="20"/>
  <c r="G644" i="17"/>
  <c r="G143" i="24"/>
  <c r="H72" i="23"/>
  <c r="H81"/>
  <c r="E105" i="24"/>
  <c r="H4" i="20"/>
  <c r="D655" i="17"/>
  <c r="H5" i="20"/>
  <c r="I658" i="17"/>
  <c r="H6" i="20"/>
  <c r="E662" i="17"/>
  <c r="H7" i="20"/>
  <c r="A666" i="17"/>
  <c r="H8" i="20"/>
  <c r="F669" i="17"/>
  <c r="H9" i="20"/>
  <c r="B673" i="17"/>
  <c r="F32" i="25"/>
  <c r="H80" i="23"/>
  <c r="H89"/>
  <c r="H229" i="24"/>
  <c r="H12" i="20"/>
  <c r="H683" i="17"/>
  <c r="H13" i="20"/>
  <c r="D687" i="17"/>
  <c r="H14" i="20"/>
  <c r="I690" i="17"/>
  <c r="H15" i="20"/>
  <c r="E694" i="17"/>
  <c r="H16" i="20"/>
  <c r="A698" i="17"/>
  <c r="H17" i="20"/>
  <c r="F701" i="17"/>
  <c r="E189" i="23"/>
  <c r="H24"/>
  <c r="H33"/>
  <c r="B115"/>
  <c r="E15" i="24"/>
  <c r="B536" i="17"/>
  <c r="E23" i="24"/>
  <c r="A537" i="17"/>
  <c r="E31" i="24"/>
  <c r="I537" i="17"/>
  <c r="E39" i="24"/>
  <c r="H538" i="17"/>
  <c r="E47" i="24"/>
  <c r="G539" i="17"/>
  <c r="E55" i="24"/>
  <c r="F540" i="17"/>
  <c r="E245" i="23"/>
  <c r="H32"/>
  <c r="H41"/>
  <c r="B147"/>
  <c r="E79" i="24"/>
  <c r="C543" i="17"/>
  <c r="E87" i="24"/>
  <c r="B544" i="17"/>
  <c r="E95" i="24"/>
  <c r="A545" i="17"/>
  <c r="I42" i="46"/>
  <c r="E947" i="17"/>
  <c r="C949"/>
  <c r="H138" i="20"/>
  <c r="F243" i="17"/>
  <c r="F100"/>
  <c r="D192" i="13"/>
  <c r="R402" i="6"/>
  <c r="C142" i="7"/>
  <c r="E101" i="17"/>
  <c r="D193" i="13"/>
  <c r="F403" i="6"/>
  <c r="B145" i="7"/>
  <c r="A83" i="16"/>
  <c r="D50" i="13"/>
  <c r="D24" i="9"/>
  <c r="H49" i="23"/>
  <c r="G171" i="20"/>
  <c r="G173"/>
  <c r="H210"/>
  <c r="F307" i="17"/>
  <c r="F164"/>
  <c r="E106" i="16"/>
  <c r="E37" i="7"/>
  <c r="D232" i="6"/>
  <c r="E165" i="17"/>
  <c r="E110" i="16"/>
  <c r="E38" i="7"/>
  <c r="L232" i="6"/>
  <c r="D38" i="17"/>
  <c r="D122" i="13"/>
  <c r="R374" i="6"/>
  <c r="H113" i="23"/>
  <c r="G227" i="20"/>
  <c r="G229"/>
  <c r="H218"/>
  <c r="G314" i="17"/>
  <c r="G171"/>
  <c r="H22"/>
  <c r="E45" i="7"/>
  <c r="H235" i="6"/>
  <c r="F172" i="17"/>
  <c r="D26"/>
  <c r="E46" i="7"/>
  <c r="P235" i="6"/>
  <c r="B101" i="24"/>
  <c r="H122"/>
  <c r="B28" i="20"/>
  <c r="H138" i="24"/>
  <c r="B92" i="20"/>
  <c r="H154" i="24"/>
  <c r="B156" i="20"/>
  <c r="A76" i="24"/>
  <c r="I938" i="17"/>
  <c r="A84" i="24"/>
  <c r="D494" i="17"/>
  <c r="C217"/>
  <c r="A552"/>
  <c r="C281"/>
  <c r="E775"/>
  <c r="D288"/>
  <c r="C159"/>
  <c r="E82" i="16"/>
  <c r="E31" i="7"/>
  <c r="C160" i="20"/>
  <c r="E113"/>
  <c r="F7" i="19"/>
  <c r="B950" i="17"/>
  <c r="E492"/>
  <c r="E314"/>
  <c r="C23" i="13"/>
  <c r="E245" i="7"/>
  <c r="H315" i="6"/>
  <c r="D315" i="17"/>
  <c r="C24" i="13"/>
  <c r="E246" i="7"/>
  <c r="P315" i="6"/>
  <c r="E227" i="17"/>
  <c r="D137" i="12"/>
  <c r="E103" i="7"/>
  <c r="D72" i="24"/>
  <c r="D178" i="20"/>
  <c r="C7" i="22"/>
  <c r="H2" i="19"/>
  <c r="G565" i="17"/>
  <c r="E378"/>
  <c r="C95" i="13"/>
  <c r="C5" i="9"/>
  <c r="D344" i="6"/>
  <c r="D379" i="17"/>
  <c r="C96" i="13"/>
  <c r="C6" i="9"/>
  <c r="L344" i="6"/>
  <c r="H771" i="17"/>
  <c r="D209" i="12"/>
  <c r="E175" i="7"/>
  <c r="G163" i="24"/>
  <c r="D242" i="20"/>
  <c r="B20" i="23"/>
  <c r="H10" i="19"/>
  <c r="B594" i="17"/>
  <c r="F385"/>
  <c r="C103" i="13"/>
  <c r="C13" i="9"/>
  <c r="H347" i="6"/>
  <c r="E386" i="17"/>
  <c r="C104" i="13"/>
  <c r="C14" i="9"/>
  <c r="P347" i="6"/>
  <c r="F102" i="23"/>
  <c r="D217" i="12"/>
  <c r="E183" i="7"/>
  <c r="F80" i="25"/>
  <c r="F19" i="23"/>
  <c r="B244"/>
  <c r="H18" i="19"/>
  <c r="F622" i="17"/>
  <c r="G392"/>
  <c r="C111" i="13"/>
  <c r="C21" i="9"/>
  <c r="L350" i="6"/>
  <c r="F393" i="17"/>
  <c r="C112" i="13"/>
  <c r="C22" i="9"/>
  <c r="T350" i="6"/>
  <c r="E266" i="17"/>
  <c r="D225" i="12"/>
  <c r="E191" i="7"/>
  <c r="E773" i="17"/>
  <c r="G4" i="16"/>
  <c r="H287" i="6"/>
  <c r="C219" i="17"/>
  <c r="D130" i="12"/>
  <c r="E96" i="7"/>
  <c r="P255" i="6"/>
  <c r="B168" i="17"/>
  <c r="F8"/>
  <c r="E41" i="7"/>
  <c r="P233" i="6"/>
  <c r="F12" i="17"/>
  <c r="D93" i="13"/>
  <c r="F363" i="6"/>
  <c r="F380"/>
  <c r="E13" i="17"/>
  <c r="D94" i="13"/>
  <c r="N363" i="6"/>
  <c r="B381"/>
  <c r="T154"/>
  <c r="T135"/>
  <c r="F387" i="4"/>
  <c r="AF326"/>
  <c r="P145" i="6"/>
  <c r="P126"/>
  <c r="B376" i="4"/>
  <c r="E315"/>
  <c r="L136" i="6"/>
  <c r="L117"/>
  <c r="J364" i="4"/>
  <c r="AJ303"/>
  <c r="T136" i="6"/>
  <c r="F158" i="23"/>
  <c r="G68" i="16"/>
  <c r="L290" i="6"/>
  <c r="G228" i="17"/>
  <c r="D138" i="12"/>
  <c r="E104" i="7"/>
  <c r="T258" i="6"/>
  <c r="C175" i="17"/>
  <c r="A37"/>
  <c r="E49" i="7"/>
  <c r="T236" i="6"/>
  <c r="G19" i="17"/>
  <c r="D101" i="13"/>
  <c r="J366" i="6"/>
  <c r="N386"/>
  <c r="F20" i="17"/>
  <c r="D102" i="13"/>
  <c r="R366" i="6"/>
  <c r="J387"/>
  <c r="D158"/>
  <c r="D139"/>
  <c r="E391" i="4"/>
  <c r="J330"/>
  <c r="T148" i="6"/>
  <c r="T129"/>
  <c r="AJ379" i="4"/>
  <c r="D319"/>
  <c r="P139" i="6"/>
  <c r="P120"/>
  <c r="J368" i="4"/>
  <c r="AI307"/>
  <c r="D140" i="6"/>
  <c r="B775" i="17"/>
  <c r="G17"/>
  <c r="P293" i="6"/>
  <c r="B238" i="17"/>
  <c r="D146" i="12"/>
  <c r="E112" i="7"/>
  <c r="D262" i="6"/>
  <c r="D182" i="17"/>
  <c r="E65"/>
  <c r="E57" i="7"/>
  <c r="D240" i="6"/>
  <c r="H26" i="17"/>
  <c r="D109" i="13"/>
  <c r="N369" i="6"/>
  <c r="B393"/>
  <c r="G27" i="17"/>
  <c r="D110" i="13"/>
  <c r="B370" i="6"/>
  <c r="R393"/>
  <c r="H161"/>
  <c r="H142"/>
  <c r="D395" i="4"/>
  <c r="I334"/>
  <c r="D152" i="6"/>
  <c r="D133"/>
  <c r="AI383" i="4"/>
  <c r="D323"/>
  <c r="T142" i="6"/>
  <c r="T123"/>
  <c r="J372" i="4"/>
  <c r="AI311"/>
  <c r="H143" i="6"/>
  <c r="F218" i="23"/>
  <c r="F74" i="17"/>
  <c r="T296" i="6"/>
  <c r="H247" i="17"/>
  <c r="D154" i="12"/>
  <c r="E120" i="7"/>
  <c r="H265" i="6"/>
  <c r="E189" i="17"/>
  <c r="F107"/>
  <c r="E65" i="7"/>
  <c r="H243" i="6"/>
  <c r="I33" i="17"/>
  <c r="D117" i="13"/>
  <c r="R372" i="6"/>
  <c r="J399"/>
  <c r="H34" i="17"/>
  <c r="D118" i="13"/>
  <c r="F373" i="6"/>
  <c r="F400"/>
  <c r="L164"/>
  <c r="L145"/>
  <c r="C399" i="4"/>
  <c r="G338"/>
  <c r="H155" i="6"/>
  <c r="H136"/>
  <c r="AG387" i="4"/>
  <c r="D327"/>
  <c r="D146" i="6"/>
  <c r="D127"/>
  <c r="J376" i="4"/>
  <c r="AG315"/>
  <c r="L146" i="6"/>
  <c r="H776" i="17"/>
  <c r="E131"/>
  <c r="D300" i="6"/>
  <c r="G273" i="17"/>
  <c r="D162" i="12"/>
  <c r="E128" i="7"/>
  <c r="L268" i="6"/>
  <c r="F196" i="17"/>
  <c r="E164"/>
  <c r="E73" i="7"/>
  <c r="L246" i="6"/>
  <c r="A41" i="17"/>
  <c r="D125" i="13"/>
  <c r="B376" i="6"/>
  <c r="R405"/>
  <c r="I41" i="17"/>
  <c r="D126" i="13"/>
  <c r="J376" i="6"/>
  <c r="N406"/>
  <c r="P167"/>
  <c r="P148"/>
  <c r="C403" i="4"/>
  <c r="E342"/>
  <c r="L158" i="6"/>
  <c r="L139"/>
  <c r="AG391" i="4"/>
  <c r="B331"/>
  <c r="H149" i="6"/>
  <c r="H130"/>
  <c r="H380" i="4"/>
  <c r="AF319"/>
  <c r="P149" i="6"/>
  <c r="D213" i="17"/>
  <c r="B185" i="13"/>
  <c r="P277" i="6"/>
  <c r="G195" i="17"/>
  <c r="D157"/>
  <c r="E72" i="7"/>
  <c r="D246" i="6"/>
  <c r="H146" i="17"/>
  <c r="E26" i="16"/>
  <c r="E17" i="7"/>
  <c r="B281"/>
  <c r="A102" i="16"/>
  <c r="D69" i="13"/>
  <c r="H85" i="25"/>
  <c r="G208" i="24"/>
  <c r="B43" i="20"/>
  <c r="G224" i="24"/>
  <c r="B107" i="20"/>
  <c r="F12" i="25"/>
  <c r="B171" i="20"/>
  <c r="G128" i="24"/>
  <c r="D943" i="17"/>
  <c r="G144" i="24"/>
  <c r="B74" i="23"/>
  <c r="B257" i="17"/>
  <c r="G1009"/>
  <c r="H868"/>
  <c r="G41" i="20"/>
  <c r="B272" i="17"/>
  <c r="A218"/>
  <c r="D129" i="12"/>
  <c r="E95" i="7"/>
  <c r="D8" i="24"/>
  <c r="D114" i="20"/>
  <c r="E243"/>
  <c r="A1007" i="17"/>
  <c r="D549"/>
  <c r="D371"/>
  <c r="C87" i="13"/>
  <c r="D17" i="8"/>
  <c r="T340" i="6"/>
  <c r="C372" i="17"/>
  <c r="C88" i="13"/>
  <c r="D18" i="8"/>
  <c r="H341" i="6"/>
  <c r="A551" i="17"/>
  <c r="D201" i="12"/>
  <c r="E167" i="7"/>
  <c r="C96" i="24"/>
  <c r="D43"/>
  <c r="D44" i="20"/>
  <c r="G46"/>
  <c r="C793" i="17"/>
  <c r="D435"/>
  <c r="C159" i="13"/>
  <c r="A15" i="9"/>
  <c r="E383" i="6"/>
  <c r="C436" i="17"/>
  <c r="C160" i="13"/>
  <c r="A16" i="9"/>
  <c r="A384" i="6"/>
  <c r="B309" i="17"/>
  <c r="C17" i="13"/>
  <c r="E239" i="7"/>
  <c r="B211" i="24"/>
  <c r="D66" i="23"/>
  <c r="D52" i="20"/>
  <c r="G54"/>
  <c r="G821" i="17"/>
  <c r="E442"/>
  <c r="C167" i="13"/>
  <c r="A23" i="9"/>
  <c r="M389" i="6"/>
  <c r="D443" i="17"/>
  <c r="C168" i="13"/>
  <c r="A24" i="9"/>
  <c r="I390" i="6"/>
  <c r="C316" i="17"/>
  <c r="C25" i="13"/>
  <c r="E247" i="7"/>
  <c r="D5" i="22"/>
  <c r="C67" i="24"/>
  <c r="D108" i="20"/>
  <c r="G62"/>
  <c r="B850" i="17"/>
  <c r="F449"/>
  <c r="C175" i="13"/>
  <c r="A31" i="9"/>
  <c r="A396" i="6"/>
  <c r="E450" i="17"/>
  <c r="C176" i="13"/>
  <c r="A32" i="9"/>
  <c r="Q396" i="6"/>
  <c r="D323" i="17"/>
  <c r="C33" i="13"/>
  <c r="E255" i="7"/>
  <c r="D778" i="17"/>
  <c r="F5" i="16"/>
  <c r="T312" i="6"/>
  <c r="C501" i="17"/>
  <c r="D194" i="12"/>
  <c r="E160" i="7"/>
  <c r="H281" i="6"/>
  <c r="I229" i="17"/>
  <c r="D139" i="12"/>
  <c r="E105" i="7"/>
  <c r="H259" i="6"/>
  <c r="E69" i="17"/>
  <c r="D157" i="13"/>
  <c r="R388" i="6"/>
  <c r="B49" i="7"/>
  <c r="D70" i="17"/>
  <c r="D158" i="13"/>
  <c r="F389" i="6"/>
  <c r="D51" i="7"/>
  <c r="L180" i="6"/>
  <c r="L161"/>
  <c r="M6" i="5"/>
  <c r="AJ357" i="4"/>
  <c r="H171" i="6"/>
  <c r="H152"/>
  <c r="J407" i="4"/>
  <c r="AE346"/>
  <c r="D162" i="6"/>
  <c r="D143"/>
  <c r="D396" i="4"/>
  <c r="I335"/>
  <c r="L162" i="6"/>
  <c r="H211" i="24"/>
  <c r="F69" i="16"/>
  <c r="D316" i="6"/>
  <c r="G572" i="17"/>
  <c r="D202" i="12"/>
  <c r="E168" i="7"/>
  <c r="L284" i="6"/>
  <c r="D239" i="17"/>
  <c r="D147" i="12"/>
  <c r="E113" i="7"/>
  <c r="L262" i="6"/>
  <c r="F76" i="17"/>
  <c r="D165" i="13"/>
  <c r="B392" i="6"/>
  <c r="C70" i="7"/>
  <c r="E77" i="17"/>
  <c r="D166" i="13"/>
  <c r="J392" i="6"/>
  <c r="B73" i="7"/>
  <c r="P183" i="6"/>
  <c r="P164"/>
  <c r="Q9" i="5"/>
  <c r="AI361" i="4"/>
  <c r="L174" i="6"/>
  <c r="L155"/>
  <c r="J411" i="4"/>
  <c r="AE350"/>
  <c r="H165" i="6"/>
  <c r="H146"/>
  <c r="C400" i="4"/>
  <c r="G339"/>
  <c r="P165" i="6"/>
  <c r="B779" i="17"/>
  <c r="E18"/>
  <c r="H319" i="6"/>
  <c r="C800" i="17"/>
  <c r="D210" i="12"/>
  <c r="E176" i="7"/>
  <c r="P287" i="6"/>
  <c r="F249" i="17"/>
  <c r="D155" i="12"/>
  <c r="E121" i="7"/>
  <c r="P265" i="6"/>
  <c r="G83" i="17"/>
  <c r="D173" i="13"/>
  <c r="F395" i="6"/>
  <c r="D91" i="7"/>
  <c r="F84" i="17"/>
  <c r="D174" i="13"/>
  <c r="N395" i="6"/>
  <c r="C94" i="7"/>
  <c r="T186" i="6"/>
  <c r="T167"/>
  <c r="A13" i="5"/>
  <c r="AH365" i="4"/>
  <c r="P177" i="6"/>
  <c r="P158"/>
  <c r="G415" i="4"/>
  <c r="I354"/>
  <c r="L168" i="6"/>
  <c r="L149"/>
  <c r="C404" i="4"/>
  <c r="E343"/>
  <c r="T168" i="6"/>
  <c r="A2" i="20"/>
  <c r="D75" i="17"/>
  <c r="L322" i="6"/>
  <c r="C260" i="17"/>
  <c r="D218" i="12"/>
  <c r="E184" i="7"/>
  <c r="T290" i="6"/>
  <c r="H280" i="17"/>
  <c r="D163" i="12"/>
  <c r="E129" i="7"/>
  <c r="T268" i="6"/>
  <c r="H90" i="17"/>
  <c r="D181" i="13"/>
  <c r="J398" i="6"/>
  <c r="B113" i="7"/>
  <c r="G91" i="17"/>
  <c r="D182" i="13"/>
  <c r="R398" i="6"/>
  <c r="D115" i="7"/>
  <c r="D190" i="6"/>
  <c r="D171"/>
  <c r="E16" i="5"/>
  <c r="AH369" i="4"/>
  <c r="T180" i="6"/>
  <c r="T161"/>
  <c r="A7" i="5"/>
  <c r="H358" i="4"/>
  <c r="P171" i="6"/>
  <c r="P152"/>
  <c r="B408" i="4"/>
  <c r="C347"/>
  <c r="D172" i="6"/>
  <c r="A258" i="20"/>
  <c r="C132" i="17"/>
  <c r="P325" i="6"/>
  <c r="D267" i="17"/>
  <c r="D226" i="12"/>
  <c r="E192" i="7"/>
  <c r="D294" i="6"/>
  <c r="G337" i="17"/>
  <c r="D171" i="12"/>
  <c r="E137" i="7"/>
  <c r="D272" i="6"/>
  <c r="I97" i="17"/>
  <c r="D189" i="13"/>
  <c r="N401" i="6"/>
  <c r="C134" i="7"/>
  <c r="H98" i="17"/>
  <c r="D190" i="13"/>
  <c r="B402" i="6"/>
  <c r="B137" i="7"/>
  <c r="H193" i="6"/>
  <c r="H174"/>
  <c r="I19" i="5"/>
  <c r="AH373" i="4"/>
  <c r="D184" i="6"/>
  <c r="D165"/>
  <c r="E10" i="5"/>
  <c r="G362" i="4"/>
  <c r="T174" i="6"/>
  <c r="T155"/>
  <c r="A412" i="4"/>
  <c r="C351"/>
  <c r="H175" i="6"/>
  <c r="E48" i="24"/>
  <c r="D188" i="17"/>
  <c r="H303" i="6"/>
  <c r="F330" i="17"/>
  <c r="D170" i="12"/>
  <c r="E136" i="7"/>
  <c r="P271" i="6"/>
  <c r="G203" i="17"/>
  <c r="A225"/>
  <c r="E81" i="7"/>
  <c r="P249" i="6"/>
  <c r="B48" i="17"/>
  <c r="D133" i="13"/>
  <c r="F245" i="20"/>
  <c r="C281"/>
  <c r="B4" i="22"/>
  <c r="B47" i="23"/>
  <c r="B111"/>
  <c r="B175"/>
  <c r="B239"/>
  <c r="C121" i="20"/>
  <c r="C137"/>
  <c r="C153"/>
  <c r="D17" i="24"/>
  <c r="F95" i="17"/>
  <c r="B97" i="24"/>
  <c r="F159" i="17"/>
  <c r="A107" i="24"/>
  <c r="G166" i="17"/>
  <c r="B211"/>
  <c r="E130" i="12"/>
  <c r="F160" i="7"/>
  <c r="H5" i="22"/>
  <c r="H225" i="24"/>
  <c r="H37" i="25"/>
  <c r="H34" i="20"/>
  <c r="A762" i="17"/>
  <c r="B8"/>
  <c r="D88" i="13"/>
  <c r="F361" i="6"/>
  <c r="F376"/>
  <c r="A9" i="17"/>
  <c r="D89" i="13"/>
  <c r="N361" i="6"/>
  <c r="B377"/>
  <c r="C509" i="17"/>
  <c r="E202" i="12"/>
  <c r="F232" i="7"/>
  <c r="H1" i="28"/>
  <c r="H287" i="20"/>
  <c r="H289"/>
  <c r="H106"/>
  <c r="B215" i="17"/>
  <c r="B72"/>
  <c r="D160" i="13"/>
  <c r="B390" i="6"/>
  <c r="B57" i="7"/>
  <c r="A73" i="17"/>
  <c r="D161" i="13"/>
  <c r="J390" i="6"/>
  <c r="D59" i="7"/>
  <c r="A51" i="16"/>
  <c r="D18" i="13"/>
  <c r="E12" i="8"/>
  <c r="C3" i="28"/>
  <c r="D5" i="21"/>
  <c r="G5" i="22"/>
  <c r="H114" i="20"/>
  <c r="C222" i="17"/>
  <c r="C79"/>
  <c r="D168" i="13"/>
  <c r="F393" i="6"/>
  <c r="C78" i="7"/>
  <c r="B80" i="17"/>
  <c r="D169" i="13"/>
  <c r="N393" i="6"/>
  <c r="B81" i="7"/>
  <c r="A59" i="16"/>
  <c r="D26" i="13"/>
  <c r="E20" i="8"/>
  <c r="H29" i="28"/>
  <c r="F205" i="23"/>
  <c r="F213"/>
  <c r="H122" i="20"/>
  <c r="D229" i="17"/>
  <c r="D86"/>
  <c r="D176" i="13"/>
  <c r="J396" i="6"/>
  <c r="D99" i="7"/>
  <c r="C87" i="17"/>
  <c r="D177" i="13"/>
  <c r="R396" i="6"/>
  <c r="C102" i="7"/>
  <c r="A67" i="16"/>
  <c r="D34" i="13"/>
  <c r="D8" i="9"/>
  <c r="D269" i="20"/>
  <c r="E221" i="17"/>
  <c r="E338" i="6"/>
  <c r="E459" i="17"/>
  <c r="E195" i="12"/>
  <c r="F225" i="7"/>
  <c r="M306" i="6"/>
  <c r="I222" i="17"/>
  <c r="E140" i="12"/>
  <c r="F170" i="7"/>
  <c r="M284" i="6"/>
  <c r="C64" i="17"/>
  <c r="E161" i="13"/>
  <c r="S414" i="6"/>
  <c r="C137" i="7"/>
  <c r="B65" i="17"/>
  <c r="E162" i="13"/>
  <c r="G415" i="6"/>
  <c r="B140" i="7"/>
  <c r="I414" i="5"/>
  <c r="E209" i="6"/>
  <c r="N220" i="5"/>
  <c r="R170"/>
  <c r="E405"/>
  <c r="A200" i="6"/>
  <c r="J211" i="5"/>
  <c r="N161"/>
  <c r="A396"/>
  <c r="Q190" i="6"/>
  <c r="F202" i="5"/>
  <c r="J152"/>
  <c r="I396"/>
  <c r="F127" i="23"/>
  <c r="A53" i="17"/>
  <c r="I341" i="6"/>
  <c r="D516" i="17"/>
  <c r="E203" i="12"/>
  <c r="F233" i="7"/>
  <c r="Q309" i="6"/>
  <c r="E232" i="17"/>
  <c r="E148" i="12"/>
  <c r="F178" i="7"/>
  <c r="Q287" i="6"/>
  <c r="D71" i="17"/>
  <c r="E169" i="13"/>
  <c r="F3" i="7"/>
  <c r="D158"/>
  <c r="C72" i="17"/>
  <c r="E170" i="13"/>
  <c r="F4" i="7"/>
  <c r="C161"/>
  <c r="M417" i="5"/>
  <c r="I212" i="6"/>
  <c r="R223" i="5"/>
  <c r="B174"/>
  <c r="I408"/>
  <c r="E203" i="6"/>
  <c r="N214" i="5"/>
  <c r="R164"/>
  <c r="E399"/>
  <c r="A194" i="6"/>
  <c r="J205" i="5"/>
  <c r="N155"/>
  <c r="M399"/>
  <c r="E927" i="17"/>
  <c r="H89" i="12"/>
  <c r="M344" i="6"/>
  <c r="B633" i="17"/>
  <c r="E211" i="12"/>
  <c r="F241" i="7"/>
  <c r="A313" i="6"/>
  <c r="I241" i="17"/>
  <c r="E156" i="12"/>
  <c r="F186" i="7"/>
  <c r="A291" i="6"/>
  <c r="E78" i="17"/>
  <c r="E177" i="13"/>
  <c r="F11" i="7"/>
  <c r="B180"/>
  <c r="D79" i="17"/>
  <c r="E178" i="13"/>
  <c r="F12" i="7"/>
  <c r="D182"/>
  <c r="P7" i="6"/>
  <c r="M215"/>
  <c r="B227" i="5"/>
  <c r="F177"/>
  <c r="M411"/>
  <c r="I206" i="6"/>
  <c r="R217" i="5"/>
  <c r="B168"/>
  <c r="I402"/>
  <c r="E197" i="6"/>
  <c r="N208" i="5"/>
  <c r="R158"/>
  <c r="E114" i="20"/>
  <c r="F2" i="14"/>
  <c r="D348" i="6"/>
  <c r="B317" i="17"/>
  <c r="C26" i="13"/>
  <c r="E248" i="7"/>
  <c r="L316" i="6"/>
  <c r="C268" i="17"/>
  <c r="D227" i="12"/>
  <c r="E193" i="7"/>
  <c r="L294" i="6"/>
  <c r="G147" i="17"/>
  <c r="E30" i="16"/>
  <c r="E18" i="7"/>
  <c r="D283"/>
  <c r="F148" i="17"/>
  <c r="E34" i="16"/>
  <c r="E19" i="7"/>
  <c r="C286"/>
  <c r="P215" i="6"/>
  <c r="P196"/>
  <c r="Q41" i="5"/>
  <c r="G401" i="4"/>
  <c r="L206" i="6"/>
  <c r="L187"/>
  <c r="M32" i="5"/>
  <c r="A390" i="4"/>
  <c r="H197" i="6"/>
  <c r="H178"/>
  <c r="I23" i="5"/>
  <c r="AG378" i="4"/>
  <c r="P197" i="6"/>
  <c r="E27" i="24"/>
  <c r="D20" i="16"/>
  <c r="H351" i="6"/>
  <c r="C324" i="17"/>
  <c r="C34" i="13"/>
  <c r="E256" i="7"/>
  <c r="P319" i="6"/>
  <c r="D275" i="17"/>
  <c r="D235" i="12"/>
  <c r="E201" i="7"/>
  <c r="P297" i="6"/>
  <c r="H154" i="17"/>
  <c r="E62" i="16"/>
  <c r="E26" i="7"/>
  <c r="C1" i="9"/>
  <c r="G155" i="17"/>
  <c r="E66" i="16"/>
  <c r="E27" i="7"/>
  <c r="B4" i="9"/>
  <c r="T218" i="6"/>
  <c r="T199"/>
  <c r="A45" i="5"/>
  <c r="F405" i="4"/>
  <c r="P209" i="6"/>
  <c r="P190"/>
  <c r="Q35" i="5"/>
  <c r="A394" i="4"/>
  <c r="L200" i="6"/>
  <c r="L181"/>
  <c r="M26" i="5"/>
  <c r="AE382" i="4"/>
  <c r="T200" i="6"/>
  <c r="H104" i="20"/>
  <c r="B189" i="17"/>
  <c r="T328" i="6"/>
  <c r="E274" i="17"/>
  <c r="D234" i="12"/>
  <c r="E200" i="7"/>
  <c r="H297" i="6"/>
  <c r="F394" i="17"/>
  <c r="D179" i="12"/>
  <c r="E145" i="7"/>
  <c r="H275" i="6"/>
  <c r="A105" i="17"/>
  <c r="D197" i="13"/>
  <c r="F43" i="25"/>
  <c r="F102"/>
  <c r="B57" i="20"/>
  <c r="B15" i="28"/>
  <c r="B121" i="20"/>
  <c r="F115" i="24"/>
  <c r="B185" i="20"/>
  <c r="A228" i="24"/>
  <c r="G947" i="17"/>
  <c r="H16" i="25"/>
  <c r="B70" i="23"/>
  <c r="A190"/>
  <c r="H1008" i="17"/>
  <c r="B245" i="6"/>
  <c r="G40" i="20"/>
  <c r="F248" i="6"/>
  <c r="I294" i="17"/>
  <c r="D1" i="13"/>
  <c r="E223" i="7"/>
  <c r="B56" i="24"/>
  <c r="H187" i="23"/>
  <c r="D244" i="20"/>
  <c r="G102"/>
  <c r="B271"/>
  <c r="B485" i="17"/>
  <c r="D221" i="13"/>
  <c r="H4" i="9"/>
  <c r="B38" i="7"/>
  <c r="A486" i="17"/>
  <c r="D223" i="13"/>
  <c r="H5" i="9"/>
  <c r="D40" i="7"/>
  <c r="I358" i="17"/>
  <c r="C73" i="13"/>
  <c r="D3" i="8"/>
  <c r="A203" i="23"/>
  <c r="G267" i="17"/>
  <c r="C171" i="20"/>
  <c r="G174"/>
  <c r="F604" i="17"/>
  <c r="B549"/>
  <c r="B79"/>
  <c r="G24" i="12"/>
  <c r="B230" i="7"/>
  <c r="A550" i="17"/>
  <c r="D85"/>
  <c r="G25" i="12"/>
  <c r="D232" i="7"/>
  <c r="I422" i="17"/>
  <c r="C145" i="13"/>
  <c r="B14" i="10"/>
  <c r="H12" i="24"/>
  <c r="F324" i="17"/>
  <c r="C203" i="20"/>
  <c r="G182"/>
  <c r="G611" i="17"/>
  <c r="H564"/>
  <c r="B135"/>
  <c r="G32" i="12"/>
  <c r="C251" i="7"/>
  <c r="D568" i="17"/>
  <c r="C142"/>
  <c r="G33" i="12"/>
  <c r="B254" i="7"/>
  <c r="A430" i="17"/>
  <c r="C153" i="13"/>
  <c r="A9" i="9"/>
  <c r="H76" i="24"/>
  <c r="E381" i="17"/>
  <c r="E18" i="23"/>
  <c r="G190" i="20"/>
  <c r="H618" i="17"/>
  <c r="C593"/>
  <c r="A192"/>
  <c r="B41" i="12"/>
  <c r="D272" i="7"/>
  <c r="H596" i="17"/>
  <c r="B199"/>
  <c r="C42" i="12"/>
  <c r="C275" i="7"/>
  <c r="B437" i="17"/>
  <c r="C161" i="13"/>
  <c r="A17" i="9"/>
  <c r="C96" i="23"/>
  <c r="D145" i="17"/>
  <c r="A372" i="6"/>
  <c r="G352" i="17"/>
  <c r="C66" i="13"/>
  <c r="E288" i="7"/>
  <c r="L332" i="6"/>
  <c r="H303" i="17"/>
  <c r="C11" i="13"/>
  <c r="E233" i="7"/>
  <c r="L310" i="6"/>
  <c r="C183" i="17"/>
  <c r="A69"/>
  <c r="E58" i="7"/>
  <c r="L240" i="6"/>
  <c r="B184" i="17"/>
  <c r="F72"/>
  <c r="E59" i="7"/>
  <c r="T240" i="6"/>
  <c r="R236"/>
  <c r="P212"/>
  <c r="Q57" i="5"/>
  <c r="I8"/>
  <c r="L222" i="6"/>
  <c r="L203"/>
  <c r="M48" i="5"/>
  <c r="AH409" i="4"/>
  <c r="H213" i="6"/>
  <c r="H194"/>
  <c r="I39" i="5"/>
  <c r="H398" i="4"/>
  <c r="P213" i="6"/>
  <c r="H195" i="23"/>
  <c r="C202" i="17"/>
  <c r="I378" i="6"/>
  <c r="H359" i="17"/>
  <c r="C74" i="13"/>
  <c r="D4" i="8"/>
  <c r="P335" i="6"/>
  <c r="I310" i="17"/>
  <c r="C19" i="13"/>
  <c r="E241" i="7"/>
  <c r="P313" i="6"/>
  <c r="D190" i="17"/>
  <c r="G114"/>
  <c r="E66" i="7"/>
  <c r="P243" i="6"/>
  <c r="C191" i="17"/>
  <c r="H121"/>
  <c r="E67" i="7"/>
  <c r="D244" i="6"/>
  <c r="T231"/>
  <c r="T215"/>
  <c r="A61" i="5"/>
  <c r="M11"/>
  <c r="P225" i="6"/>
  <c r="P206"/>
  <c r="Q51" i="5"/>
  <c r="AE413" i="4"/>
  <c r="L216" i="6"/>
  <c r="L197"/>
  <c r="M42" i="5"/>
  <c r="G402" i="4"/>
  <c r="T216" i="6"/>
  <c r="B401" i="17"/>
  <c r="A383"/>
  <c r="Q384" i="6"/>
  <c r="I366" i="17"/>
  <c r="C82" i="13"/>
  <c r="D12" i="8"/>
  <c r="T338" i="6"/>
  <c r="A318" i="17"/>
  <c r="C27" i="13"/>
  <c r="E249" i="7"/>
  <c r="T316" i="6"/>
  <c r="E197" i="17"/>
  <c r="F171"/>
  <c r="E74" i="7"/>
  <c r="T246" i="6"/>
  <c r="D198" i="17"/>
  <c r="G178"/>
  <c r="E75" i="7"/>
  <c r="H247" i="6"/>
  <c r="D235"/>
  <c r="D219"/>
  <c r="E64" i="5"/>
  <c r="Q14"/>
  <c r="T228" i="6"/>
  <c r="T209"/>
  <c r="A55" i="5"/>
  <c r="AD417" i="4"/>
  <c r="P219" i="6"/>
  <c r="P200"/>
  <c r="Q45" i="5"/>
  <c r="F406" i="4"/>
  <c r="D220" i="6"/>
  <c r="F854" i="17"/>
  <c r="E2" i="14"/>
  <c r="E391" i="6"/>
  <c r="A374" i="17"/>
  <c r="C90" i="13"/>
  <c r="D20" i="8"/>
  <c r="D342" i="6"/>
  <c r="B325" i="17"/>
  <c r="C35" i="13"/>
  <c r="E257" i="7"/>
  <c r="D320" i="6"/>
  <c r="F204" i="17"/>
  <c r="E234"/>
  <c r="E82" i="7"/>
  <c r="D250" i="6"/>
  <c r="E205" i="17"/>
  <c r="A244"/>
  <c r="E83" i="7"/>
  <c r="L250" i="6"/>
  <c r="H238"/>
  <c r="H222"/>
  <c r="I67" i="5"/>
  <c r="A18"/>
  <c r="J238" i="6"/>
  <c r="D213"/>
  <c r="E58" i="5"/>
  <c r="Q8"/>
  <c r="T222" i="6"/>
  <c r="T203"/>
  <c r="A49" i="5"/>
  <c r="F410" i="4"/>
  <c r="H223" i="6"/>
  <c r="C439" i="17"/>
  <c r="C20" i="16"/>
  <c r="M397" i="6"/>
  <c r="B381" i="17"/>
  <c r="C98" i="13"/>
  <c r="C8" i="9"/>
  <c r="H345" i="6"/>
  <c r="C332" i="17"/>
  <c r="C43" i="13"/>
  <c r="E265" i="7"/>
  <c r="H323" i="6"/>
  <c r="B212" i="17"/>
  <c r="D124" i="12"/>
  <c r="E90" i="7"/>
  <c r="H253" i="6"/>
  <c r="C213" i="17"/>
  <c r="D125" i="12"/>
  <c r="E91" i="7"/>
  <c r="P253" i="6"/>
  <c r="L241"/>
  <c r="L225"/>
  <c r="M70" i="5"/>
  <c r="E21"/>
  <c r="H232" i="6"/>
  <c r="H216"/>
  <c r="I61" i="5"/>
  <c r="A12"/>
  <c r="D226" i="6"/>
  <c r="D207"/>
  <c r="E52" i="5"/>
  <c r="C414" i="4"/>
  <c r="L226" i="6"/>
  <c r="D115" i="20"/>
  <c r="D84" i="16"/>
  <c r="L354" i="6"/>
  <c r="D331" i="17"/>
  <c r="C42" i="13"/>
  <c r="E264" i="7"/>
  <c r="T322" i="6"/>
  <c r="E282" i="17"/>
  <c r="D243" i="12"/>
  <c r="E209" i="7"/>
  <c r="T300" i="6"/>
  <c r="I161" i="17"/>
  <c r="E94" i="16"/>
  <c r="B12" i="44"/>
  <c r="I166" i="46"/>
  <c r="B64" i="20"/>
  <c r="E17" i="44"/>
  <c r="B128" i="20"/>
  <c r="A53" i="46"/>
  <c r="B192" i="20"/>
  <c r="D100" i="46"/>
  <c r="F949" i="17"/>
  <c r="C157" i="46"/>
  <c r="C282" i="20"/>
  <c r="D230" i="7"/>
  <c r="F64" i="25"/>
  <c r="I257" i="6"/>
  <c r="D25" i="23"/>
  <c r="M260" i="6"/>
  <c r="H351" i="17"/>
  <c r="C65" i="13"/>
  <c r="E287" i="7"/>
  <c r="A139" i="23"/>
  <c r="A851" i="17"/>
  <c r="D7" i="19"/>
  <c r="G166" i="20"/>
  <c r="E597" i="17"/>
  <c r="A542"/>
  <c r="G50"/>
  <c r="G16" i="12"/>
  <c r="D208" i="7"/>
  <c r="I542" i="17"/>
  <c r="C54"/>
  <c r="G17" i="12"/>
  <c r="C211" i="7"/>
  <c r="H415" i="17"/>
  <c r="C137" i="13"/>
  <c r="B12" i="10"/>
  <c r="H232" i="23"/>
  <c r="E268" i="17"/>
  <c r="C43" i="24"/>
  <c r="G238" i="20"/>
  <c r="E661" i="17"/>
  <c r="I763"/>
  <c r="C96" i="12"/>
  <c r="E109"/>
  <c r="C242" i="6"/>
  <c r="E767" i="17"/>
  <c r="C97" i="12"/>
  <c r="B111"/>
  <c r="K242" i="6"/>
  <c r="H479" i="17"/>
  <c r="D209" i="13"/>
  <c r="A18" i="8"/>
  <c r="G41" i="24"/>
  <c r="D325" i="17"/>
  <c r="C75" i="24"/>
  <c r="G246" i="20"/>
  <c r="F668" i="17"/>
  <c r="D792"/>
  <c r="C104" i="12"/>
  <c r="B123"/>
  <c r="G245" i="6"/>
  <c r="I795" i="17"/>
  <c r="C105" i="12"/>
  <c r="A127"/>
  <c r="O245" i="6"/>
  <c r="I486" i="17"/>
  <c r="D225" i="13"/>
  <c r="H6" i="9"/>
  <c r="G105" i="24"/>
  <c r="C382" i="17"/>
  <c r="C66" i="23"/>
  <c r="G254" i="20"/>
  <c r="G675" i="17"/>
  <c r="H820"/>
  <c r="C112" i="12"/>
  <c r="A155"/>
  <c r="K248" i="6"/>
  <c r="D824" i="17"/>
  <c r="C113" i="12"/>
  <c r="A159"/>
  <c r="S248" i="6"/>
  <c r="A494" i="17"/>
  <c r="G13" i="14"/>
  <c r="H14" i="9"/>
  <c r="F772" i="17"/>
  <c r="C145"/>
  <c r="B22" i="7"/>
  <c r="F409" i="17"/>
  <c r="C130" i="13"/>
  <c r="C40" i="9"/>
  <c r="A360" i="6"/>
  <c r="G360" i="17"/>
  <c r="C75" i="13"/>
  <c r="D5" i="8"/>
  <c r="D336" i="6"/>
  <c r="A252" i="17"/>
  <c r="D156" i="12"/>
  <c r="E122" i="7"/>
  <c r="D266" i="6"/>
  <c r="B254" i="17"/>
  <c r="D157" i="12"/>
  <c r="E123" i="7"/>
  <c r="L266" i="6"/>
  <c r="H254"/>
  <c r="D242" i="5"/>
  <c r="I83"/>
  <c r="A34"/>
  <c r="D245" i="6"/>
  <c r="D229"/>
  <c r="E74" i="5"/>
  <c r="Q24"/>
  <c r="T235" i="6"/>
  <c r="T219"/>
  <c r="A65" i="5"/>
  <c r="M15"/>
  <c r="H236" i="6"/>
  <c r="F126" i="23"/>
  <c r="B202" i="17"/>
  <c r="C43" i="7"/>
  <c r="G416" i="17"/>
  <c r="C138" i="13"/>
  <c r="C14" i="10"/>
  <c r="I366" i="6"/>
  <c r="H367" i="17"/>
  <c r="C83" i="13"/>
  <c r="D13" i="8"/>
  <c r="H339" i="6"/>
  <c r="I287" i="17"/>
  <c r="D164" i="12"/>
  <c r="E130" i="7"/>
  <c r="H269" i="6"/>
  <c r="A295" i="17"/>
  <c r="D165" i="12"/>
  <c r="E131" i="7"/>
  <c r="P269" i="6"/>
  <c r="L257"/>
  <c r="H245" i="5"/>
  <c r="M86"/>
  <c r="E37"/>
  <c r="H248" i="6"/>
  <c r="F239"/>
  <c r="I77" i="5"/>
  <c r="A28"/>
  <c r="D239" i="6"/>
  <c r="D223"/>
  <c r="E68" i="5"/>
  <c r="Q18"/>
  <c r="L239" i="6"/>
  <c r="C774" i="17"/>
  <c r="B382"/>
  <c r="D64" i="7"/>
  <c r="H423" i="17"/>
  <c r="C146" i="13"/>
  <c r="A2" i="9"/>
  <c r="Q372" i="6"/>
  <c r="I374" i="17"/>
  <c r="C91" i="13"/>
  <c r="D1" i="9"/>
  <c r="L342" i="6"/>
  <c r="H344" i="17"/>
  <c r="D172" i="12"/>
  <c r="E138" i="7"/>
  <c r="L272" i="6"/>
  <c r="I351" i="17"/>
  <c r="D173" i="12"/>
  <c r="E139" i="7"/>
  <c r="T272" i="6"/>
  <c r="P260"/>
  <c r="L248" i="5"/>
  <c r="Q89"/>
  <c r="I40"/>
  <c r="L251" i="6"/>
  <c r="H239" i="5"/>
  <c r="M80"/>
  <c r="E31"/>
  <c r="H242" i="6"/>
  <c r="H226"/>
  <c r="I71" i="5"/>
  <c r="A22"/>
  <c r="P242" i="6"/>
  <c r="F186" i="23"/>
  <c r="D2" i="14"/>
  <c r="B86" i="7"/>
  <c r="I430" i="17"/>
  <c r="C154" i="13"/>
  <c r="A10" i="9"/>
  <c r="E379" i="6"/>
  <c r="A382" i="17"/>
  <c r="C99" i="13"/>
  <c r="C9" i="9"/>
  <c r="P345" i="6"/>
  <c r="G401" i="17"/>
  <c r="D180" i="12"/>
  <c r="E146" i="7"/>
  <c r="P275" i="6"/>
  <c r="H408" i="17"/>
  <c r="D181" i="12"/>
  <c r="E147" i="7"/>
  <c r="D276" i="6"/>
  <c r="T263"/>
  <c r="P251" i="5"/>
  <c r="A93"/>
  <c r="M43"/>
  <c r="P254" i="6"/>
  <c r="L242" i="5"/>
  <c r="Q83"/>
  <c r="I34"/>
  <c r="L245" i="6"/>
  <c r="L229"/>
  <c r="M74" i="5"/>
  <c r="E25"/>
  <c r="T245" i="6"/>
  <c r="I775" i="17"/>
  <c r="B20" i="16"/>
  <c r="C107" i="7"/>
  <c r="A438" i="17"/>
  <c r="C162" i="13"/>
  <c r="A18" i="9"/>
  <c r="M385" i="6"/>
  <c r="B389" i="17"/>
  <c r="C107" i="13"/>
  <c r="C17" i="9"/>
  <c r="T348" i="6"/>
  <c r="F458" i="17"/>
  <c r="D188" i="12"/>
  <c r="E154" i="7"/>
  <c r="T278" i="6"/>
  <c r="G465" i="17"/>
  <c r="D189" i="12"/>
  <c r="E155" i="7"/>
  <c r="H279" i="6"/>
  <c r="D267"/>
  <c r="T254" i="5"/>
  <c r="E96"/>
  <c r="Q46"/>
  <c r="T257" i="6"/>
  <c r="P245" i="5"/>
  <c r="A87"/>
  <c r="M37"/>
  <c r="P248" i="6"/>
  <c r="R240"/>
  <c r="Q77" i="5"/>
  <c r="I28"/>
  <c r="D249" i="6"/>
  <c r="E212" i="17"/>
  <c r="C84" i="16"/>
  <c r="A404" i="6"/>
  <c r="C388" i="17"/>
  <c r="C106" i="13"/>
  <c r="C16" i="9"/>
  <c r="L348" i="6"/>
  <c r="D339" i="17"/>
  <c r="C51" i="13"/>
  <c r="E273" i="7"/>
  <c r="L326" i="6"/>
  <c r="F221" i="17"/>
  <c r="D132" i="12"/>
  <c r="B67" i="23"/>
  <c r="H137"/>
  <c r="H63" i="20"/>
  <c r="H145" i="23"/>
  <c r="H71" i="20"/>
  <c r="H153" i="23"/>
  <c r="H79" i="20"/>
  <c r="H97" i="23"/>
  <c r="H23" i="20"/>
  <c r="H105" i="23"/>
  <c r="B7" i="28"/>
  <c r="B20" i="9"/>
  <c r="G70" i="23"/>
  <c r="P257" i="6"/>
  <c r="G134" i="23"/>
  <c r="T260" i="6"/>
  <c r="G408" i="17"/>
  <c r="C129" i="13"/>
  <c r="C39" i="9"/>
  <c r="H168" i="23"/>
  <c r="F211" i="17"/>
  <c r="D74" i="23"/>
  <c r="G230" i="20"/>
  <c r="D654" i="17"/>
  <c r="E735"/>
  <c r="C88" i="12"/>
  <c r="G96"/>
  <c r="S238" i="6"/>
  <c r="A739" i="17"/>
  <c r="C89" i="12"/>
  <c r="D98"/>
  <c r="G239" i="6"/>
  <c r="G472" i="17"/>
  <c r="C201" i="13"/>
  <c r="A10" i="8"/>
  <c r="G253" i="23"/>
  <c r="A601" i="17"/>
  <c r="A150" i="23"/>
  <c r="B9"/>
  <c r="D718" i="17"/>
  <c r="B263" i="20"/>
  <c r="C160" i="12"/>
  <c r="H182" i="13"/>
  <c r="O267" i="6"/>
  <c r="F70" i="23"/>
  <c r="C161" i="12"/>
  <c r="H190" i="13"/>
  <c r="C268" i="6"/>
  <c r="G536" i="17"/>
  <c r="D29"/>
  <c r="G10" i="12"/>
  <c r="F62" i="24"/>
  <c r="I657" i="17"/>
  <c r="A182" i="23"/>
  <c r="B41"/>
  <c r="E725" i="17"/>
  <c r="B252"/>
  <c r="C168" i="12"/>
  <c r="H4" i="10"/>
  <c r="S270" i="6"/>
  <c r="A253" i="17"/>
  <c r="C169" i="12"/>
  <c r="H5" i="10"/>
  <c r="G271" i="6"/>
  <c r="H543" i="17"/>
  <c r="H57"/>
  <c r="G18" i="12"/>
  <c r="A144" i="24"/>
  <c r="H714" i="17"/>
  <c r="H139" i="23"/>
  <c r="B73"/>
  <c r="F732" i="17"/>
  <c r="C259"/>
  <c r="C176" i="12"/>
  <c r="H12" i="10"/>
  <c r="C274" i="6"/>
  <c r="B260" i="17"/>
  <c r="C177" i="12"/>
  <c r="H13" i="10"/>
  <c r="K274" i="6"/>
  <c r="I550" i="17"/>
  <c r="E92"/>
  <c r="G26" i="12"/>
  <c r="E777" i="17"/>
  <c r="A146"/>
  <c r="D192" i="7"/>
  <c r="E466" i="17"/>
  <c r="C194" i="13"/>
  <c r="A3" i="8"/>
  <c r="E411" i="6"/>
  <c r="F417" i="17"/>
  <c r="C139" i="13"/>
  <c r="A2" i="10"/>
  <c r="E367" i="6"/>
  <c r="A262" i="17"/>
  <c r="D220" i="12"/>
  <c r="E186" i="7"/>
  <c r="P291" i="6"/>
  <c r="I262" i="17"/>
  <c r="D221" i="12"/>
  <c r="E187" i="7"/>
  <c r="D292" i="6"/>
  <c r="T279"/>
  <c r="P267" i="5"/>
  <c r="A109"/>
  <c r="M59"/>
  <c r="P270" i="6"/>
  <c r="L258" i="5"/>
  <c r="Q99"/>
  <c r="I50"/>
  <c r="L261" i="6"/>
  <c r="H249" i="5"/>
  <c r="M90"/>
  <c r="E41"/>
  <c r="T261" i="6"/>
  <c r="E96" i="24"/>
  <c r="I202" i="17"/>
  <c r="B214" i="7"/>
  <c r="F473" i="17"/>
  <c r="C202" i="13"/>
  <c r="A11" i="8"/>
  <c r="C3" i="7"/>
  <c r="G424" i="17"/>
  <c r="C147" i="13"/>
  <c r="A3" i="9"/>
  <c r="M373" i="6"/>
  <c r="B269" i="17"/>
  <c r="D228" i="12"/>
  <c r="E194" i="7"/>
  <c r="T294" i="6"/>
  <c r="A270" i="17"/>
  <c r="D229" i="12"/>
  <c r="E195" i="7"/>
  <c r="H295" i="6"/>
  <c r="D283"/>
  <c r="T270" i="5"/>
  <c r="E112"/>
  <c r="Q62"/>
  <c r="T273" i="6"/>
  <c r="P261" i="5"/>
  <c r="A103"/>
  <c r="M53"/>
  <c r="P264" i="6"/>
  <c r="L252" i="5"/>
  <c r="Q93"/>
  <c r="I44"/>
  <c r="D265" i="6"/>
  <c r="C778" i="17"/>
  <c r="D388"/>
  <c r="C235" i="7"/>
  <c r="G480" i="17"/>
  <c r="D211" i="13"/>
  <c r="A19" i="8"/>
  <c r="D24" i="7"/>
  <c r="H431" i="17"/>
  <c r="C155" i="13"/>
  <c r="A11" i="9"/>
  <c r="A380" i="6"/>
  <c r="C276" i="17"/>
  <c r="D236" i="12"/>
  <c r="E202" i="7"/>
  <c r="D298" i="6"/>
  <c r="B277" i="17"/>
  <c r="D237" i="12"/>
  <c r="E203" i="7"/>
  <c r="L298" i="6"/>
  <c r="H286"/>
  <c r="D274" i="5"/>
  <c r="I115"/>
  <c r="A66"/>
  <c r="D277" i="6"/>
  <c r="T264" i="5"/>
  <c r="E106"/>
  <c r="Q56"/>
  <c r="T267" i="6"/>
  <c r="P255" i="5"/>
  <c r="A97"/>
  <c r="M47"/>
  <c r="H268" i="6"/>
  <c r="H195" i="24"/>
  <c r="A26" i="16"/>
  <c r="D256" i="7"/>
  <c r="H487" i="17"/>
  <c r="D227" i="13"/>
  <c r="H7" i="9"/>
  <c r="B46" i="7"/>
  <c r="I438" i="17"/>
  <c r="C163" i="13"/>
  <c r="A19" i="9"/>
  <c r="I386" i="6"/>
  <c r="D283" i="17"/>
  <c r="D244" i="12"/>
  <c r="E210" i="7"/>
  <c r="H301" i="6"/>
  <c r="C284" i="17"/>
  <c r="D245" i="12"/>
  <c r="E211" i="7"/>
  <c r="P301" i="6"/>
  <c r="L289"/>
  <c r="H277" i="5"/>
  <c r="M118"/>
  <c r="E69"/>
  <c r="H280" i="6"/>
  <c r="D268" i="5"/>
  <c r="I109"/>
  <c r="A60"/>
  <c r="D271" i="6"/>
  <c r="T258" i="5"/>
  <c r="E100"/>
  <c r="Q50"/>
  <c r="L271" i="6"/>
  <c r="A257" i="20"/>
  <c r="A90" i="16"/>
  <c r="B278" i="7"/>
  <c r="I494" i="17"/>
  <c r="C16" i="14"/>
  <c r="H15" i="9"/>
  <c r="C67" i="7"/>
  <c r="A446" i="17"/>
  <c r="C171" i="13"/>
  <c r="A27" i="9"/>
  <c r="Q392" i="6"/>
  <c r="E290" i="17"/>
  <c r="D252" i="12"/>
  <c r="E218" i="7"/>
  <c r="L304" i="6"/>
  <c r="D291" i="17"/>
  <c r="D253" i="12"/>
  <c r="E219" i="7"/>
  <c r="T304" i="6"/>
  <c r="P292"/>
  <c r="L280" i="5"/>
  <c r="Q121"/>
  <c r="I72"/>
  <c r="L283" i="6"/>
  <c r="H271" i="5"/>
  <c r="M112"/>
  <c r="E63"/>
  <c r="H274" i="6"/>
  <c r="D262" i="5"/>
  <c r="I103"/>
  <c r="A54"/>
  <c r="P274" i="6"/>
  <c r="F246" i="23"/>
  <c r="B84" i="16"/>
  <c r="D128" i="7"/>
  <c r="B445" i="17"/>
  <c r="C170" i="13"/>
  <c r="A26" i="9"/>
  <c r="A392" i="6"/>
  <c r="C396" i="17"/>
  <c r="C115" i="13"/>
  <c r="C25" i="9"/>
  <c r="D352" i="6"/>
  <c r="E515" i="17"/>
  <c r="D196" i="12"/>
  <c r="B63" i="23"/>
  <c r="G158"/>
  <c r="G67" i="20"/>
  <c r="G166" i="23"/>
  <c r="G75" i="20"/>
  <c r="G174" i="23"/>
  <c r="G83" i="20"/>
  <c r="G118" i="23"/>
  <c r="G27" i="20"/>
  <c r="G126" i="23"/>
  <c r="F92" i="25"/>
  <c r="B27" i="9"/>
  <c r="G61" i="23"/>
  <c r="C258" i="6"/>
  <c r="G125" i="23"/>
  <c r="G261" i="6"/>
  <c r="F465" i="17"/>
  <c r="C193" i="13"/>
  <c r="A2" i="8"/>
  <c r="G189" i="23"/>
  <c r="F2"/>
  <c r="H172" i="24"/>
  <c r="C3" i="21"/>
  <c r="C711" i="17"/>
  <c r="B7" i="20"/>
  <c r="C152" i="12"/>
  <c r="H118" i="13"/>
  <c r="K264" i="6"/>
  <c r="B39" i="20"/>
  <c r="C153" i="12"/>
  <c r="H126" i="13"/>
  <c r="S264" i="6"/>
  <c r="F529" i="17"/>
  <c r="H113" i="16"/>
  <c r="G2" i="12"/>
  <c r="C24" i="33"/>
  <c r="G602" i="17"/>
  <c r="A338"/>
  <c r="E21" i="24"/>
  <c r="C775" i="17"/>
  <c r="I301"/>
  <c r="C224" i="12"/>
  <c r="B42"/>
  <c r="G293" i="6"/>
  <c r="H302" i="17"/>
  <c r="C225" i="12"/>
  <c r="C43"/>
  <c r="O293" i="6"/>
  <c r="B714" i="17"/>
  <c r="C82" i="12"/>
  <c r="B87"/>
  <c r="A27" i="37"/>
  <c r="F659" i="17"/>
  <c r="B345"/>
  <c r="E85" i="24"/>
  <c r="D782" i="17"/>
  <c r="A309"/>
  <c r="C232" i="12"/>
  <c r="C51"/>
  <c r="K296" i="6"/>
  <c r="I309" i="17"/>
  <c r="C233" i="12"/>
  <c r="D52"/>
  <c r="S296" i="6"/>
  <c r="F742" i="17"/>
  <c r="C90" i="12"/>
  <c r="A100"/>
  <c r="A8" i="46"/>
  <c r="E716" i="17"/>
  <c r="I394"/>
  <c r="H189" i="24"/>
  <c r="E789" i="17"/>
  <c r="B316"/>
  <c r="C240" i="12"/>
  <c r="D60"/>
  <c r="O299" i="6"/>
  <c r="A317" i="17"/>
  <c r="C241" i="12"/>
  <c r="E61"/>
  <c r="C300" i="6"/>
  <c r="A771" i="17"/>
  <c r="C98" i="12"/>
  <c r="G112"/>
  <c r="B253" i="23"/>
  <c r="B208" i="17"/>
  <c r="K236" i="6"/>
  <c r="D523" i="17"/>
  <c r="H85" i="16"/>
  <c r="C13" i="10"/>
  <c r="D152" i="7"/>
  <c r="E474" i="17"/>
  <c r="C203" i="13"/>
  <c r="A12" i="8"/>
  <c r="B6" i="7"/>
  <c r="I318" i="17"/>
  <c r="C28" i="13"/>
  <c r="E250" i="7"/>
  <c r="H317" i="6"/>
  <c r="H319" i="17"/>
  <c r="C29" i="13"/>
  <c r="E251" i="7"/>
  <c r="P317" i="6"/>
  <c r="L305"/>
  <c r="H293" i="5"/>
  <c r="M134"/>
  <c r="E85"/>
  <c r="H296" i="6"/>
  <c r="D284" i="5"/>
  <c r="I125"/>
  <c r="A76"/>
  <c r="D287" i="6"/>
  <c r="T274" i="5"/>
  <c r="E116"/>
  <c r="Q66"/>
  <c r="L287" i="6"/>
  <c r="F111" i="20"/>
  <c r="B430" i="17"/>
  <c r="O239" i="6"/>
  <c r="E530" i="17"/>
  <c r="E4"/>
  <c r="G3" i="12"/>
  <c r="B174" i="7"/>
  <c r="F481" i="17"/>
  <c r="D213" i="13"/>
  <c r="A20" i="8"/>
  <c r="C27" i="7"/>
  <c r="A326" i="17"/>
  <c r="C36" i="13"/>
  <c r="E258" i="7"/>
  <c r="L320" i="6"/>
  <c r="I326" i="17"/>
  <c r="C37" i="13"/>
  <c r="E259" i="7"/>
  <c r="T320" i="6"/>
  <c r="P308"/>
  <c r="L296" i="5"/>
  <c r="Q137"/>
  <c r="I88"/>
  <c r="L299" i="6"/>
  <c r="H287" i="5"/>
  <c r="M128"/>
  <c r="E79"/>
  <c r="H290" i="6"/>
  <c r="D278" i="5"/>
  <c r="I119"/>
  <c r="A70"/>
  <c r="P290" i="6"/>
  <c r="E12" i="24"/>
  <c r="I286" i="17"/>
  <c r="S242" i="6"/>
  <c r="F537" i="17"/>
  <c r="I32"/>
  <c r="G11" i="12"/>
  <c r="C195" i="7"/>
  <c r="G488" i="17"/>
  <c r="D229" i="13"/>
  <c r="H8" i="9"/>
  <c r="D48" i="7"/>
  <c r="B333" i="17"/>
  <c r="C44" i="13"/>
  <c r="E266" i="7"/>
  <c r="P323" i="6"/>
  <c r="A334" i="17"/>
  <c r="C45" i="13"/>
  <c r="E267" i="7"/>
  <c r="D324" i="6"/>
  <c r="T311"/>
  <c r="P299" i="5"/>
  <c r="A141"/>
  <c r="M91"/>
  <c r="P302" i="6"/>
  <c r="L290" i="5"/>
  <c r="Q131"/>
  <c r="I82"/>
  <c r="L293" i="6"/>
  <c r="H281" i="5"/>
  <c r="M122"/>
  <c r="E73"/>
  <c r="T293" i="6"/>
  <c r="E19" i="24"/>
  <c r="H343" i="17"/>
  <c r="C246" i="6"/>
  <c r="G544" i="17"/>
  <c r="D61"/>
  <c r="G19" i="12"/>
  <c r="D216" i="7"/>
  <c r="H495" i="17"/>
  <c r="B3" i="15"/>
  <c r="H16" i="9"/>
  <c r="B70" i="7"/>
  <c r="C340" i="17"/>
  <c r="C52" i="13"/>
  <c r="E274" i="7"/>
  <c r="T326" i="6"/>
  <c r="B341" i="17"/>
  <c r="C53" i="13"/>
  <c r="E275" i="7"/>
  <c r="H327" i="6"/>
  <c r="D315"/>
  <c r="T302" i="5"/>
  <c r="E144"/>
  <c r="Q94"/>
  <c r="T305" i="6"/>
  <c r="P293" i="5"/>
  <c r="A135"/>
  <c r="M85"/>
  <c r="P296" i="6"/>
  <c r="L284" i="5"/>
  <c r="Q125"/>
  <c r="I76"/>
  <c r="D297" i="6"/>
  <c r="E34" i="24"/>
  <c r="G400" i="17"/>
  <c r="G249" i="6"/>
  <c r="H551" i="17"/>
  <c r="F99"/>
  <c r="G27" i="12"/>
  <c r="B238" i="7"/>
  <c r="I502" i="17"/>
  <c r="F24" i="15"/>
  <c r="H24" i="9"/>
  <c r="C91" i="7"/>
  <c r="D347" i="17"/>
  <c r="C60" i="13"/>
  <c r="E282" i="7"/>
  <c r="D330" i="6"/>
  <c r="C348" i="17"/>
  <c r="C61" i="13"/>
  <c r="E283" i="7"/>
  <c r="L330" i="6"/>
  <c r="H318"/>
  <c r="D306" i="5"/>
  <c r="I147"/>
  <c r="A98"/>
  <c r="D309" i="6"/>
  <c r="T296" i="5"/>
  <c r="E138"/>
  <c r="Q88"/>
  <c r="T299" i="6"/>
  <c r="P287" i="5"/>
  <c r="A129"/>
  <c r="M79"/>
  <c r="H300" i="6"/>
  <c r="H103" i="20"/>
  <c r="E37" i="17"/>
  <c r="B13" i="8"/>
  <c r="A502" i="17"/>
  <c r="A22" i="15"/>
  <c r="H23" i="9"/>
  <c r="D88" i="7"/>
  <c r="B453" i="17"/>
  <c r="C179" i="13"/>
  <c r="A35" i="9"/>
  <c r="E399" i="6"/>
  <c r="F297" i="17"/>
  <c r="C4" i="13"/>
  <c r="D148" i="23"/>
  <c r="G796" i="17"/>
  <c r="B232" i="7"/>
  <c r="I302" i="6"/>
  <c r="M245"/>
  <c r="E331"/>
  <c r="I274"/>
  <c r="I334"/>
  <c r="M277"/>
  <c r="M337"/>
  <c r="Q280"/>
  <c r="A407" i="17"/>
  <c r="E107"/>
  <c r="S310" i="5"/>
  <c r="C302"/>
  <c r="I463" i="17"/>
  <c r="F114"/>
  <c r="C314" i="5"/>
  <c r="G305"/>
  <c r="H520" i="17"/>
  <c r="G121"/>
  <c r="G317" i="5"/>
  <c r="K308"/>
  <c r="I650" i="17"/>
  <c r="H128"/>
  <c r="K320" i="5"/>
  <c r="O311"/>
  <c r="E878" i="17"/>
  <c r="I135"/>
  <c r="O323" i="5"/>
  <c r="S314"/>
  <c r="H253" i="17"/>
  <c r="B2" i="10"/>
  <c r="M361" i="6"/>
  <c r="C412" i="17"/>
  <c r="C133" i="13"/>
  <c r="B4" i="10"/>
  <c r="I362" i="6"/>
  <c r="D347"/>
  <c r="T334" i="5"/>
  <c r="E176"/>
  <c r="Q126"/>
  <c r="T337" i="6"/>
  <c r="P325" i="5"/>
  <c r="A167"/>
  <c r="M117"/>
  <c r="P328" i="6"/>
  <c r="L316" i="5"/>
  <c r="Q157"/>
  <c r="I108"/>
  <c r="D329" i="6"/>
  <c r="D777" i="17"/>
  <c r="G551"/>
  <c r="G281" i="6"/>
  <c r="E831" i="17"/>
  <c r="C115" i="12"/>
  <c r="A167"/>
  <c r="O249" i="6"/>
  <c r="I635" i="17"/>
  <c r="H528"/>
  <c r="H54" i="12"/>
  <c r="B1" i="9"/>
  <c r="E418" i="17"/>
  <c r="C140" i="13"/>
  <c r="A4" i="10"/>
  <c r="A368" i="6"/>
  <c r="D419" i="17"/>
  <c r="C141" i="13"/>
  <c r="A6" i="10"/>
  <c r="Q368" i="6"/>
  <c r="H350"/>
  <c r="D338" i="5"/>
  <c r="I179"/>
  <c r="A130"/>
  <c r="D341" i="6"/>
  <c r="T328" i="5"/>
  <c r="E170"/>
  <c r="Q120"/>
  <c r="T331" i="6"/>
  <c r="P319" i="5"/>
  <c r="A161"/>
  <c r="M111"/>
  <c r="H332" i="6"/>
  <c r="H188" i="24"/>
  <c r="H93" i="13"/>
  <c r="H102"/>
  <c r="P250" i="5"/>
  <c r="L326"/>
  <c r="Q167"/>
  <c r="I118"/>
  <c r="L329" i="6"/>
  <c r="H317" i="5"/>
  <c r="M158"/>
  <c r="E109"/>
  <c r="T44" i="6"/>
  <c r="T25"/>
  <c r="AE251" i="4"/>
  <c r="J214" i="5"/>
  <c r="T38" i="6"/>
  <c r="T19"/>
  <c r="M390" i="5"/>
  <c r="J208"/>
  <c r="T212"/>
  <c r="AI84" i="4"/>
  <c r="Y118" i="3"/>
  <c r="B39"/>
  <c r="H69" i="5"/>
  <c r="G144" i="4"/>
  <c r="M370" i="3"/>
  <c r="I21"/>
  <c r="P69" i="5"/>
  <c r="AI144" i="4"/>
  <c r="Y370" i="3"/>
  <c r="Q21"/>
  <c r="H73" i="5"/>
  <c r="G149" i="4"/>
  <c r="Q374" i="3"/>
  <c r="K24"/>
  <c r="P73" i="5"/>
  <c r="AH149" i="4"/>
  <c r="A375" i="3"/>
  <c r="S24"/>
  <c r="D74" i="5"/>
  <c r="F150" i="4"/>
  <c r="K375" i="3"/>
  <c r="A25"/>
  <c r="P77" i="5"/>
  <c r="AH154" i="4"/>
  <c r="C379" i="3"/>
  <c r="U27"/>
  <c r="P16"/>
  <c r="M20"/>
  <c r="P251"/>
  <c r="N52"/>
  <c r="E7"/>
  <c r="J176"/>
  <c r="O236"/>
  <c r="N149"/>
  <c r="AG132" i="4"/>
  <c r="C201" i="6"/>
  <c r="A99"/>
  <c r="Q44"/>
  <c r="G283" i="4"/>
  <c r="T142" i="5"/>
  <c r="I84" i="3"/>
  <c r="O189" i="5"/>
  <c r="Z107" i="3"/>
  <c r="B169" i="7"/>
  <c r="F360" i="6"/>
  <c r="M288"/>
  <c r="F235" i="5"/>
  <c r="T69" i="6"/>
  <c r="D306" i="4"/>
  <c r="E392" i="5"/>
  <c r="P79" i="6"/>
  <c r="P60"/>
  <c r="AG294" i="4"/>
  <c r="E262" i="17"/>
  <c r="Q201" i="6"/>
  <c r="B413" i="5"/>
  <c r="J11"/>
  <c r="C624" i="17"/>
  <c r="Q195" i="6"/>
  <c r="B407" i="5"/>
  <c r="H417" i="4"/>
  <c r="H104" i="13"/>
  <c r="J361" i="4"/>
  <c r="A9"/>
  <c r="M258" i="3"/>
  <c r="M263" i="5"/>
  <c r="I200" i="4"/>
  <c r="I309" i="3"/>
  <c r="O123"/>
  <c r="Q266" i="5"/>
  <c r="A201" i="4"/>
  <c r="Q309" i="3"/>
  <c r="X123"/>
  <c r="M295" i="5"/>
  <c r="I205" i="4"/>
  <c r="K312" i="3"/>
  <c r="B127"/>
  <c r="Q298" i="5"/>
  <c r="A206" i="4"/>
  <c r="S312" i="3"/>
  <c r="K127"/>
  <c r="A302" i="5"/>
  <c r="I206" i="4"/>
  <c r="A313" i="3"/>
  <c r="T127"/>
  <c r="Q330" i="5"/>
  <c r="A211" i="4"/>
  <c r="U315" i="3"/>
  <c r="Y130"/>
  <c r="L100" i="5"/>
  <c r="Y98" i="3"/>
  <c r="K117"/>
  <c r="Z34"/>
  <c r="I154" i="6"/>
  <c r="N30" i="3"/>
  <c r="M7"/>
  <c r="X19"/>
  <c r="I287"/>
  <c r="X167"/>
  <c r="S400" i="5"/>
  <c r="N132" i="6"/>
  <c r="P150"/>
  <c r="F50" i="5"/>
  <c r="AH323" i="4"/>
  <c r="C246" i="3"/>
  <c r="K138" i="5"/>
  <c r="W276" i="3"/>
  <c r="T232" i="6"/>
  <c r="J411"/>
  <c r="E314"/>
  <c r="I411" i="5"/>
  <c r="D73" i="6"/>
  <c r="C310" i="4"/>
  <c r="Q417" i="5"/>
  <c r="T82" i="6"/>
  <c r="T63"/>
  <c r="AF298" i="4"/>
  <c r="I811" i="17"/>
  <c r="A205" i="6"/>
  <c r="F416" i="5"/>
  <c r="N14"/>
  <c r="H851" i="17"/>
  <c r="A199" i="6"/>
  <c r="F410" i="5"/>
  <c r="N8"/>
  <c r="E36" i="16"/>
  <c r="I365" i="4"/>
  <c r="A13"/>
  <c r="U261" i="3"/>
  <c r="E289" i="5"/>
  <c r="B157" i="20"/>
  <c r="G286" i="17"/>
  <c r="A774"/>
  <c r="A184" i="7"/>
  <c r="A838" i="17"/>
  <c r="A256" i="7"/>
  <c r="B845" i="17"/>
  <c r="A264" i="7"/>
  <c r="C852" i="17"/>
  <c r="A272" i="7"/>
  <c r="D98" i="17"/>
  <c r="D107"/>
  <c r="R111" i="6"/>
  <c r="J93"/>
  <c r="E105" i="17"/>
  <c r="E114"/>
  <c r="B115" i="6"/>
  <c r="N96"/>
  <c r="F112" i="17"/>
  <c r="F121"/>
  <c r="F118" i="6"/>
  <c r="R99"/>
  <c r="G119" i="17"/>
  <c r="G128"/>
  <c r="J121" i="6"/>
  <c r="B103"/>
  <c r="H126" i="17"/>
  <c r="H135"/>
  <c r="N124" i="6"/>
  <c r="F106"/>
  <c r="I874" i="17"/>
  <c r="A86"/>
  <c r="E380" i="6"/>
  <c r="B203" i="20"/>
  <c r="D97" i="16"/>
  <c r="G38" i="13"/>
  <c r="M380" i="6"/>
  <c r="A226" i="17"/>
  <c r="F379" i="5"/>
  <c r="F173" i="6"/>
  <c r="O168" i="5"/>
  <c r="F58" i="17"/>
  <c r="B370" i="5"/>
  <c r="B164" i="6"/>
  <c r="K159" i="5"/>
  <c r="H24" i="15"/>
  <c r="R360" i="5"/>
  <c r="R154" i="6"/>
  <c r="G150" i="5"/>
  <c r="G2" i="16"/>
  <c r="F361" i="5"/>
  <c r="F766" i="17"/>
  <c r="E480"/>
  <c r="B162" i="23"/>
  <c r="I196" i="17"/>
  <c r="B31"/>
  <c r="H147" i="7"/>
  <c r="I916" i="17"/>
  <c r="A148"/>
  <c r="D1" i="14"/>
  <c r="H92" i="7"/>
  <c r="I582" i="17"/>
  <c r="D104" i="16"/>
  <c r="G45" i="13"/>
  <c r="I383" i="6"/>
  <c r="A590" i="17"/>
  <c r="D105" i="16"/>
  <c r="G46" i="13"/>
  <c r="Q383" i="6"/>
  <c r="B542" i="17"/>
  <c r="J382" i="5"/>
  <c r="J176" i="6"/>
  <c r="S171" i="5"/>
  <c r="E115" i="17"/>
  <c r="F373" i="5"/>
  <c r="F167" i="6"/>
  <c r="O162" i="5"/>
  <c r="G58" i="16"/>
  <c r="B364" i="5"/>
  <c r="B158" i="6"/>
  <c r="K153" i="5"/>
  <c r="G66" i="16"/>
  <c r="J364" i="5"/>
  <c r="B15" i="12"/>
  <c r="H59" i="13"/>
  <c r="G51" i="6"/>
  <c r="S32"/>
  <c r="R164"/>
  <c r="G160" i="5"/>
  <c r="G10" i="16"/>
  <c r="N361" i="5"/>
  <c r="N155" i="6"/>
  <c r="C151" i="5"/>
  <c r="C406" i="6"/>
  <c r="B53"/>
  <c r="C281" i="5"/>
  <c r="M378"/>
  <c r="C358" i="6"/>
  <c r="B47"/>
  <c r="C275" i="5"/>
  <c r="M330"/>
  <c r="B169"/>
  <c r="J182" i="4"/>
  <c r="X318" i="3"/>
  <c r="M134"/>
  <c r="A216" i="5"/>
  <c r="AG245" i="4"/>
  <c r="L208" i="3"/>
  <c r="H372"/>
  <c r="E219" i="5"/>
  <c r="H246" i="4"/>
  <c r="T208" i="3"/>
  <c r="R372"/>
  <c r="M308" i="5"/>
  <c r="AF9" i="4"/>
  <c r="N211" i="3"/>
  <c r="J376"/>
  <c r="E334" i="5"/>
  <c r="D10" i="4"/>
  <c r="V211" i="3"/>
  <c r="V376"/>
  <c r="Q359" i="5"/>
  <c r="AF10" i="4"/>
  <c r="D212" i="3"/>
  <c r="F377"/>
  <c r="F254" i="4"/>
  <c r="D15"/>
  <c r="X214" i="3"/>
  <c r="X380"/>
  <c r="S149"/>
  <c r="F159" i="4"/>
  <c r="F160" i="3"/>
  <c r="K291"/>
  <c r="P118"/>
  <c r="E89" i="4"/>
  <c r="C354"/>
  <c r="E208" i="3"/>
  <c r="R58"/>
  <c r="O329" i="6"/>
  <c r="S58"/>
  <c r="H208" i="5"/>
  <c r="A350" i="6"/>
  <c r="D97" i="4"/>
  <c r="F245" i="3"/>
  <c r="AG20" i="4"/>
  <c r="Z215" i="3"/>
  <c r="F199" i="4"/>
  <c r="Q404" i="6"/>
  <c r="L288"/>
  <c r="I56" i="5"/>
  <c r="A38"/>
  <c r="C325"/>
  <c r="AI296" i="4"/>
  <c r="E156" i="7"/>
  <c r="R87" i="6"/>
  <c r="S315" i="5"/>
  <c r="H285" i="4"/>
  <c r="C284" i="7"/>
  <c r="C209" i="6"/>
  <c r="K24"/>
  <c r="B415" i="4"/>
  <c r="C244" i="7"/>
  <c r="C203" i="6"/>
  <c r="K18"/>
  <c r="AG407" i="4"/>
  <c r="R20" i="5"/>
  <c r="H106" i="4"/>
  <c r="U320" i="3"/>
  <c r="H260"/>
  <c r="G257" i="4"/>
  <c r="H165"/>
  <c r="X176" i="3"/>
  <c r="C125"/>
  <c r="AI257" i="4"/>
  <c r="AJ165"/>
  <c r="G177" i="3"/>
  <c r="L125"/>
  <c r="E262" i="4"/>
  <c r="G170"/>
  <c r="L180" i="3"/>
  <c r="P128"/>
  <c r="AG262" i="4"/>
  <c r="AI170"/>
  <c r="U180" i="3"/>
  <c r="Y128"/>
  <c r="E263" i="4"/>
  <c r="G171"/>
  <c r="D181" i="3"/>
  <c r="H129"/>
  <c r="AF267" i="4"/>
  <c r="AI175"/>
  <c r="H184" i="3"/>
  <c r="M132"/>
  <c r="G320"/>
  <c r="A363"/>
  <c r="K123" i="5"/>
  <c r="W29" i="3"/>
  <c r="G269"/>
  <c r="K121"/>
  <c r="I12" i="4"/>
  <c r="H29" i="3"/>
  <c r="I260"/>
  <c r="H100" i="12"/>
  <c r="O182" i="5"/>
  <c r="AG403" i="4"/>
  <c r="B94" i="17"/>
  <c r="AG81" i="4"/>
  <c r="L119" i="3"/>
  <c r="H162" i="4"/>
  <c r="V145" i="3"/>
  <c r="F121" i="4"/>
  <c r="C131" i="7"/>
  <c r="D314" i="6"/>
  <c r="A82" i="5"/>
  <c r="M63"/>
  <c r="G328"/>
  <c r="AH300" i="4"/>
  <c r="E220" i="7"/>
  <c r="B91" i="6"/>
  <c r="C319" i="5"/>
  <c r="H289" i="4"/>
  <c r="B14" i="9"/>
  <c r="G212" i="6"/>
  <c r="O27"/>
  <c r="D7" i="5"/>
  <c r="D265" i="7"/>
  <c r="G206" i="6"/>
  <c r="O21"/>
  <c r="AF411" i="4"/>
  <c r="N31" i="5"/>
  <c r="H110" i="4"/>
  <c r="A324" i="3"/>
  <c r="P263"/>
  <c r="F77" i="20"/>
  <c r="B34" i="9"/>
  <c r="F30" i="23"/>
  <c r="H235" i="20"/>
  <c r="F602" i="17"/>
  <c r="B13" i="23"/>
  <c r="E659" i="17"/>
  <c r="E29" i="24"/>
  <c r="D716" i="17"/>
  <c r="F961"/>
  <c r="C849"/>
  <c r="G108" i="13"/>
  <c r="H190" i="12"/>
  <c r="J122" i="6"/>
  <c r="D266" i="17"/>
  <c r="G116" i="13"/>
  <c r="H198" i="12"/>
  <c r="N125" i="6"/>
  <c r="C323" i="17"/>
  <c r="G124" i="13"/>
  <c r="H206" i="12"/>
  <c r="R128" i="6"/>
  <c r="B380" i="17"/>
  <c r="G132" i="13"/>
  <c r="H214" i="12"/>
  <c r="B132" i="6"/>
  <c r="A437" i="17"/>
  <c r="G140" i="13"/>
  <c r="H222" i="12"/>
  <c r="F135" i="6"/>
  <c r="G456" i="17"/>
  <c r="G84" i="13"/>
  <c r="R404" i="6"/>
  <c r="D155" i="7"/>
  <c r="I105" i="17"/>
  <c r="D198" i="13"/>
  <c r="F405" i="6"/>
  <c r="C158" i="7"/>
  <c r="L196" i="6"/>
  <c r="L177"/>
  <c r="M22" i="5"/>
  <c r="AH377" i="4"/>
  <c r="H187" i="6"/>
  <c r="H168"/>
  <c r="I13" i="5"/>
  <c r="F366" i="4"/>
  <c r="D178" i="6"/>
  <c r="D159"/>
  <c r="AI415" i="4"/>
  <c r="AJ354"/>
  <c r="L178" i="6"/>
  <c r="F241" i="23"/>
  <c r="B278" i="17"/>
  <c r="D332" i="6"/>
  <c r="F281" i="17"/>
  <c r="D242" i="12"/>
  <c r="E208" i="7"/>
  <c r="L300" i="6"/>
  <c r="E451" i="17"/>
  <c r="D187" i="12"/>
  <c r="E153" i="7"/>
  <c r="L278" i="6"/>
  <c r="B112" i="17"/>
  <c r="D205" i="13"/>
  <c r="B408" i="6"/>
  <c r="B177" i="7"/>
  <c r="A113" i="17"/>
  <c r="D206" i="13"/>
  <c r="J408" i="6"/>
  <c r="D179" i="7"/>
  <c r="P199" i="6"/>
  <c r="P180"/>
  <c r="Q25" i="5"/>
  <c r="AF381" i="4"/>
  <c r="L190" i="6"/>
  <c r="L171"/>
  <c r="M16" i="5"/>
  <c r="F370" i="4"/>
  <c r="H181" i="6"/>
  <c r="H162"/>
  <c r="I7" i="5"/>
  <c r="AI358" i="4"/>
  <c r="P181" i="6"/>
  <c r="F69" i="13"/>
  <c r="M345" i="6"/>
  <c r="A276"/>
  <c r="H226" i="5"/>
  <c r="D169" i="6"/>
  <c r="E14" i="5"/>
  <c r="F367" i="4"/>
  <c r="T178" i="6"/>
  <c r="T159"/>
  <c r="AI416" i="4"/>
  <c r="AJ355"/>
  <c r="I304" i="5"/>
  <c r="E99" i="6"/>
  <c r="N110" i="5"/>
  <c r="R60"/>
  <c r="I298"/>
  <c r="E93" i="6"/>
  <c r="N104" i="5"/>
  <c r="R54"/>
  <c r="H59"/>
  <c r="AJ131" i="4"/>
  <c r="G360" i="3"/>
  <c r="R233" i="6"/>
  <c r="B307" i="4"/>
  <c r="Q385" i="3"/>
  <c r="Y212"/>
  <c r="F238" i="6"/>
  <c r="J307" i="4"/>
  <c r="Y385" i="3"/>
  <c r="K213"/>
  <c r="R327" i="6"/>
  <c r="B312" i="4"/>
  <c r="S388" i="3"/>
  <c r="C217"/>
  <c r="J353" i="6"/>
  <c r="J312" i="4"/>
  <c r="A389" i="3"/>
  <c r="M217"/>
  <c r="S401" i="6"/>
  <c r="B313" i="4"/>
  <c r="I389" i="3"/>
  <c r="W217"/>
  <c r="D203" i="7"/>
  <c r="H317" i="4"/>
  <c r="C392" i="3"/>
  <c r="O221"/>
  <c r="A56" i="5"/>
  <c r="K19" i="3"/>
  <c r="P23"/>
  <c r="I13"/>
  <c r="C81"/>
  <c r="Y412"/>
  <c r="D189"/>
  <c r="G253"/>
  <c r="O121"/>
  <c r="Y408"/>
  <c r="C167" i="7"/>
  <c r="C264" i="5"/>
  <c r="K120" i="6"/>
  <c r="G305" i="4"/>
  <c r="F174"/>
  <c r="D315" i="3"/>
  <c r="B8" i="4"/>
  <c r="F372" i="3"/>
  <c r="F496" i="17"/>
  <c r="B292"/>
  <c r="O276" i="6"/>
  <c r="G258"/>
  <c r="E143"/>
  <c r="N154" i="5"/>
  <c r="R104"/>
  <c r="E339"/>
  <c r="A134" i="6"/>
  <c r="J145" i="5"/>
  <c r="H100" i="17"/>
  <c r="E48" i="6"/>
  <c r="J259" i="5"/>
  <c r="E330"/>
  <c r="C106" i="16"/>
  <c r="E42" i="6"/>
  <c r="J253" i="5"/>
  <c r="E282"/>
  <c r="E180" i="6"/>
  <c r="G188" i="4"/>
  <c r="Q301" i="3"/>
  <c r="T114"/>
  <c r="T244" i="5"/>
  <c r="J10" i="4"/>
  <c r="E191" i="3"/>
  <c r="V373"/>
  <c r="D248" i="5"/>
  <c r="B11" i="4"/>
  <c r="M191" i="3"/>
  <c r="F374"/>
  <c r="T276" i="5"/>
  <c r="J15" i="4"/>
  <c r="G194" i="3"/>
  <c r="X377"/>
  <c r="D280" i="5"/>
  <c r="B16" i="4"/>
  <c r="O194" i="3"/>
  <c r="J378"/>
  <c r="H283" i="5"/>
  <c r="J16" i="4"/>
  <c r="W194" i="3"/>
  <c r="T378"/>
  <c r="D312" i="5"/>
  <c r="B21" i="4"/>
  <c r="Q197" i="3"/>
  <c r="L382"/>
  <c r="B215" i="4"/>
  <c r="S283" i="3"/>
  <c r="I130"/>
  <c r="Y38"/>
  <c r="H33" i="5"/>
  <c r="X42" i="3"/>
  <c r="L10"/>
  <c r="S22"/>
  <c r="W303"/>
  <c r="Y295"/>
  <c r="M210" i="6"/>
  <c r="L288" i="5"/>
  <c r="N69" i="6"/>
  <c r="H68" i="5"/>
  <c r="G159" i="4"/>
  <c r="H163" i="3"/>
  <c r="I181" i="4"/>
  <c r="Q144" i="3"/>
  <c r="A554" i="17"/>
  <c r="A349"/>
  <c r="G302" i="6"/>
  <c r="S283"/>
  <c r="I146"/>
  <c r="R157" i="5"/>
  <c r="B108"/>
  <c r="I342"/>
  <c r="E137" i="6"/>
  <c r="N148" i="5"/>
  <c r="G157" i="17"/>
  <c r="I51" i="6"/>
  <c r="N262" i="5"/>
  <c r="Q355"/>
  <c r="A51" i="17"/>
  <c r="I45" i="6"/>
  <c r="N256" i="5"/>
  <c r="Q307"/>
  <c r="Q205" i="6"/>
  <c r="F192" i="4"/>
  <c r="C304" i="3"/>
  <c r="O117"/>
  <c r="A34" i="46"/>
  <c r="A937" i="17"/>
  <c r="E39"/>
  <c r="B236"/>
  <c r="E103"/>
  <c r="B206" i="20"/>
  <c r="E167" i="17"/>
  <c r="E216" i="13"/>
  <c r="F174" i="17"/>
  <c r="E224" i="13"/>
  <c r="G181" i="17"/>
  <c r="G34" i="7"/>
  <c r="F5" i="9"/>
  <c r="AG335" i="4"/>
  <c r="D313"/>
  <c r="G42" i="7"/>
  <c r="F13" i="9"/>
  <c r="AF339" i="4"/>
  <c r="B317"/>
  <c r="G50" i="7"/>
  <c r="F21" i="9"/>
  <c r="J343" i="4"/>
  <c r="A321"/>
  <c r="G58" i="7"/>
  <c r="F29" i="9"/>
  <c r="H347" i="4"/>
  <c r="A325"/>
  <c r="G66" i="7"/>
  <c r="F37" i="9"/>
  <c r="H351" i="4"/>
  <c r="AJ328"/>
  <c r="G10" i="7"/>
  <c r="B65" i="12"/>
  <c r="M243" i="6"/>
  <c r="G221" i="17"/>
  <c r="A231" i="13"/>
  <c r="G66" i="12"/>
  <c r="A244" i="6"/>
  <c r="M390"/>
  <c r="S412" i="5"/>
  <c r="C224" i="6"/>
  <c r="L203" i="5"/>
  <c r="A262" i="7"/>
  <c r="O403" i="5"/>
  <c r="S214" i="6"/>
  <c r="H194" i="5"/>
  <c r="A78" i="7"/>
  <c r="K394" i="5"/>
  <c r="O205" i="6"/>
  <c r="D185" i="5"/>
  <c r="A86" i="7"/>
  <c r="S394" i="5"/>
  <c r="G88" i="13"/>
  <c r="H202" i="12"/>
  <c r="D432" i="17"/>
  <c r="A70"/>
  <c r="H63" i="13"/>
  <c r="Q338" i="6"/>
  <c r="E383" i="17"/>
  <c r="B21"/>
  <c r="B100" i="12"/>
  <c r="Q316" i="6"/>
  <c r="I227" i="17"/>
  <c r="H7" i="14"/>
  <c r="A78" i="12"/>
  <c r="Q246" i="6"/>
  <c r="H228" i="17"/>
  <c r="H8" i="14"/>
  <c r="E79" i="12"/>
  <c r="E247" i="6"/>
  <c r="E416"/>
  <c r="C416" i="5"/>
  <c r="G227" i="6"/>
  <c r="P206" i="5"/>
  <c r="G14" i="9"/>
  <c r="S406" i="5"/>
  <c r="C218" i="6"/>
  <c r="L197" i="5"/>
  <c r="A142" i="7"/>
  <c r="O397" i="5"/>
  <c r="S208" i="6"/>
  <c r="H188" i="5"/>
  <c r="A150" i="7"/>
  <c r="C398" i="5"/>
  <c r="B45" i="20"/>
  <c r="G307" i="17"/>
  <c r="F66" i="13"/>
  <c r="G146" i="12"/>
  <c r="O215" i="6"/>
  <c r="D195" i="5"/>
  <c r="A94" i="7"/>
  <c r="G395" i="5"/>
  <c r="K206" i="6"/>
  <c r="T185" i="5"/>
  <c r="K323" i="6"/>
  <c r="K103"/>
  <c r="H332" i="5"/>
  <c r="A285" i="4"/>
  <c r="K317" i="6"/>
  <c r="K97"/>
  <c r="H326" i="5"/>
  <c r="I277" i="4"/>
  <c r="I304"/>
  <c r="D212"/>
  <c r="M212" i="3"/>
  <c r="M158"/>
  <c r="S162" i="5"/>
  <c r="AF34" i="4"/>
  <c r="M86" i="3"/>
  <c r="N353"/>
  <c r="G163" i="5"/>
  <c r="D35" i="4"/>
  <c r="U86" i="3"/>
  <c r="X353"/>
  <c r="S166" i="5"/>
  <c r="AF39" i="4"/>
  <c r="O89" i="3"/>
  <c r="P357"/>
  <c r="G167" i="5"/>
  <c r="D40" i="4"/>
  <c r="W89" i="3"/>
  <c r="B358"/>
  <c r="O167" i="5"/>
  <c r="AF40" i="4"/>
  <c r="E90" i="3"/>
  <c r="L358"/>
  <c r="G171" i="5"/>
  <c r="C45" i="4"/>
  <c r="Y92" i="3"/>
  <c r="D362"/>
  <c r="O27"/>
  <c r="U300"/>
  <c r="D158" i="5"/>
  <c r="Q123" i="3"/>
  <c r="Z17"/>
  <c r="J93"/>
  <c r="C271"/>
  <c r="M302" i="5"/>
  <c r="I16" i="3"/>
  <c r="A250" i="6"/>
  <c r="AE268" i="4"/>
  <c r="O294" i="6"/>
  <c r="O68"/>
  <c r="K199" i="3"/>
  <c r="I366" i="4"/>
  <c r="Y150" i="3"/>
  <c r="J403" i="4"/>
  <c r="P69" i="3"/>
  <c r="C141" i="17"/>
  <c r="G97" i="16"/>
  <c r="K256" i="5"/>
  <c r="O247"/>
  <c r="H376"/>
  <c r="F339" i="4"/>
  <c r="H360" i="6"/>
  <c r="G138"/>
  <c r="D367" i="5"/>
  <c r="B328" i="4"/>
  <c r="L275" i="6"/>
  <c r="H263" i="5"/>
  <c r="M104"/>
  <c r="E55"/>
  <c r="L269" i="6"/>
  <c r="H257" i="5"/>
  <c r="M98"/>
  <c r="E49"/>
  <c r="O53"/>
  <c r="AH136" i="4"/>
  <c r="L345" i="3"/>
  <c r="N241"/>
  <c r="B300" i="4"/>
  <c r="A196"/>
  <c r="D198" i="3"/>
  <c r="Z108"/>
  <c r="J300" i="4"/>
  <c r="I196"/>
  <c r="N198" i="3"/>
  <c r="J109"/>
  <c r="B305" i="4"/>
  <c r="AI200"/>
  <c r="F202" i="3"/>
  <c r="N112"/>
  <c r="J305" i="4"/>
  <c r="G201"/>
  <c r="R202" i="3"/>
  <c r="W112"/>
  <c r="B306" i="4"/>
  <c r="AI201"/>
  <c r="B203" i="3"/>
  <c r="F113"/>
  <c r="I310" i="4"/>
  <c r="G206"/>
  <c r="T206" i="3"/>
  <c r="J116"/>
  <c r="T149"/>
  <c r="E166"/>
  <c r="S276"/>
  <c r="Z58"/>
  <c r="L107"/>
  <c r="H18"/>
  <c r="E170"/>
  <c r="AJ175" i="4"/>
  <c r="A405" i="5"/>
  <c r="I24" i="17"/>
  <c r="J98" i="5"/>
  <c r="D74" i="7"/>
  <c r="F18" i="6"/>
  <c r="M409" i="3"/>
  <c r="T168" i="5"/>
  <c r="F66" i="3"/>
  <c r="T198" i="5"/>
  <c r="H177" i="3"/>
  <c r="B198" i="17"/>
  <c r="E43"/>
  <c r="C282" i="5"/>
  <c r="G273"/>
  <c r="L379"/>
  <c r="D343" i="4"/>
  <c r="P366" i="6"/>
  <c r="K141"/>
  <c r="H370" i="5"/>
  <c r="A332" i="4"/>
  <c r="P278" i="6"/>
  <c r="L266" i="5"/>
  <c r="Q107"/>
  <c r="I58"/>
  <c r="P272" i="6"/>
  <c r="L260" i="5"/>
  <c r="Q101"/>
  <c r="I52"/>
  <c r="S56"/>
  <c r="AG140" i="4"/>
  <c r="R348" i="3"/>
  <c r="V244"/>
  <c r="F84" i="20"/>
  <c r="G20" i="16"/>
  <c r="C666" i="17"/>
  <c r="E153" i="12"/>
  <c r="E973" i="17"/>
  <c r="E225" i="12"/>
  <c r="C992" i="17"/>
  <c r="E233" i="12"/>
  <c r="F138" i="23"/>
  <c r="E241" i="12"/>
  <c r="I261" i="6"/>
  <c r="B92" i="7"/>
  <c r="N330" i="6"/>
  <c r="E3" i="24"/>
  <c r="I889" i="17"/>
  <c r="K348" i="6"/>
  <c r="D354" i="17"/>
  <c r="B27" i="13"/>
  <c r="B138" i="12"/>
  <c r="S316" i="6"/>
  <c r="E305" i="17"/>
  <c r="C228" i="12"/>
  <c r="G46"/>
  <c r="S294" i="6"/>
  <c r="A611" i="17"/>
  <c r="D233"/>
  <c r="H46" i="12"/>
  <c r="B286" i="7"/>
  <c r="F614" i="17"/>
  <c r="H242"/>
  <c r="A48" i="12"/>
  <c r="D288" i="7"/>
  <c r="D204"/>
  <c r="H405" i="5"/>
  <c r="I297"/>
  <c r="E197"/>
  <c r="C143" i="7"/>
  <c r="D396" i="5"/>
  <c r="R238"/>
  <c r="A188"/>
  <c r="B82" i="7"/>
  <c r="T386" i="5"/>
  <c r="E228"/>
  <c r="Q178"/>
  <c r="D84" i="7"/>
  <c r="E18" i="24"/>
  <c r="F891" i="17"/>
  <c r="O351" i="6"/>
  <c r="E361" i="17"/>
  <c r="B35" i="13"/>
  <c r="B170" i="12"/>
  <c r="C320" i="6"/>
  <c r="F312" i="17"/>
  <c r="C236" i="12"/>
  <c r="H55"/>
  <c r="C298" i="6"/>
  <c r="E639" i="17"/>
  <c r="I682"/>
  <c r="A56" i="12"/>
  <c r="B3" i="9"/>
  <c r="A643" i="17"/>
  <c r="C62" i="12"/>
  <c r="B57"/>
  <c r="B11" i="9"/>
  <c r="B226" i="7"/>
  <c r="L408" i="5"/>
  <c r="A323"/>
  <c r="I200"/>
  <c r="D164" i="7"/>
  <c r="H399" i="5"/>
  <c r="N251"/>
  <c r="E191"/>
  <c r="C103" i="7"/>
  <c r="D390" i="5"/>
  <c r="I231"/>
  <c r="A182"/>
  <c r="B106" i="7"/>
  <c r="G775" i="17"/>
  <c r="E551"/>
  <c r="G329" i="6"/>
  <c r="G311" i="17"/>
  <c r="C235" i="12"/>
  <c r="G54"/>
  <c r="O297" i="6"/>
  <c r="H262" i="17"/>
  <c r="C180" i="12"/>
  <c r="G2" i="11"/>
  <c r="O275" i="6"/>
  <c r="B525" i="17"/>
  <c r="H93" i="16"/>
  <c r="B27" i="23"/>
  <c r="B16" i="24"/>
  <c r="H95"/>
  <c r="B24"/>
  <c r="G210"/>
  <c r="B32"/>
  <c r="A9" i="22"/>
  <c r="C231" i="23"/>
  <c r="A110"/>
  <c r="C239"/>
  <c r="A142"/>
  <c r="G31" i="7"/>
  <c r="L372" i="6"/>
  <c r="G103" i="7"/>
  <c r="H401" i="6"/>
  <c r="G111" i="7"/>
  <c r="B332" i="17"/>
  <c r="B2" i="13"/>
  <c r="E88" i="12"/>
  <c r="B55" i="24"/>
  <c r="E32"/>
  <c r="B327" i="17"/>
  <c r="F106" i="20"/>
  <c r="B1" i="21"/>
  <c r="D522" i="17"/>
  <c r="C223" i="13"/>
  <c r="A194" i="12"/>
  <c r="C40" i="7"/>
  <c r="C523" i="17"/>
  <c r="C225" i="13"/>
  <c r="A198" i="12"/>
  <c r="B43" i="7"/>
  <c r="B396" i="17"/>
  <c r="B74" i="13"/>
  <c r="H141"/>
  <c r="F30" i="25"/>
  <c r="A64" i="20"/>
  <c r="G757" i="17"/>
  <c r="F178" i="20"/>
  <c r="C606" i="17"/>
  <c r="F685"/>
  <c r="E84"/>
  <c r="D21" i="12"/>
  <c r="C232" i="7"/>
  <c r="B689" i="17"/>
  <c r="F91"/>
  <c r="D22" i="12"/>
  <c r="B235" i="7"/>
  <c r="B460" i="17"/>
  <c r="B146" i="13"/>
  <c r="D45" i="12"/>
  <c r="H5" i="28"/>
  <c r="A128" i="20"/>
  <c r="B786" i="17"/>
  <c r="F186" i="20"/>
  <c r="D613" i="17"/>
  <c r="A714"/>
  <c r="D141"/>
  <c r="D29" i="12"/>
  <c r="D253" i="7"/>
  <c r="F717" i="17"/>
  <c r="E148"/>
  <c r="D30" i="12"/>
  <c r="C256" i="7"/>
  <c r="C467" i="17"/>
  <c r="B154" i="13"/>
  <c r="E54" i="12"/>
  <c r="F210" i="46"/>
  <c r="A192" i="20"/>
  <c r="B207"/>
  <c r="F194"/>
  <c r="E620" i="17"/>
  <c r="E742"/>
  <c r="C198"/>
  <c r="D37" i="12"/>
  <c r="B275" i="7"/>
  <c r="A746" i="17"/>
  <c r="D205"/>
  <c r="D38" i="12"/>
  <c r="D277" i="7"/>
  <c r="D474" i="17"/>
  <c r="B162" i="13"/>
  <c r="D64" i="12"/>
  <c r="D437" i="17"/>
  <c r="F895"/>
  <c r="P372" i="6"/>
  <c r="I389" i="17"/>
  <c r="B67" i="13"/>
  <c r="H85"/>
  <c r="S332" i="6"/>
  <c r="A341" i="17"/>
  <c r="B12" i="13"/>
  <c r="E104" i="12"/>
  <c r="S310" i="6"/>
  <c r="C753" i="17"/>
  <c r="C93" i="12"/>
  <c r="G104"/>
  <c r="S240" i="6"/>
  <c r="H756" i="17"/>
  <c r="C94" i="12"/>
  <c r="D106"/>
  <c r="G241" i="6"/>
  <c r="B15" i="9"/>
  <c r="O8" i="6"/>
  <c r="L237" i="5"/>
  <c r="E213"/>
  <c r="B250" i="7"/>
  <c r="D412" i="5"/>
  <c r="Q351"/>
  <c r="A204"/>
  <c r="D188" i="7"/>
  <c r="T402" i="5"/>
  <c r="E278"/>
  <c r="Q194"/>
  <c r="C191" i="7"/>
  <c r="I769" i="17"/>
  <c r="G80" i="25"/>
  <c r="D379" i="6"/>
  <c r="A397" i="17"/>
  <c r="B75" i="13"/>
  <c r="H149"/>
  <c r="C336" i="6"/>
  <c r="B348" i="17"/>
  <c r="B20" i="13"/>
  <c r="D117" i="12"/>
  <c r="C314" i="6"/>
  <c r="G781" i="17"/>
  <c r="C101" i="12"/>
  <c r="E117"/>
  <c r="C244" i="6"/>
  <c r="C785" i="17"/>
  <c r="C102" i="12"/>
  <c r="B119"/>
  <c r="K244" i="6"/>
  <c r="S231"/>
  <c r="S11"/>
  <c r="P240" i="5"/>
  <c r="I216"/>
  <c r="C271" i="7"/>
  <c r="H415" i="5"/>
  <c r="I377"/>
  <c r="E207"/>
  <c r="B210" i="7"/>
  <c r="D406" i="5"/>
  <c r="Q303"/>
  <c r="A198"/>
  <c r="D212" i="7"/>
  <c r="F771" i="17"/>
  <c r="H3" i="19"/>
  <c r="L385" i="6"/>
  <c r="B404" i="17"/>
  <c r="B83" i="13"/>
  <c r="H218"/>
  <c r="G339" i="6"/>
  <c r="C355" i="17"/>
  <c r="B28" i="13"/>
  <c r="B142" i="12"/>
  <c r="G317" i="6"/>
  <c r="B810" i="17"/>
  <c r="C109" i="12"/>
  <c r="A143"/>
  <c r="G247" i="6"/>
  <c r="G813" i="17"/>
  <c r="C110" i="12"/>
  <c r="A147"/>
  <c r="O247" i="6"/>
  <c r="C235"/>
  <c r="C15"/>
  <c r="T243" i="5"/>
  <c r="M219"/>
  <c r="D292" i="7"/>
  <c r="M5" i="6"/>
  <c r="A403" i="5"/>
  <c r="I210"/>
  <c r="C231" i="7"/>
  <c r="H409" i="5"/>
  <c r="I329"/>
  <c r="E201"/>
  <c r="B234" i="7"/>
  <c r="C773" i="17"/>
  <c r="G7" i="19"/>
  <c r="T391" i="6"/>
  <c r="C411" i="17"/>
  <c r="B91" i="13"/>
  <c r="G8" i="10"/>
  <c r="K342" i="6"/>
  <c r="D362" i="17"/>
  <c r="B36" i="13"/>
  <c r="B174" i="12"/>
  <c r="K320" i="6"/>
  <c r="F838" i="17"/>
  <c r="C117" i="12"/>
  <c r="A175"/>
  <c r="K250" i="6"/>
  <c r="B842" i="17"/>
  <c r="C118" i="12"/>
  <c r="A179"/>
  <c r="S250" i="6"/>
  <c r="G238"/>
  <c r="G18"/>
  <c r="D247" i="5"/>
  <c r="Q222"/>
  <c r="B23" i="9"/>
  <c r="C9" i="6"/>
  <c r="T237" i="5"/>
  <c r="M213"/>
  <c r="D252" i="7"/>
  <c r="L412" i="5"/>
  <c r="A355"/>
  <c r="I204"/>
  <c r="C255" i="7"/>
  <c r="H775" i="17"/>
  <c r="F9" i="19"/>
  <c r="H398" i="6"/>
  <c r="D418" i="17"/>
  <c r="B99" i="13"/>
  <c r="F2" i="11"/>
  <c r="O345" i="6"/>
  <c r="E369" i="17"/>
  <c r="B44" i="13"/>
  <c r="B206" i="12"/>
  <c r="O323" i="6"/>
  <c r="A867" i="17"/>
  <c r="C125" i="12"/>
  <c r="A207"/>
  <c r="O253" i="6"/>
  <c r="F870" i="17"/>
  <c r="C126" i="12"/>
  <c r="A211"/>
  <c r="C254" i="6"/>
  <c r="K241"/>
  <c r="K21"/>
  <c r="H250" i="5"/>
  <c r="A226"/>
  <c r="G232" i="6"/>
  <c r="G12"/>
  <c r="D241" i="5"/>
  <c r="Q216"/>
  <c r="B274" i="7"/>
  <c r="P415" i="5"/>
  <c r="M380"/>
  <c r="M207"/>
  <c r="D276" i="7"/>
  <c r="C82" i="23"/>
  <c r="C893" i="17"/>
  <c r="S354" i="6"/>
  <c r="F368" i="17"/>
  <c r="B43" i="13"/>
  <c r="B202" i="12"/>
  <c r="G323" i="6"/>
  <c r="G319" i="17"/>
  <c r="C244" i="12"/>
  <c r="B66"/>
  <c r="G301" i="6"/>
  <c r="I667" i="17"/>
  <c r="C69" i="12"/>
  <c r="D10" i="29"/>
  <c r="A99" i="23"/>
  <c r="H708" i="17"/>
  <c r="A107" i="23"/>
  <c r="C737" i="17"/>
  <c r="A115" i="23"/>
  <c r="G765" i="17"/>
  <c r="A59" i="23"/>
  <c r="F566" i="17"/>
  <c r="A67" i="23"/>
  <c r="A595" i="17"/>
  <c r="F30" i="7"/>
  <c r="C372" i="6"/>
  <c r="F102" i="7"/>
  <c r="S400" i="6"/>
  <c r="F110" i="7"/>
  <c r="A389" i="17"/>
  <c r="B66" i="13"/>
  <c r="H77"/>
  <c r="G180" i="23"/>
  <c r="E88" i="24"/>
  <c r="F558" i="17"/>
  <c r="F170" i="20"/>
  <c r="B599" i="17"/>
  <c r="B657"/>
  <c r="I53"/>
  <c r="D13" i="12"/>
  <c r="B211" i="7"/>
  <c r="G660" i="17"/>
  <c r="E57"/>
  <c r="D14" i="12"/>
  <c r="D213" i="7"/>
  <c r="A453" i="17"/>
  <c r="B138" i="13"/>
  <c r="E36" i="12"/>
  <c r="C45" i="23"/>
  <c r="H166" i="20"/>
  <c r="E709" i="17"/>
  <c r="F242" i="20"/>
  <c r="B663" i="17"/>
  <c r="B913"/>
  <c r="H9" i="15"/>
  <c r="B104" i="12"/>
  <c r="B254" i="6"/>
  <c r="G916" i="17"/>
  <c r="H10" i="15"/>
  <c r="G105" i="12"/>
  <c r="J254" i="6"/>
  <c r="A517" i="17"/>
  <c r="C211" i="13"/>
  <c r="A170" i="12"/>
  <c r="B46" i="24"/>
  <c r="H230" i="20"/>
  <c r="F716" i="17"/>
  <c r="F250" i="20"/>
  <c r="C670" i="17"/>
  <c r="B968"/>
  <c r="H17" i="15"/>
  <c r="A117" i="12"/>
  <c r="F257" i="6"/>
  <c r="H977" i="17"/>
  <c r="H18" i="15"/>
  <c r="E118" i="12"/>
  <c r="N257" i="6"/>
  <c r="B524" i="17"/>
  <c r="C227" i="13"/>
  <c r="A202" i="12"/>
  <c r="A88" i="24"/>
  <c r="D3" i="21"/>
  <c r="D766" i="17"/>
  <c r="F258" i="20"/>
  <c r="D677" i="17"/>
  <c r="B70" i="20"/>
  <c r="H25" i="15"/>
  <c r="B141" i="12"/>
  <c r="J260" i="6"/>
  <c r="B102" i="20"/>
  <c r="H26" i="15"/>
  <c r="B145" i="12"/>
  <c r="R260" i="6"/>
  <c r="C531" i="17"/>
  <c r="B16" i="14"/>
  <c r="A234" i="12"/>
  <c r="F225" i="23"/>
  <c r="N238" i="6"/>
  <c r="C24" i="7"/>
  <c r="H446" i="17"/>
  <c r="B131" i="13"/>
  <c r="E29" i="12"/>
  <c r="P360" i="6"/>
  <c r="I397" i="17"/>
  <c r="B76" i="13"/>
  <c r="H157"/>
  <c r="K336" i="6"/>
  <c r="B167" i="20"/>
  <c r="C157" i="12"/>
  <c r="H158" i="13"/>
  <c r="K266" i="6"/>
  <c r="B199" i="20"/>
  <c r="C158" i="12"/>
  <c r="H166" i="13"/>
  <c r="S266" i="6"/>
  <c r="G254"/>
  <c r="G34"/>
  <c r="D263" i="5"/>
  <c r="J244"/>
  <c r="C245" i="6"/>
  <c r="C25"/>
  <c r="T253" i="5"/>
  <c r="M229"/>
  <c r="S235" i="6"/>
  <c r="S15"/>
  <c r="P244" i="5"/>
  <c r="I220"/>
  <c r="G236" i="6"/>
  <c r="B241" i="23"/>
  <c r="F264" i="6"/>
  <c r="D45" i="7"/>
  <c r="I453" i="17"/>
  <c r="B139" i="13"/>
  <c r="E37" i="12"/>
  <c r="D367" i="6"/>
  <c r="A405" i="17"/>
  <c r="B84" i="13"/>
  <c r="C7" i="14"/>
  <c r="O339" i="6"/>
  <c r="E249" i="17"/>
  <c r="C165" i="12"/>
  <c r="B10" i="14"/>
  <c r="O269" i="6"/>
  <c r="D250" i="17"/>
  <c r="C166" i="12"/>
  <c r="H2" i="10"/>
  <c r="C270" i="6"/>
  <c r="K257"/>
  <c r="K37"/>
  <c r="H266" i="5"/>
  <c r="M260"/>
  <c r="G248" i="6"/>
  <c r="G28"/>
  <c r="D257" i="5"/>
  <c r="Q232"/>
  <c r="C239" i="6"/>
  <c r="C19"/>
  <c r="T247" i="5"/>
  <c r="M223"/>
  <c r="K239" i="6"/>
  <c r="F252" i="23"/>
  <c r="R289" i="6"/>
  <c r="B67" i="7"/>
  <c r="A461" i="17"/>
  <c r="B147" i="13"/>
  <c r="E46" i="12"/>
  <c r="L373" i="6"/>
  <c r="B412" i="17"/>
  <c r="B92" i="13"/>
  <c r="G9" i="10"/>
  <c r="S342" i="6"/>
  <c r="F256" i="17"/>
  <c r="C173" i="12"/>
  <c r="H9" i="10"/>
  <c r="S272" i="6"/>
  <c r="E257" i="17"/>
  <c r="C174" i="12"/>
  <c r="H10" i="10"/>
  <c r="G273" i="6"/>
  <c r="O260"/>
  <c r="O40"/>
  <c r="L269" i="5"/>
  <c r="E286"/>
  <c r="K251" i="6"/>
  <c r="K31"/>
  <c r="H260" i="5"/>
  <c r="A236"/>
  <c r="G242" i="6"/>
  <c r="G22"/>
  <c r="D251" i="5"/>
  <c r="Q226"/>
  <c r="O242" i="6"/>
  <c r="B1" i="24"/>
  <c r="J315" i="6"/>
  <c r="C88" i="7"/>
  <c r="B468" i="17"/>
  <c r="B155" i="13"/>
  <c r="G55" i="12"/>
  <c r="T379" i="6"/>
  <c r="C419" i="17"/>
  <c r="B100" i="13"/>
  <c r="F3" i="11"/>
  <c r="C346" i="6"/>
  <c r="G263" i="17"/>
  <c r="C181" i="12"/>
  <c r="G3" i="11"/>
  <c r="C276" i="6"/>
  <c r="F264" i="17"/>
  <c r="C182" i="12"/>
  <c r="G4" i="11"/>
  <c r="K276" i="6"/>
  <c r="S263"/>
  <c r="S43"/>
  <c r="P272" i="5"/>
  <c r="Q311"/>
  <c r="O254" i="6"/>
  <c r="O34"/>
  <c r="L263" i="5"/>
  <c r="B246"/>
  <c r="K245" i="6"/>
  <c r="K25"/>
  <c r="H254" i="5"/>
  <c r="A230"/>
  <c r="S245" i="6"/>
  <c r="E10" i="24"/>
  <c r="B341" i="6"/>
  <c r="D109" i="7"/>
  <c r="C475" i="17"/>
  <c r="B163" i="13"/>
  <c r="A66" i="12"/>
  <c r="H386" i="6"/>
  <c r="D426" i="17"/>
  <c r="B108" i="13"/>
  <c r="E6" i="12"/>
  <c r="G349" i="6"/>
  <c r="H270" i="17"/>
  <c r="C189" i="12"/>
  <c r="F6"/>
  <c r="G279" i="6"/>
  <c r="G271" i="17"/>
  <c r="C190" i="12"/>
  <c r="F7"/>
  <c r="O279" i="6"/>
  <c r="C267"/>
  <c r="C47"/>
  <c r="T275" i="5"/>
  <c r="I337"/>
  <c r="S257" i="6"/>
  <c r="S37"/>
  <c r="P266" i="5"/>
  <c r="Q263"/>
  <c r="O248" i="6"/>
  <c r="O28"/>
  <c r="L257" i="5"/>
  <c r="E233"/>
  <c r="C249" i="6"/>
  <c r="H774" i="17"/>
  <c r="E10" i="19"/>
  <c r="P404" i="6"/>
  <c r="E425" i="17"/>
  <c r="B107" i="13"/>
  <c r="E5" i="12"/>
  <c r="S348" i="6"/>
  <c r="F376" i="17"/>
  <c r="B52" i="13"/>
  <c r="B238" i="12"/>
  <c r="S326" i="6"/>
  <c r="E895" i="17"/>
  <c r="C133" i="12"/>
  <c r="C238" i="20"/>
  <c r="H128" i="23"/>
  <c r="F861" i="17"/>
  <c r="H136" i="23"/>
  <c r="A890" i="17"/>
  <c r="H144" i="23"/>
  <c r="E918" i="17"/>
  <c r="H88" i="23"/>
  <c r="D719" i="17"/>
  <c r="H96" i="23"/>
  <c r="H747" i="17"/>
  <c r="E29" i="7"/>
  <c r="N371" i="6"/>
  <c r="E101" i="7"/>
  <c r="J400" i="6"/>
  <c r="E109" i="7"/>
  <c r="I445" i="17"/>
  <c r="B130" i="13"/>
  <c r="E28" i="12"/>
  <c r="C22" i="24"/>
  <c r="H102" i="20"/>
  <c r="G659" i="17"/>
  <c r="F234" i="20"/>
  <c r="A656" i="17"/>
  <c r="G884"/>
  <c r="A1" i="15"/>
  <c r="D91" i="12"/>
  <c r="R250" i="6"/>
  <c r="C888" i="17"/>
  <c r="H2" i="15"/>
  <c r="A93" i="12"/>
  <c r="F251" i="6"/>
  <c r="I509" i="17"/>
  <c r="B202" i="13"/>
  <c r="A138" i="12"/>
  <c r="G27" i="25"/>
  <c r="G170" i="20"/>
  <c r="H955" i="17"/>
  <c r="F20" i="23"/>
  <c r="A720" i="17"/>
  <c r="I300"/>
  <c r="G43" i="16"/>
  <c r="H147" i="13"/>
  <c r="N279" i="6"/>
  <c r="H301" i="17"/>
  <c r="G44" i="16"/>
  <c r="H155" i="13"/>
  <c r="B280" i="6"/>
  <c r="H635" i="17"/>
  <c r="F32"/>
  <c r="D7" i="12"/>
  <c r="H10" i="29"/>
  <c r="G234" i="20"/>
  <c r="B975" i="17"/>
  <c r="F52" i="23"/>
  <c r="B727" i="17"/>
  <c r="A308"/>
  <c r="G51" i="16"/>
  <c r="H214" i="13"/>
  <c r="R282" i="6"/>
  <c r="I308" i="17"/>
  <c r="G52" i="16"/>
  <c r="H230" i="13"/>
  <c r="F283" i="6"/>
  <c r="C664" i="17"/>
  <c r="A61"/>
  <c r="D15" i="12"/>
  <c r="G185" i="46"/>
  <c r="B8" i="22"/>
  <c r="B277" i="20"/>
  <c r="F84" i="23"/>
  <c r="C734" i="17"/>
  <c r="B315"/>
  <c r="G59" i="16"/>
  <c r="E7" i="10"/>
  <c r="B286" i="6"/>
  <c r="A316" i="17"/>
  <c r="G60" i="16"/>
  <c r="E8" i="10"/>
  <c r="J286" i="6"/>
  <c r="G692" i="17"/>
  <c r="G98"/>
  <c r="D23" i="12"/>
  <c r="D66" i="24"/>
  <c r="A251" i="6"/>
  <c r="B195" i="7"/>
  <c r="G503" i="17"/>
  <c r="B195" i="13"/>
  <c r="B117" i="12"/>
  <c r="T411" i="6"/>
  <c r="H454" i="17"/>
  <c r="B140" i="13"/>
  <c r="E38" i="12"/>
  <c r="T367" i="6"/>
  <c r="C299" i="17"/>
  <c r="C221" i="12"/>
  <c r="G38"/>
  <c r="C292" i="6"/>
  <c r="B300" i="17"/>
  <c r="C222" i="12"/>
  <c r="H39"/>
  <c r="K292" i="6"/>
  <c r="S279"/>
  <c r="S59"/>
  <c r="P288" i="5"/>
  <c r="B231" i="4"/>
  <c r="O270" i="6"/>
  <c r="O50"/>
  <c r="L279" i="5"/>
  <c r="E366"/>
  <c r="K261" i="6"/>
  <c r="K41"/>
  <c r="H270" i="5"/>
  <c r="M292"/>
  <c r="S261" i="6"/>
  <c r="C90" i="24"/>
  <c r="M276" i="6"/>
  <c r="C216" i="7"/>
  <c r="H510" i="17"/>
  <c r="B203" i="13"/>
  <c r="A142" i="12"/>
  <c r="D5" i="7"/>
  <c r="I461" i="17"/>
  <c r="B148" i="13"/>
  <c r="G47" i="12"/>
  <c r="H374" i="6"/>
  <c r="D306" i="17"/>
  <c r="C229" i="12"/>
  <c r="H47"/>
  <c r="G295" i="6"/>
  <c r="C307" i="17"/>
  <c r="C230" i="12"/>
  <c r="A49"/>
  <c r="O295" i="6"/>
  <c r="C283"/>
  <c r="C63"/>
  <c r="T291" i="5"/>
  <c r="A235" i="4"/>
  <c r="S273" i="6"/>
  <c r="S53"/>
  <c r="P282" i="5"/>
  <c r="Q391"/>
  <c r="O264" i="6"/>
  <c r="O44"/>
  <c r="L273" i="5"/>
  <c r="E318"/>
  <c r="C265" i="6"/>
  <c r="A119" i="24"/>
  <c r="E302" i="6"/>
  <c r="D237" i="7"/>
  <c r="I517" i="17"/>
  <c r="C213" i="13"/>
  <c r="A174" i="12"/>
  <c r="B27" i="7"/>
  <c r="A469" i="17"/>
  <c r="B156" i="13"/>
  <c r="H56" i="12"/>
  <c r="P380" i="6"/>
  <c r="E313" i="17"/>
  <c r="C237" i="12"/>
  <c r="A57"/>
  <c r="K298" i="6"/>
  <c r="D314" i="17"/>
  <c r="C238" i="12"/>
  <c r="B58"/>
  <c r="S298" i="6"/>
  <c r="G286"/>
  <c r="G66"/>
  <c r="D295" i="5"/>
  <c r="A239" i="4"/>
  <c r="C277" i="6"/>
  <c r="C57"/>
  <c r="T285" i="5"/>
  <c r="I417"/>
  <c r="S267" i="6"/>
  <c r="S47"/>
  <c r="P276" i="5"/>
  <c r="Q343"/>
  <c r="G268" i="6"/>
  <c r="A197" i="23"/>
  <c r="Q327" i="6"/>
  <c r="B259" i="7"/>
  <c r="A525" i="17"/>
  <c r="C229" i="13"/>
  <c r="A206" i="12"/>
  <c r="C48" i="7"/>
  <c r="B476" i="17"/>
  <c r="B164" i="13"/>
  <c r="E67" i="12"/>
  <c r="D387" i="6"/>
  <c r="F320" i="17"/>
  <c r="C245" i="12"/>
  <c r="G67"/>
  <c r="O301" i="6"/>
  <c r="E321" i="17"/>
  <c r="C246" i="12"/>
  <c r="D69"/>
  <c r="C302" i="6"/>
  <c r="K289"/>
  <c r="K69"/>
  <c r="H298" i="5"/>
  <c r="AI242" i="4"/>
  <c r="G280" i="6"/>
  <c r="G60"/>
  <c r="D289" i="5"/>
  <c r="J231" i="4"/>
  <c r="C271" i="6"/>
  <c r="C51"/>
  <c r="T279" i="5"/>
  <c r="I369"/>
  <c r="K271" i="6"/>
  <c r="H226" i="23"/>
  <c r="I353" i="6"/>
  <c r="C280" i="7"/>
  <c r="B532" i="17"/>
  <c r="A3" i="15"/>
  <c r="A238" i="12"/>
  <c r="D69" i="7"/>
  <c r="C483" i="17"/>
  <c r="B172" i="13"/>
  <c r="D80" i="12"/>
  <c r="L393" i="6"/>
  <c r="G327" i="17"/>
  <c r="C253" i="12"/>
  <c r="E80"/>
  <c r="S304" i="6"/>
  <c r="F328" i="17"/>
  <c r="C254" i="12"/>
  <c r="B82"/>
  <c r="G305" i="6"/>
  <c r="O292"/>
  <c r="O72"/>
  <c r="L301" i="5"/>
  <c r="AI246" i="4"/>
  <c r="K283" i="6"/>
  <c r="K63"/>
  <c r="H292" i="5"/>
  <c r="I235" i="4"/>
  <c r="G274" i="6"/>
  <c r="G54"/>
  <c r="D283" i="5"/>
  <c r="A395"/>
  <c r="O274" i="6"/>
  <c r="C80" i="23"/>
  <c r="C377" i="6"/>
  <c r="B131" i="7"/>
  <c r="D482" i="17"/>
  <c r="B171" i="13"/>
  <c r="G78" i="12"/>
  <c r="P392" i="6"/>
  <c r="E433" i="17"/>
  <c r="B116" i="13"/>
  <c r="E14" i="12"/>
  <c r="K352" i="6"/>
  <c r="I277" i="17"/>
  <c r="C197" i="12"/>
  <c r="C237" i="20"/>
  <c r="G149" i="23"/>
  <c r="D864" i="17"/>
  <c r="G157" i="23"/>
  <c r="H892" i="17"/>
  <c r="G165" i="23"/>
  <c r="C921" i="17"/>
  <c r="G109" i="23"/>
  <c r="B722" i="17"/>
  <c r="G117" i="23"/>
  <c r="F750" i="17"/>
  <c r="D59" i="12"/>
  <c r="A33" i="9"/>
  <c r="A251" i="12"/>
  <c r="H38" i="9"/>
  <c r="H54" i="13"/>
  <c r="H502" i="17"/>
  <c r="B194" i="13"/>
  <c r="E115" i="12"/>
  <c r="G179" i="23"/>
  <c r="G106" i="20"/>
  <c r="C887" i="17"/>
  <c r="G7" i="22"/>
  <c r="I712" i="17"/>
  <c r="H293"/>
  <c r="G35" i="16"/>
  <c r="H83" i="13"/>
  <c r="J276" i="6"/>
  <c r="G294" i="17"/>
  <c r="G36" i="16"/>
  <c r="H91" i="13"/>
  <c r="R276" i="6"/>
  <c r="D607" i="17"/>
  <c r="B4"/>
  <c r="E4" i="11"/>
  <c r="C44" i="23"/>
  <c r="F174" i="20"/>
  <c r="B711" i="17"/>
  <c r="E36" i="24"/>
  <c r="I776" i="17"/>
  <c r="H357"/>
  <c r="G107" i="16"/>
  <c r="C36" i="12"/>
  <c r="F305" i="6"/>
  <c r="G358" i="17"/>
  <c r="G108" i="16"/>
  <c r="C37" i="12"/>
  <c r="N305" i="6"/>
  <c r="D863" i="17"/>
  <c r="A11" i="14"/>
  <c r="G81" i="12"/>
  <c r="B45" i="24"/>
  <c r="F238" i="20"/>
  <c r="C718" i="17"/>
  <c r="E100" i="24"/>
  <c r="A784" i="17"/>
  <c r="I364"/>
  <c r="G115" i="16"/>
  <c r="B45" i="12"/>
  <c r="J308" i="6"/>
  <c r="H365" i="17"/>
  <c r="E3"/>
  <c r="C46" i="12"/>
  <c r="R308" i="6"/>
  <c r="H891" i="17"/>
  <c r="H3" i="15"/>
  <c r="E94" i="12"/>
  <c r="A87" i="24"/>
  <c r="F4" i="23"/>
  <c r="A768" i="17"/>
  <c r="H219" i="24"/>
  <c r="B791" i="17"/>
  <c r="A372"/>
  <c r="G9"/>
  <c r="C54" i="12"/>
  <c r="N311" i="6"/>
  <c r="I372" i="17"/>
  <c r="F10"/>
  <c r="D55" i="12"/>
  <c r="B312" i="6"/>
  <c r="C920" i="17"/>
  <c r="H11" i="15"/>
  <c r="D107" i="12"/>
  <c r="G22" i="25"/>
  <c r="H251" i="6"/>
  <c r="J248"/>
  <c r="E582" i="17"/>
  <c r="E89" i="16"/>
  <c r="H1" i="14"/>
  <c r="B155" i="7"/>
  <c r="G511" i="17"/>
  <c r="B204" i="13"/>
  <c r="A146" i="12"/>
  <c r="C8" i="7"/>
  <c r="B356" i="17"/>
  <c r="B29" i="13"/>
  <c r="B146" i="12"/>
  <c r="O317" i="6"/>
  <c r="A357" i="17"/>
  <c r="B30" i="13"/>
  <c r="B150" i="12"/>
  <c r="C318" i="6"/>
  <c r="K305"/>
  <c r="K85"/>
  <c r="H314" i="5"/>
  <c r="AE262" i="4"/>
  <c r="G296" i="6"/>
  <c r="G76"/>
  <c r="D305" i="5"/>
  <c r="F251" i="4"/>
  <c r="C287" i="6"/>
  <c r="C67"/>
  <c r="T295" i="5"/>
  <c r="A240" i="4"/>
  <c r="K287" i="6"/>
  <c r="F78" i="25"/>
  <c r="T276" i="6"/>
  <c r="N251"/>
  <c r="I610" i="17"/>
  <c r="G7"/>
  <c r="E5" i="11"/>
  <c r="C176" i="7"/>
  <c r="H518" i="17"/>
  <c r="C215" i="13"/>
  <c r="A178" i="12"/>
  <c r="D29" i="7"/>
  <c r="C363" i="17"/>
  <c r="B37" i="13"/>
  <c r="B178" i="12"/>
  <c r="S320" i="6"/>
  <c r="B364" i="17"/>
  <c r="B38" i="13"/>
  <c r="B182" i="12"/>
  <c r="G321" i="6"/>
  <c r="O308"/>
  <c r="O88"/>
  <c r="L317" i="5"/>
  <c r="J266" i="4"/>
  <c r="K299" i="6"/>
  <c r="K79"/>
  <c r="H308" i="5"/>
  <c r="E255" i="4"/>
  <c r="G290" i="6"/>
  <c r="G70"/>
  <c r="D299" i="5"/>
  <c r="AI243" i="4"/>
  <c r="O290" i="6"/>
  <c r="I102" i="46"/>
  <c r="L302" i="6"/>
  <c r="R254"/>
  <c r="D639" i="17"/>
  <c r="B36"/>
  <c r="D8" i="12"/>
  <c r="D197" i="7"/>
  <c r="I525" i="17"/>
  <c r="C231" i="13"/>
  <c r="A210" i="12"/>
  <c r="B51" i="7"/>
  <c r="D370" i="17"/>
  <c r="B45" i="13"/>
  <c r="B210" i="12"/>
  <c r="C324" i="6"/>
  <c r="C371" i="17"/>
  <c r="B46" i="13"/>
  <c r="B214" i="12"/>
  <c r="K324" i="6"/>
  <c r="S311"/>
  <c r="S91"/>
  <c r="P320" i="5"/>
  <c r="J270" i="4"/>
  <c r="O302" i="6"/>
  <c r="O82"/>
  <c r="L311" i="5"/>
  <c r="D259" i="4"/>
  <c r="K293" i="6"/>
  <c r="K73"/>
  <c r="H302" i="5"/>
  <c r="AI247" i="4"/>
  <c r="S293" i="6"/>
  <c r="E7" i="23"/>
  <c r="D328" i="6"/>
  <c r="B258"/>
  <c r="H667" i="17"/>
  <c r="F64"/>
  <c r="D16" i="12"/>
  <c r="B219" i="7"/>
  <c r="A533" i="17"/>
  <c r="F5" i="15"/>
  <c r="A242" i="12"/>
  <c r="C72" i="7"/>
  <c r="E377" i="17"/>
  <c r="B53" i="13"/>
  <c r="B242" i="12"/>
  <c r="G327" i="6"/>
  <c r="D378" i="17"/>
  <c r="B54" i="13"/>
  <c r="B246" i="12"/>
  <c r="O327" i="6"/>
  <c r="C315"/>
  <c r="C95"/>
  <c r="T323" i="5"/>
  <c r="I274" i="4"/>
  <c r="S305" i="6"/>
  <c r="S85"/>
  <c r="P314" i="5"/>
  <c r="C263" i="4"/>
  <c r="O296" i="6"/>
  <c r="O76"/>
  <c r="L305" i="5"/>
  <c r="AH251" i="4"/>
  <c r="C297" i="6"/>
  <c r="D31" i="23"/>
  <c r="P353" i="6"/>
  <c r="F261"/>
  <c r="C696" i="17"/>
  <c r="H105"/>
  <c r="D24" i="12"/>
  <c r="C240" i="7"/>
  <c r="B540" i="17"/>
  <c r="A27" i="15"/>
  <c r="H36" i="13"/>
  <c r="D93" i="7"/>
  <c r="F384" i="17"/>
  <c r="B61" i="13"/>
  <c r="H37"/>
  <c r="K330" i="6"/>
  <c r="E385" i="17"/>
  <c r="B62" i="13"/>
  <c r="H45"/>
  <c r="S330" i="6"/>
  <c r="G318"/>
  <c r="G98"/>
  <c r="D327" i="5"/>
  <c r="I278" i="4"/>
  <c r="C309" i="6"/>
  <c r="C89"/>
  <c r="T317" i="5"/>
  <c r="B267" i="4"/>
  <c r="S299" i="6"/>
  <c r="S79"/>
  <c r="P308" i="5"/>
  <c r="AG255" i="4"/>
  <c r="G300" i="6"/>
  <c r="G247" i="23"/>
  <c r="R401" i="6"/>
  <c r="C12" i="8"/>
  <c r="C539" i="17"/>
  <c r="B24" i="15"/>
  <c r="H28" i="13"/>
  <c r="B91" i="7"/>
  <c r="D490" i="17"/>
  <c r="B180" i="13"/>
  <c r="B93" i="12"/>
  <c r="T399" i="6"/>
  <c r="H334" i="17"/>
  <c r="B5" i="13"/>
  <c r="F70" i="20"/>
  <c r="F38"/>
  <c r="H161" i="13"/>
  <c r="B48" i="12"/>
  <c r="B73"/>
  <c r="B211"/>
  <c r="H64" i="13"/>
  <c r="B243" i="12"/>
  <c r="H128" i="13"/>
  <c r="H39"/>
  <c r="H192"/>
  <c r="G837" i="17"/>
  <c r="H469"/>
  <c r="B78" i="7"/>
  <c r="P327" i="6"/>
  <c r="B866" i="17"/>
  <c r="I476"/>
  <c r="D248" i="7"/>
  <c r="H353" i="6"/>
  <c r="F894" i="17"/>
  <c r="A484"/>
  <c r="S244" i="6"/>
  <c r="M401"/>
  <c r="A923" i="17"/>
  <c r="B491"/>
  <c r="K270" i="6"/>
  <c r="D120" i="7"/>
  <c r="G994" i="17"/>
  <c r="C498"/>
  <c r="C296" i="6"/>
  <c r="C291" i="7"/>
  <c r="D752" i="17"/>
  <c r="E31" i="12"/>
  <c r="H362" i="6"/>
  <c r="E449" i="17"/>
  <c r="B134" i="13"/>
  <c r="E32" i="12"/>
  <c r="D363" i="6"/>
  <c r="C347"/>
  <c r="C127"/>
  <c r="T355" i="5"/>
  <c r="E314" i="4"/>
  <c r="S337" i="6"/>
  <c r="S117"/>
  <c r="P346" i="5"/>
  <c r="AI302" i="4"/>
  <c r="O328" i="6"/>
  <c r="O108"/>
  <c r="L337" i="5"/>
  <c r="I291" i="4"/>
  <c r="C329" i="6"/>
  <c r="A130" i="23"/>
  <c r="D125" i="7"/>
  <c r="F293" i="6"/>
  <c r="B166" i="20"/>
  <c r="H28" i="15"/>
  <c r="B153" i="12"/>
  <c r="N261" i="6"/>
  <c r="B785" i="17"/>
  <c r="E654"/>
  <c r="A51" i="12"/>
  <c r="C20" i="8"/>
  <c r="G455" i="17"/>
  <c r="B141" i="13"/>
  <c r="G39" i="12"/>
  <c r="P368" i="6"/>
  <c r="F456" i="17"/>
  <c r="B142" i="13"/>
  <c r="H40" i="12"/>
  <c r="L369" i="6"/>
  <c r="G350"/>
  <c r="G130"/>
  <c r="D359" i="5"/>
  <c r="D318" i="4"/>
  <c r="C341" i="6"/>
  <c r="C121"/>
  <c r="T349" i="5"/>
  <c r="AH306" i="4"/>
  <c r="S331" i="6"/>
  <c r="S111"/>
  <c r="P340" i="5"/>
  <c r="H295" i="4"/>
  <c r="G332" i="6"/>
  <c r="A254" i="20"/>
  <c r="B68" i="13"/>
  <c r="C150" i="12"/>
  <c r="S21" i="6"/>
  <c r="O118"/>
  <c r="L347" i="5"/>
  <c r="AI303" i="4"/>
  <c r="K329" i="6"/>
  <c r="K109"/>
  <c r="H338" i="5"/>
  <c r="I292" i="4"/>
  <c r="P246" i="6"/>
  <c r="R232"/>
  <c r="Q75" i="5"/>
  <c r="I26"/>
  <c r="P240" i="6"/>
  <c r="P224"/>
  <c r="Q69" i="5"/>
  <c r="I20"/>
  <c r="S24"/>
  <c r="B101" i="4"/>
  <c r="X315" i="3"/>
  <c r="Z211"/>
  <c r="F264" i="4"/>
  <c r="AD160"/>
  <c r="T172" i="3"/>
  <c r="D86"/>
  <c r="AH264" i="4"/>
  <c r="B161"/>
  <c r="C173" i="3"/>
  <c r="L86"/>
  <c r="E269" i="4"/>
  <c r="J165"/>
  <c r="G176" i="3"/>
  <c r="F89"/>
  <c r="AG269" i="4"/>
  <c r="B166"/>
  <c r="P176" i="3"/>
  <c r="N89"/>
  <c r="E270" i="4"/>
  <c r="J166"/>
  <c r="Y176" i="3"/>
  <c r="V89"/>
  <c r="AF274" i="4"/>
  <c r="A171"/>
  <c r="D180" i="3"/>
  <c r="P92"/>
  <c r="Y66"/>
  <c r="M76"/>
  <c r="P414"/>
  <c r="H13"/>
  <c r="Q47"/>
  <c r="E366"/>
  <c r="B194"/>
  <c r="AI127" i="4"/>
  <c r="I261" i="5"/>
  <c r="B211" i="6"/>
  <c r="C279" i="7"/>
  <c r="C386" i="5"/>
  <c r="K114" i="6"/>
  <c r="O399" i="5"/>
  <c r="A14" i="4"/>
  <c r="E382" i="3"/>
  <c r="AH35" i="4"/>
  <c r="E189" i="13"/>
  <c r="C2" i="10"/>
  <c r="F180" i="7"/>
  <c r="F277" i="4"/>
  <c r="L278" i="5"/>
  <c r="Q119"/>
  <c r="I70"/>
  <c r="L281" i="6"/>
  <c r="H269" i="5"/>
  <c r="M110"/>
  <c r="E61"/>
  <c r="A410"/>
  <c r="Q204" i="6"/>
  <c r="F216" i="5"/>
  <c r="J166"/>
  <c r="A404"/>
  <c r="Q198" i="6"/>
  <c r="F210" i="5"/>
  <c r="J160"/>
  <c r="T164"/>
  <c r="G25" i="4"/>
  <c r="B80" i="3"/>
  <c r="A246"/>
  <c r="H21" i="5"/>
  <c r="AJ84" i="4"/>
  <c r="G321" i="3"/>
  <c r="C302"/>
  <c r="P21" i="5"/>
  <c r="H85" i="4"/>
  <c r="S321" i="3"/>
  <c r="S303"/>
  <c r="H25" i="5"/>
  <c r="AI89" i="4"/>
  <c r="K325" i="3"/>
  <c r="M318"/>
  <c r="P25" i="5"/>
  <c r="G90" i="4"/>
  <c r="U325" i="3"/>
  <c r="E320"/>
  <c r="D26" i="5"/>
  <c r="AI90" i="4"/>
  <c r="E326" i="3"/>
  <c r="U321"/>
  <c r="P29" i="5"/>
  <c r="G95" i="4"/>
  <c r="W329" i="3"/>
  <c r="O336"/>
  <c r="U276"/>
  <c r="G299"/>
  <c r="H253"/>
  <c r="P38"/>
  <c r="I214"/>
  <c r="E48"/>
  <c r="Y74"/>
  <c r="B165"/>
  <c r="C100" i="4"/>
  <c r="H219" i="6"/>
  <c r="Q398"/>
  <c r="N275" i="5"/>
  <c r="K297"/>
  <c r="D161" i="7"/>
  <c r="G30" i="4"/>
  <c r="T175" i="3"/>
  <c r="J225" i="4"/>
  <c r="E46" i="16"/>
  <c r="R378" i="6"/>
  <c r="F244" i="7"/>
  <c r="C309" i="4"/>
  <c r="P281" i="5"/>
  <c r="A123"/>
  <c r="M73"/>
  <c r="P284" i="6"/>
  <c r="L272" i="5"/>
  <c r="Q113"/>
  <c r="I64"/>
  <c r="E413"/>
  <c r="A208" i="6"/>
  <c r="J219" i="5"/>
  <c r="N169"/>
  <c r="E407"/>
  <c r="A202" i="6"/>
  <c r="J213" i="5"/>
  <c r="N163"/>
  <c r="D168"/>
  <c r="G29" i="4"/>
  <c r="N82" i="3"/>
  <c r="C259"/>
  <c r="B125" i="20"/>
  <c r="F552" i="17"/>
  <c r="F255" i="23"/>
  <c r="H336" i="17"/>
  <c r="A963"/>
  <c r="H129" i="12"/>
  <c r="B970" i="17"/>
  <c r="H137" i="12"/>
  <c r="C977" i="17"/>
  <c r="H145" i="12"/>
  <c r="I258" i="17"/>
  <c r="G469"/>
  <c r="H174" i="13"/>
  <c r="E268" i="7"/>
  <c r="A266" i="17"/>
  <c r="H476"/>
  <c r="A41" i="12"/>
  <c r="C20" i="9"/>
  <c r="B273" i="17"/>
  <c r="I483"/>
  <c r="B154" i="12"/>
  <c r="A30" i="9"/>
  <c r="B305" i="17"/>
  <c r="A491"/>
  <c r="G12" i="10"/>
  <c r="H27" i="9"/>
  <c r="A362" i="17"/>
  <c r="B498"/>
  <c r="C60" i="12"/>
  <c r="A40"/>
  <c r="A994" i="17"/>
  <c r="D448"/>
  <c r="D380" i="6"/>
  <c r="D94" i="20"/>
  <c r="C97" i="16"/>
  <c r="F97" i="13"/>
  <c r="L380" i="6"/>
  <c r="G677" i="17"/>
  <c r="A171" i="6"/>
  <c r="F382" i="5"/>
  <c r="AI386" i="4"/>
  <c r="I420" i="17"/>
  <c r="Q161" i="6"/>
  <c r="B373" i="5"/>
  <c r="AE375" i="4"/>
  <c r="B38" i="20"/>
  <c r="M152" i="6"/>
  <c r="R363" i="5"/>
  <c r="C364" i="4"/>
  <c r="F38" i="23"/>
  <c r="A153" i="6"/>
  <c r="D572" i="17"/>
  <c r="B208" i="7"/>
  <c r="R293" i="6"/>
  <c r="H196" i="17"/>
  <c r="F55" i="12"/>
  <c r="G146" i="7"/>
  <c r="F262" i="6"/>
  <c r="I147" i="17"/>
  <c r="F48"/>
  <c r="G91" i="7"/>
  <c r="D150" i="20"/>
  <c r="C104" i="16"/>
  <c r="F104" i="13"/>
  <c r="H383" i="6"/>
  <c r="D158" i="20"/>
  <c r="C105" i="16"/>
  <c r="F105" i="13"/>
  <c r="P383" i="6"/>
  <c r="C905" i="17"/>
  <c r="E174" i="6"/>
  <c r="J385" i="5"/>
  <c r="AH390" i="4"/>
  <c r="H477" i="17"/>
  <c r="A165" i="6"/>
  <c r="F376" i="5"/>
  <c r="J379" i="4"/>
  <c r="C314" i="17"/>
  <c r="Q155" i="6"/>
  <c r="B367" i="5"/>
  <c r="C368" i="4"/>
  <c r="D321" i="17"/>
  <c r="E156" i="6"/>
  <c r="C133" i="17"/>
  <c r="G32" i="16"/>
  <c r="C240" i="5"/>
  <c r="K217" i="6"/>
  <c r="R373" i="5"/>
  <c r="AE376" i="4"/>
  <c r="F271" i="17"/>
  <c r="I153" i="6"/>
  <c r="N364" i="5"/>
  <c r="C365" i="4"/>
  <c r="E139" i="13"/>
  <c r="R278" i="5"/>
  <c r="R72" i="6"/>
  <c r="G68" i="5"/>
  <c r="E19" i="13"/>
  <c r="R272" i="5"/>
  <c r="R66" i="6"/>
  <c r="G62" i="5"/>
  <c r="M157" i="6"/>
  <c r="C199" i="4"/>
  <c r="I161" i="3"/>
  <c r="B334"/>
  <c r="H240" i="5"/>
  <c r="AE21" i="4"/>
  <c r="Z365" i="3"/>
  <c r="H188"/>
  <c r="L243" i="5"/>
  <c r="C22" i="4"/>
  <c r="H366" i="3"/>
  <c r="Q188"/>
  <c r="H272" i="5"/>
  <c r="J26" i="4"/>
  <c r="B369" i="3"/>
  <c r="V191"/>
  <c r="L275" i="5"/>
  <c r="B27" i="4"/>
  <c r="J369" i="3"/>
  <c r="E192"/>
  <c r="P278" i="5"/>
  <c r="J27" i="4"/>
  <c r="R369" i="3"/>
  <c r="N192"/>
  <c r="L307" i="5"/>
  <c r="A32" i="4"/>
  <c r="L372" i="3"/>
  <c r="R195"/>
  <c r="E202"/>
  <c r="J311" i="5"/>
  <c r="Z62" i="3"/>
  <c r="Z18"/>
  <c r="G84" i="4"/>
  <c r="S206" i="5"/>
  <c r="G285" i="3"/>
  <c r="C403"/>
  <c r="K202"/>
  <c r="G197" i="24"/>
  <c r="E111" i="6"/>
  <c r="E104" i="5"/>
  <c r="E23"/>
  <c r="AH416" i="4"/>
  <c r="E262" i="3"/>
  <c r="AG328" i="4"/>
  <c r="H196" i="3"/>
  <c r="J302" i="4"/>
  <c r="F3" i="10"/>
  <c r="E178" i="7"/>
  <c r="Q105" i="5"/>
  <c r="I87"/>
  <c r="R116" i="6"/>
  <c r="G112" i="5"/>
  <c r="D190" i="12"/>
  <c r="N313" i="5"/>
  <c r="N107" i="6"/>
  <c r="C103" i="5"/>
  <c r="H39" i="7"/>
  <c r="D5" i="6"/>
  <c r="G229"/>
  <c r="P208" i="5"/>
  <c r="E384" i="6"/>
  <c r="C412" i="5"/>
  <c r="G223" i="6"/>
  <c r="P202" i="5"/>
  <c r="S177"/>
  <c r="D123" i="4"/>
  <c r="Z281" i="3"/>
  <c r="R93"/>
  <c r="AI250" i="4"/>
  <c r="C182"/>
  <c r="O383" i="3"/>
  <c r="B323"/>
  <c r="G253" i="4"/>
  <c r="AE182"/>
  <c r="Y383" i="3"/>
  <c r="L323"/>
  <c r="AE270" i="4"/>
  <c r="B187"/>
  <c r="Q387" i="3"/>
  <c r="D327"/>
  <c r="B273" i="4"/>
  <c r="J187"/>
  <c r="A388" i="3"/>
  <c r="P327"/>
  <c r="J274" i="4"/>
  <c r="B188"/>
  <c r="M388" i="3"/>
  <c r="Z327"/>
  <c r="A293" i="4"/>
  <c r="I192"/>
  <c r="E392" i="3"/>
  <c r="R331"/>
  <c r="C111"/>
  <c r="I157" i="4"/>
  <c r="C107" i="3"/>
  <c r="F109"/>
  <c r="C134"/>
  <c r="G88" i="4"/>
  <c r="A365"/>
  <c r="O60" i="3"/>
  <c r="E13"/>
  <c r="D76" i="17"/>
  <c r="M36" i="5"/>
  <c r="AJ412" i="4"/>
  <c r="AG375"/>
  <c r="D184" i="5"/>
  <c r="N102" i="3"/>
  <c r="I319" i="5"/>
  <c r="H151" i="3"/>
  <c r="G91" i="5"/>
  <c r="H39" i="9"/>
  <c r="E242" i="7"/>
  <c r="I131" i="5"/>
  <c r="A113"/>
  <c r="B120" i="6"/>
  <c r="K115" i="5"/>
  <c r="D254" i="12"/>
  <c r="R316" i="5"/>
  <c r="R110" i="6"/>
  <c r="G106" i="5"/>
  <c r="H103" i="7"/>
  <c r="F8" i="6"/>
  <c r="Q239"/>
  <c r="T211" i="5"/>
  <c r="Q409" i="6"/>
  <c r="G415" i="5"/>
  <c r="K226" i="6"/>
  <c r="T205" i="5"/>
  <c r="K203"/>
  <c r="D127" i="4"/>
  <c r="L284" i="3"/>
  <c r="D96"/>
  <c r="F73" i="20"/>
  <c r="G634" i="17"/>
  <c r="M404" i="6"/>
  <c r="H184" i="7"/>
  <c r="H42"/>
  <c r="H256"/>
  <c r="H114"/>
  <c r="H264"/>
  <c r="H122"/>
  <c r="H272"/>
  <c r="H130"/>
  <c r="E48" i="17"/>
  <c r="E23" i="15"/>
  <c r="J328" i="5"/>
  <c r="N319"/>
  <c r="F55" i="17"/>
  <c r="E1" i="16"/>
  <c r="N331" i="5"/>
  <c r="R322"/>
  <c r="G62" i="17"/>
  <c r="D9" i="16"/>
  <c r="R334" i="5"/>
  <c r="B326"/>
  <c r="H69" i="17"/>
  <c r="D17" i="16"/>
  <c r="B338" i="5"/>
  <c r="F329"/>
  <c r="I76" i="17"/>
  <c r="D25" i="16"/>
  <c r="F341" i="5"/>
  <c r="J332"/>
  <c r="B27" i="17"/>
  <c r="H2" i="11"/>
  <c r="B158" i="7"/>
  <c r="A526" i="17"/>
  <c r="H97" i="16"/>
  <c r="H3" i="11"/>
  <c r="D160" i="7"/>
  <c r="D76"/>
  <c r="D386" i="5"/>
  <c r="I227"/>
  <c r="A178"/>
  <c r="C15" i="7"/>
  <c r="T376" i="5"/>
  <c r="E218"/>
  <c r="Q168"/>
  <c r="M403" i="6"/>
  <c r="P367" i="5"/>
  <c r="A209"/>
  <c r="M159"/>
  <c r="I404" i="6"/>
  <c r="E776" i="17"/>
  <c r="F773"/>
  <c r="K332" i="6"/>
  <c r="H318" i="17"/>
  <c r="C243" i="12"/>
  <c r="E64"/>
  <c r="S300" i="6"/>
  <c r="I269" i="17"/>
  <c r="C188" i="12"/>
  <c r="F5"/>
  <c r="S278" i="6"/>
  <c r="C532" i="17"/>
  <c r="F11"/>
  <c r="G5" i="12"/>
  <c r="C179" i="7"/>
  <c r="B533" i="17"/>
  <c r="B15"/>
  <c r="G6" i="12"/>
  <c r="B182" i="7"/>
  <c r="B98"/>
  <c r="H389" i="5"/>
  <c r="M230"/>
  <c r="E181"/>
  <c r="D36" i="7"/>
  <c r="D380" i="5"/>
  <c r="I221"/>
  <c r="A172"/>
  <c r="A410" i="6"/>
  <c r="T370" i="5"/>
  <c r="E212"/>
  <c r="Q162"/>
  <c r="Q410" i="6"/>
  <c r="C214" i="13"/>
  <c r="H199"/>
  <c r="H96"/>
  <c r="O250" i="5"/>
  <c r="P377"/>
  <c r="A219"/>
  <c r="M169"/>
  <c r="E405" i="6"/>
  <c r="L368" i="5"/>
  <c r="Q209"/>
  <c r="I160"/>
  <c r="D96" i="6"/>
  <c r="D77"/>
  <c r="A315" i="4"/>
  <c r="AI253"/>
  <c r="D90" i="6"/>
  <c r="D71"/>
  <c r="AE307" i="4"/>
  <c r="Q401" i="5"/>
  <c r="A252" i="4"/>
  <c r="F148"/>
  <c r="Y163" i="3"/>
  <c r="L78"/>
  <c r="L120" i="5"/>
  <c r="H207" i="4"/>
  <c r="X45" i="3"/>
  <c r="Z86"/>
  <c r="T120" i="5"/>
  <c r="AJ207" i="4"/>
  <c r="F46" i="3"/>
  <c r="W87"/>
  <c r="L124" i="5"/>
  <c r="G212" i="4"/>
  <c r="Z48" i="3"/>
  <c r="U97"/>
  <c r="T124" i="5"/>
  <c r="AH212" i="4"/>
  <c r="H49" i="3"/>
  <c r="A99"/>
  <c r="H125" i="5"/>
  <c r="F213" i="4"/>
  <c r="P49" i="3"/>
  <c r="G100"/>
  <c r="T128" i="5"/>
  <c r="AF217" i="4"/>
  <c r="J52" i="3"/>
  <c r="M112"/>
  <c r="J74"/>
  <c r="U84"/>
  <c r="O251"/>
  <c r="S61"/>
  <c r="E52"/>
  <c r="Y382"/>
  <c r="F11"/>
  <c r="K173"/>
  <c r="F166" i="4"/>
  <c r="G7" i="13"/>
  <c r="M281" i="5"/>
  <c r="H48" i="6"/>
  <c r="N152" i="5"/>
  <c r="G57"/>
  <c r="W324" i="3"/>
  <c r="M225" i="5"/>
  <c r="E408" i="3"/>
  <c r="D173" i="7"/>
  <c r="L361" i="6"/>
  <c r="G289"/>
  <c r="M340" i="5"/>
  <c r="D121" i="6"/>
  <c r="B369" i="4"/>
  <c r="G308"/>
  <c r="T130" i="6"/>
  <c r="T111"/>
  <c r="AF357" i="4"/>
  <c r="H91" i="23"/>
  <c r="I256" i="5"/>
  <c r="E51" i="6"/>
  <c r="N62" i="5"/>
  <c r="D166" i="20"/>
  <c r="I250" i="5"/>
  <c r="E45" i="6"/>
  <c r="N56" i="5"/>
  <c r="G293" i="17"/>
  <c r="H11" i="5"/>
  <c r="I72" i="4"/>
  <c r="A311" i="3"/>
  <c r="D257" i="6"/>
  <c r="AE247" i="4"/>
  <c r="S348" i="3"/>
  <c r="O168"/>
  <c r="H260" i="6"/>
  <c r="C248" i="4"/>
  <c r="A349" i="3"/>
  <c r="X168"/>
  <c r="D289" i="6"/>
  <c r="J252" i="4"/>
  <c r="U351" i="3"/>
  <c r="B172"/>
  <c r="H292" i="6"/>
  <c r="B253" i="4"/>
  <c r="C352" i="3"/>
  <c r="L172"/>
  <c r="L295" i="6"/>
  <c r="J253" i="4"/>
  <c r="K352" i="3"/>
  <c r="U172"/>
  <c r="H324" i="6"/>
  <c r="A258" i="4"/>
  <c r="E355" i="3"/>
  <c r="Y175"/>
  <c r="G117" i="5"/>
  <c r="W291" i="3"/>
  <c r="C314"/>
  <c r="C145"/>
  <c r="P9"/>
  <c r="G53"/>
  <c r="Q52"/>
  <c r="G83"/>
  <c r="N85"/>
  <c r="B276"/>
  <c r="H79" i="12"/>
  <c r="B384" i="5"/>
  <c r="L410"/>
  <c r="AF303" i="4"/>
  <c r="K236" i="5"/>
  <c r="B285" i="3"/>
  <c r="Q369" i="5"/>
  <c r="N347" i="3"/>
  <c r="F245" i="6"/>
  <c r="P412"/>
  <c r="S314"/>
  <c r="G247" i="4"/>
  <c r="H124" i="6"/>
  <c r="B373" i="4"/>
  <c r="G312"/>
  <c r="D134" i="6"/>
  <c r="D115"/>
  <c r="AE361" i="4"/>
  <c r="AJ300"/>
  <c r="M259" i="5"/>
  <c r="I54" i="6"/>
  <c r="R65" i="5"/>
  <c r="E250" i="23"/>
  <c r="M253" i="5"/>
  <c r="I48" i="6"/>
  <c r="R59" i="5"/>
  <c r="H314" i="17"/>
  <c r="L14" i="5"/>
  <c r="I76" i="4"/>
  <c r="I314" i="3"/>
  <c r="P282" i="6"/>
  <c r="D927" i="17"/>
  <c r="H27" i="13"/>
  <c r="G396" i="17"/>
  <c r="G28" i="24"/>
  <c r="G460" i="17"/>
  <c r="F306" i="6"/>
  <c r="H467" i="17"/>
  <c r="J309" i="6"/>
  <c r="I474" i="17"/>
  <c r="N312" i="6"/>
  <c r="G6" i="14"/>
  <c r="G248" i="12"/>
  <c r="N340" i="5"/>
  <c r="F322"/>
  <c r="B12" i="15"/>
  <c r="G256" i="12"/>
  <c r="R343" i="5"/>
  <c r="J325"/>
  <c r="E3" i="16"/>
  <c r="F8" i="13"/>
  <c r="B347" i="5"/>
  <c r="N328"/>
  <c r="E35" i="16"/>
  <c r="F16" i="13"/>
  <c r="F350" i="5"/>
  <c r="R331"/>
  <c r="E67" i="16"/>
  <c r="F24" i="13"/>
  <c r="J353" i="5"/>
  <c r="B335"/>
  <c r="F198" i="13"/>
  <c r="G224" i="12"/>
  <c r="A36" i="7"/>
  <c r="F261" i="17"/>
  <c r="A101"/>
  <c r="H76" i="16"/>
  <c r="A37" i="7"/>
  <c r="G63" i="13"/>
  <c r="N204" i="6"/>
  <c r="N19"/>
  <c r="C15" i="5"/>
  <c r="H135" i="12"/>
  <c r="J195" i="6"/>
  <c r="J10"/>
  <c r="AJ417" i="4"/>
  <c r="F147" i="17"/>
  <c r="F186" i="6"/>
  <c r="G414" i="5"/>
  <c r="AF406" i="4"/>
  <c r="E204" i="17"/>
  <c r="N186" i="6"/>
  <c r="G30" i="17"/>
  <c r="D5" i="16"/>
  <c r="C847" i="17"/>
  <c r="G227" i="13"/>
  <c r="H147" i="12"/>
  <c r="A274" i="7"/>
  <c r="F654" i="17"/>
  <c r="D412"/>
  <c r="H92" i="12"/>
  <c r="A219" i="7"/>
  <c r="H267" i="17"/>
  <c r="C107"/>
  <c r="H104" i="16"/>
  <c r="A44" i="7"/>
  <c r="G268" i="17"/>
  <c r="B108"/>
  <c r="H108" i="16"/>
  <c r="A45" i="7"/>
  <c r="G127" i="13"/>
  <c r="R207" i="6"/>
  <c r="R22"/>
  <c r="G18" i="5"/>
  <c r="H199" i="12"/>
  <c r="N198" i="6"/>
  <c r="N13"/>
  <c r="C9" i="5"/>
  <c r="E17" i="17"/>
  <c r="J189" i="6"/>
  <c r="K417" i="5"/>
  <c r="AF410" i="4"/>
  <c r="I45" i="17"/>
  <c r="R189" i="6"/>
  <c r="G34" i="9"/>
  <c r="A116" i="7"/>
  <c r="C47" i="5"/>
  <c r="O28"/>
  <c r="F11" i="6"/>
  <c r="O6" i="5"/>
  <c r="H400" i="17"/>
  <c r="B187" i="6"/>
  <c r="C415" i="5"/>
  <c r="AF407" i="4"/>
  <c r="C163" i="7"/>
  <c r="K312" i="5"/>
  <c r="O123" i="6"/>
  <c r="D103" i="5"/>
  <c r="M369" i="6"/>
  <c r="K306" i="5"/>
  <c r="O117" i="6"/>
  <c r="D97" i="5"/>
  <c r="A136"/>
  <c r="E229" i="4"/>
  <c r="T200" i="3"/>
  <c r="B362"/>
  <c r="AG379" i="4"/>
  <c r="I51"/>
  <c r="G275" i="3"/>
  <c r="T214"/>
  <c r="E380" i="4"/>
  <c r="A52"/>
  <c r="Q275" i="3"/>
  <c r="D215"/>
  <c r="AF384" i="4"/>
  <c r="I56"/>
  <c r="I279" i="3"/>
  <c r="V218"/>
  <c r="D385" i="4"/>
  <c r="A57"/>
  <c r="S279" i="3"/>
  <c r="H219"/>
  <c r="AE385" i="4"/>
  <c r="I57"/>
  <c r="E280" i="3"/>
  <c r="R219"/>
  <c r="B390" i="4"/>
  <c r="AI61"/>
  <c r="W283" i="3"/>
  <c r="J223"/>
  <c r="A98"/>
  <c r="C60" i="4"/>
  <c r="E290" i="3"/>
  <c r="I306"/>
  <c r="F92"/>
  <c r="R281"/>
  <c r="I46" i="4"/>
  <c r="S37" i="3"/>
  <c r="C66"/>
  <c r="H228" i="7"/>
  <c r="AG392" i="4"/>
  <c r="D102" i="20"/>
  <c r="M397" i="5"/>
  <c r="N375" i="3"/>
  <c r="N9" i="6"/>
  <c r="E327" i="3"/>
  <c r="M45" i="6"/>
  <c r="M271" i="3"/>
  <c r="F503" i="17"/>
  <c r="I348"/>
  <c r="K363" i="6"/>
  <c r="N292"/>
  <c r="O167"/>
  <c r="D147" i="5"/>
  <c r="B292" i="6"/>
  <c r="G347" i="5"/>
  <c r="K158" i="6"/>
  <c r="T137" i="5"/>
  <c r="K275" i="6"/>
  <c r="K55"/>
  <c r="H284" i="5"/>
  <c r="M404"/>
  <c r="K269" i="6"/>
  <c r="K49"/>
  <c r="H278" i="5"/>
  <c r="M356"/>
  <c r="M392"/>
  <c r="C153" i="4"/>
  <c r="D168" i="3"/>
  <c r="H116"/>
  <c r="S114" i="5"/>
  <c r="E212" i="4"/>
  <c r="F408" i="3"/>
  <c r="H304"/>
  <c r="G115" i="5"/>
  <c r="AF212" i="4"/>
  <c r="P408" i="3"/>
  <c r="R304"/>
  <c r="S118" i="5"/>
  <c r="B217" i="4"/>
  <c r="H412" i="3"/>
  <c r="J308"/>
  <c r="G119" i="5"/>
  <c r="J217" i="4"/>
  <c r="R412" i="3"/>
  <c r="V308"/>
  <c r="O119" i="5"/>
  <c r="B218" i="4"/>
  <c r="D413" i="3"/>
  <c r="F309"/>
  <c r="G123" i="5"/>
  <c r="J222" i="4"/>
  <c r="V416" i="3"/>
  <c r="X312"/>
  <c r="Y336"/>
  <c r="B327"/>
  <c r="H148" i="4"/>
  <c r="R32" i="3"/>
  <c r="U285"/>
  <c r="R94"/>
  <c r="N269"/>
  <c r="G85" i="5"/>
  <c r="K275" i="3"/>
  <c r="F40" i="17"/>
  <c r="L89" i="5"/>
  <c r="E157"/>
  <c r="Q374" i="6"/>
  <c r="G198" i="3"/>
  <c r="N194" i="6"/>
  <c r="K248" i="3"/>
  <c r="Q250" i="5"/>
  <c r="Y369" i="3"/>
  <c r="G581" i="17"/>
  <c r="H405"/>
  <c r="F388" i="6"/>
  <c r="Q301"/>
  <c r="S170"/>
  <c r="H150" i="5"/>
  <c r="N317" i="6"/>
  <c r="K350" i="5"/>
  <c r="O161" i="6"/>
  <c r="D141" i="5"/>
  <c r="O278" i="6"/>
  <c r="O58"/>
  <c r="L287" i="5"/>
  <c r="J229" i="4"/>
  <c r="O272" i="6"/>
  <c r="O52"/>
  <c r="L281" i="5"/>
  <c r="E382"/>
  <c r="A249" i="4"/>
  <c r="B157"/>
  <c r="Y170" i="3"/>
  <c r="C119"/>
  <c r="F80" i="20"/>
  <c r="D830" i="17"/>
  <c r="E664"/>
  <c r="D238"/>
  <c r="I968"/>
  <c r="A2" i="16"/>
  <c r="G987" i="17"/>
  <c r="A10" i="16"/>
  <c r="F74" i="23"/>
  <c r="A18" i="16"/>
  <c r="A191" i="12"/>
  <c r="C408" i="6"/>
  <c r="E5" i="9"/>
  <c r="G176" i="6"/>
  <c r="A279" i="7"/>
  <c r="A137"/>
  <c r="C410" i="17"/>
  <c r="I47"/>
  <c r="A120" i="12"/>
  <c r="R328" i="6"/>
  <c r="D361" i="17"/>
  <c r="G111" i="16"/>
  <c r="E40" i="12"/>
  <c r="R306" i="6"/>
  <c r="C760" i="17"/>
  <c r="F241"/>
  <c r="A43" i="12"/>
  <c r="C288" i="7"/>
  <c r="H763" i="17"/>
  <c r="A254"/>
  <c r="B44" i="12"/>
  <c r="B291" i="7"/>
  <c r="B207"/>
  <c r="K197" i="6"/>
  <c r="S12"/>
  <c r="AH400" i="4"/>
  <c r="D145" i="7"/>
  <c r="G188" i="6"/>
  <c r="D417" i="5"/>
  <c r="H389" i="4"/>
  <c r="C84" i="7"/>
  <c r="C179" i="6"/>
  <c r="T407" i="5"/>
  <c r="E378" i="4"/>
  <c r="B87" i="7"/>
  <c r="K179" i="6"/>
  <c r="G31" i="9"/>
  <c r="A201" i="7"/>
  <c r="D417" i="17"/>
  <c r="A55"/>
  <c r="A149" i="12"/>
  <c r="B332" i="6"/>
  <c r="E368" i="17"/>
  <c r="B6"/>
  <c r="G49" i="12"/>
  <c r="B310" i="6"/>
  <c r="G788" i="17"/>
  <c r="D711"/>
  <c r="B52" i="12"/>
  <c r="B2" i="9"/>
  <c r="C792" i="17"/>
  <c r="H739"/>
  <c r="C53" i="12"/>
  <c r="B10" i="9"/>
  <c r="C228" i="7"/>
  <c r="O200" i="6"/>
  <c r="C16"/>
  <c r="AG404" i="4"/>
  <c r="B167" i="7"/>
  <c r="K191" i="6"/>
  <c r="S6"/>
  <c r="H393" i="4"/>
  <c r="D105" i="7"/>
  <c r="G182" i="6"/>
  <c r="D411" i="5"/>
  <c r="C382" i="4"/>
  <c r="C108" i="7"/>
  <c r="O182" i="6"/>
  <c r="B37" i="7"/>
  <c r="E335" i="6"/>
  <c r="F367" i="17"/>
  <c r="C5"/>
  <c r="E48" i="12"/>
  <c r="N309" i="6"/>
  <c r="G318" i="17"/>
  <c r="G63" i="16"/>
  <c r="E11" i="10"/>
  <c r="N287" i="6"/>
  <c r="F589" i="17"/>
  <c r="E97" i="16"/>
  <c r="C92" i="24"/>
  <c r="B15"/>
  <c r="B49" i="20"/>
  <c r="B23" i="24"/>
  <c r="B113" i="20"/>
  <c r="B31" i="24"/>
  <c r="B177" i="20"/>
  <c r="C230" i="23"/>
  <c r="B945" i="17"/>
  <c r="C238" i="23"/>
  <c r="E964" i="17"/>
  <c r="C230" i="13"/>
  <c r="F77"/>
  <c r="C102" i="17"/>
  <c r="F149" i="13"/>
  <c r="B159" i="17"/>
  <c r="A388"/>
  <c r="G25"/>
  <c r="A80" i="12"/>
  <c r="R318" i="6"/>
  <c r="H179" i="23"/>
  <c r="F665" i="17"/>
  <c r="E108" i="20"/>
  <c r="F26" i="23"/>
  <c r="H652" i="17"/>
  <c r="G217"/>
  <c r="B168" i="12"/>
  <c r="B120" i="7"/>
  <c r="D656" i="17"/>
  <c r="I218"/>
  <c r="B172" i="12"/>
  <c r="D122" i="7"/>
  <c r="A452" i="17"/>
  <c r="G89"/>
  <c r="H90" i="13"/>
  <c r="N347" i="6"/>
  <c r="H266" i="17"/>
  <c r="G971"/>
  <c r="E180" i="20"/>
  <c r="I607" i="17"/>
  <c r="H908"/>
  <c r="C549"/>
  <c r="A24" i="12"/>
  <c r="B17" i="9"/>
  <c r="D912" i="17"/>
  <c r="F565"/>
  <c r="A25" i="12"/>
  <c r="B25" i="9"/>
  <c r="A516" i="17"/>
  <c r="G153"/>
  <c r="B38" i="12"/>
  <c r="O396" i="6"/>
  <c r="G323" i="17"/>
  <c r="E990"/>
  <c r="E188" i="20"/>
  <c r="A615" i="17"/>
  <c r="F956"/>
  <c r="G764"/>
  <c r="A32" i="12"/>
  <c r="A232" i="6"/>
  <c r="C966" i="17"/>
  <c r="B793"/>
  <c r="A33" i="12"/>
  <c r="I232" i="6"/>
  <c r="B523" i="17"/>
  <c r="H160"/>
  <c r="C47" i="12"/>
  <c r="C403" i="6"/>
  <c r="F380" i="17"/>
  <c r="F50" i="23"/>
  <c r="E196" i="20"/>
  <c r="B622" i="17"/>
  <c r="B31" i="20"/>
  <c r="A209" i="13"/>
  <c r="C40" i="12"/>
  <c r="E235" i="6"/>
  <c r="B63" i="20"/>
  <c r="A210" i="13"/>
  <c r="D41" i="12"/>
  <c r="M235" i="6"/>
  <c r="C530" i="17"/>
  <c r="I167"/>
  <c r="D56" i="12"/>
  <c r="K409" i="6"/>
  <c r="H88" i="7"/>
  <c r="A395" i="6"/>
  <c r="H445" i="17"/>
  <c r="E83"/>
  <c r="H34" i="13"/>
  <c r="R344" i="6"/>
  <c r="I396" i="17"/>
  <c r="F34"/>
  <c r="A96" i="12"/>
  <c r="R322" i="6"/>
  <c r="E902" i="17"/>
  <c r="H6" i="15"/>
  <c r="D99" i="12"/>
  <c r="R252" i="6"/>
  <c r="A906" i="17"/>
  <c r="H7" i="15"/>
  <c r="A101" i="12"/>
  <c r="F253" i="6"/>
  <c r="F230"/>
  <c r="K213"/>
  <c r="S28"/>
  <c r="H8" i="5"/>
  <c r="C252" i="7"/>
  <c r="G204" i="6"/>
  <c r="O19"/>
  <c r="E409" i="4"/>
  <c r="B191" i="7"/>
  <c r="C195" i="6"/>
  <c r="K10"/>
  <c r="AI397" i="4"/>
  <c r="D193" i="7"/>
  <c r="K195" i="6"/>
  <c r="H152" i="7"/>
  <c r="H10"/>
  <c r="I452" i="17"/>
  <c r="F90"/>
  <c r="H98" i="13"/>
  <c r="B348" i="6"/>
  <c r="A404" i="17"/>
  <c r="G41"/>
  <c r="G108" i="12"/>
  <c r="B326" i="6"/>
  <c r="G939" i="17"/>
  <c r="H14" i="15"/>
  <c r="B112" i="12"/>
  <c r="B256" i="6"/>
  <c r="D949" i="17"/>
  <c r="H15" i="15"/>
  <c r="G113" i="12"/>
  <c r="J256" i="6"/>
  <c r="N234"/>
  <c r="O216"/>
  <c r="C32"/>
  <c r="L11" i="5"/>
  <c r="D273" i="7"/>
  <c r="K207" i="6"/>
  <c r="S22"/>
  <c r="C413" i="4"/>
  <c r="C212" i="7"/>
  <c r="G198" i="6"/>
  <c r="O13"/>
  <c r="AH401" i="4"/>
  <c r="B215" i="7"/>
  <c r="O198" i="6"/>
  <c r="H216" i="7"/>
  <c r="H74"/>
  <c r="A460" i="17"/>
  <c r="G97"/>
  <c r="H162" i="13"/>
  <c r="F351" i="6"/>
  <c r="B411" i="17"/>
  <c r="H48"/>
  <c r="A122" i="12"/>
  <c r="F329" i="6"/>
  <c r="C6" i="19"/>
  <c r="H22" i="15"/>
  <c r="B129" i="12"/>
  <c r="F259" i="6"/>
  <c r="B6" i="20"/>
  <c r="H23" i="15"/>
  <c r="B133" i="12"/>
  <c r="N259" i="6"/>
  <c r="B239"/>
  <c r="S219"/>
  <c r="G35"/>
  <c r="P14" i="5"/>
  <c r="C6" i="8"/>
  <c r="O210" i="6"/>
  <c r="C26"/>
  <c r="B417" i="4"/>
  <c r="D233" i="7"/>
  <c r="K201" i="6"/>
  <c r="S16"/>
  <c r="AG405" i="4"/>
  <c r="C236" i="7"/>
  <c r="S201" i="6"/>
  <c r="H280" i="7"/>
  <c r="H138"/>
  <c r="B467" i="17"/>
  <c r="H104"/>
  <c r="D2" i="10"/>
  <c r="J354" i="6"/>
  <c r="C418" i="17"/>
  <c r="I55"/>
  <c r="A153" i="12"/>
  <c r="J332" i="6"/>
  <c r="B230" i="20"/>
  <c r="H30" i="15"/>
  <c r="B161" i="12"/>
  <c r="J262" i="6"/>
  <c r="B262" i="20"/>
  <c r="H1" i="16"/>
  <c r="B165" i="12"/>
  <c r="R262" i="6"/>
  <c r="B243"/>
  <c r="C223"/>
  <c r="K38"/>
  <c r="T17" i="5"/>
  <c r="N230" i="6"/>
  <c r="S213"/>
  <c r="G29"/>
  <c r="P8" i="5"/>
  <c r="B255" i="7"/>
  <c r="O204" i="6"/>
  <c r="C20"/>
  <c r="AG409" i="4"/>
  <c r="D257" i="7"/>
  <c r="C205" i="6"/>
  <c r="F32" i="9"/>
  <c r="H202" i="7"/>
  <c r="C474" i="17"/>
  <c r="I111"/>
  <c r="D10" i="10"/>
  <c r="C359" i="6"/>
  <c r="D425" i="17"/>
  <c r="A63"/>
  <c r="A185" i="12"/>
  <c r="N335" i="6"/>
  <c r="H269" i="17"/>
  <c r="G8" i="16"/>
  <c r="B193" i="12"/>
  <c r="N265" i="6"/>
  <c r="G270" i="17"/>
  <c r="G9" i="16"/>
  <c r="B197" i="12"/>
  <c r="B266" i="6"/>
  <c r="J247"/>
  <c r="G226"/>
  <c r="O41"/>
  <c r="D21" i="5"/>
  <c r="B235" i="6"/>
  <c r="C217"/>
  <c r="K32"/>
  <c r="T11" i="5"/>
  <c r="C276" i="7"/>
  <c r="S207" i="6"/>
  <c r="G23"/>
  <c r="AD413" i="4"/>
  <c r="B279" i="7"/>
  <c r="G208" i="6"/>
  <c r="A375"/>
  <c r="A265" i="7"/>
  <c r="E424" i="17"/>
  <c r="B62"/>
  <c r="A181" i="12"/>
  <c r="F335" i="6"/>
  <c r="F375" i="17"/>
  <c r="C13"/>
  <c r="H58" i="12"/>
  <c r="F313" i="6"/>
  <c r="B817" i="17"/>
  <c r="A961"/>
  <c r="C59" i="25"/>
  <c r="G44" i="23"/>
  <c r="B56" i="20"/>
  <c r="G52" i="23"/>
  <c r="B120" i="20"/>
  <c r="G108" i="23"/>
  <c r="B184" i="20"/>
  <c r="G96" i="24"/>
  <c r="F947" i="17"/>
  <c r="B196" i="24"/>
  <c r="D966" i="17"/>
  <c r="E196" i="13"/>
  <c r="E54"/>
  <c r="I8" i="17"/>
  <c r="E126" i="13"/>
  <c r="D37" i="17"/>
  <c r="I444"/>
  <c r="F82"/>
  <c r="H26" i="13"/>
  <c r="J344" i="6"/>
  <c r="E847" i="17"/>
  <c r="B893"/>
  <c r="E172" i="20"/>
  <c r="H600" i="17"/>
  <c r="D880"/>
  <c r="D492"/>
  <c r="A16" i="12"/>
  <c r="D290" i="7"/>
  <c r="I883" i="17"/>
  <c r="E499"/>
  <c r="A17" i="12"/>
  <c r="C1" i="8"/>
  <c r="I508" i="17"/>
  <c r="F146"/>
  <c r="B30" i="12"/>
  <c r="G390" i="6"/>
  <c r="F267" i="17"/>
  <c r="D714"/>
  <c r="E244" i="20"/>
  <c r="H664" i="17"/>
  <c r="H244"/>
  <c r="G10" i="15"/>
  <c r="D108" i="12"/>
  <c r="I254" i="6"/>
  <c r="G245" i="17"/>
  <c r="G11" i="15"/>
  <c r="A110" i="12"/>
  <c r="Q254" i="6"/>
  <c r="E631" i="17"/>
  <c r="F210"/>
  <c r="B144" i="12"/>
  <c r="B104" i="7"/>
  <c r="E324" i="17"/>
  <c r="E721"/>
  <c r="E252" i="20"/>
  <c r="I671" i="17"/>
  <c r="I251"/>
  <c r="G18" i="15"/>
  <c r="B121" i="12"/>
  <c r="M257" i="6"/>
  <c r="H252" i="17"/>
  <c r="G19" i="15"/>
  <c r="A124" i="12"/>
  <c r="A258" i="6"/>
  <c r="I659" i="17"/>
  <c r="B220"/>
  <c r="B176" i="12"/>
  <c r="C125" i="7"/>
  <c r="D381" i="17"/>
  <c r="C771"/>
  <c r="E260" i="20"/>
  <c r="A679" i="17"/>
  <c r="A259"/>
  <c r="G26" i="15"/>
  <c r="A152" i="12"/>
  <c r="Q260" i="6"/>
  <c r="I259" i="17"/>
  <c r="G27" i="15"/>
  <c r="A156" i="12"/>
  <c r="E261" i="6"/>
  <c r="D688" i="17"/>
  <c r="F229"/>
  <c r="B208" i="12"/>
  <c r="D146" i="7"/>
  <c r="G87"/>
  <c r="T394" i="6"/>
  <c r="G502" i="17"/>
  <c r="D140"/>
  <c r="B23" i="12"/>
  <c r="O384" i="6"/>
  <c r="H453" i="17"/>
  <c r="E91"/>
  <c r="H106" i="13"/>
  <c r="J348" i="6"/>
  <c r="C298" i="17"/>
  <c r="G40" i="16"/>
  <c r="H123" i="13"/>
  <c r="J278" i="6"/>
  <c r="B299" i="17"/>
  <c r="G41" i="16"/>
  <c r="H131" i="13"/>
  <c r="R278" i="6"/>
  <c r="J277"/>
  <c r="G243" i="5"/>
  <c r="K54" i="6"/>
  <c r="T33" i="5"/>
  <c r="F254" i="6"/>
  <c r="S229"/>
  <c r="G45"/>
  <c r="P24" i="5"/>
  <c r="R239" i="6"/>
  <c r="O220"/>
  <c r="C36"/>
  <c r="L15" i="5"/>
  <c r="F240" i="6"/>
  <c r="C221"/>
  <c r="G151" i="7"/>
  <c r="G9"/>
  <c r="H509" i="17"/>
  <c r="E147"/>
  <c r="B31" i="12"/>
  <c r="C391" i="6"/>
  <c r="I460" i="17"/>
  <c r="F98"/>
  <c r="H170" i="13"/>
  <c r="N351" i="6"/>
  <c r="D305" i="17"/>
  <c r="G48" i="16"/>
  <c r="H187" i="13"/>
  <c r="N281" i="6"/>
  <c r="C306" i="17"/>
  <c r="G49" i="16"/>
  <c r="H195" i="13"/>
  <c r="B282" i="6"/>
  <c r="F288"/>
  <c r="K246" i="5"/>
  <c r="O57" i="6"/>
  <c r="D37" i="5"/>
  <c r="J261" i="6"/>
  <c r="G237" i="5"/>
  <c r="K48" i="6"/>
  <c r="T27" i="5"/>
  <c r="F244" i="6"/>
  <c r="S223"/>
  <c r="G39"/>
  <c r="P18" i="5"/>
  <c r="N244" i="6"/>
  <c r="G224"/>
  <c r="G215" i="7"/>
  <c r="G73"/>
  <c r="I516" i="17"/>
  <c r="F154"/>
  <c r="C39" i="12"/>
  <c r="K397" i="6"/>
  <c r="A468" i="17"/>
  <c r="G105"/>
  <c r="D3" i="10"/>
  <c r="R354" i="6"/>
  <c r="E312" i="17"/>
  <c r="G56" i="16"/>
  <c r="E4" i="10"/>
  <c r="R284" i="6"/>
  <c r="D313" i="17"/>
  <c r="G57" i="16"/>
  <c r="E5" i="10"/>
  <c r="F285" i="6"/>
  <c r="J305"/>
  <c r="O249" i="5"/>
  <c r="S60" i="6"/>
  <c r="H40" i="5"/>
  <c r="F270" i="6"/>
  <c r="K240" i="5"/>
  <c r="O51" i="6"/>
  <c r="D31" i="5"/>
  <c r="N248" i="6"/>
  <c r="C227"/>
  <c r="K42"/>
  <c r="T21" i="5"/>
  <c r="B249" i="6"/>
  <c r="K227"/>
  <c r="G279" i="7"/>
  <c r="G137"/>
  <c r="A524" i="17"/>
  <c r="G161"/>
  <c r="D48" i="12"/>
  <c r="S403" i="6"/>
  <c r="B475" i="17"/>
  <c r="H112"/>
  <c r="D11" i="10"/>
  <c r="S359" i="6"/>
  <c r="F319" i="17"/>
  <c r="G64" i="16"/>
  <c r="E12" i="10"/>
  <c r="B288" i="6"/>
  <c r="E320" i="17"/>
  <c r="G65" i="16"/>
  <c r="E13" i="10"/>
  <c r="J288" i="6"/>
  <c r="B331"/>
  <c r="S252" i="5"/>
  <c r="C64" i="6"/>
  <c r="L43" i="5"/>
  <c r="N278" i="6"/>
  <c r="O243" i="5"/>
  <c r="S54" i="6"/>
  <c r="H34" i="5"/>
  <c r="B255" i="6"/>
  <c r="A231"/>
  <c r="O45"/>
  <c r="D25" i="5"/>
  <c r="J255" i="6"/>
  <c r="M232"/>
  <c r="E31" i="9"/>
  <c r="G201" i="7"/>
  <c r="B531" i="17"/>
  <c r="H168"/>
  <c r="E57" i="12"/>
  <c r="G410" i="6"/>
  <c r="C482" i="17"/>
  <c r="I119"/>
  <c r="C5" i="11"/>
  <c r="G366" i="6"/>
  <c r="G326" i="17"/>
  <c r="G72" i="16"/>
  <c r="D1" i="12"/>
  <c r="F291" i="6"/>
  <c r="F327" i="17"/>
  <c r="G73" i="16"/>
  <c r="C2" i="12"/>
  <c r="N291" i="6"/>
  <c r="C357"/>
  <c r="C256" i="5"/>
  <c r="G67" i="6"/>
  <c r="P46" i="5"/>
  <c r="J289" i="6"/>
  <c r="S246" i="5"/>
  <c r="C58" i="6"/>
  <c r="L37" i="5"/>
  <c r="N262" i="6"/>
  <c r="O237" i="5"/>
  <c r="S48" i="6"/>
  <c r="H28" i="5"/>
  <c r="R263" i="6"/>
  <c r="C238" i="5"/>
  <c r="T374" i="6"/>
  <c r="H266" i="7"/>
  <c r="D481" i="17"/>
  <c r="A119"/>
  <c r="C4" i="11"/>
  <c r="K365" i="6"/>
  <c r="E432" i="17"/>
  <c r="B70"/>
  <c r="A217" i="12"/>
  <c r="R338" i="6"/>
  <c r="I276" i="17"/>
  <c r="G16" i="16"/>
  <c r="C71" i="25"/>
  <c r="D141" i="23"/>
  <c r="H62" i="20"/>
  <c r="D149" i="23"/>
  <c r="H70" i="20"/>
  <c r="D205" i="23"/>
  <c r="H78" i="20"/>
  <c r="G53" i="25"/>
  <c r="H22" i="20"/>
  <c r="D13" i="23"/>
  <c r="H30" i="20"/>
  <c r="E74" i="16"/>
  <c r="D114" i="13"/>
  <c r="D135" i="12"/>
  <c r="D186" i="13"/>
  <c r="D143" i="12"/>
  <c r="H501" i="17"/>
  <c r="E139"/>
  <c r="B22" i="12"/>
  <c r="S383" i="6"/>
  <c r="G210" i="17"/>
  <c r="F664"/>
  <c r="E236" i="20"/>
  <c r="G657" i="17"/>
  <c r="G237"/>
  <c r="G2" i="15"/>
  <c r="E95" i="12"/>
  <c r="E251" i="6"/>
  <c r="F238" i="17"/>
  <c r="G3" i="15"/>
  <c r="B97" i="12"/>
  <c r="M251" i="6"/>
  <c r="A603" i="17"/>
  <c r="E203"/>
  <c r="B118" i="12"/>
  <c r="D82" i="7"/>
  <c r="B600" i="17"/>
  <c r="A969"/>
  <c r="B24" i="23"/>
  <c r="G721" i="17"/>
  <c r="G301"/>
  <c r="F44" i="16"/>
  <c r="H176" i="13"/>
  <c r="A280" i="6"/>
  <c r="F302" i="17"/>
  <c r="F45" i="16"/>
  <c r="H184" i="13"/>
  <c r="I280" i="6"/>
  <c r="A859" i="17"/>
  <c r="G449"/>
  <c r="A10" i="12"/>
  <c r="D274" i="7"/>
  <c r="A657" i="17"/>
  <c r="H987"/>
  <c r="B56" i="23"/>
  <c r="H728" i="17"/>
  <c r="H308"/>
  <c r="F52" i="16"/>
  <c r="A3" i="11"/>
  <c r="E283" i="6"/>
  <c r="G309" i="17"/>
  <c r="F53" i="16"/>
  <c r="A4" i="11"/>
  <c r="M283" i="6"/>
  <c r="E887" i="17"/>
  <c r="F506"/>
  <c r="A18" i="12"/>
  <c r="B4" i="8"/>
  <c r="I713" i="17"/>
  <c r="F78" i="23"/>
  <c r="B88"/>
  <c r="I735" i="17"/>
  <c r="I315"/>
  <c r="F60" i="16"/>
  <c r="H6" i="12"/>
  <c r="I286" i="6"/>
  <c r="H316" i="17"/>
  <c r="F61" i="16"/>
  <c r="H7" i="12"/>
  <c r="Q286" i="6"/>
  <c r="I915" i="17"/>
  <c r="A594"/>
  <c r="A26" i="12"/>
  <c r="B33" i="9"/>
  <c r="F86" i="7"/>
  <c r="K394" i="6"/>
  <c r="B578" i="17"/>
  <c r="C197"/>
  <c r="A107" i="12"/>
  <c r="B64" i="7"/>
  <c r="G510" i="17"/>
  <c r="D148"/>
  <c r="B32" i="12"/>
  <c r="S391" i="6"/>
  <c r="B355" i="17"/>
  <c r="G104" i="16"/>
  <c r="C33" i="12"/>
  <c r="B304" i="6"/>
  <c r="A356" i="17"/>
  <c r="G105" i="16"/>
  <c r="C34" i="12"/>
  <c r="J304" i="6"/>
  <c r="M266"/>
  <c r="S268" i="5"/>
  <c r="C80" i="6"/>
  <c r="L59" i="5"/>
  <c r="O414" i="6"/>
  <c r="O259" i="5"/>
  <c r="S70" i="6"/>
  <c r="H50" i="5"/>
  <c r="R311" i="6"/>
  <c r="K250" i="5"/>
  <c r="O61" i="6"/>
  <c r="D41" i="5"/>
  <c r="B315" i="6"/>
  <c r="S250" i="5"/>
  <c r="F150" i="7"/>
  <c r="F8"/>
  <c r="F606" i="17"/>
  <c r="D204"/>
  <c r="G119" i="12"/>
  <c r="C85" i="7"/>
  <c r="H517" i="17"/>
  <c r="E155"/>
  <c r="D40" i="12"/>
  <c r="G398" i="6"/>
  <c r="C362" i="17"/>
  <c r="G112" i="16"/>
  <c r="G41" i="12"/>
  <c r="F307" i="6"/>
  <c r="B363" i="17"/>
  <c r="G113" i="16"/>
  <c r="H42" i="12"/>
  <c r="N307" i="6"/>
  <c r="E292"/>
  <c r="C272" i="5"/>
  <c r="G83" i="6"/>
  <c r="P62" i="5"/>
  <c r="B164" i="7"/>
  <c r="S262" i="5"/>
  <c r="C74" i="6"/>
  <c r="L53" i="5"/>
  <c r="J337" i="6"/>
  <c r="O253" i="5"/>
  <c r="S64" i="6"/>
  <c r="H44" i="5"/>
  <c r="N340" i="6"/>
  <c r="C254" i="5"/>
  <c r="F214" i="7"/>
  <c r="F72"/>
  <c r="A635" i="17"/>
  <c r="H211"/>
  <c r="B148" i="12"/>
  <c r="D106" i="7"/>
  <c r="I524" i="17"/>
  <c r="F162"/>
  <c r="E49" i="12"/>
  <c r="O404" i="6"/>
  <c r="D369" i="17"/>
  <c r="A7"/>
  <c r="H50" i="12"/>
  <c r="J310" i="6"/>
  <c r="C370" i="17"/>
  <c r="I7"/>
  <c r="A52" i="12"/>
  <c r="R310" i="6"/>
  <c r="Q317"/>
  <c r="G275" i="5"/>
  <c r="K86" i="6"/>
  <c r="T65" i="5"/>
  <c r="E244" i="6"/>
  <c r="C266" i="5"/>
  <c r="G77" i="6"/>
  <c r="P56" i="5"/>
  <c r="S369" i="6"/>
  <c r="S256" i="5"/>
  <c r="C68" i="6"/>
  <c r="L47" i="5"/>
  <c r="G376" i="6"/>
  <c r="G257" i="5"/>
  <c r="F278" i="7"/>
  <c r="F136"/>
  <c r="E663" i="17"/>
  <c r="C221"/>
  <c r="B180" i="12"/>
  <c r="B128" i="7"/>
  <c r="A532" i="17"/>
  <c r="G169"/>
  <c r="G58" i="12"/>
  <c r="C411" i="6"/>
  <c r="E376" i="17"/>
  <c r="B14"/>
  <c r="A60" i="12"/>
  <c r="N313" i="6"/>
  <c r="D377" i="17"/>
  <c r="A15"/>
  <c r="B61" i="12"/>
  <c r="B314" i="6"/>
  <c r="I343"/>
  <c r="K278" i="5"/>
  <c r="O89" i="6"/>
  <c r="D69" i="5"/>
  <c r="Q269" i="6"/>
  <c r="G269" i="5"/>
  <c r="K80" i="6"/>
  <c r="T59" i="5"/>
  <c r="D14" i="7"/>
  <c r="C260" i="5"/>
  <c r="G71" i="6"/>
  <c r="P50" i="5"/>
  <c r="B36" i="7"/>
  <c r="K260" i="5"/>
  <c r="D30" i="9"/>
  <c r="F200" i="7"/>
  <c r="I691" i="17"/>
  <c r="H230"/>
  <c r="B212" i="12"/>
  <c r="C149" i="7"/>
  <c r="B539" i="17"/>
  <c r="H176"/>
  <c r="B70" i="12"/>
  <c r="D2" i="7"/>
  <c r="F383" i="17"/>
  <c r="C21"/>
  <c r="A72" i="12"/>
  <c r="R316" i="6"/>
  <c r="E384" i="17"/>
  <c r="B22"/>
  <c r="E73" i="12"/>
  <c r="F317" i="6"/>
  <c r="R381"/>
  <c r="O281" i="5"/>
  <c r="S92" i="6"/>
  <c r="H72" i="5"/>
  <c r="I295" i="6"/>
  <c r="K272" i="5"/>
  <c r="O83" i="6"/>
  <c r="D63" i="5"/>
  <c r="C185" i="7"/>
  <c r="G263" i="5"/>
  <c r="K74" i="6"/>
  <c r="T53" i="5"/>
  <c r="D206" i="7"/>
  <c r="O263" i="5"/>
  <c r="K374" i="6"/>
  <c r="G265" i="7"/>
  <c r="C538" i="17"/>
  <c r="I175"/>
  <c r="E68" i="12"/>
  <c r="O416" i="6"/>
  <c r="D489" i="17"/>
  <c r="A127"/>
  <c r="B8" i="12"/>
  <c r="O372" i="6"/>
  <c r="H333" i="17"/>
  <c r="G80" i="16"/>
  <c r="C115" i="25"/>
  <c r="G43" i="23"/>
  <c r="G66" i="20"/>
  <c r="G51" i="23"/>
  <c r="G74" i="20"/>
  <c r="G107" i="23"/>
  <c r="G82" i="20"/>
  <c r="G95" i="24"/>
  <c r="G26" i="20"/>
  <c r="B194" i="24"/>
  <c r="G34" i="20"/>
  <c r="C64" i="12"/>
  <c r="C177" i="13"/>
  <c r="C136" i="12"/>
  <c r="H49" i="16"/>
  <c r="C144" i="12"/>
  <c r="F574" i="17"/>
  <c r="D196"/>
  <c r="D105" i="12"/>
  <c r="C61" i="7"/>
  <c r="C14" i="22"/>
  <c r="B892" i="17"/>
  <c r="B10" i="22"/>
  <c r="F714" i="17"/>
  <c r="F294"/>
  <c r="F36" i="16"/>
  <c r="H112" i="13"/>
  <c r="Q276" i="6"/>
  <c r="E295" i="17"/>
  <c r="F37" i="16"/>
  <c r="H120" i="13"/>
  <c r="E277" i="6"/>
  <c r="F830" i="17"/>
  <c r="H392"/>
  <c r="A2" i="12"/>
  <c r="C253" i="7"/>
  <c r="H601" i="17"/>
  <c r="B715"/>
  <c r="E43" i="24"/>
  <c r="F778" i="17"/>
  <c r="F358"/>
  <c r="F108" i="16"/>
  <c r="C57" i="12"/>
  <c r="M305" i="6"/>
  <c r="E359" i="17"/>
  <c r="F109" i="16"/>
  <c r="D58" i="12"/>
  <c r="A306" i="6"/>
  <c r="D232" i="17"/>
  <c r="H12" i="14"/>
  <c r="A86" i="12"/>
  <c r="Q248" i="6"/>
  <c r="G658" i="17"/>
  <c r="C722"/>
  <c r="E107" i="24"/>
  <c r="G785" i="17"/>
  <c r="G365"/>
  <c r="D3"/>
  <c r="B68" i="12"/>
  <c r="Q308" i="6"/>
  <c r="F366" i="17"/>
  <c r="C4"/>
  <c r="G69" i="12"/>
  <c r="E309" i="6"/>
  <c r="E239" i="17"/>
  <c r="G4" i="15"/>
  <c r="G98" i="12"/>
  <c r="A252" i="6"/>
  <c r="F715" i="17"/>
  <c r="A772"/>
  <c r="H5" i="25"/>
  <c r="H792" i="17"/>
  <c r="H372"/>
  <c r="E10"/>
  <c r="A81" i="12"/>
  <c r="A312" i="6"/>
  <c r="G373" i="17"/>
  <c r="D11"/>
  <c r="E82" i="12"/>
  <c r="I312" i="6"/>
  <c r="F246" i="17"/>
  <c r="G12" i="15"/>
  <c r="E111" i="12"/>
  <c r="E255" i="6"/>
  <c r="E85" i="7"/>
  <c r="B394" i="6"/>
  <c r="G805" i="17"/>
  <c r="A343"/>
  <c r="H169" i="13"/>
  <c r="D234" i="7"/>
  <c r="B610" i="17"/>
  <c r="C205"/>
  <c r="D121" i="12"/>
  <c r="B88" i="7"/>
  <c r="A412" i="17"/>
  <c r="G49"/>
  <c r="A125" i="12"/>
  <c r="N329" i="6"/>
  <c r="I412" i="17"/>
  <c r="F50"/>
  <c r="A129" i="12"/>
  <c r="B330" i="6"/>
  <c r="T266"/>
  <c r="K294" i="5"/>
  <c r="O105" i="6"/>
  <c r="D85" i="5"/>
  <c r="D75" i="7"/>
  <c r="G285" i="5"/>
  <c r="K96" i="6"/>
  <c r="T75" i="5"/>
  <c r="E324" i="6"/>
  <c r="C276" i="5"/>
  <c r="G87" i="6"/>
  <c r="P66" i="5"/>
  <c r="I327" i="6"/>
  <c r="K276" i="5"/>
  <c r="E149" i="7"/>
  <c r="E7"/>
  <c r="B834" i="17"/>
  <c r="I399"/>
  <c r="A3" i="12"/>
  <c r="B256" i="7"/>
  <c r="F638" i="17"/>
  <c r="A213"/>
  <c r="B152" i="12"/>
  <c r="C109" i="7"/>
  <c r="B419" i="17"/>
  <c r="H56"/>
  <c r="A157" i="12"/>
  <c r="R332" i="6"/>
  <c r="A420" i="17"/>
  <c r="G57"/>
  <c r="A161" i="12"/>
  <c r="F333" i="6"/>
  <c r="L292"/>
  <c r="O297" i="5"/>
  <c r="S108" i="6"/>
  <c r="H88" i="5"/>
  <c r="C246" i="7"/>
  <c r="K288" i="5"/>
  <c r="O99" i="6"/>
  <c r="D79" i="5"/>
  <c r="Q349" i="6"/>
  <c r="G279" i="5"/>
  <c r="K90" i="6"/>
  <c r="T69" i="5"/>
  <c r="A353" i="6"/>
  <c r="O279" i="5"/>
  <c r="E213" i="7"/>
  <c r="E71"/>
  <c r="F862" i="17"/>
  <c r="H456"/>
  <c r="A11" i="12"/>
  <c r="C277" i="7"/>
  <c r="A667" i="17"/>
  <c r="E222"/>
  <c r="B184" i="12"/>
  <c r="D130" i="7"/>
  <c r="C426" i="17"/>
  <c r="I63"/>
  <c r="A189" i="12"/>
  <c r="B336" i="6"/>
  <c r="B427" i="17"/>
  <c r="H64"/>
  <c r="A193" i="12"/>
  <c r="J336" i="6"/>
  <c r="D318"/>
  <c r="S300" i="5"/>
  <c r="C112" i="6"/>
  <c r="L91" i="5"/>
  <c r="L244" i="6"/>
  <c r="O291" i="5"/>
  <c r="S102" i="6"/>
  <c r="H82" i="5"/>
  <c r="N394" i="6"/>
  <c r="K282" i="5"/>
  <c r="O93" i="6"/>
  <c r="D73" i="5"/>
  <c r="B401" i="6"/>
  <c r="S282" i="5"/>
  <c r="E277" i="7"/>
  <c r="E135"/>
  <c r="A891" i="17"/>
  <c r="G513"/>
  <c r="A19" i="12"/>
  <c r="B8" i="8"/>
  <c r="E695" i="17"/>
  <c r="I231"/>
  <c r="B216" i="12"/>
  <c r="B152" i="7"/>
  <c r="D433" i="17"/>
  <c r="A71"/>
  <c r="A221" i="12"/>
  <c r="F339" i="6"/>
  <c r="C434" i="17"/>
  <c r="I71"/>
  <c r="A225" i="12"/>
  <c r="N339" i="6"/>
  <c r="P343"/>
  <c r="C304" i="5"/>
  <c r="G115" i="6"/>
  <c r="P94" i="5"/>
  <c r="D270" i="6"/>
  <c r="S294" i="5"/>
  <c r="C106" i="6"/>
  <c r="L85" i="5"/>
  <c r="B97" i="7"/>
  <c r="O285" i="5"/>
  <c r="S96" i="6"/>
  <c r="H76" i="5"/>
  <c r="C118" i="7"/>
  <c r="C286" i="5"/>
  <c r="C29" i="9"/>
  <c r="E199" i="7"/>
  <c r="E919" i="17"/>
  <c r="E622"/>
  <c r="A27" i="12"/>
  <c r="B1" i="10"/>
  <c r="I723" i="17"/>
  <c r="E241"/>
  <c r="B248" i="12"/>
  <c r="C173" i="7"/>
  <c r="E440" i="17"/>
  <c r="B78"/>
  <c r="A253" i="12"/>
  <c r="J342" i="6"/>
  <c r="D441" i="17"/>
  <c r="A79"/>
  <c r="A1" i="13"/>
  <c r="R342" i="6"/>
  <c r="I382"/>
  <c r="G307" i="5"/>
  <c r="K118" i="6"/>
  <c r="T97" i="5"/>
  <c r="P295" i="6"/>
  <c r="C298" i="5"/>
  <c r="G109" i="6"/>
  <c r="P88" i="5"/>
  <c r="D267" i="7"/>
  <c r="S288" i="5"/>
  <c r="C100" i="6"/>
  <c r="L79" i="5"/>
  <c r="B289" i="7"/>
  <c r="G289" i="5"/>
  <c r="B374" i="6"/>
  <c r="F264" i="7"/>
  <c r="D720" i="17"/>
  <c r="C240"/>
  <c r="B244" i="12"/>
  <c r="D170" i="7"/>
  <c r="C546" i="17"/>
  <c r="I183"/>
  <c r="A83" i="12"/>
  <c r="B24" i="7"/>
  <c r="G390" i="17"/>
  <c r="D28"/>
  <c r="D140" i="23"/>
  <c r="D12"/>
  <c r="I335" i="17"/>
  <c r="F100" i="16"/>
  <c r="H4" i="14"/>
  <c r="B53" i="17"/>
  <c r="F30" i="16"/>
  <c r="C60" i="17"/>
  <c r="F38" i="16"/>
  <c r="D67" i="17"/>
  <c r="F46" i="16"/>
  <c r="Q242" i="6"/>
  <c r="F355"/>
  <c r="P110" i="5"/>
  <c r="H92"/>
  <c r="A246" i="6"/>
  <c r="O360"/>
  <c r="T113" i="5"/>
  <c r="L95"/>
  <c r="E249" i="6"/>
  <c r="C367"/>
  <c r="D117" i="5"/>
  <c r="P98"/>
  <c r="I252" i="6"/>
  <c r="K373"/>
  <c r="H120" i="5"/>
  <c r="T101"/>
  <c r="M255" i="6"/>
  <c r="S379"/>
  <c r="L123" i="5"/>
  <c r="D105"/>
  <c r="E233" i="6"/>
  <c r="B25" i="12"/>
  <c r="G386" i="6"/>
  <c r="D505" i="17"/>
  <c r="A143"/>
  <c r="B26" i="12"/>
  <c r="C387" i="6"/>
  <c r="B59" i="7"/>
  <c r="C336" i="5"/>
  <c r="G147" i="6"/>
  <c r="P126" i="5"/>
  <c r="O321" i="6"/>
  <c r="S326" i="5"/>
  <c r="C138" i="6"/>
  <c r="L117" i="5"/>
  <c r="C248" i="6"/>
  <c r="O317" i="5"/>
  <c r="S128" i="6"/>
  <c r="H108" i="5"/>
  <c r="G251" i="6"/>
  <c r="C318" i="5"/>
  <c r="H132" i="13"/>
  <c r="E4" i="12"/>
  <c r="G261" i="17"/>
  <c r="G29" i="15"/>
  <c r="A164" i="12"/>
  <c r="A262" i="6"/>
  <c r="H212" i="17"/>
  <c r="A221" i="13"/>
  <c r="A54" i="12"/>
  <c r="A240" i="6"/>
  <c r="F511" i="17"/>
  <c r="C149"/>
  <c r="B33" i="12"/>
  <c r="O392" i="6"/>
  <c r="E512" i="17"/>
  <c r="B150"/>
  <c r="B34" i="12"/>
  <c r="K393" i="6"/>
  <c r="D229" i="7"/>
  <c r="G339" i="5"/>
  <c r="K150" i="6"/>
  <c r="T129" i="5"/>
  <c r="G347" i="6"/>
  <c r="C330" i="5"/>
  <c r="G141" i="6"/>
  <c r="P120" i="5"/>
  <c r="O273" i="6"/>
  <c r="S320" i="5"/>
  <c r="C132" i="6"/>
  <c r="L111" i="5"/>
  <c r="S276" i="6"/>
  <c r="G321" i="5"/>
  <c r="H390" i="17"/>
  <c r="D1006"/>
  <c r="S241" i="6"/>
  <c r="C233"/>
  <c r="S138"/>
  <c r="H118" i="5"/>
  <c r="K254" i="6"/>
  <c r="K318" i="5"/>
  <c r="O129" i="6"/>
  <c r="D109" i="5"/>
  <c r="O246" i="6"/>
  <c r="O26"/>
  <c r="L255" i="5"/>
  <c r="E231"/>
  <c r="O240" i="6"/>
  <c r="O20"/>
  <c r="L249" i="5"/>
  <c r="E225"/>
  <c r="O229"/>
  <c r="G117" i="4"/>
  <c r="U142" i="3"/>
  <c r="N92"/>
  <c r="C86" i="5"/>
  <c r="AI176" i="4"/>
  <c r="R378" i="3"/>
  <c r="T274"/>
  <c r="K86" i="5"/>
  <c r="G177" i="4"/>
  <c r="B379" i="3"/>
  <c r="D275"/>
  <c r="C90" i="5"/>
  <c r="AG181" i="4"/>
  <c r="T382" i="3"/>
  <c r="V278"/>
  <c r="K90" i="5"/>
  <c r="E182" i="4"/>
  <c r="D383" i="3"/>
  <c r="H279"/>
  <c r="S90" i="5"/>
  <c r="AG182" i="4"/>
  <c r="P383" i="3"/>
  <c r="R279"/>
  <c r="K94" i="5"/>
  <c r="D187" i="4"/>
  <c r="H387" i="3"/>
  <c r="J283"/>
  <c r="U218"/>
  <c r="A106"/>
  <c r="AH99" i="4"/>
  <c r="N10" i="3"/>
  <c r="X171"/>
  <c r="W189"/>
  <c r="N62"/>
  <c r="M306" i="5"/>
  <c r="A163" i="3"/>
  <c r="B114" i="17"/>
  <c r="F646"/>
  <c r="D144" i="6"/>
  <c r="D119"/>
  <c r="E154" i="3"/>
  <c r="AI49" i="4"/>
  <c r="M99" i="3"/>
  <c r="H213" i="4"/>
  <c r="H227" i="24"/>
  <c r="D68" i="13"/>
  <c r="E150" i="12"/>
  <c r="P46" i="6"/>
  <c r="O70"/>
  <c r="L299" i="5"/>
  <c r="G244" i="4"/>
  <c r="K281" i="6"/>
  <c r="K61"/>
  <c r="H290" i="5"/>
  <c r="A233" i="4"/>
  <c r="P201" i="6"/>
  <c r="P182"/>
  <c r="Q27" i="5"/>
  <c r="C384" i="4"/>
  <c r="P195" i="6"/>
  <c r="P176"/>
  <c r="Q21" i="5"/>
  <c r="AH376" i="4"/>
  <c r="F382"/>
  <c r="AF41"/>
  <c r="R266" i="3"/>
  <c r="S167"/>
  <c r="D226" i="5"/>
  <c r="C101" i="4"/>
  <c r="N130" i="3"/>
  <c r="F49"/>
  <c r="L226" i="5"/>
  <c r="AE101" i="4"/>
  <c r="X130" i="3"/>
  <c r="N49"/>
  <c r="D230" i="5"/>
  <c r="C106" i="4"/>
  <c r="B134" i="3"/>
  <c r="H52"/>
  <c r="L230" i="5"/>
  <c r="AE106" i="4"/>
  <c r="K134" i="3"/>
  <c r="P52"/>
  <c r="T230" i="5"/>
  <c r="C107" i="4"/>
  <c r="T134" i="3"/>
  <c r="X52"/>
  <c r="L234" i="5"/>
  <c r="AE111" i="4"/>
  <c r="X137" i="3"/>
  <c r="R55"/>
  <c r="G16"/>
  <c r="V19"/>
  <c r="U313"/>
  <c r="Y267"/>
  <c r="V6"/>
  <c r="H173"/>
  <c r="E233"/>
  <c r="Q345"/>
  <c r="E332" i="5"/>
  <c r="G710" i="17"/>
  <c r="H93"/>
  <c r="D68" i="7"/>
  <c r="T378" i="5"/>
  <c r="Z356" i="3"/>
  <c r="A130" i="4"/>
  <c r="P397" i="3"/>
  <c r="D167" i="4"/>
  <c r="G109" i="20"/>
  <c r="D132" i="13"/>
  <c r="E214" i="12"/>
  <c r="H72" i="6"/>
  <c r="S73"/>
  <c r="P302" i="5"/>
  <c r="G248" i="4"/>
  <c r="O284" i="6"/>
  <c r="O64"/>
  <c r="L293" i="5"/>
  <c r="A237" i="4"/>
  <c r="T204" i="6"/>
  <c r="T185"/>
  <c r="A31" i="5"/>
  <c r="A388" i="4"/>
  <c r="T198" i="6"/>
  <c r="T179"/>
  <c r="A25" i="5"/>
  <c r="AF380" i="4"/>
  <c r="D386"/>
  <c r="AE45"/>
  <c r="X269" i="3"/>
  <c r="N170"/>
  <c r="B93" i="20"/>
  <c r="F279" i="17"/>
  <c r="F240" i="20"/>
  <c r="H238" i="17"/>
  <c r="E42" i="20"/>
  <c r="G209" i="13"/>
  <c r="E50" i="20"/>
  <c r="G217" i="13"/>
  <c r="E106" i="20"/>
  <c r="G225" i="13"/>
  <c r="B19" i="15"/>
  <c r="B261" i="7"/>
  <c r="A356" i="6"/>
  <c r="AH303" i="4"/>
  <c r="D149" i="17"/>
  <c r="C282" i="7"/>
  <c r="F362" i="6"/>
  <c r="AG307" i="4"/>
  <c r="C106" i="12"/>
  <c r="C15" i="8"/>
  <c r="N368" i="6"/>
  <c r="AG311" i="4"/>
  <c r="C170" i="12"/>
  <c r="A3" i="7"/>
  <c r="B375" i="6"/>
  <c r="AE315" i="4"/>
  <c r="C234" i="12"/>
  <c r="A11" i="7"/>
  <c r="J381" i="6"/>
  <c r="J319" i="4"/>
  <c r="C41" i="13"/>
  <c r="B197" i="7"/>
  <c r="O379" i="6"/>
  <c r="K387"/>
  <c r="B97" i="16"/>
  <c r="E74" i="13"/>
  <c r="C380" i="6"/>
  <c r="G388"/>
  <c r="E379" i="5"/>
  <c r="A174" i="6"/>
  <c r="J185" i="5"/>
  <c r="N135"/>
  <c r="A370"/>
  <c r="Q164" i="6"/>
  <c r="F176" i="5"/>
  <c r="J126"/>
  <c r="Q360"/>
  <c r="M155" i="6"/>
  <c r="B167" i="5"/>
  <c r="F117"/>
  <c r="E361"/>
  <c r="E140" i="20"/>
  <c r="H89" i="13"/>
  <c r="E306" i="6"/>
  <c r="F197" i="17"/>
  <c r="H261"/>
  <c r="F145" i="7"/>
  <c r="M274" i="6"/>
  <c r="G148" i="17"/>
  <c r="H74" i="16"/>
  <c r="F90" i="7"/>
  <c r="M252" i="6"/>
  <c r="B104" i="16"/>
  <c r="E81" i="13"/>
  <c r="S382" i="6"/>
  <c r="S393"/>
  <c r="B105" i="16"/>
  <c r="E82" i="13"/>
  <c r="G383" i="6"/>
  <c r="O394"/>
  <c r="I382" i="5"/>
  <c r="E177" i="6"/>
  <c r="N188" i="5"/>
  <c r="R138"/>
  <c r="E373"/>
  <c r="A168" i="6"/>
  <c r="J179" i="5"/>
  <c r="N129"/>
  <c r="A364"/>
  <c r="Q158" i="6"/>
  <c r="F170" i="5"/>
  <c r="J120"/>
  <c r="I364"/>
  <c r="F495" i="17"/>
  <c r="B291"/>
  <c r="B269" i="6"/>
  <c r="R235"/>
  <c r="M165"/>
  <c r="B177" i="5"/>
  <c r="F127"/>
  <c r="M361"/>
  <c r="I156" i="6"/>
  <c r="R167" i="5"/>
  <c r="G44" i="17"/>
  <c r="M70" i="6"/>
  <c r="R281" i="5"/>
  <c r="A263" i="4"/>
  <c r="B42" i="16"/>
  <c r="M64" i="6"/>
  <c r="R275" i="5"/>
  <c r="AE255" i="4"/>
  <c r="Q362" i="5"/>
  <c r="AG215" i="4"/>
  <c r="W318" i="3"/>
  <c r="L134"/>
  <c r="K11" i="6"/>
  <c r="H38" i="4"/>
  <c r="K208" i="3"/>
  <c r="V396"/>
  <c r="O14" i="6"/>
  <c r="AJ38" i="4"/>
  <c r="S208" i="3"/>
  <c r="F397"/>
  <c r="K43" i="6"/>
  <c r="G43" i="4"/>
  <c r="M211" i="3"/>
  <c r="X400"/>
  <c r="O46" i="6"/>
  <c r="AI43" i="4"/>
  <c r="U211" i="3"/>
  <c r="H401"/>
  <c r="S49" i="6"/>
  <c r="G44" i="4"/>
  <c r="C212" i="3"/>
  <c r="T401"/>
  <c r="O78" i="6"/>
  <c r="AH48" i="4"/>
  <c r="W214" i="3"/>
  <c r="L405"/>
  <c r="AG199" i="4"/>
  <c r="P13" i="3"/>
  <c r="A211"/>
  <c r="M72"/>
  <c r="L212" i="5"/>
  <c r="G79" i="3"/>
  <c r="R27"/>
  <c r="M41"/>
  <c r="S395"/>
  <c r="Q44"/>
  <c r="R5" i="6"/>
  <c r="N284" i="5"/>
  <c r="A279"/>
  <c r="L339"/>
  <c r="X402" i="3"/>
  <c r="N242" i="6"/>
  <c r="O386" i="3"/>
  <c r="C273" i="6"/>
  <c r="C186" i="13"/>
  <c r="D212" i="12"/>
  <c r="L264" i="5"/>
  <c r="D246"/>
  <c r="R325"/>
  <c r="J317" i="4"/>
  <c r="H472" i="17"/>
  <c r="I105" i="6"/>
  <c r="N316" i="5"/>
  <c r="E306" i="4"/>
  <c r="G167" i="13"/>
  <c r="R209" i="6"/>
  <c r="R24"/>
  <c r="G20" i="5"/>
  <c r="G47" i="13"/>
  <c r="R203" i="6"/>
  <c r="R18"/>
  <c r="G14" i="5"/>
  <c r="J182" i="6"/>
  <c r="B140" i="4"/>
  <c r="K124" i="3"/>
  <c r="V284"/>
  <c r="H264" i="4"/>
  <c r="AF198"/>
  <c r="B329" i="3"/>
  <c r="C146"/>
  <c r="G268" i="4"/>
  <c r="D199"/>
  <c r="J329" i="3"/>
  <c r="L146"/>
  <c r="D304" i="4"/>
  <c r="AE203"/>
  <c r="D332" i="3"/>
  <c r="P149"/>
  <c r="C308" i="4"/>
  <c r="C204"/>
  <c r="L332" i="3"/>
  <c r="Z149"/>
  <c r="C312" i="4"/>
  <c r="AE204"/>
  <c r="T332" i="3"/>
  <c r="I150"/>
  <c r="G347" i="4"/>
  <c r="C209"/>
  <c r="N335" i="3"/>
  <c r="M153"/>
  <c r="P200"/>
  <c r="F183" i="5"/>
  <c r="U14" i="3"/>
  <c r="M289"/>
  <c r="O318"/>
  <c r="P215" i="5"/>
  <c r="E28" i="17"/>
  <c r="E206" i="3"/>
  <c r="T57"/>
  <c r="G887" i="17"/>
  <c r="B136" i="6"/>
  <c r="C335" i="5"/>
  <c r="F184"/>
  <c r="L318"/>
  <c r="A265" i="3"/>
  <c r="T237" i="6"/>
  <c r="E347" i="3"/>
  <c r="O22"/>
  <c r="H53" i="16"/>
  <c r="C20" i="13"/>
  <c r="D290" i="5"/>
  <c r="P271"/>
  <c r="B329"/>
  <c r="I321" i="4"/>
  <c r="C292" i="17"/>
  <c r="M108" i="6"/>
  <c r="R319" i="5"/>
  <c r="D310" i="4"/>
  <c r="F12" i="15"/>
  <c r="B213" i="6"/>
  <c r="B28"/>
  <c r="K23" i="5"/>
  <c r="G111" i="13"/>
  <c r="B207" i="6"/>
  <c r="B22"/>
  <c r="K17" i="5"/>
  <c r="B208" i="6"/>
  <c r="A144" i="4"/>
  <c r="W126" i="3"/>
  <c r="B288"/>
  <c r="F69" i="20"/>
  <c r="F37"/>
  <c r="G98" i="13"/>
  <c r="H272" i="17"/>
  <c r="G170" i="13"/>
  <c r="G187" i="12"/>
  <c r="H15" i="16"/>
  <c r="G195" i="12"/>
  <c r="H47" i="16"/>
  <c r="G203" i="12"/>
  <c r="H79" i="16"/>
  <c r="H574" i="17"/>
  <c r="F699"/>
  <c r="B11" i="15"/>
  <c r="C54" i="13"/>
  <c r="G631" i="17"/>
  <c r="E756"/>
  <c r="A128"/>
  <c r="C118" i="13"/>
  <c r="F688" i="17"/>
  <c r="D813"/>
  <c r="C103" i="12"/>
  <c r="C182" i="13"/>
  <c r="E745" i="17"/>
  <c r="C870"/>
  <c r="C167" i="12"/>
  <c r="H37" i="16"/>
  <c r="D802" i="17"/>
  <c r="H929"/>
  <c r="C231" i="12"/>
  <c r="E256" i="17"/>
  <c r="C860"/>
  <c r="F13" i="10"/>
  <c r="C160" i="7"/>
  <c r="B593" i="17"/>
  <c r="E101" i="16"/>
  <c r="F14" i="10"/>
  <c r="B163" i="7"/>
  <c r="B79"/>
  <c r="G178" i="6"/>
  <c r="D407" i="5"/>
  <c r="E377" i="4"/>
  <c r="D17" i="7"/>
  <c r="C169" i="6"/>
  <c r="T397" i="5"/>
  <c r="AG365" i="4"/>
  <c r="L403" i="6"/>
  <c r="S159"/>
  <c r="P388" i="5"/>
  <c r="H354" i="4"/>
  <c r="H404" i="6"/>
  <c r="G160"/>
  <c r="D207" i="7"/>
  <c r="J365" i="6"/>
  <c r="G374" i="17"/>
  <c r="D12"/>
  <c r="G57" i="12"/>
  <c r="R312" i="6"/>
  <c r="H325" i="17"/>
  <c r="G71" i="16"/>
  <c r="D5" i="11"/>
  <c r="R290" i="6"/>
  <c r="A618" i="17"/>
  <c r="H14"/>
  <c r="D2" i="12"/>
  <c r="D181" i="7"/>
  <c r="F621" i="17"/>
  <c r="D18"/>
  <c r="D3" i="12"/>
  <c r="C184" i="7"/>
  <c r="C100"/>
  <c r="K181" i="6"/>
  <c r="H410" i="5"/>
  <c r="C381" i="4"/>
  <c r="B39" i="7"/>
  <c r="G172" i="6"/>
  <c r="D401" i="5"/>
  <c r="AG369" i="4"/>
  <c r="T409" i="6"/>
  <c r="C163"/>
  <c r="T391" i="5"/>
  <c r="G358" i="4"/>
  <c r="P410" i="6"/>
  <c r="K163"/>
  <c r="B85" i="17"/>
  <c r="F34" i="16"/>
  <c r="N22" i="6"/>
  <c r="R13"/>
  <c r="P398" i="5"/>
  <c r="AG366" i="4"/>
  <c r="D405" i="6"/>
  <c r="O160"/>
  <c r="L389" i="5"/>
  <c r="G355" i="4"/>
  <c r="T297" i="6"/>
  <c r="P285" i="5"/>
  <c r="A127"/>
  <c r="M77"/>
  <c r="T291" i="6"/>
  <c r="P279" i="5"/>
  <c r="A121"/>
  <c r="M71"/>
  <c r="C76"/>
  <c r="I164" i="4"/>
  <c r="J368" i="3"/>
  <c r="N264"/>
  <c r="AG327" i="4"/>
  <c r="AD223"/>
  <c r="D221" i="3"/>
  <c r="R128"/>
  <c r="E328" i="4"/>
  <c r="B224"/>
  <c r="N221" i="3"/>
  <c r="B129"/>
  <c r="AE332" i="4"/>
  <c r="AI228"/>
  <c r="F225" i="3"/>
  <c r="F132"/>
  <c r="C333" i="4"/>
  <c r="I229"/>
  <c r="P225" i="3"/>
  <c r="O132"/>
  <c r="AE333" i="4"/>
  <c r="D230"/>
  <c r="B226" i="3"/>
  <c r="X132"/>
  <c r="A338" i="4"/>
  <c r="C236"/>
  <c r="T229" i="3"/>
  <c r="B136"/>
  <c r="S233"/>
  <c r="W252"/>
  <c r="O414"/>
  <c r="H136"/>
  <c r="F186"/>
  <c r="S35"/>
  <c r="L349"/>
  <c r="I160" i="4"/>
  <c r="J63" i="5"/>
  <c r="G191" i="13"/>
  <c r="N264" i="6"/>
  <c r="J203"/>
  <c r="O348" i="5"/>
  <c r="U324" i="3"/>
  <c r="H125" i="4"/>
  <c r="V301" i="3"/>
  <c r="E147" i="4"/>
  <c r="C209" i="7"/>
  <c r="E30" i="12"/>
  <c r="F31"/>
  <c r="H276" i="5"/>
  <c r="P329"/>
  <c r="A171"/>
  <c r="M121"/>
  <c r="P332" i="6"/>
  <c r="L320" i="5"/>
  <c r="Q161"/>
  <c r="I112"/>
  <c r="D48" i="6"/>
  <c r="D29"/>
  <c r="J255" i="4"/>
  <c r="N217" i="5"/>
  <c r="D42" i="6"/>
  <c r="D23"/>
  <c r="E416" i="5"/>
  <c r="N211"/>
  <c r="D216"/>
  <c r="AI88" i="4"/>
  <c r="T121" i="3"/>
  <c r="N41"/>
  <c r="L72" i="5"/>
  <c r="G148" i="4"/>
  <c r="U373" i="3"/>
  <c r="U23"/>
  <c r="T72" i="5"/>
  <c r="AI148" i="4"/>
  <c r="E374" i="3"/>
  <c r="C24"/>
  <c r="L76" i="5"/>
  <c r="F153" i="4"/>
  <c r="W377" i="3"/>
  <c r="W26"/>
  <c r="T76" i="5"/>
  <c r="AH153" i="4"/>
  <c r="I378" i="3"/>
  <c r="E27"/>
  <c r="H77" i="5"/>
  <c r="F154" i="4"/>
  <c r="S378" i="3"/>
  <c r="M27"/>
  <c r="T80" i="5"/>
  <c r="AF158" i="4"/>
  <c r="K382" i="3"/>
  <c r="G30"/>
  <c r="B19"/>
  <c r="Y22"/>
  <c r="V277"/>
  <c r="A70"/>
  <c r="U9"/>
  <c r="Q187"/>
  <c r="S249"/>
  <c r="A172"/>
  <c r="H164" i="4"/>
  <c r="A210" i="5"/>
  <c r="P398" i="6"/>
  <c r="A93"/>
  <c r="B166"/>
  <c r="C162" i="3"/>
  <c r="H173" i="4"/>
  <c r="H249" i="3"/>
  <c r="A100" i="4"/>
  <c r="D291" i="7"/>
  <c r="G118" i="12"/>
  <c r="E120"/>
  <c r="T301" i="5"/>
  <c r="T332"/>
  <c r="E174"/>
  <c r="Q124"/>
  <c r="T335" i="6"/>
  <c r="P323" i="5"/>
  <c r="A165"/>
  <c r="M115"/>
  <c r="H51" i="6"/>
  <c r="H32"/>
  <c r="I259" i="4"/>
  <c r="R220" i="5"/>
  <c r="H45" i="6"/>
  <c r="H26"/>
  <c r="C252" i="4"/>
  <c r="R214" i="5"/>
  <c r="H219"/>
  <c r="AH92" i="4"/>
  <c r="O124" i="3"/>
  <c r="Z43"/>
  <c r="B149" i="20"/>
  <c r="F290"/>
  <c r="H773" i="17"/>
  <c r="G184" i="7"/>
  <c r="H837" i="17"/>
  <c r="G256" i="7"/>
  <c r="I844" i="17"/>
  <c r="G264" i="7"/>
  <c r="A852" i="17"/>
  <c r="G272" i="7"/>
  <c r="C97" i="17"/>
  <c r="D22" i="15"/>
  <c r="I129" i="6"/>
  <c r="A111"/>
  <c r="D104" i="17"/>
  <c r="D30" i="15"/>
  <c r="M132" i="6"/>
  <c r="E114"/>
  <c r="E111" i="17"/>
  <c r="C8" i="16"/>
  <c r="Q135" i="6"/>
  <c r="I117"/>
  <c r="F118" i="17"/>
  <c r="C16" i="16"/>
  <c r="A139" i="6"/>
  <c r="M120"/>
  <c r="G125" i="17"/>
  <c r="C24" i="16"/>
  <c r="E142" i="6"/>
  <c r="Q123"/>
  <c r="I75" i="17"/>
  <c r="E14" i="14"/>
  <c r="H37" i="7"/>
  <c r="B217" i="20"/>
  <c r="A100" i="17"/>
  <c r="G166" i="13"/>
  <c r="H38" i="7"/>
  <c r="E8" i="17"/>
  <c r="I17" i="6"/>
  <c r="J224"/>
  <c r="S219" i="5"/>
  <c r="G215" i="13"/>
  <c r="E8" i="6"/>
  <c r="F215"/>
  <c r="O210" i="5"/>
  <c r="E137" i="17"/>
  <c r="B412" i="5"/>
  <c r="B206" i="6"/>
  <c r="K201" i="5"/>
  <c r="F144" i="17"/>
  <c r="J412" i="5"/>
  <c r="G888" i="17"/>
  <c r="I784"/>
  <c r="H975"/>
  <c r="F227" i="13"/>
  <c r="G206" i="12"/>
  <c r="H275" i="7"/>
  <c r="G7" i="20"/>
  <c r="D404" i="17"/>
  <c r="G151" i="12"/>
  <c r="H220" i="7"/>
  <c r="G582" i="17"/>
  <c r="C106"/>
  <c r="G173" i="13"/>
  <c r="H45" i="7"/>
  <c r="H589" i="17"/>
  <c r="B107"/>
  <c r="G174" i="13"/>
  <c r="H46" i="7"/>
  <c r="D65" i="17"/>
  <c r="M20" i="6"/>
  <c r="N227"/>
  <c r="C223" i="5"/>
  <c r="D2" i="16"/>
  <c r="I11" i="6"/>
  <c r="J218"/>
  <c r="S213" i="5"/>
  <c r="D194" i="17"/>
  <c r="F415" i="5"/>
  <c r="F209" i="6"/>
  <c r="O204" i="5"/>
  <c r="E201" i="17"/>
  <c r="N415" i="5"/>
  <c r="H219" i="12"/>
  <c r="E28" i="16"/>
  <c r="N51" i="6"/>
  <c r="F33"/>
  <c r="B216"/>
  <c r="K211" i="5"/>
  <c r="G151" i="17"/>
  <c r="R412" i="5"/>
  <c r="R206" i="6"/>
  <c r="G202" i="5"/>
  <c r="H4" i="11"/>
  <c r="F104" i="6"/>
  <c r="G332" i="5"/>
  <c r="AH305" i="4"/>
  <c r="A8" i="10"/>
  <c r="F98" i="6"/>
  <c r="G326" i="5"/>
  <c r="G298" i="4"/>
  <c r="I185" i="5"/>
  <c r="C9" i="4"/>
  <c r="H358" i="3"/>
  <c r="N179"/>
  <c r="T215" i="5"/>
  <c r="E68" i="4"/>
  <c r="V247" i="3"/>
  <c r="N59"/>
  <c r="D219" i="5"/>
  <c r="AG68" i="4"/>
  <c r="D248" i="3"/>
  <c r="V59"/>
  <c r="E308" i="5"/>
  <c r="D73" i="4"/>
  <c r="X250" i="3"/>
  <c r="P62"/>
  <c r="Q333" i="5"/>
  <c r="AF73" i="4"/>
  <c r="F251" i="3"/>
  <c r="X62"/>
  <c r="I359" i="5"/>
  <c r="D74" i="4"/>
  <c r="N251" i="3"/>
  <c r="F63"/>
  <c r="AJ274" i="4"/>
  <c r="AF78"/>
  <c r="H254" i="3"/>
  <c r="Z65"/>
  <c r="S170"/>
  <c r="H412" i="4"/>
  <c r="K70" i="3"/>
  <c r="U21"/>
  <c r="L142"/>
  <c r="AF122" i="4"/>
  <c r="AI374"/>
  <c r="A6" i="3"/>
  <c r="G217"/>
  <c r="H155" i="12"/>
  <c r="C293" i="5"/>
  <c r="O96"/>
  <c r="F211" i="12"/>
  <c r="AH243" i="4"/>
  <c r="Z186" i="3"/>
  <c r="F164" i="4"/>
  <c r="I144" i="3"/>
  <c r="G106" i="4"/>
  <c r="D42" i="7"/>
  <c r="R300" i="6"/>
  <c r="H56" i="5"/>
  <c r="T37"/>
  <c r="G376"/>
  <c r="AG359" i="4"/>
  <c r="C3" i="12"/>
  <c r="B139" i="6"/>
  <c r="C367" i="5"/>
  <c r="I348" i="4"/>
  <c r="C249" i="7"/>
  <c r="K264" i="5"/>
  <c r="O75" i="6"/>
  <c r="D55" i="5"/>
  <c r="K395" i="6"/>
  <c r="K258" i="5"/>
  <c r="O69" i="6"/>
  <c r="D49" i="5"/>
  <c r="N223"/>
  <c r="AH169" i="4"/>
  <c r="G373" i="3"/>
  <c r="V312"/>
  <c r="AG320" i="4"/>
  <c r="AF228"/>
  <c r="A226" i="3"/>
  <c r="C170"/>
  <c r="E321" i="4"/>
  <c r="G229"/>
  <c r="K226" i="3"/>
  <c r="L170"/>
  <c r="AG325" i="4"/>
  <c r="F235"/>
  <c r="C230" i="3"/>
  <c r="P173"/>
  <c r="E326" i="4"/>
  <c r="AJ235"/>
  <c r="M230" i="3"/>
  <c r="Z173"/>
  <c r="AG326" i="4"/>
  <c r="AE236"/>
  <c r="Y230" i="3"/>
  <c r="I174"/>
  <c r="C331" i="4"/>
  <c r="J242"/>
  <c r="Q234" i="3"/>
  <c r="M177"/>
  <c r="X26"/>
  <c r="C156"/>
  <c r="B334" i="5"/>
  <c r="Z121" i="3"/>
  <c r="L58"/>
  <c r="G145"/>
  <c r="D45" i="4"/>
  <c r="G161" i="3"/>
  <c r="Z15"/>
  <c r="C469" i="17"/>
  <c r="C341" i="4"/>
  <c r="S147" i="5"/>
  <c r="F163" i="20"/>
  <c r="AI224" i="4"/>
  <c r="Z368" i="3"/>
  <c r="E69" i="4"/>
  <c r="D80" i="3"/>
  <c r="AG59" i="4"/>
  <c r="C213" i="7"/>
  <c r="J326" i="6"/>
  <c r="T81" i="5"/>
  <c r="L63"/>
  <c r="K379"/>
  <c r="AF363" i="4"/>
  <c r="B75" i="12"/>
  <c r="F142" i="6"/>
  <c r="G370" i="5"/>
  <c r="I352" i="4"/>
  <c r="A257" i="6"/>
  <c r="O267" i="5"/>
  <c r="S78" i="6"/>
  <c r="H58" i="5"/>
  <c r="B100" i="7"/>
  <c r="O261" i="5"/>
  <c r="S72" i="6"/>
  <c r="H52" i="5"/>
  <c r="J236"/>
  <c r="AH173" i="4"/>
  <c r="O376" i="3"/>
  <c r="B316"/>
  <c r="F76" i="20"/>
  <c r="B825" i="17"/>
  <c r="C113" i="23"/>
  <c r="I289" i="6"/>
  <c r="A5" i="23"/>
  <c r="E318" i="6"/>
  <c r="A69" i="23"/>
  <c r="I321" i="6"/>
  <c r="A133" i="23"/>
  <c r="M324" i="6"/>
  <c r="G262" i="20"/>
  <c r="E144" i="13"/>
  <c r="F226" i="12"/>
  <c r="G385" i="5"/>
  <c r="H152" i="12"/>
  <c r="E112" i="16"/>
  <c r="A411" i="17"/>
  <c r="G48"/>
  <c r="B191" i="12"/>
  <c r="E329" i="6"/>
  <c r="B362" i="17"/>
  <c r="F112" i="16"/>
  <c r="H61" i="12"/>
  <c r="E307" i="6"/>
  <c r="B191" i="20"/>
  <c r="A214" i="13"/>
  <c r="A46" i="12"/>
  <c r="E237" i="6"/>
  <c r="B223" i="20"/>
  <c r="A215" i="13"/>
  <c r="B47" i="12"/>
  <c r="M237" i="6"/>
  <c r="G6" i="9"/>
  <c r="K406" i="5"/>
  <c r="O217" i="6"/>
  <c r="D197" i="5"/>
  <c r="A134" i="7"/>
  <c r="G397" i="5"/>
  <c r="K208" i="6"/>
  <c r="T187" i="5"/>
  <c r="D183" i="7"/>
  <c r="C388" i="5"/>
  <c r="G199" i="6"/>
  <c r="P178" i="5"/>
  <c r="B205" i="7"/>
  <c r="K388" i="5"/>
  <c r="H216" i="12"/>
  <c r="H74"/>
  <c r="B418" i="17"/>
  <c r="H55"/>
  <c r="B223" i="12"/>
  <c r="I332" i="6"/>
  <c r="C369" i="17"/>
  <c r="I6"/>
  <c r="E74" i="12"/>
  <c r="I310" i="6"/>
  <c r="G213" i="17"/>
  <c r="A222" i="13"/>
  <c r="B55" i="12"/>
  <c r="I240" i="6"/>
  <c r="F214" i="17"/>
  <c r="A223" i="13"/>
  <c r="C56" i="12"/>
  <c r="Q240" i="6"/>
  <c r="A365"/>
  <c r="O409" i="5"/>
  <c r="S220" i="6"/>
  <c r="H200" i="5"/>
  <c r="A198" i="7"/>
  <c r="K400" i="5"/>
  <c r="O211" i="6"/>
  <c r="D191" i="5"/>
  <c r="A14" i="7"/>
  <c r="G391" i="5"/>
  <c r="K202" i="6"/>
  <c r="T181" i="5"/>
  <c r="A22" i="7"/>
  <c r="O391" i="5"/>
  <c r="A114" i="13"/>
  <c r="B251" i="12"/>
  <c r="D368" i="17"/>
  <c r="A6"/>
  <c r="A73" i="12"/>
  <c r="A310" i="6"/>
  <c r="E319" i="17"/>
  <c r="F64" i="16"/>
  <c r="H10" i="12"/>
  <c r="A288" i="6"/>
  <c r="H812" i="17"/>
  <c r="C357"/>
  <c r="C111" i="25"/>
  <c r="H55" i="24"/>
  <c r="H87"/>
  <c r="G130"/>
  <c r="G194"/>
  <c r="F36" i="25"/>
  <c r="A7" i="29"/>
  <c r="H19" i="23"/>
  <c r="A108"/>
  <c r="A124"/>
  <c r="A140"/>
  <c r="F94" i="17"/>
  <c r="C77" i="16"/>
  <c r="F158" i="17"/>
  <c r="D32"/>
  <c r="G165"/>
  <c r="H388"/>
  <c r="E26"/>
  <c r="G109" i="12"/>
  <c r="E319" i="6"/>
  <c r="F238" i="23"/>
  <c r="H232" i="20"/>
  <c r="D109"/>
  <c r="F86" i="23"/>
  <c r="C656" i="17"/>
  <c r="H218"/>
  <c r="A146" i="13"/>
  <c r="C122" i="7"/>
  <c r="H659" i="17"/>
  <c r="A220"/>
  <c r="A147" i="13"/>
  <c r="B125" i="7"/>
  <c r="H452" i="17"/>
  <c r="E90"/>
  <c r="A4" i="13"/>
  <c r="A348" i="6"/>
  <c r="A63" i="20"/>
  <c r="G36"/>
  <c r="D181"/>
  <c r="E610" i="17"/>
  <c r="C912"/>
  <c r="A562"/>
  <c r="B227" i="13"/>
  <c r="B24" i="9"/>
  <c r="H915" i="17"/>
  <c r="E590"/>
  <c r="B229" i="13"/>
  <c r="B32" i="9"/>
  <c r="H516" i="17"/>
  <c r="E154"/>
  <c r="A76" i="13"/>
  <c r="J397" i="6"/>
  <c r="A127" i="20"/>
  <c r="G44"/>
  <c r="D189"/>
  <c r="F617" i="17"/>
  <c r="F965"/>
  <c r="F789"/>
  <c r="G15" i="14"/>
  <c r="A7" i="7"/>
  <c r="C975" i="17"/>
  <c r="A818"/>
  <c r="F2" i="15"/>
  <c r="A8" i="7"/>
  <c r="I523" i="17"/>
  <c r="F161"/>
  <c r="A84" i="13"/>
  <c r="R403" i="6"/>
  <c r="A191" i="20"/>
  <c r="G100"/>
  <c r="D197"/>
  <c r="G624" i="17"/>
  <c r="B62" i="20"/>
  <c r="E81" i="17"/>
  <c r="B21" i="15"/>
  <c r="A15" i="7"/>
  <c r="B94" i="20"/>
  <c r="D82" i="17"/>
  <c r="A24" i="15"/>
  <c r="A16" i="7"/>
  <c r="A531" i="17"/>
  <c r="G168"/>
  <c r="A92" i="13"/>
  <c r="F410" i="6"/>
  <c r="D224" i="13"/>
  <c r="G74"/>
  <c r="F446" i="17"/>
  <c r="C84"/>
  <c r="H191" i="13"/>
  <c r="E345" i="6"/>
  <c r="G397" i="17"/>
  <c r="D35"/>
  <c r="B131" i="12"/>
  <c r="E323" i="6"/>
  <c r="B242" i="17"/>
  <c r="G7" i="15"/>
  <c r="E103" i="12"/>
  <c r="E253" i="6"/>
  <c r="A243" i="17"/>
  <c r="G8" i="15"/>
  <c r="B105" i="12"/>
  <c r="M253" i="6"/>
  <c r="H127" i="7"/>
  <c r="J9" i="6"/>
  <c r="K237" i="5"/>
  <c r="D213"/>
  <c r="Q393" i="6"/>
  <c r="G413" i="5"/>
  <c r="K224" i="6"/>
  <c r="T203" i="5"/>
  <c r="A270" i="7"/>
  <c r="C404" i="5"/>
  <c r="G215" i="6"/>
  <c r="P194" i="5"/>
  <c r="A278" i="7"/>
  <c r="K404" i="5"/>
  <c r="I48" i="17"/>
  <c r="G138" i="13"/>
  <c r="G453" i="17"/>
  <c r="D91"/>
  <c r="A5" i="13"/>
  <c r="I348" i="6"/>
  <c r="H404" i="17"/>
  <c r="E42"/>
  <c r="B163" i="12"/>
  <c r="I326" i="6"/>
  <c r="C249" i="17"/>
  <c r="G15" i="15"/>
  <c r="D116" i="12"/>
  <c r="I256" i="6"/>
  <c r="B250" i="17"/>
  <c r="G16" i="15"/>
  <c r="A118" i="12"/>
  <c r="Q256" i="6"/>
  <c r="H191" i="7"/>
  <c r="N12" i="6"/>
  <c r="O240" i="5"/>
  <c r="H216"/>
  <c r="H7" i="7"/>
  <c r="K416" i="5"/>
  <c r="O227" i="6"/>
  <c r="D207" i="5"/>
  <c r="G22" i="9"/>
  <c r="G407" i="5"/>
  <c r="K218" i="6"/>
  <c r="T197" i="5"/>
  <c r="G30" i="9"/>
  <c r="O407" i="5"/>
  <c r="G147" i="12"/>
  <c r="G202" i="13"/>
  <c r="H460" i="17"/>
  <c r="E98"/>
  <c r="A13" i="13"/>
  <c r="M351" i="6"/>
  <c r="I411" i="17"/>
  <c r="F49"/>
  <c r="B195" i="12"/>
  <c r="M329" i="6"/>
  <c r="D256" i="17"/>
  <c r="G23" i="15"/>
  <c r="A140" i="12"/>
  <c r="M259" i="6"/>
  <c r="C257" i="17"/>
  <c r="G24" i="15"/>
  <c r="A144" i="12"/>
  <c r="A260" i="6"/>
  <c r="H255" i="7"/>
  <c r="R15" i="6"/>
  <c r="S243" i="5"/>
  <c r="L219"/>
  <c r="H71" i="7"/>
  <c r="N6" i="6"/>
  <c r="I233"/>
  <c r="H210" i="5"/>
  <c r="I371" i="6"/>
  <c r="K410" i="5"/>
  <c r="O221" i="6"/>
  <c r="D201" i="5"/>
  <c r="M374" i="6"/>
  <c r="S410" i="5"/>
  <c r="G211" i="12"/>
  <c r="H111" i="16"/>
  <c r="I467" i="17"/>
  <c r="F105"/>
  <c r="A21" i="13"/>
  <c r="Q354" i="6"/>
  <c r="A419" i="17"/>
  <c r="G56"/>
  <c r="B227" i="12"/>
  <c r="Q332" i="6"/>
  <c r="E263" i="17"/>
  <c r="G1" i="16"/>
  <c r="A172" i="12"/>
  <c r="Q262" i="6"/>
  <c r="D264" i="17"/>
  <c r="F2" i="16"/>
  <c r="A176" i="12"/>
  <c r="E263" i="6"/>
  <c r="F7" i="9"/>
  <c r="B19" i="6"/>
  <c r="C247" i="5"/>
  <c r="P222"/>
  <c r="H135" i="7"/>
  <c r="R9" i="6"/>
  <c r="S237" i="5"/>
  <c r="L213"/>
  <c r="A397" i="6"/>
  <c r="O413" i="5"/>
  <c r="S224" i="6"/>
  <c r="H204" i="5"/>
  <c r="E400" i="6"/>
  <c r="C414" i="5"/>
  <c r="F19" i="13"/>
  <c r="G133" i="12"/>
  <c r="A475" i="17"/>
  <c r="G112"/>
  <c r="A29" i="13"/>
  <c r="R359" i="6"/>
  <c r="B426" i="17"/>
  <c r="H63"/>
  <c r="H7" i="13"/>
  <c r="A336" i="6"/>
  <c r="F270" i="17"/>
  <c r="F9" i="16"/>
  <c r="A204" i="12"/>
  <c r="A266" i="6"/>
  <c r="E271" i="17"/>
  <c r="F10" i="16"/>
  <c r="A208" i="12"/>
  <c r="I266" i="6"/>
  <c r="T364"/>
  <c r="F22"/>
  <c r="G250" i="5"/>
  <c r="T225"/>
  <c r="H199" i="7"/>
  <c r="B13" i="6"/>
  <c r="C241" i="5"/>
  <c r="P216"/>
  <c r="H15" i="7"/>
  <c r="S416" i="5"/>
  <c r="C228" i="6"/>
  <c r="L207" i="5"/>
  <c r="H23" i="7"/>
  <c r="G417" i="5"/>
  <c r="G24" i="13"/>
  <c r="H138" i="12"/>
  <c r="C425" i="17"/>
  <c r="I62"/>
  <c r="B255" i="12"/>
  <c r="M335" i="6"/>
  <c r="D376" i="17"/>
  <c r="A14"/>
  <c r="D87" i="12"/>
  <c r="M313" i="6"/>
  <c r="H220" i="17"/>
  <c r="A230" i="13"/>
  <c r="C91" i="25"/>
  <c r="A691" i="17"/>
  <c r="C705"/>
  <c r="E719"/>
  <c r="G733"/>
  <c r="I747"/>
  <c r="B762"/>
  <c r="D776"/>
  <c r="A563"/>
  <c r="C577"/>
  <c r="E591"/>
  <c r="D95"/>
  <c r="B77" i="16"/>
  <c r="D159" i="17"/>
  <c r="B33"/>
  <c r="E166"/>
  <c r="G445"/>
  <c r="D83"/>
  <c r="H183" i="13"/>
  <c r="Q344" i="6"/>
  <c r="E24" i="24"/>
  <c r="D1012" i="17"/>
  <c r="D173" i="20"/>
  <c r="D603" i="17"/>
  <c r="H883"/>
  <c r="F498"/>
  <c r="B211" i="13"/>
  <c r="B1" i="8"/>
  <c r="D887" i="17"/>
  <c r="G505"/>
  <c r="B213" i="13"/>
  <c r="C3" i="8"/>
  <c r="G509" i="17"/>
  <c r="D147"/>
  <c r="A68" i="13"/>
  <c r="B391" i="6"/>
  <c r="H165" i="20"/>
  <c r="G292"/>
  <c r="D245"/>
  <c r="D667" i="17"/>
  <c r="G340"/>
  <c r="B124"/>
  <c r="E60"/>
  <c r="A63" i="7"/>
  <c r="H347" i="17"/>
  <c r="A125"/>
  <c r="A64"/>
  <c r="A64" i="7"/>
  <c r="I634" i="17"/>
  <c r="G211"/>
  <c r="A140" i="13"/>
  <c r="C106" i="7"/>
  <c r="H229" i="20"/>
  <c r="C13" i="22"/>
  <c r="D253" i="20"/>
  <c r="E674" i="17"/>
  <c r="F397"/>
  <c r="C131"/>
  <c r="H97"/>
  <c r="A71" i="7"/>
  <c r="G404" i="17"/>
  <c r="B132"/>
  <c r="I104"/>
  <c r="A72" i="7"/>
  <c r="D663" i="17"/>
  <c r="B221"/>
  <c r="A148" i="13"/>
  <c r="D127" i="7"/>
  <c r="H1" i="21"/>
  <c r="B225" i="23"/>
  <c r="D261" i="20"/>
  <c r="F681" i="17"/>
  <c r="E454"/>
  <c r="D138"/>
  <c r="G154"/>
  <c r="A79" i="7"/>
  <c r="F461" i="17"/>
  <c r="C139"/>
  <c r="H161"/>
  <c r="A80" i="7"/>
  <c r="H691" i="17"/>
  <c r="G230"/>
  <c r="A156" i="13"/>
  <c r="B149" i="7"/>
  <c r="D34" i="17"/>
  <c r="F133" i="13"/>
  <c r="E503" i="17"/>
  <c r="B141"/>
  <c r="A61" i="13"/>
  <c r="J385" i="6"/>
  <c r="F454" i="17"/>
  <c r="C92"/>
  <c r="A6" i="13"/>
  <c r="Q348" i="6"/>
  <c r="A299" i="17"/>
  <c r="F41" i="16"/>
  <c r="H152" i="13"/>
  <c r="Q278" i="6"/>
  <c r="I299" i="17"/>
  <c r="F42" i="16"/>
  <c r="H160" i="13"/>
  <c r="E279" i="6"/>
  <c r="G126" i="7"/>
  <c r="B35" i="6"/>
  <c r="C263" i="5"/>
  <c r="E244"/>
  <c r="P393" i="6"/>
  <c r="R25"/>
  <c r="S253" i="5"/>
  <c r="L229"/>
  <c r="H271" i="7"/>
  <c r="N16" i="6"/>
  <c r="O244" i="5"/>
  <c r="H220"/>
  <c r="H279" i="7"/>
  <c r="B17" i="6"/>
  <c r="F60" i="12"/>
  <c r="F197" i="13"/>
  <c r="F510" i="17"/>
  <c r="C148"/>
  <c r="A69" i="13"/>
  <c r="R391" i="6"/>
  <c r="G461" i="17"/>
  <c r="D99"/>
  <c r="A14" i="13"/>
  <c r="A352" i="6"/>
  <c r="B306" i="17"/>
  <c r="F49" i="16"/>
  <c r="H224" i="13"/>
  <c r="A282" i="6"/>
  <c r="A307" i="17"/>
  <c r="F50" i="16"/>
  <c r="C15" i="14"/>
  <c r="I282" i="6"/>
  <c r="G190" i="7"/>
  <c r="F38" i="6"/>
  <c r="G266" i="5"/>
  <c r="E260"/>
  <c r="G6" i="7"/>
  <c r="B29" i="6"/>
  <c r="C257" i="5"/>
  <c r="P232"/>
  <c r="F23" i="9"/>
  <c r="R19" i="6"/>
  <c r="S247" i="5"/>
  <c r="L223"/>
  <c r="F31" i="9"/>
  <c r="F20" i="6"/>
  <c r="F124" i="12"/>
  <c r="E95" i="16"/>
  <c r="G517" i="17"/>
  <c r="D155"/>
  <c r="A77" i="13"/>
  <c r="F398" i="6"/>
  <c r="H468" i="17"/>
  <c r="E106"/>
  <c r="A22" i="13"/>
  <c r="E355" i="6"/>
  <c r="C313" i="17"/>
  <c r="F57" i="16"/>
  <c r="H3" i="12"/>
  <c r="E285" i="6"/>
  <c r="B314" i="17"/>
  <c r="F58" i="16"/>
  <c r="H4" i="12"/>
  <c r="M285" i="6"/>
  <c r="G254" i="7"/>
  <c r="J41" i="6"/>
  <c r="K269" i="5"/>
  <c r="Q285"/>
  <c r="G70" i="7"/>
  <c r="F32" i="6"/>
  <c r="G260" i="5"/>
  <c r="T235"/>
  <c r="H371" i="6"/>
  <c r="B23"/>
  <c r="C251" i="5"/>
  <c r="P226"/>
  <c r="L374" i="6"/>
  <c r="J23"/>
  <c r="F188" i="12"/>
  <c r="F46"/>
  <c r="H524" i="17"/>
  <c r="E162"/>
  <c r="A85" i="13"/>
  <c r="N404" i="6"/>
  <c r="I475" i="17"/>
  <c r="F113"/>
  <c r="A30" i="13"/>
  <c r="N360" i="6"/>
  <c r="D320" i="17"/>
  <c r="F65" i="16"/>
  <c r="H11" i="12"/>
  <c r="I288" i="6"/>
  <c r="C321" i="17"/>
  <c r="F66" i="16"/>
  <c r="H12" i="12"/>
  <c r="Q288" i="6"/>
  <c r="E6" i="9"/>
  <c r="N44" i="6"/>
  <c r="O272" i="5"/>
  <c r="I311"/>
  <c r="G134" i="7"/>
  <c r="J35" i="6"/>
  <c r="K263" i="5"/>
  <c r="Q245"/>
  <c r="T396" i="6"/>
  <c r="F26"/>
  <c r="G254" i="5"/>
  <c r="T229"/>
  <c r="D400" i="6"/>
  <c r="N26"/>
  <c r="F252" i="12"/>
  <c r="F110"/>
  <c r="I531" i="17"/>
  <c r="F169"/>
  <c r="A93" i="13"/>
  <c r="B411" i="6"/>
  <c r="A483" i="17"/>
  <c r="G120"/>
  <c r="A38" i="13"/>
  <c r="B367" i="6"/>
  <c r="E327" i="17"/>
  <c r="F73" i="16"/>
  <c r="H19" i="12"/>
  <c r="M291" i="6"/>
  <c r="D328" i="17"/>
  <c r="F74" i="16"/>
  <c r="H20" i="12"/>
  <c r="A292" i="6"/>
  <c r="K364"/>
  <c r="R47"/>
  <c r="S275" i="5"/>
  <c r="A337"/>
  <c r="G198" i="7"/>
  <c r="N38" i="6"/>
  <c r="O266" i="5"/>
  <c r="I263"/>
  <c r="G14" i="7"/>
  <c r="J29" i="6"/>
  <c r="K257" i="5"/>
  <c r="D233"/>
  <c r="G22" i="7"/>
  <c r="R29" i="6"/>
  <c r="F83" i="13"/>
  <c r="G197" i="12"/>
  <c r="B482" i="17"/>
  <c r="H119"/>
  <c r="A37" i="13"/>
  <c r="F366" i="6"/>
  <c r="C433" i="17"/>
  <c r="I70"/>
  <c r="H71" i="13"/>
  <c r="E339" i="6"/>
  <c r="G277" i="17"/>
  <c r="F17" i="16"/>
  <c r="C103" i="25"/>
  <c r="H843" i="17"/>
  <c r="A858"/>
  <c r="C872"/>
  <c r="E886"/>
  <c r="G900"/>
  <c r="I914"/>
  <c r="B935"/>
  <c r="H715"/>
  <c r="A730"/>
  <c r="C744"/>
  <c r="E157"/>
  <c r="C31"/>
  <c r="B225"/>
  <c r="C95"/>
  <c r="F234"/>
  <c r="F502"/>
  <c r="C140"/>
  <c r="A60" i="13"/>
  <c r="N384" i="6"/>
  <c r="H101" i="20"/>
  <c r="G236"/>
  <c r="D237"/>
  <c r="C660" i="17"/>
  <c r="H283"/>
  <c r="A117"/>
  <c r="A32"/>
  <c r="A55" i="7"/>
  <c r="I290" i="17"/>
  <c r="I117"/>
  <c r="F35"/>
  <c r="A56" i="7"/>
  <c r="E606" i="17"/>
  <c r="C204"/>
  <c r="A132" i="13"/>
  <c r="B85" i="7"/>
  <c r="G169" i="20"/>
  <c r="F40"/>
  <c r="F31" i="23"/>
  <c r="C724" i="17"/>
  <c r="H378"/>
  <c r="A181"/>
  <c r="E72" i="16"/>
  <c r="A127" i="7"/>
  <c r="I385" i="17"/>
  <c r="I181"/>
  <c r="E76" i="16"/>
  <c r="A128" i="7"/>
  <c r="E862" i="17"/>
  <c r="I455"/>
  <c r="A204" i="13"/>
  <c r="B277" i="7"/>
  <c r="G233" i="20"/>
  <c r="F48"/>
  <c r="F63" i="23"/>
  <c r="D731" i="17"/>
  <c r="G435"/>
  <c r="B188"/>
  <c r="E104" i="16"/>
  <c r="A135" i="7"/>
  <c r="H442" i="17"/>
  <c r="A189"/>
  <c r="E108" i="16"/>
  <c r="A136" i="7"/>
  <c r="I890" i="17"/>
  <c r="H512"/>
  <c r="B215" i="13"/>
  <c r="C7" i="8"/>
  <c r="C5" i="22"/>
  <c r="F104" i="20"/>
  <c r="F95" i="23"/>
  <c r="E738" i="17"/>
  <c r="F492"/>
  <c r="C195"/>
  <c r="A21"/>
  <c r="A143" i="7"/>
  <c r="G499" i="17"/>
  <c r="B196"/>
  <c r="F24"/>
  <c r="A144" i="7"/>
  <c r="D919" i="17"/>
  <c r="I618"/>
  <c r="B231" i="13"/>
  <c r="B40" i="9"/>
  <c r="H58" i="16"/>
  <c r="E110" i="13"/>
  <c r="F581" i="17"/>
  <c r="A198"/>
  <c r="A125" i="13"/>
  <c r="C66" i="7"/>
  <c r="E511" i="17"/>
  <c r="B149"/>
  <c r="A70" i="13"/>
  <c r="N392" i="6"/>
  <c r="I355" i="17"/>
  <c r="F105" i="16"/>
  <c r="H53" i="12"/>
  <c r="I304" i="6"/>
  <c r="H356" i="17"/>
  <c r="F106" i="16"/>
  <c r="A55" i="12"/>
  <c r="Q304" i="6"/>
  <c r="F125" i="7"/>
  <c r="N60" i="6"/>
  <c r="O288" i="5"/>
  <c r="AG251" i="4"/>
  <c r="G393" i="6"/>
  <c r="J51"/>
  <c r="K279" i="5"/>
  <c r="Q365"/>
  <c r="G270" i="7"/>
  <c r="F42" i="6"/>
  <c r="G270" i="5"/>
  <c r="E292"/>
  <c r="G278" i="7"/>
  <c r="N42" i="6"/>
  <c r="A543" i="17"/>
  <c r="E174" i="13"/>
  <c r="A610" i="17"/>
  <c r="B205"/>
  <c r="A133" i="13"/>
  <c r="D87" i="7"/>
  <c r="F518" i="17"/>
  <c r="C156"/>
  <c r="A78" i="13"/>
  <c r="B399" i="6"/>
  <c r="A363" i="17"/>
  <c r="F113" i="16"/>
  <c r="D63" i="12"/>
  <c r="M307" i="6"/>
  <c r="I363" i="17"/>
  <c r="F114" i="16"/>
  <c r="A65" i="12"/>
  <c r="A308" i="6"/>
  <c r="F189" i="7"/>
  <c r="R63" i="6"/>
  <c r="S291" i="5"/>
  <c r="AF255" i="4"/>
  <c r="F5" i="7"/>
  <c r="N54" i="6"/>
  <c r="O282" i="5"/>
  <c r="I391"/>
  <c r="E22" i="9"/>
  <c r="J45" i="6"/>
  <c r="K273" i="5"/>
  <c r="Q317"/>
  <c r="E30" i="9"/>
  <c r="R45" i="6"/>
  <c r="E184" i="12"/>
  <c r="H2" i="16"/>
  <c r="E638" i="17"/>
  <c r="I212"/>
  <c r="A141" i="13"/>
  <c r="B109" i="7"/>
  <c r="G525" i="17"/>
  <c r="D163"/>
  <c r="A86" i="13"/>
  <c r="J405" i="6"/>
  <c r="B370" i="17"/>
  <c r="H7"/>
  <c r="B76" i="12"/>
  <c r="Q310" i="6"/>
  <c r="A371" i="17"/>
  <c r="G8"/>
  <c r="G77" i="12"/>
  <c r="E311" i="6"/>
  <c r="F253" i="7"/>
  <c r="B67" i="6"/>
  <c r="C295" i="5"/>
  <c r="AE259" i="4"/>
  <c r="F69" i="7"/>
  <c r="R57" i="6"/>
  <c r="S285" i="5"/>
  <c r="A417"/>
  <c r="S370" i="6"/>
  <c r="N48"/>
  <c r="O276" i="5"/>
  <c r="I343"/>
  <c r="C374" i="6"/>
  <c r="B49"/>
  <c r="E248" i="12"/>
  <c r="F179" i="17"/>
  <c r="I666"/>
  <c r="D222"/>
  <c r="A149" i="13"/>
  <c r="C130" i="7"/>
  <c r="H532" i="17"/>
  <c r="E170"/>
  <c r="A94" i="13"/>
  <c r="R411" i="6"/>
  <c r="C377" i="17"/>
  <c r="I14"/>
  <c r="A89" i="12"/>
  <c r="A314" i="6"/>
  <c r="B378" i="17"/>
  <c r="H15"/>
  <c r="E90" i="12"/>
  <c r="I314" i="6"/>
  <c r="D5" i="9"/>
  <c r="F70" i="6"/>
  <c r="G298" i="5"/>
  <c r="J263" i="4"/>
  <c r="F133" i="7"/>
  <c r="B61" i="6"/>
  <c r="C289" i="5"/>
  <c r="E252" i="4"/>
  <c r="K396" i="6"/>
  <c r="R51"/>
  <c r="S279" i="5"/>
  <c r="A369"/>
  <c r="O399" i="6"/>
  <c r="F52"/>
  <c r="D56" i="13"/>
  <c r="E170" i="12"/>
  <c r="D695" i="17"/>
  <c r="H231"/>
  <c r="A157" i="13"/>
  <c r="D151" i="7"/>
  <c r="I539" i="17"/>
  <c r="F177"/>
  <c r="A102" i="13"/>
  <c r="B5" i="7"/>
  <c r="D384" i="17"/>
  <c r="A22"/>
  <c r="G101" i="12"/>
  <c r="E317" i="6"/>
  <c r="C385" i="17"/>
  <c r="I22"/>
  <c r="D103" i="12"/>
  <c r="M317" i="6"/>
  <c r="B364"/>
  <c r="J73"/>
  <c r="K301" i="5"/>
  <c r="I267" i="4"/>
  <c r="F197" i="7"/>
  <c r="F64" i="6"/>
  <c r="G292" i="5"/>
  <c r="D256" i="4"/>
  <c r="F13" i="7"/>
  <c r="B55" i="6"/>
  <c r="C283" i="5"/>
  <c r="M394"/>
  <c r="F21" i="7"/>
  <c r="J55" i="6"/>
  <c r="E60" i="13"/>
  <c r="F174" i="12"/>
  <c r="A539" i="17"/>
  <c r="G176"/>
  <c r="A101" i="13"/>
  <c r="C2" i="7"/>
  <c r="B490" i="17"/>
  <c r="H127"/>
  <c r="A46" i="13"/>
  <c r="J373" i="6"/>
  <c r="F334" i="17"/>
  <c r="F81" i="16"/>
  <c r="C83" i="25"/>
  <c r="F846" i="17"/>
  <c r="H860"/>
  <c r="A875"/>
  <c r="C889"/>
  <c r="E903"/>
  <c r="G917"/>
  <c r="D942"/>
  <c r="F718"/>
  <c r="H732"/>
  <c r="A747"/>
  <c r="B650"/>
  <c r="D451"/>
  <c r="B906"/>
  <c r="D515"/>
  <c r="E949"/>
  <c r="A578"/>
  <c r="B197"/>
  <c r="A124" i="13"/>
  <c r="D63" i="7"/>
  <c r="G105" i="20"/>
  <c r="G4" i="19"/>
  <c r="B1" i="23"/>
  <c r="B717" i="17"/>
  <c r="I321"/>
  <c r="I173"/>
  <c r="E40" i="16"/>
  <c r="A119" i="7"/>
  <c r="A329" i="17"/>
  <c r="H174"/>
  <c r="E44" i="16"/>
  <c r="A120" i="7"/>
  <c r="A834" i="17"/>
  <c r="A399"/>
  <c r="A196" i="13"/>
  <c r="D255" i="7"/>
  <c r="F173" i="20"/>
  <c r="C2" i="22"/>
  <c r="E58" i="24"/>
  <c r="B781" i="17"/>
  <c r="F379"/>
  <c r="A247"/>
  <c r="H64" i="12"/>
  <c r="A191" i="7"/>
  <c r="G386" i="17"/>
  <c r="G248"/>
  <c r="H65" i="12"/>
  <c r="A192" i="7"/>
  <c r="C272" i="17"/>
  <c r="G111"/>
  <c r="G10"/>
  <c r="A49" i="7"/>
  <c r="F237" i="20"/>
  <c r="F12" i="23"/>
  <c r="H135" i="24"/>
  <c r="C788" i="17"/>
  <c r="E436"/>
  <c r="B270"/>
  <c r="H72" i="12"/>
  <c r="A199" i="7"/>
  <c r="F443" i="17"/>
  <c r="C277"/>
  <c r="H73" i="12"/>
  <c r="A200" i="7"/>
  <c r="A298" i="17"/>
  <c r="H118"/>
  <c r="B39"/>
  <c r="A57" i="7"/>
  <c r="G1" i="23"/>
  <c r="F236"/>
  <c r="G24" i="25"/>
  <c r="D795" i="17"/>
  <c r="D493"/>
  <c r="A327"/>
  <c r="H80" i="12"/>
  <c r="A207" i="7"/>
  <c r="E500" i="17"/>
  <c r="B334"/>
  <c r="H81" i="12"/>
  <c r="A208" i="7"/>
  <c r="I354" i="17"/>
  <c r="I125"/>
  <c r="F67"/>
  <c r="A65" i="7"/>
  <c r="D308" i="17"/>
  <c r="D170" i="13"/>
  <c r="B809" i="17"/>
  <c r="C349"/>
  <c r="A189" i="13"/>
  <c r="B237" i="7"/>
  <c r="F613" i="17"/>
  <c r="A206"/>
  <c r="A134" i="13"/>
  <c r="C90" i="7"/>
  <c r="H412" i="17"/>
  <c r="E50"/>
  <c r="B199" i="12"/>
  <c r="A330" i="6"/>
  <c r="G413" i="17"/>
  <c r="D51"/>
  <c r="B203" i="12"/>
  <c r="I330" i="6"/>
  <c r="E124" i="7"/>
  <c r="F86" i="6"/>
  <c r="G314" i="5"/>
  <c r="H283" i="4"/>
  <c r="R392" i="6"/>
  <c r="B77"/>
  <c r="C305" i="5"/>
  <c r="AJ271" i="4"/>
  <c r="F269" i="7"/>
  <c r="R67" i="6"/>
  <c r="S295" i="5"/>
  <c r="AD260" i="4"/>
  <c r="F277" i="7"/>
  <c r="F68" i="6"/>
  <c r="D183" i="12"/>
  <c r="B22" i="15"/>
  <c r="F837" i="17"/>
  <c r="B406"/>
  <c r="A197" i="13"/>
  <c r="C258" i="7"/>
  <c r="A642" i="17"/>
  <c r="A214"/>
  <c r="A142" i="13"/>
  <c r="D111" i="7"/>
  <c r="I419" i="17"/>
  <c r="F57"/>
  <c r="B231" i="12"/>
  <c r="E333" i="6"/>
  <c r="H420" i="17"/>
  <c r="E58"/>
  <c r="B235" i="12"/>
  <c r="M333" i="6"/>
  <c r="E188" i="7"/>
  <c r="J89" i="6"/>
  <c r="K317" i="5"/>
  <c r="H287" i="4"/>
  <c r="E4" i="7"/>
  <c r="F80" i="6"/>
  <c r="G308" i="5"/>
  <c r="AJ275" i="4"/>
  <c r="D21" i="9"/>
  <c r="B71" i="6"/>
  <c r="C299" i="5"/>
  <c r="J264" i="4"/>
  <c r="D29" i="9"/>
  <c r="J71" i="6"/>
  <c r="D247" i="12"/>
  <c r="C150" i="17"/>
  <c r="A866"/>
  <c r="A463"/>
  <c r="A205" i="13"/>
  <c r="D279" i="7"/>
  <c r="E670" i="17"/>
  <c r="F223"/>
  <c r="A150" i="13"/>
  <c r="B133" i="7"/>
  <c r="A427" i="17"/>
  <c r="G64"/>
  <c r="H15" i="13"/>
  <c r="I336" i="6"/>
  <c r="I427" i="17"/>
  <c r="F65"/>
  <c r="H23" i="13"/>
  <c r="Q336" i="6"/>
  <c r="E252" i="7"/>
  <c r="N92" i="6"/>
  <c r="O320" i="5"/>
  <c r="H291" i="4"/>
  <c r="E68" i="7"/>
  <c r="J83" i="6"/>
  <c r="K311" i="5"/>
  <c r="AJ279" i="4"/>
  <c r="J370" i="6"/>
  <c r="F74"/>
  <c r="G302" i="5"/>
  <c r="I268" i="4"/>
  <c r="N373" i="6"/>
  <c r="N74"/>
  <c r="C55" i="13"/>
  <c r="D169" i="12"/>
  <c r="E894" i="17"/>
  <c r="I519"/>
  <c r="B217" i="13"/>
  <c r="C11" i="8"/>
  <c r="I698" i="17"/>
  <c r="A233"/>
  <c r="A158" i="13"/>
  <c r="C154" i="7"/>
  <c r="B434" i="17"/>
  <c r="H71"/>
  <c r="H79" i="13"/>
  <c r="M339" i="6"/>
  <c r="A435" i="17"/>
  <c r="G72"/>
  <c r="H87" i="13"/>
  <c r="A340" i="6"/>
  <c r="C4" i="9"/>
  <c r="R95" i="6"/>
  <c r="S323" i="5"/>
  <c r="G295" i="4"/>
  <c r="E132" i="7"/>
  <c r="N86" i="6"/>
  <c r="O314" i="5"/>
  <c r="AJ283" i="4"/>
  <c r="B396" i="6"/>
  <c r="J77"/>
  <c r="K305" i="5"/>
  <c r="H272" i="4"/>
  <c r="F399" i="6"/>
  <c r="R77"/>
  <c r="C119" i="13"/>
  <c r="D233" i="12"/>
  <c r="I922" i="17"/>
  <c r="D647"/>
  <c r="C2" i="14"/>
  <c r="A2" i="7"/>
  <c r="D727" i="17"/>
  <c r="E242"/>
  <c r="A166" i="13"/>
  <c r="D175" i="7"/>
  <c r="C441" i="17"/>
  <c r="I78"/>
  <c r="H143" i="13"/>
  <c r="Q342" i="6"/>
  <c r="B442" i="17"/>
  <c r="H79"/>
  <c r="H151" i="13"/>
  <c r="E343" i="6"/>
  <c r="A14" i="9"/>
  <c r="B99" i="6"/>
  <c r="C327" i="5"/>
  <c r="F299" i="4"/>
  <c r="E196" i="7"/>
  <c r="R89" i="6"/>
  <c r="S317" i="5"/>
  <c r="AJ287" i="4"/>
  <c r="E12" i="7"/>
  <c r="N80" i="6"/>
  <c r="O308" i="5"/>
  <c r="H276" i="4"/>
  <c r="E20" i="7"/>
  <c r="B81" i="6"/>
  <c r="D120" i="13"/>
  <c r="E234" i="12"/>
  <c r="H723" i="17"/>
  <c r="D241"/>
  <c r="A165" i="13"/>
  <c r="B173" i="7"/>
  <c r="A547" i="17"/>
  <c r="G184"/>
  <c r="A110" i="13"/>
  <c r="C26" i="7"/>
  <c r="E391" i="17"/>
  <c r="B29"/>
  <c r="B30" i="28"/>
  <c r="F30" i="20"/>
  <c r="B802" i="17"/>
  <c r="E351"/>
  <c r="C225"/>
  <c r="E415"/>
  <c r="C289"/>
  <c r="F422"/>
  <c r="D296"/>
  <c r="G429"/>
  <c r="E303"/>
  <c r="A62" i="12"/>
  <c r="D4" i="10"/>
  <c r="G131" i="6"/>
  <c r="S112"/>
  <c r="G74" i="12"/>
  <c r="D12" i="10"/>
  <c r="K134" i="6"/>
  <c r="C116"/>
  <c r="E87" i="12"/>
  <c r="C1"/>
  <c r="O137" i="6"/>
  <c r="G119"/>
  <c r="D100" i="12"/>
  <c r="B9"/>
  <c r="S140" i="6"/>
  <c r="K122"/>
  <c r="B113" i="12"/>
  <c r="B17"/>
  <c r="C144" i="6"/>
  <c r="O125"/>
  <c r="A35" i="12"/>
  <c r="A63" i="13"/>
  <c r="B387" i="6"/>
  <c r="B506" i="17"/>
  <c r="H143"/>
  <c r="A64" i="13"/>
  <c r="R387" i="6"/>
  <c r="A222" i="12"/>
  <c r="R127" i="6"/>
  <c r="S355" i="5"/>
  <c r="AI334" i="4"/>
  <c r="B186" i="12"/>
  <c r="N118" i="6"/>
  <c r="O346" i="5"/>
  <c r="J323" i="4"/>
  <c r="A151" i="12"/>
  <c r="J109" i="6"/>
  <c r="K337" i="5"/>
  <c r="E312" i="4"/>
  <c r="A183" i="12"/>
  <c r="R109" i="6"/>
  <c r="E45" i="16"/>
  <c r="B106" i="13"/>
  <c r="H475" i="17"/>
  <c r="A141"/>
  <c r="A176"/>
  <c r="A82" i="7"/>
  <c r="G252" i="17"/>
  <c r="B92"/>
  <c r="H36" i="16"/>
  <c r="A27" i="7"/>
  <c r="D512" i="17"/>
  <c r="A150"/>
  <c r="A71" i="13"/>
  <c r="J393" i="6"/>
  <c r="C513" i="17"/>
  <c r="I150"/>
  <c r="A72" i="13"/>
  <c r="F394" i="6"/>
  <c r="D20" i="12"/>
  <c r="B131" i="6"/>
  <c r="C359" i="5"/>
  <c r="AG338" i="4"/>
  <c r="F1" i="12"/>
  <c r="R121" i="6"/>
  <c r="S349" i="5"/>
  <c r="J327" i="4"/>
  <c r="H11" i="10"/>
  <c r="N112" i="6"/>
  <c r="O340" i="5"/>
  <c r="C316" i="4"/>
  <c r="G5" i="11"/>
  <c r="B113" i="6"/>
  <c r="G355"/>
  <c r="G263"/>
  <c r="M235" i="5"/>
  <c r="E217"/>
  <c r="K347"/>
  <c r="J324" i="4"/>
  <c r="A215" i="12"/>
  <c r="F110" i="6"/>
  <c r="G338" i="5"/>
  <c r="E313" i="4"/>
  <c r="J257" i="6"/>
  <c r="Q235"/>
  <c r="S46"/>
  <c r="H26" i="5"/>
  <c r="F246" i="6"/>
  <c r="K225"/>
  <c r="S40"/>
  <c r="H20" i="5"/>
  <c r="J108"/>
  <c r="D134" i="4"/>
  <c r="S343" i="3"/>
  <c r="H283"/>
  <c r="C285" i="4"/>
  <c r="B193"/>
  <c r="P196" i="3"/>
  <c r="U144"/>
  <c r="AE285" i="4"/>
  <c r="J193"/>
  <c r="Y196" i="3"/>
  <c r="D145"/>
  <c r="C290" i="4"/>
  <c r="AH197"/>
  <c r="O200" i="3"/>
  <c r="H148"/>
  <c r="AE290" i="4"/>
  <c r="F198"/>
  <c r="Y200" i="3"/>
  <c r="Q148"/>
  <c r="C291" i="4"/>
  <c r="AH198"/>
  <c r="K201" i="3"/>
  <c r="Z148"/>
  <c r="J295" i="4"/>
  <c r="E203"/>
  <c r="C205" i="3"/>
  <c r="E152"/>
  <c r="E412"/>
  <c r="Z293"/>
  <c r="G336" i="5"/>
  <c r="U52" i="3"/>
  <c r="I33"/>
  <c r="N292"/>
  <c r="D236" i="4"/>
  <c r="Y39" i="3"/>
  <c r="G352"/>
  <c r="H724" i="17"/>
  <c r="T191" i="5"/>
  <c r="D135" i="13"/>
  <c r="J346" i="5"/>
  <c r="Z184" i="3"/>
  <c r="AG344" i="4"/>
  <c r="V287" i="3"/>
  <c r="AG381" i="4"/>
  <c r="D232" i="3"/>
  <c r="A101" i="16"/>
  <c r="H234" i="17"/>
  <c r="P65" i="6"/>
  <c r="T56"/>
  <c r="S90"/>
  <c r="H70" i="5"/>
  <c r="I279" i="6"/>
  <c r="K270" i="5"/>
  <c r="O81" i="6"/>
  <c r="D61" i="5"/>
  <c r="C111" i="7"/>
  <c r="H391" i="5"/>
  <c r="M232"/>
  <c r="E183"/>
  <c r="C71" i="7"/>
  <c r="H385" i="5"/>
  <c r="M226"/>
  <c r="E177"/>
  <c r="O181"/>
  <c r="B58" i="4"/>
  <c r="Y100" i="3"/>
  <c r="V372"/>
  <c r="C38" i="5"/>
  <c r="H117" i="4"/>
  <c r="L329" i="3"/>
  <c r="N225"/>
  <c r="K38" i="5"/>
  <c r="AJ117" i="4"/>
  <c r="V329" i="3"/>
  <c r="X225"/>
  <c r="C42" i="5"/>
  <c r="G122" i="4"/>
  <c r="N333" i="3"/>
  <c r="P229"/>
  <c r="K42" i="5"/>
  <c r="AI122" i="4"/>
  <c r="X333" i="3"/>
  <c r="B230"/>
  <c r="S42" i="5"/>
  <c r="G123" i="4"/>
  <c r="J334" i="3"/>
  <c r="L230"/>
  <c r="K46" i="5"/>
  <c r="AH127" i="4"/>
  <c r="B338" i="3"/>
  <c r="D234"/>
  <c r="A66"/>
  <c r="N107"/>
  <c r="A98" i="4"/>
  <c r="E101" i="3"/>
  <c r="Q46"/>
  <c r="Q35"/>
  <c r="C76"/>
  <c r="AE242" i="4"/>
  <c r="N43" i="3"/>
  <c r="N249" i="6"/>
  <c r="E270" i="5"/>
  <c r="D592" i="17"/>
  <c r="A372" i="5"/>
  <c r="S366" i="3"/>
  <c r="G396" i="4"/>
  <c r="B209" i="3"/>
  <c r="P228" i="5"/>
  <c r="P330" i="3"/>
  <c r="C47" i="17"/>
  <c r="E718"/>
  <c r="H91" i="6"/>
  <c r="L82"/>
  <c r="C94"/>
  <c r="L73" i="5"/>
  <c r="A305" i="6"/>
  <c r="O273" i="5"/>
  <c r="S84" i="6"/>
  <c r="H64" i="5"/>
  <c r="D132" i="7"/>
  <c r="L394" i="5"/>
  <c r="Q235"/>
  <c r="I186"/>
  <c r="D92" i="7"/>
  <c r="L388" i="5"/>
  <c r="Q229"/>
  <c r="I180"/>
  <c r="S184"/>
  <c r="AJ61" i="4"/>
  <c r="K103" i="3"/>
  <c r="B376"/>
  <c r="B61" i="20"/>
  <c r="F488" i="17"/>
  <c r="F109" i="20"/>
  <c r="H329" i="17"/>
  <c r="E175" i="20"/>
  <c r="C719" i="17"/>
  <c r="E239" i="20"/>
  <c r="B776" i="17"/>
  <c r="B4" i="23"/>
  <c r="A833" i="17"/>
  <c r="C120" i="12"/>
  <c r="A198" i="13"/>
  <c r="A24"/>
  <c r="O330" i="5"/>
  <c r="C184" i="12"/>
  <c r="A206" i="13"/>
  <c r="A32"/>
  <c r="S333" i="5"/>
  <c r="C248" i="12"/>
  <c r="B219" i="13"/>
  <c r="A40"/>
  <c r="C337" i="5"/>
  <c r="B56" i="13"/>
  <c r="B5" i="14"/>
  <c r="A48" i="13"/>
  <c r="G340" i="5"/>
  <c r="B120" i="13"/>
  <c r="F10" i="15"/>
  <c r="A56" i="13"/>
  <c r="K343" i="5"/>
  <c r="C183" i="13"/>
  <c r="A174"/>
  <c r="F379" i="6"/>
  <c r="F412"/>
  <c r="A49" i="17"/>
  <c r="D134" i="13"/>
  <c r="N379" i="6"/>
  <c r="B413"/>
  <c r="T170"/>
  <c r="T151"/>
  <c r="B407" i="4"/>
  <c r="C346"/>
  <c r="P161" i="6"/>
  <c r="P142"/>
  <c r="AF395" i="4"/>
  <c r="A335"/>
  <c r="L152" i="6"/>
  <c r="L133"/>
  <c r="G384" i="4"/>
  <c r="AF323"/>
  <c r="T152" i="6"/>
  <c r="D779" i="17"/>
  <c r="I271"/>
  <c r="L306" i="6"/>
  <c r="E387" i="17"/>
  <c r="D178" i="12"/>
  <c r="E144" i="7"/>
  <c r="T274" i="6"/>
  <c r="I210" i="17"/>
  <c r="I535"/>
  <c r="E89" i="7"/>
  <c r="T252" i="6"/>
  <c r="C55" i="17"/>
  <c r="D141" i="13"/>
  <c r="J382" i="6"/>
  <c r="C6" i="7"/>
  <c r="B56" i="17"/>
  <c r="D142" i="13"/>
  <c r="R382" i="6"/>
  <c r="B9" i="7"/>
  <c r="D174" i="6"/>
  <c r="D155"/>
  <c r="B411" i="4"/>
  <c r="C350"/>
  <c r="T164" i="6"/>
  <c r="T145"/>
  <c r="AE399" i="4"/>
  <c r="AI338"/>
  <c r="P155" i="6"/>
  <c r="P136"/>
  <c r="E388" i="4"/>
  <c r="AE327"/>
  <c r="D156" i="6"/>
  <c r="H369"/>
  <c r="F345"/>
  <c r="N275"/>
  <c r="L21" i="5"/>
  <c r="L143" i="6"/>
  <c r="AF396" i="4"/>
  <c r="AJ335"/>
  <c r="H153" i="6"/>
  <c r="H134"/>
  <c r="G385" i="4"/>
  <c r="AF324"/>
  <c r="Q278" i="5"/>
  <c r="M73" i="6"/>
  <c r="B85" i="5"/>
  <c r="F35"/>
  <c r="Q272"/>
  <c r="M67" i="6"/>
  <c r="B79" i="5"/>
  <c r="F29"/>
  <c r="P33"/>
  <c r="D100" i="4"/>
  <c r="A334" i="3"/>
  <c r="K231" i="6"/>
  <c r="E275" i="4"/>
  <c r="Y365" i="3"/>
  <c r="G188"/>
  <c r="O234" i="6"/>
  <c r="AG275" i="4"/>
  <c r="G366" i="3"/>
  <c r="P188"/>
  <c r="K263" i="6"/>
  <c r="E280" i="4"/>
  <c r="A369" i="3"/>
  <c r="T191"/>
  <c r="O266" i="6"/>
  <c r="AG280" i="4"/>
  <c r="I369" i="3"/>
  <c r="D192"/>
  <c r="S269" i="6"/>
  <c r="E281" i="4"/>
  <c r="Q369" i="3"/>
  <c r="M192"/>
  <c r="O298" i="6"/>
  <c r="AG285" i="4"/>
  <c r="K372" i="3"/>
  <c r="Q195"/>
  <c r="C292" i="4"/>
  <c r="S383" i="3"/>
  <c r="A406"/>
  <c r="G228"/>
  <c r="K211"/>
  <c r="O268"/>
  <c r="Q99"/>
  <c r="H155"/>
  <c r="R247"/>
  <c r="F176"/>
  <c r="K5" i="6"/>
  <c r="K157"/>
  <c r="T405" i="5"/>
  <c r="I196"/>
  <c r="I220" i="4"/>
  <c r="I163" i="3"/>
  <c r="AI54" i="4"/>
  <c r="S189" i="3"/>
  <c r="D459" i="17"/>
  <c r="B857"/>
  <c r="P276" i="6"/>
  <c r="H258"/>
  <c r="M117"/>
  <c r="B129" i="5"/>
  <c r="F79"/>
  <c r="M313"/>
  <c r="I108" i="6"/>
  <c r="R119" i="5"/>
  <c r="I100" i="17"/>
  <c r="M22" i="6"/>
  <c r="N229"/>
  <c r="C225" i="5"/>
  <c r="D106" i="16"/>
  <c r="M16" i="6"/>
  <c r="N223"/>
  <c r="C219" i="5"/>
  <c r="J388"/>
  <c r="AH156" i="4"/>
  <c r="Y281" i="3"/>
  <c r="Q93"/>
  <c r="H36" i="6"/>
  <c r="F215" i="4"/>
  <c r="M171" i="3"/>
  <c r="P347"/>
  <c r="L39" i="6"/>
  <c r="AH215" i="4"/>
  <c r="U171" i="3"/>
  <c r="Z347"/>
  <c r="H68" i="6"/>
  <c r="F220" i="4"/>
  <c r="O174" i="3"/>
  <c r="R351"/>
  <c r="L71" i="6"/>
  <c r="AH220" i="4"/>
  <c r="W174" i="3"/>
  <c r="B352"/>
  <c r="P74" i="6"/>
  <c r="F221" i="4"/>
  <c r="E175" i="3"/>
  <c r="N352"/>
  <c r="L103" i="6"/>
  <c r="AG225" i="4"/>
  <c r="Y177" i="3"/>
  <c r="F356"/>
  <c r="AJ198" i="4"/>
  <c r="E32" i="3"/>
  <c r="B62"/>
  <c r="I18"/>
  <c r="E215" i="4"/>
  <c r="M26" i="3"/>
  <c r="W335"/>
  <c r="K401"/>
  <c r="U198"/>
  <c r="L35"/>
  <c r="S89" i="6"/>
  <c r="H182"/>
  <c r="C329" i="5"/>
  <c r="AI336" i="4"/>
  <c r="AF205"/>
  <c r="X393" i="3"/>
  <c r="AI227" i="4"/>
  <c r="L398" i="3"/>
  <c r="C516" i="17"/>
  <c r="H311"/>
  <c r="H302" i="6"/>
  <c r="T283"/>
  <c r="Q120"/>
  <c r="F132" i="5"/>
  <c r="J82"/>
  <c r="Q316"/>
  <c r="M111" i="6"/>
  <c r="B123" i="5"/>
  <c r="H157" i="17"/>
  <c r="Q25" i="6"/>
  <c r="F241"/>
  <c r="G228" i="5"/>
  <c r="B51" i="17"/>
  <c r="Q19" i="6"/>
  <c r="R226"/>
  <c r="G222" i="5"/>
  <c r="B414"/>
  <c r="AF160" i="4"/>
  <c r="K284" i="3"/>
  <c r="C96"/>
  <c r="H673" i="17"/>
  <c r="F33" i="20"/>
  <c r="F39" i="17"/>
  <c r="C236"/>
  <c r="F103"/>
  <c r="B238" i="20"/>
  <c r="F167" i="17"/>
  <c r="F216" i="13"/>
  <c r="G174" i="17"/>
  <c r="F224" i="13"/>
  <c r="H181" i="17"/>
  <c r="H35" i="7"/>
  <c r="G4" i="9"/>
  <c r="C127" i="5"/>
  <c r="O108"/>
  <c r="H43" i="7"/>
  <c r="G12" i="9"/>
  <c r="G130" i="5"/>
  <c r="S111"/>
  <c r="H51" i="7"/>
  <c r="G20" i="9"/>
  <c r="K133" i="5"/>
  <c r="C115"/>
  <c r="H59" i="7"/>
  <c r="G28" i="9"/>
  <c r="O136" i="5"/>
  <c r="G118"/>
  <c r="H67" i="7"/>
  <c r="G36" i="9"/>
  <c r="S139" i="5"/>
  <c r="K121"/>
  <c r="H11" i="7"/>
  <c r="H185" i="13"/>
  <c r="B240" i="7"/>
  <c r="D816" i="17"/>
  <c r="D364"/>
  <c r="H193" i="13"/>
  <c r="D242" i="7"/>
  <c r="B141"/>
  <c r="G387" i="5"/>
  <c r="K198" i="6"/>
  <c r="T177" i="5"/>
  <c r="A334" i="6"/>
  <c r="C378" i="5"/>
  <c r="G189" i="6"/>
  <c r="P168" i="5"/>
  <c r="I260" i="6"/>
  <c r="S368" i="5"/>
  <c r="C180" i="6"/>
  <c r="L159" i="5"/>
  <c r="M263" i="6"/>
  <c r="G369" i="5"/>
  <c r="A178" i="13"/>
  <c r="A36"/>
  <c r="E375" i="17"/>
  <c r="B13"/>
  <c r="G85" i="12"/>
  <c r="E313" i="6"/>
  <c r="F326" i="17"/>
  <c r="F72" i="16"/>
  <c r="H18" i="12"/>
  <c r="E291" i="6"/>
  <c r="C841" i="17"/>
  <c r="B414"/>
  <c r="A5" i="12"/>
  <c r="C261" i="7"/>
  <c r="H844" i="17"/>
  <c r="C421"/>
  <c r="A6" i="12"/>
  <c r="B264" i="7"/>
  <c r="B16" i="9"/>
  <c r="K390" i="5"/>
  <c r="O201" i="6"/>
  <c r="D181" i="5"/>
  <c r="B363" i="6"/>
  <c r="G381" i="5"/>
  <c r="K192" i="6"/>
  <c r="T171" i="5"/>
  <c r="A286" i="6"/>
  <c r="C372" i="5"/>
  <c r="G183" i="6"/>
  <c r="P162" i="5"/>
  <c r="E289" i="6"/>
  <c r="K372" i="5"/>
  <c r="E447" i="17"/>
  <c r="H292"/>
  <c r="D368" i="6"/>
  <c r="H215" i="7"/>
  <c r="C190" i="6"/>
  <c r="L169" i="5"/>
  <c r="Q266" i="6"/>
  <c r="O369" i="5"/>
  <c r="S180" i="6"/>
  <c r="H160" i="5"/>
  <c r="S297" i="6"/>
  <c r="S77"/>
  <c r="P306" i="5"/>
  <c r="F253" i="4"/>
  <c r="S291" i="6"/>
  <c r="S71"/>
  <c r="P300" i="5"/>
  <c r="AI245" i="4"/>
  <c r="AE272"/>
  <c r="AF180"/>
  <c r="V187" i="3"/>
  <c r="Z135"/>
  <c r="G137" i="5"/>
  <c r="AJ243" i="4"/>
  <c r="U66" i="3"/>
  <c r="H327"/>
  <c r="O137" i="5"/>
  <c r="J244" i="4"/>
  <c r="C67" i="3"/>
  <c r="R327"/>
  <c r="G141" i="5"/>
  <c r="J7" i="4"/>
  <c r="W69" i="3"/>
  <c r="J331"/>
  <c r="O141" i="5"/>
  <c r="F8" i="4"/>
  <c r="E70" i="3"/>
  <c r="T331"/>
  <c r="C142" i="5"/>
  <c r="AH8" i="4"/>
  <c r="M70" i="3"/>
  <c r="F332"/>
  <c r="O145" i="5"/>
  <c r="F13" i="4"/>
  <c r="G73" i="3"/>
  <c r="X335"/>
  <c r="S7"/>
  <c r="Z105"/>
  <c r="E353" i="4"/>
  <c r="C58" i="3"/>
  <c r="S377"/>
  <c r="X259"/>
  <c r="K83"/>
  <c r="H252" i="4"/>
  <c r="I367" i="3"/>
  <c r="D286" i="7"/>
  <c r="F175" i="5"/>
  <c r="Q386" i="6"/>
  <c r="H353" i="5"/>
  <c r="I49" i="3"/>
  <c r="F193" i="4"/>
  <c r="O397" i="3"/>
  <c r="E277" i="4"/>
  <c r="C218" i="20"/>
  <c r="B132" i="13"/>
  <c r="C214" i="12"/>
  <c r="K47" i="6"/>
  <c r="S121"/>
  <c r="P350" i="5"/>
  <c r="AH307" i="4"/>
  <c r="O332" i="6"/>
  <c r="O112"/>
  <c r="L341" i="5"/>
  <c r="H296" i="4"/>
  <c r="T249" i="6"/>
  <c r="P237" i="5"/>
  <c r="A79"/>
  <c r="M29"/>
  <c r="T243" i="6"/>
  <c r="T227"/>
  <c r="A73" i="5"/>
  <c r="M23"/>
  <c r="C28"/>
  <c r="B105" i="4"/>
  <c r="D319" i="3"/>
  <c r="H215"/>
  <c r="E268" i="4"/>
  <c r="J164"/>
  <c r="O175" i="3"/>
  <c r="P88"/>
  <c r="AG268" i="4"/>
  <c r="B165"/>
  <c r="X175" i="3"/>
  <c r="X88"/>
  <c r="D273" i="4"/>
  <c r="I169"/>
  <c r="B179" i="3"/>
  <c r="R91"/>
  <c r="AF273" i="4"/>
  <c r="A170"/>
  <c r="K179" i="3"/>
  <c r="Z91"/>
  <c r="D274" i="4"/>
  <c r="I170"/>
  <c r="T179" i="3"/>
  <c r="H92"/>
  <c r="AF278" i="4"/>
  <c r="A175"/>
  <c r="Y182" i="3"/>
  <c r="B95"/>
  <c r="L73"/>
  <c r="Z82"/>
  <c r="E119"/>
  <c r="F18"/>
  <c r="P51"/>
  <c r="I379"/>
  <c r="M257"/>
  <c r="AE159" i="4"/>
  <c r="G256"/>
  <c r="E51" i="7"/>
  <c r="D255" i="17"/>
  <c r="B251" i="6"/>
  <c r="G303" i="5"/>
  <c r="E278" i="3"/>
  <c r="T40" i="5"/>
  <c r="O292" i="3"/>
  <c r="H45" i="5"/>
  <c r="G190" i="24"/>
  <c r="B196" i="13"/>
  <c r="B22"/>
  <c r="C73" i="6"/>
  <c r="C125"/>
  <c r="T353" i="5"/>
  <c r="AH311" i="4"/>
  <c r="S335" i="6"/>
  <c r="S115"/>
  <c r="P344" i="5"/>
  <c r="G300" i="4"/>
  <c r="D253" i="6"/>
  <c r="T240" i="5"/>
  <c r="E82"/>
  <c r="Q32"/>
  <c r="D247" i="6"/>
  <c r="J234"/>
  <c r="E76" i="5"/>
  <c r="Q26"/>
  <c r="G31"/>
  <c r="B109" i="4"/>
  <c r="L322" i="3"/>
  <c r="N218"/>
  <c r="B117" i="20"/>
  <c r="B241" i="12"/>
  <c r="C662" i="17"/>
  <c r="F93" i="12"/>
  <c r="H962" i="17"/>
  <c r="F165" i="12"/>
  <c r="F981" i="17"/>
  <c r="F173" i="12"/>
  <c r="B9" i="22"/>
  <c r="F181" i="12"/>
  <c r="H63" i="24"/>
  <c r="F275" i="20"/>
  <c r="B231"/>
  <c r="I334" i="17"/>
  <c r="G92" i="24"/>
  <c r="F152" i="23"/>
  <c r="A301" i="17"/>
  <c r="H391"/>
  <c r="A118" i="24"/>
  <c r="H934" i="17"/>
  <c r="I357"/>
  <c r="G448"/>
  <c r="N258" i="6"/>
  <c r="G991" i="17"/>
  <c r="H414"/>
  <c r="F505"/>
  <c r="R261" i="6"/>
  <c r="E21" i="20"/>
  <c r="G471" i="17"/>
  <c r="G589"/>
  <c r="C170" i="23"/>
  <c r="F83" i="20"/>
  <c r="G36" i="7"/>
  <c r="H27" i="23"/>
  <c r="I99" i="17"/>
  <c r="G14" i="14"/>
  <c r="G37" i="7"/>
  <c r="I710" i="17"/>
  <c r="E222" i="6"/>
  <c r="I20"/>
  <c r="R31" i="5"/>
  <c r="I761" i="17"/>
  <c r="A213" i="6"/>
  <c r="E11"/>
  <c r="N22" i="5"/>
  <c r="D447" i="17"/>
  <c r="Q203" i="6"/>
  <c r="B415" i="5"/>
  <c r="J13"/>
  <c r="C504" i="17"/>
  <c r="E204" i="6"/>
  <c r="I573" i="17"/>
  <c r="A401" i="6"/>
  <c r="B345"/>
  <c r="E227" i="13"/>
  <c r="F183" i="12"/>
  <c r="G274" i="7"/>
  <c r="J313" i="6"/>
  <c r="E403" i="17"/>
  <c r="F128" i="12"/>
  <c r="G219" i="7"/>
  <c r="A3" i="21"/>
  <c r="B106" i="17"/>
  <c r="F17" i="15"/>
  <c r="G44" i="7"/>
  <c r="G48" i="23"/>
  <c r="A107" i="17"/>
  <c r="B20" i="15"/>
  <c r="G45" i="7"/>
  <c r="I709" i="17"/>
  <c r="I225" i="6"/>
  <c r="M23"/>
  <c r="B35" i="5"/>
  <c r="F763" i="17"/>
  <c r="E216" i="6"/>
  <c r="I14"/>
  <c r="R25" i="5"/>
  <c r="E485" i="17"/>
  <c r="A207" i="6"/>
  <c r="G5"/>
  <c r="N16" i="5"/>
  <c r="D542" i="17"/>
  <c r="I207" i="6"/>
  <c r="D22" i="16"/>
  <c r="C171" i="17"/>
  <c r="N257" i="5"/>
  <c r="F218" i="6"/>
  <c r="A12"/>
  <c r="J23" i="5"/>
  <c r="D584" i="17"/>
  <c r="M204" i="6"/>
  <c r="R415" i="5"/>
  <c r="F14"/>
  <c r="H101" i="16"/>
  <c r="B330" i="5"/>
  <c r="B124" i="6"/>
  <c r="K119" i="5"/>
  <c r="C142" i="13"/>
  <c r="B324" i="5"/>
  <c r="B118" i="6"/>
  <c r="K113" i="5"/>
  <c r="D344"/>
  <c r="A26" i="4"/>
  <c r="S200" i="3"/>
  <c r="N386"/>
  <c r="G240" i="5"/>
  <c r="B85" i="4"/>
  <c r="J405" i="3"/>
  <c r="H239"/>
  <c r="K243" i="5"/>
  <c r="J85" i="4"/>
  <c r="R405" i="3"/>
  <c r="R239"/>
  <c r="G272" i="5"/>
  <c r="A90" i="4"/>
  <c r="L408" i="3"/>
  <c r="J243"/>
  <c r="K275" i="5"/>
  <c r="I90" i="4"/>
  <c r="T408" i="3"/>
  <c r="T243"/>
  <c r="O278" i="5"/>
  <c r="A91" i="4"/>
  <c r="B409" i="3"/>
  <c r="F244"/>
  <c r="K307" i="5"/>
  <c r="I95" i="4"/>
  <c r="V411" i="3"/>
  <c r="X247"/>
  <c r="P350"/>
  <c r="I177" i="17"/>
  <c r="W225" i="3"/>
  <c r="U80"/>
  <c r="AI116" i="4"/>
  <c r="O174" i="5"/>
  <c r="M30" i="3"/>
  <c r="U45"/>
  <c r="M412"/>
  <c r="K61"/>
  <c r="D89" i="6"/>
  <c r="H386" i="5"/>
  <c r="G249" i="4"/>
  <c r="AF279"/>
  <c r="X169" i="3"/>
  <c r="F251" i="5"/>
  <c r="D130" i="3"/>
  <c r="G219" i="5"/>
  <c r="B94" i="12"/>
  <c r="C25"/>
  <c r="S76" i="6"/>
  <c r="K58"/>
  <c r="B168"/>
  <c r="K163" i="5"/>
  <c r="G74" i="16"/>
  <c r="R364" i="5"/>
  <c r="R158" i="6"/>
  <c r="G154" i="5"/>
  <c r="F37" i="7"/>
  <c r="F56" i="6"/>
  <c r="G284" i="5"/>
  <c r="E404"/>
  <c r="O383" i="6"/>
  <c r="F50"/>
  <c r="G278" i="5"/>
  <c r="E356"/>
  <c r="N194"/>
  <c r="J186" i="4"/>
  <c r="J321" i="3"/>
  <c r="H137"/>
  <c r="I257" i="5"/>
  <c r="AF8" i="4"/>
  <c r="X210" i="3"/>
  <c r="P375"/>
  <c r="A283" i="5"/>
  <c r="D9" i="4"/>
  <c r="F211" i="3"/>
  <c r="Z375"/>
  <c r="H242" i="4"/>
  <c r="AF13"/>
  <c r="Z213" i="3"/>
  <c r="R379"/>
  <c r="G246" i="4"/>
  <c r="D14"/>
  <c r="H214" i="3"/>
  <c r="B380"/>
  <c r="G250" i="4"/>
  <c r="AF14"/>
  <c r="P214" i="3"/>
  <c r="N380"/>
  <c r="A286" i="4"/>
  <c r="D19"/>
  <c r="J217" i="3"/>
  <c r="F384"/>
  <c r="F172"/>
  <c r="AI190" i="4"/>
  <c r="M206" i="3"/>
  <c r="O304"/>
  <c r="C141"/>
  <c r="AI120" i="4"/>
  <c r="AF385"/>
  <c r="G221" i="3"/>
  <c r="E65"/>
  <c r="E439" i="17"/>
  <c r="L267" i="5"/>
  <c r="A181"/>
  <c r="T227"/>
  <c r="S72"/>
  <c r="P401" i="3"/>
  <c r="G189" i="5"/>
  <c r="K87" i="3"/>
  <c r="AE417" i="4"/>
  <c r="H105" i="13"/>
  <c r="D110" i="12"/>
  <c r="K102" i="6"/>
  <c r="C84"/>
  <c r="F171"/>
  <c r="O166" i="5"/>
  <c r="A23" i="17"/>
  <c r="B368" i="5"/>
  <c r="B162" i="6"/>
  <c r="K157" i="5"/>
  <c r="F101" i="7"/>
  <c r="J59" i="6"/>
  <c r="K287" i="5"/>
  <c r="F250" i="4"/>
  <c r="G409" i="6"/>
  <c r="J53"/>
  <c r="K281" i="5"/>
  <c r="Q381"/>
  <c r="F220"/>
  <c r="H190" i="4"/>
  <c r="V323" i="3"/>
  <c r="D140"/>
  <c r="F72" i="20"/>
  <c r="G595" i="17"/>
  <c r="C404" i="6"/>
  <c r="F182" i="7"/>
  <c r="F40"/>
  <c r="F254"/>
  <c r="F112"/>
  <c r="F262"/>
  <c r="F120"/>
  <c r="F270"/>
  <c r="F128"/>
  <c r="B49" i="17"/>
  <c r="C23" i="15"/>
  <c r="B177" i="6"/>
  <c r="G1" i="14"/>
  <c r="I189" i="17"/>
  <c r="F676"/>
  <c r="D871"/>
  <c r="H123" i="12"/>
  <c r="A250" i="7"/>
  <c r="A408" i="17"/>
  <c r="F255"/>
  <c r="H68" i="12"/>
  <c r="A195" i="7"/>
  <c r="B222" i="20"/>
  <c r="I85" i="17"/>
  <c r="H8" i="16"/>
  <c r="A20" i="7"/>
  <c r="B254" i="20"/>
  <c r="H86" i="17"/>
  <c r="H12" i="16"/>
  <c r="A21" i="7"/>
  <c r="H191" i="12"/>
  <c r="F198" i="6"/>
  <c r="F13"/>
  <c r="O8" i="5"/>
  <c r="E100" i="16"/>
  <c r="B189" i="6"/>
  <c r="C417" i="5"/>
  <c r="D410" i="4"/>
  <c r="A169" i="13"/>
  <c r="R179" i="6"/>
  <c r="S407" i="5"/>
  <c r="AG398" i="4"/>
  <c r="A177" i="13"/>
  <c r="F180" i="6"/>
  <c r="D19" i="16"/>
  <c r="D284" i="17"/>
  <c r="E733"/>
  <c r="G211" i="13"/>
  <c r="H131" i="12"/>
  <c r="A258" i="7"/>
  <c r="I464" i="17"/>
  <c r="F298"/>
  <c r="H76" i="12"/>
  <c r="A203" i="7"/>
  <c r="F253" i="17"/>
  <c r="A93"/>
  <c r="H40" i="16"/>
  <c r="A28" i="7"/>
  <c r="E254" i="17"/>
  <c r="I93"/>
  <c r="H44" i="16"/>
  <c r="A29" i="7"/>
  <c r="H255" i="12"/>
  <c r="J201" i="6"/>
  <c r="J16"/>
  <c r="S11" i="5"/>
  <c r="H71" i="12"/>
  <c r="F192" i="6"/>
  <c r="F7"/>
  <c r="A414" i="4"/>
  <c r="F18" i="15"/>
  <c r="B183" i="6"/>
  <c r="C411" i="5"/>
  <c r="AG402" i="4"/>
  <c r="H16" i="16"/>
  <c r="J183" i="6"/>
  <c r="C188" i="17"/>
  <c r="A62"/>
  <c r="H457"/>
  <c r="E291"/>
  <c r="H75" i="12"/>
  <c r="A202" i="7"/>
  <c r="A521" i="17"/>
  <c r="H198"/>
  <c r="C35"/>
  <c r="A147" i="7"/>
  <c r="C816" i="17"/>
  <c r="E363"/>
  <c r="A191" i="13"/>
  <c r="F675" i="17"/>
  <c r="B41" i="20"/>
  <c r="B73"/>
  <c r="B105"/>
  <c r="B137"/>
  <c r="B169"/>
  <c r="B201"/>
  <c r="B943" i="17"/>
  <c r="C952"/>
  <c r="I961"/>
  <c r="A158" i="23"/>
  <c r="A972" i="17"/>
  <c r="F325"/>
  <c r="D17" i="19"/>
  <c r="G332" i="17"/>
  <c r="C243" i="20"/>
  <c r="A455" i="17"/>
  <c r="H98" i="12"/>
  <c r="A225" i="7"/>
  <c r="H171" i="23"/>
  <c r="D243" i="20"/>
  <c r="E24" i="23"/>
  <c r="F114"/>
  <c r="B661" i="17"/>
  <c r="D115" i="16"/>
  <c r="G56" i="13"/>
  <c r="Q387" i="6"/>
  <c r="C668" i="17"/>
  <c r="B3"/>
  <c r="G57" i="13"/>
  <c r="E388" i="6"/>
  <c r="D557" i="17"/>
  <c r="E3" i="15"/>
  <c r="H170" i="12"/>
  <c r="H5" i="8"/>
  <c r="I265" i="17"/>
  <c r="C169" i="20"/>
  <c r="D57" i="24"/>
  <c r="E609" i="17"/>
  <c r="A717"/>
  <c r="C66"/>
  <c r="G128" i="13"/>
  <c r="M416" i="6"/>
  <c r="B724" i="17"/>
  <c r="B67"/>
  <c r="G129" i="13"/>
  <c r="A1" i="7"/>
  <c r="I615" i="17"/>
  <c r="D45" i="16"/>
  <c r="H242" i="12"/>
  <c r="Q359" i="6"/>
  <c r="H322" i="17"/>
  <c r="C201" i="20"/>
  <c r="D89" i="24"/>
  <c r="F616" i="17"/>
  <c r="I773"/>
  <c r="D73"/>
  <c r="G136" i="13"/>
  <c r="H8" i="7"/>
  <c r="A781" i="17"/>
  <c r="C74"/>
  <c r="G137" i="13"/>
  <c r="H9" i="7"/>
  <c r="H672" i="17"/>
  <c r="D53" i="16"/>
  <c r="H250" i="12"/>
  <c r="A363" i="6"/>
  <c r="G379" i="17"/>
  <c r="E16" i="23"/>
  <c r="G133" i="24"/>
  <c r="G623" i="17"/>
  <c r="H830"/>
  <c r="E80"/>
  <c r="G144" i="13"/>
  <c r="H16" i="7"/>
  <c r="I837" i="17"/>
  <c r="D81"/>
  <c r="G145" i="13"/>
  <c r="H17" i="7"/>
  <c r="G729" i="17"/>
  <c r="D61" i="16"/>
  <c r="G2" i="13"/>
  <c r="E366" i="6"/>
  <c r="E144" i="17"/>
  <c r="C18"/>
  <c r="B10" i="19"/>
  <c r="F12" i="14"/>
  <c r="H163" i="12"/>
  <c r="A290" i="7"/>
  <c r="I569" i="17"/>
  <c r="B526"/>
  <c r="H108" i="12"/>
  <c r="A235" i="7"/>
  <c r="D319" i="17"/>
  <c r="E121"/>
  <c r="H49"/>
  <c r="A60" i="7"/>
  <c r="E326" i="17"/>
  <c r="D122"/>
  <c r="D53"/>
  <c r="A61" i="7"/>
  <c r="H67" i="16"/>
  <c r="F214" i="6"/>
  <c r="F29"/>
  <c r="O24" i="5"/>
  <c r="G71" i="13"/>
  <c r="B205" i="6"/>
  <c r="B20"/>
  <c r="K15" i="5"/>
  <c r="H143" i="12"/>
  <c r="R195" i="6"/>
  <c r="R10"/>
  <c r="G6" i="5"/>
  <c r="H151" i="12"/>
  <c r="F196" i="6"/>
  <c r="D201" i="17"/>
  <c r="B75"/>
  <c r="E564"/>
  <c r="E4" i="15"/>
  <c r="H171" i="12"/>
  <c r="H6" i="8"/>
  <c r="H626" i="17"/>
  <c r="C672"/>
  <c r="H116" i="12"/>
  <c r="A243" i="7"/>
  <c r="C376" i="17"/>
  <c r="F128"/>
  <c r="C78"/>
  <c r="A68" i="7"/>
  <c r="D383" i="17"/>
  <c r="E129"/>
  <c r="F83"/>
  <c r="A69" i="7"/>
  <c r="G122" i="12"/>
  <c r="J217" i="6"/>
  <c r="J32"/>
  <c r="S27" i="5"/>
  <c r="G135" i="13"/>
  <c r="F208" i="6"/>
  <c r="F23"/>
  <c r="O18" i="5"/>
  <c r="H207" i="12"/>
  <c r="B199" i="6"/>
  <c r="B14"/>
  <c r="K9" i="5"/>
  <c r="H215" i="12"/>
  <c r="J199" i="6"/>
  <c r="I375" i="17"/>
  <c r="A132"/>
  <c r="D621"/>
  <c r="E12" i="15"/>
  <c r="H179" i="12"/>
  <c r="H14" i="8"/>
  <c r="G683" i="17"/>
  <c r="H899"/>
  <c r="H124" i="12"/>
  <c r="A251" i="7"/>
  <c r="B433" i="17"/>
  <c r="G135"/>
  <c r="D133"/>
  <c r="A76" i="7"/>
  <c r="C440" i="17"/>
  <c r="F136"/>
  <c r="E140"/>
  <c r="A77" i="7"/>
  <c r="G186" i="12"/>
  <c r="N220" i="6"/>
  <c r="N35"/>
  <c r="C31" i="5"/>
  <c r="G199" i="13"/>
  <c r="J211" i="6"/>
  <c r="J26"/>
  <c r="S21" i="5"/>
  <c r="G15" i="13"/>
  <c r="F202" i="6"/>
  <c r="F17"/>
  <c r="O12" i="5"/>
  <c r="G23" i="13"/>
  <c r="N202" i="6"/>
  <c r="F1" i="14"/>
  <c r="I188" i="17"/>
  <c r="C678"/>
  <c r="E20" i="15"/>
  <c r="H187" i="12"/>
  <c r="G2" i="9"/>
  <c r="F740" i="17"/>
  <c r="G212" i="13"/>
  <c r="H132" i="12"/>
  <c r="A259" i="7"/>
  <c r="A490" i="17"/>
  <c r="H142"/>
  <c r="C190"/>
  <c r="A84" i="7"/>
  <c r="B497" i="17"/>
  <c r="G143"/>
  <c r="D197"/>
  <c r="A85" i="7"/>
  <c r="G250" i="12"/>
  <c r="R223" i="6"/>
  <c r="R38"/>
  <c r="G34" i="5"/>
  <c r="H99" i="16"/>
  <c r="N214" i="6"/>
  <c r="N29"/>
  <c r="C25" i="5"/>
  <c r="G79" i="13"/>
  <c r="J205" i="6"/>
  <c r="J20"/>
  <c r="S15" i="5"/>
  <c r="G87" i="13"/>
  <c r="R205" i="6"/>
  <c r="C19" i="16"/>
  <c r="D276" i="17"/>
  <c r="B735"/>
  <c r="E28" i="15"/>
  <c r="H195" i="12"/>
  <c r="G10" i="9"/>
  <c r="E797" i="17"/>
  <c r="G220" i="13"/>
  <c r="H140" i="12"/>
  <c r="A267" i="7"/>
  <c r="I546" i="17"/>
  <c r="I149"/>
  <c r="A287"/>
  <c r="A92" i="7"/>
  <c r="I555" i="17"/>
  <c r="H150"/>
  <c r="I343"/>
  <c r="A93" i="7"/>
  <c r="F58" i="13"/>
  <c r="B227" i="6"/>
  <c r="B42"/>
  <c r="K37" i="5"/>
  <c r="G130" i="12"/>
  <c r="R217" i="6"/>
  <c r="R32"/>
  <c r="G28" i="5"/>
  <c r="G143" i="13"/>
  <c r="N208" i="6"/>
  <c r="N23"/>
  <c r="C19" i="5"/>
  <c r="G151" i="13"/>
  <c r="B209" i="6"/>
  <c r="D83" i="16"/>
  <c r="G218" i="13"/>
  <c r="D790" i="17"/>
  <c r="G219" i="13"/>
  <c r="H139" i="12"/>
  <c r="A266" i="7"/>
  <c r="H521" i="17"/>
  <c r="E355"/>
  <c r="H84" i="12"/>
  <c r="A211" i="7"/>
  <c r="G260" i="17"/>
  <c r="B100"/>
  <c r="H72" i="16"/>
  <c r="F256" i="20"/>
  <c r="B48"/>
  <c r="B80"/>
  <c r="B112"/>
  <c r="B144"/>
  <c r="B176"/>
  <c r="B208"/>
  <c r="A945" i="17"/>
  <c r="G954"/>
  <c r="H963"/>
  <c r="G299"/>
  <c r="C233" i="7"/>
  <c r="G363" i="17"/>
  <c r="Q257" i="6"/>
  <c r="H370" i="17"/>
  <c r="A261" i="6"/>
  <c r="F11" i="14"/>
  <c r="H162" i="12"/>
  <c r="A289" i="7"/>
  <c r="I843" i="17"/>
  <c r="D6" i="19"/>
  <c r="D25" i="24"/>
  <c r="D602" i="17"/>
  <c r="B660"/>
  <c r="B59"/>
  <c r="G120" i="13"/>
  <c r="I413" i="6"/>
  <c r="C667" i="17"/>
  <c r="A60"/>
  <c r="G121" i="13"/>
  <c r="Q413" i="6"/>
  <c r="A559" i="17"/>
  <c r="D37" i="16"/>
  <c r="H234" i="12"/>
  <c r="M356" i="6"/>
  <c r="G266" i="17"/>
  <c r="C41" i="24"/>
  <c r="C49"/>
  <c r="D666" i="17"/>
  <c r="H717"/>
  <c r="B123"/>
  <c r="G192" i="13"/>
  <c r="H64" i="7"/>
  <c r="I724" i="17"/>
  <c r="A124"/>
  <c r="G193" i="13"/>
  <c r="H65" i="7"/>
  <c r="E618" i="17"/>
  <c r="D109" i="16"/>
  <c r="G50" i="13"/>
  <c r="I385" i="6"/>
  <c r="F323" i="17"/>
  <c r="C73" i="24"/>
  <c r="C81"/>
  <c r="E673" i="17"/>
  <c r="G774"/>
  <c r="C130"/>
  <c r="G200" i="13"/>
  <c r="H72" i="7"/>
  <c r="H781" i="17"/>
  <c r="B131"/>
  <c r="G201" i="13"/>
  <c r="H73" i="7"/>
  <c r="D675" i="17"/>
  <c r="A4"/>
  <c r="G58" i="13"/>
  <c r="M388" i="6"/>
  <c r="E380" i="17"/>
  <c r="C64" i="23"/>
  <c r="C72"/>
  <c r="F680" i="17"/>
  <c r="F831"/>
  <c r="D137"/>
  <c r="G208" i="13"/>
  <c r="H80" i="7"/>
  <c r="G838" i="17"/>
  <c r="C138"/>
  <c r="D210" i="13"/>
  <c r="H81" i="7"/>
  <c r="C732" i="17"/>
  <c r="B11"/>
  <c r="G66" i="13"/>
  <c r="Q391" i="6"/>
  <c r="D144" i="17"/>
  <c r="B18"/>
  <c r="C1" i="20"/>
  <c r="D30" i="16"/>
  <c r="H227" i="12"/>
  <c r="B3" i="10"/>
  <c r="F571" i="17"/>
  <c r="E5" i="15"/>
  <c r="H172" i="12"/>
  <c r="H7" i="8"/>
  <c r="E357" i="17"/>
  <c r="D178"/>
  <c r="E60" i="16"/>
  <c r="A124" i="7"/>
  <c r="F364" i="17"/>
  <c r="C179"/>
  <c r="E64" i="16"/>
  <c r="A125" i="7"/>
  <c r="D436" i="17"/>
  <c r="R260" i="5"/>
  <c r="R54" i="6"/>
  <c r="G50" i="5"/>
  <c r="F130" i="13"/>
  <c r="J232" i="6"/>
  <c r="N45"/>
  <c r="C41" i="5"/>
  <c r="G202" i="12"/>
  <c r="J221" i="6"/>
  <c r="J36"/>
  <c r="S31" i="5"/>
  <c r="G210" i="12"/>
  <c r="R221" i="6"/>
  <c r="C201" i="17"/>
  <c r="A75"/>
  <c r="B566"/>
  <c r="D38" i="16"/>
  <c r="H235" i="12"/>
  <c r="A357" i="6"/>
  <c r="E628" i="17"/>
  <c r="E13" i="15"/>
  <c r="H180" i="12"/>
  <c r="H15" i="8"/>
  <c r="D414" i="17"/>
  <c r="E185"/>
  <c r="E92" i="16"/>
  <c r="A132" i="7"/>
  <c r="E421" i="17"/>
  <c r="D186"/>
  <c r="E96" i="16"/>
  <c r="A133" i="7"/>
  <c r="F99" i="12"/>
  <c r="B264" i="5"/>
  <c r="B58" i="6"/>
  <c r="K53" i="5"/>
  <c r="F194" i="13"/>
  <c r="R254" i="5"/>
  <c r="R48" i="6"/>
  <c r="G44" i="5"/>
  <c r="F10" i="13"/>
  <c r="N224" i="6"/>
  <c r="N39"/>
  <c r="C35" i="5"/>
  <c r="F18" i="13"/>
  <c r="B225" i="6"/>
  <c r="A375" i="17"/>
  <c r="I131"/>
  <c r="A623"/>
  <c r="D46" i="16"/>
  <c r="H243" i="12"/>
  <c r="E360" i="6"/>
  <c r="D685" i="17"/>
  <c r="E21" i="15"/>
  <c r="H188" i="12"/>
  <c r="G3" i="9"/>
  <c r="C471" i="17"/>
  <c r="F192"/>
  <c r="D10"/>
  <c r="A140" i="7"/>
  <c r="D478" i="17"/>
  <c r="E193"/>
  <c r="I13"/>
  <c r="A141" i="7"/>
  <c r="F163" i="12"/>
  <c r="F267" i="5"/>
  <c r="F61" i="6"/>
  <c r="O56" i="5"/>
  <c r="E83" i="16"/>
  <c r="B258" i="5"/>
  <c r="B52" i="6"/>
  <c r="K47" i="5"/>
  <c r="F74" i="13"/>
  <c r="R227" i="6"/>
  <c r="R42"/>
  <c r="G38" i="5"/>
  <c r="F82" i="13"/>
  <c r="F228" i="6"/>
  <c r="E1" i="14"/>
  <c r="H188" i="17"/>
  <c r="I679"/>
  <c r="D54" i="16"/>
  <c r="H251" i="12"/>
  <c r="I363" i="6"/>
  <c r="C742" i="17"/>
  <c r="E29" i="15"/>
  <c r="H196" i="12"/>
  <c r="G11" i="9"/>
  <c r="B528" i="17"/>
  <c r="G199"/>
  <c r="H38"/>
  <c r="A148" i="7"/>
  <c r="C535" i="17"/>
  <c r="F200"/>
  <c r="D42"/>
  <c r="A149" i="7"/>
  <c r="F227" i="12"/>
  <c r="J270" i="5"/>
  <c r="J64" i="6"/>
  <c r="S59" i="5"/>
  <c r="F43" i="12"/>
  <c r="F261" i="5"/>
  <c r="F55" i="6"/>
  <c r="O50" i="5"/>
  <c r="F138" i="13"/>
  <c r="B234" i="6"/>
  <c r="B46"/>
  <c r="K41" i="5"/>
  <c r="F146" i="13"/>
  <c r="N235" i="6"/>
  <c r="B19" i="16"/>
  <c r="E275" i="17"/>
  <c r="H736"/>
  <c r="D62" i="16"/>
  <c r="G3" i="13"/>
  <c r="M366" i="6"/>
  <c r="B799" i="17"/>
  <c r="D7" i="16"/>
  <c r="H204" i="12"/>
  <c r="G19" i="9"/>
  <c r="C680" i="17"/>
  <c r="H206"/>
  <c r="C67"/>
  <c r="A156" i="7"/>
  <c r="G708" i="17"/>
  <c r="G207"/>
  <c r="H70"/>
  <c r="A157" i="7"/>
  <c r="E35" i="13"/>
  <c r="N273" i="5"/>
  <c r="N67" i="6"/>
  <c r="C63" i="5"/>
  <c r="F107" i="12"/>
  <c r="J264" i="5"/>
  <c r="J58" i="6"/>
  <c r="S53" i="5"/>
  <c r="F202" i="13"/>
  <c r="F255" i="5"/>
  <c r="F49" i="6"/>
  <c r="O44" i="5"/>
  <c r="C212" i="13"/>
  <c r="N255" i="5"/>
  <c r="C83" i="16"/>
  <c r="F218" i="13"/>
  <c r="A792" i="17"/>
  <c r="D6" i="16"/>
  <c r="H203" i="12"/>
  <c r="G18" i="9"/>
  <c r="D854" i="17"/>
  <c r="G228" i="13"/>
  <c r="H148" i="12"/>
  <c r="A275" i="7"/>
  <c r="A755" i="17"/>
  <c r="A157"/>
  <c r="F7" i="15"/>
  <c r="G674" i="17"/>
  <c r="H61" i="20"/>
  <c r="H65"/>
  <c r="H69"/>
  <c r="H73"/>
  <c r="H77"/>
  <c r="H81"/>
  <c r="H21"/>
  <c r="H25"/>
  <c r="H29"/>
  <c r="E300" i="17"/>
  <c r="B28" i="9"/>
  <c r="E364" i="17"/>
  <c r="D258" i="6"/>
  <c r="F371" i="17"/>
  <c r="H261" i="6"/>
  <c r="D29" i="16"/>
  <c r="H226" i="12"/>
  <c r="G1" i="10"/>
  <c r="F166" i="23"/>
  <c r="D72"/>
  <c r="D80"/>
  <c r="C659" i="17"/>
  <c r="I660"/>
  <c r="A116"/>
  <c r="G184" i="13"/>
  <c r="H56" i="7"/>
  <c r="A668" i="17"/>
  <c r="I116"/>
  <c r="G185" i="13"/>
  <c r="H57" i="7"/>
  <c r="F561" i="17"/>
  <c r="D101" i="16"/>
  <c r="G42" i="13"/>
  <c r="E382" i="6"/>
  <c r="C599" i="17"/>
  <c r="A148" i="23"/>
  <c r="A156"/>
  <c r="C723" i="17"/>
  <c r="A189" i="20"/>
  <c r="A180" i="17"/>
  <c r="H71" i="16"/>
  <c r="H128" i="7"/>
  <c r="A197" i="20"/>
  <c r="I180" i="17"/>
  <c r="H75" i="16"/>
  <c r="H129" i="7"/>
  <c r="E617" i="17"/>
  <c r="H53"/>
  <c r="G114" i="13"/>
  <c r="A411" i="6"/>
  <c r="B656" i="17"/>
  <c r="A180" i="23"/>
  <c r="A188"/>
  <c r="D730" i="17"/>
  <c r="A253" i="20"/>
  <c r="B187" i="17"/>
  <c r="H103" i="16"/>
  <c r="H136" i="7"/>
  <c r="A261" i="20"/>
  <c r="A188" i="17"/>
  <c r="H107" i="16"/>
  <c r="H137" i="7"/>
  <c r="D674" i="17"/>
  <c r="I60"/>
  <c r="G122" i="13"/>
  <c r="E414" i="6"/>
  <c r="A713" i="17"/>
  <c r="H131" i="23"/>
  <c r="H147"/>
  <c r="E737" i="17"/>
  <c r="B66" i="23"/>
  <c r="C194" i="17"/>
  <c r="E20"/>
  <c r="H144" i="7"/>
  <c r="B98" i="23"/>
  <c r="B195" i="17"/>
  <c r="A24"/>
  <c r="H145" i="7"/>
  <c r="C731" i="17"/>
  <c r="A68"/>
  <c r="G130" i="13"/>
  <c r="H2" i="7"/>
  <c r="B145" i="17"/>
  <c r="I18"/>
  <c r="B11" i="20"/>
  <c r="D94" i="16"/>
  <c r="G35" i="13"/>
  <c r="I379" i="6"/>
  <c r="C573" i="17"/>
  <c r="D39" i="16"/>
  <c r="H236" i="12"/>
  <c r="I357" i="6"/>
  <c r="C358" i="17"/>
  <c r="E243"/>
  <c r="F597"/>
  <c r="A188" i="7"/>
  <c r="D365" i="17"/>
  <c r="G244"/>
  <c r="H62" i="12"/>
  <c r="A189" i="7"/>
  <c r="D101" i="17"/>
  <c r="J286" i="5"/>
  <c r="J80" i="6"/>
  <c r="S75" i="5"/>
  <c r="E107" i="13"/>
  <c r="F277" i="5"/>
  <c r="F71" i="6"/>
  <c r="O66" i="5"/>
  <c r="F179" i="12"/>
  <c r="B268" i="5"/>
  <c r="B62" i="6"/>
  <c r="K57" i="5"/>
  <c r="F187" i="12"/>
  <c r="J268" i="5"/>
  <c r="A202" i="17"/>
  <c r="H75"/>
  <c r="G568"/>
  <c r="D102" i="16"/>
  <c r="G43" i="13"/>
  <c r="M382" i="6"/>
  <c r="B630" i="17"/>
  <c r="D47" i="16"/>
  <c r="H244" i="12"/>
  <c r="M360" i="6"/>
  <c r="B415" i="17"/>
  <c r="G257"/>
  <c r="H69" i="12"/>
  <c r="A196" i="7"/>
  <c r="C422" i="17"/>
  <c r="D260"/>
  <c r="H70" i="12"/>
  <c r="A197" i="7"/>
  <c r="E159" i="12"/>
  <c r="N289" i="5"/>
  <c r="N83" i="6"/>
  <c r="C79" i="5"/>
  <c r="E171" i="13"/>
  <c r="J280" i="5"/>
  <c r="J74" i="6"/>
  <c r="S69" i="5"/>
  <c r="F243" i="12"/>
  <c r="F271" i="5"/>
  <c r="F65" i="6"/>
  <c r="O60" i="5"/>
  <c r="F251" i="12"/>
  <c r="N271" i="5"/>
  <c r="C381" i="17"/>
  <c r="G132"/>
  <c r="F625"/>
  <c r="D110" i="16"/>
  <c r="G51" i="13"/>
  <c r="Q385" i="6"/>
  <c r="A687" i="17"/>
  <c r="D55" i="16"/>
  <c r="H252" i="12"/>
  <c r="Q363" i="6"/>
  <c r="A472" i="17"/>
  <c r="G305"/>
  <c r="H77" i="12"/>
  <c r="A204" i="7"/>
  <c r="B479" i="17"/>
  <c r="H312"/>
  <c r="H78" i="12"/>
  <c r="A205" i="7"/>
  <c r="E223" i="12"/>
  <c r="R292" i="5"/>
  <c r="R86" i="6"/>
  <c r="G82" i="5"/>
  <c r="B25" i="15"/>
  <c r="N283" i="5"/>
  <c r="N77" i="6"/>
  <c r="C73" i="5"/>
  <c r="E51" i="13"/>
  <c r="J274" i="5"/>
  <c r="J68" i="6"/>
  <c r="S63" i="5"/>
  <c r="E59" i="13"/>
  <c r="R274" i="5"/>
  <c r="A25" i="16"/>
  <c r="F189" i="17"/>
  <c r="E682"/>
  <c r="I4"/>
  <c r="G59" i="13"/>
  <c r="A389" i="6"/>
  <c r="I743" i="17"/>
  <c r="D63" i="16"/>
  <c r="G4" i="13"/>
  <c r="A367" i="6"/>
  <c r="I528" i="17"/>
  <c r="F362"/>
  <c r="H85" i="12"/>
  <c r="A212" i="7"/>
  <c r="A536" i="17"/>
  <c r="G369"/>
  <c r="H86" i="12"/>
  <c r="A213" i="7"/>
  <c r="D31" i="13"/>
  <c r="B296" i="5"/>
  <c r="B90" i="6"/>
  <c r="K85" i="5"/>
  <c r="C158" i="17"/>
  <c r="R286" i="5"/>
  <c r="R80" i="6"/>
  <c r="G76" i="5"/>
  <c r="E115" i="13"/>
  <c r="N277" i="5"/>
  <c r="N71" i="6"/>
  <c r="C67" i="5"/>
  <c r="E123" i="13"/>
  <c r="B278" i="5"/>
  <c r="A89" i="16"/>
  <c r="G281" i="17"/>
  <c r="D739"/>
  <c r="A12"/>
  <c r="G67" i="13"/>
  <c r="E392" i="6"/>
  <c r="H800" i="17"/>
  <c r="D71" i="16"/>
  <c r="G12" i="13"/>
  <c r="E370" i="6"/>
  <c r="A683" i="17"/>
  <c r="E419"/>
  <c r="H93" i="12"/>
  <c r="A220" i="7"/>
  <c r="E711" i="17"/>
  <c r="F426"/>
  <c r="H94" i="12"/>
  <c r="A221" i="7"/>
  <c r="D95" i="13"/>
  <c r="F299" i="5"/>
  <c r="F93" i="6"/>
  <c r="O88" i="5"/>
  <c r="E167" i="12"/>
  <c r="B290" i="5"/>
  <c r="B84" i="6"/>
  <c r="K79" i="5"/>
  <c r="E179" i="13"/>
  <c r="R280" i="5"/>
  <c r="R74" i="6"/>
  <c r="G70" i="5"/>
  <c r="E187" i="13"/>
  <c r="F281" i="5"/>
  <c r="B83" i="16"/>
  <c r="E218" i="13"/>
  <c r="G793" i="17"/>
  <c r="D70" i="16"/>
  <c r="G11" i="13"/>
  <c r="Q369" i="6"/>
  <c r="A856" i="17"/>
  <c r="D15" i="16"/>
  <c r="H212" i="12"/>
  <c r="G27" i="9"/>
  <c r="H907" i="17"/>
  <c r="A215"/>
  <c r="B111"/>
  <c r="F255" i="20"/>
  <c r="G65"/>
  <c r="G69"/>
  <c r="G73"/>
  <c r="G77"/>
  <c r="G81"/>
  <c r="G85"/>
  <c r="G25"/>
  <c r="G29"/>
  <c r="G33"/>
  <c r="A633" i="17"/>
  <c r="B35" i="9"/>
  <c r="A697" i="17"/>
  <c r="K258" i="6"/>
  <c r="B704" i="17"/>
  <c r="O261" i="6"/>
  <c r="D93" i="16"/>
  <c r="G34" i="13"/>
  <c r="A379" i="6"/>
  <c r="H179" i="24"/>
  <c r="H168"/>
  <c r="H184"/>
  <c r="B716" i="17"/>
  <c r="A125" i="20"/>
  <c r="I172" i="17"/>
  <c r="H39" i="16"/>
  <c r="H120" i="7"/>
  <c r="A133" i="20"/>
  <c r="H173" i="17"/>
  <c r="H43" i="16"/>
  <c r="H121" i="7"/>
  <c r="F560" i="17"/>
  <c r="G46"/>
  <c r="G106" i="13"/>
  <c r="Q407" i="6"/>
  <c r="I600" i="17"/>
  <c r="B337"/>
  <c r="I338"/>
  <c r="B780"/>
  <c r="H291" i="20"/>
  <c r="H245" i="17"/>
  <c r="G123" i="12"/>
  <c r="H192" i="7"/>
  <c r="B11" i="22"/>
  <c r="I246" i="17"/>
  <c r="G124" i="12"/>
  <c r="H193" i="7"/>
  <c r="C618" i="17"/>
  <c r="G110"/>
  <c r="G178" i="13"/>
  <c r="H50" i="7"/>
  <c r="H657" i="17"/>
  <c r="C344"/>
  <c r="A346"/>
  <c r="C787"/>
  <c r="F221" i="23"/>
  <c r="F263" i="17"/>
  <c r="G131" i="12"/>
  <c r="H200" i="7"/>
  <c r="F253" i="23"/>
  <c r="C269" i="17"/>
  <c r="G132" i="12"/>
  <c r="H201" i="7"/>
  <c r="B675" i="17"/>
  <c r="H117"/>
  <c r="G186" i="13"/>
  <c r="H58" i="7"/>
  <c r="G714" i="17"/>
  <c r="A394"/>
  <c r="H395"/>
  <c r="D794"/>
  <c r="A951"/>
  <c r="A319"/>
  <c r="G139" i="12"/>
  <c r="H208" i="7"/>
  <c r="B958" i="17"/>
  <c r="B326"/>
  <c r="G140" i="12"/>
  <c r="H209" i="7"/>
  <c r="A732" i="17"/>
  <c r="I124"/>
  <c r="G194" i="13"/>
  <c r="H66" i="7"/>
  <c r="C207" i="17"/>
  <c r="A81"/>
  <c r="B26" i="20"/>
  <c r="E40" i="17"/>
  <c r="G99" i="13"/>
  <c r="A405" i="6"/>
  <c r="H575" i="17"/>
  <c r="D103" i="16"/>
  <c r="G44" i="13"/>
  <c r="A383" i="6"/>
  <c r="H690" i="17"/>
  <c r="F932"/>
  <c r="H125" i="12"/>
  <c r="A252" i="7"/>
  <c r="I697" i="17"/>
  <c r="C1008"/>
  <c r="H126" i="12"/>
  <c r="A253" i="7"/>
  <c r="D158" i="12"/>
  <c r="B312" i="5"/>
  <c r="B106" i="6"/>
  <c r="K101" i="5"/>
  <c r="D167" i="13"/>
  <c r="R302" i="5"/>
  <c r="R96" i="6"/>
  <c r="G92" i="5"/>
  <c r="E239" i="12"/>
  <c r="N293" i="5"/>
  <c r="N87" i="6"/>
  <c r="C83" i="5"/>
  <c r="E247" i="12"/>
  <c r="B294" i="5"/>
  <c r="A423" i="17"/>
  <c r="I137"/>
  <c r="G567"/>
  <c r="F47"/>
  <c r="G107" i="13"/>
  <c r="E408" i="6"/>
  <c r="G632" i="17"/>
  <c r="D111" i="16"/>
  <c r="G52" i="13"/>
  <c r="E386" i="6"/>
  <c r="G747" i="17"/>
  <c r="G213" i="13"/>
  <c r="H133" i="12"/>
  <c r="A260" i="7"/>
  <c r="H754" i="17"/>
  <c r="G214" i="13"/>
  <c r="H134" i="12"/>
  <c r="A261" i="7"/>
  <c r="D222" i="12"/>
  <c r="F315" i="5"/>
  <c r="F109" i="6"/>
  <c r="O104" i="5"/>
  <c r="B14" i="15"/>
  <c r="B306" i="5"/>
  <c r="B100" i="6"/>
  <c r="K95" i="5"/>
  <c r="D47" i="13"/>
  <c r="R296" i="5"/>
  <c r="R90" i="6"/>
  <c r="G86" i="5"/>
  <c r="D55" i="13"/>
  <c r="F297" i="5"/>
  <c r="A286" i="17"/>
  <c r="H194"/>
  <c r="F624"/>
  <c r="G54"/>
  <c r="G115" i="13"/>
  <c r="I411" i="6"/>
  <c r="F689" i="17"/>
  <c r="H5"/>
  <c r="G60" i="13"/>
  <c r="I389" i="6"/>
  <c r="F804" i="17"/>
  <c r="G221" i="13"/>
  <c r="H141" i="12"/>
  <c r="A268" i="7"/>
  <c r="G811" i="17"/>
  <c r="G222" i="13"/>
  <c r="H142" i="12"/>
  <c r="A269" i="7"/>
  <c r="C30" i="13"/>
  <c r="J318" i="5"/>
  <c r="J112" i="6"/>
  <c r="S107" i="5"/>
  <c r="I128" i="17"/>
  <c r="F309" i="5"/>
  <c r="F103" i="6"/>
  <c r="O98" i="5"/>
  <c r="D111" i="13"/>
  <c r="B300" i="5"/>
  <c r="B94" i="6"/>
  <c r="K89" i="5"/>
  <c r="D119" i="13"/>
  <c r="J300" i="5"/>
  <c r="I342" i="17"/>
  <c r="E323"/>
  <c r="E681"/>
  <c r="H61"/>
  <c r="G123" i="13"/>
  <c r="M414" i="6"/>
  <c r="E746" i="17"/>
  <c r="I12"/>
  <c r="G68" i="13"/>
  <c r="M392" i="6"/>
  <c r="E861" i="17"/>
  <c r="G229" i="13"/>
  <c r="H149" i="12"/>
  <c r="A276" i="7"/>
  <c r="F868" i="17"/>
  <c r="G230" i="13"/>
  <c r="H150" i="12"/>
  <c r="A277" i="7"/>
  <c r="C94" i="13"/>
  <c r="N321" i="5"/>
  <c r="N115" i="6"/>
  <c r="C111" i="5"/>
  <c r="D166" i="12"/>
  <c r="J312" i="5"/>
  <c r="J106" i="6"/>
  <c r="S101" i="5"/>
  <c r="D175" i="13"/>
  <c r="F303" i="5"/>
  <c r="F97" i="6"/>
  <c r="O92" i="5"/>
  <c r="D183" i="13"/>
  <c r="N303" i="5"/>
  <c r="H399" i="17"/>
  <c r="F273"/>
  <c r="D738"/>
  <c r="I68"/>
  <c r="G131" i="13"/>
  <c r="H3" i="7"/>
  <c r="D803" i="17"/>
  <c r="A20"/>
  <c r="G76" i="13"/>
  <c r="Q395" i="6"/>
  <c r="D918" i="17"/>
  <c r="F6" i="14"/>
  <c r="H157" i="12"/>
  <c r="A284" i="7"/>
  <c r="E925" i="17"/>
  <c r="F7" i="14"/>
  <c r="H158" i="12"/>
  <c r="A285" i="7"/>
  <c r="C158" i="13"/>
  <c r="R324" i="5"/>
  <c r="R118" i="6"/>
  <c r="G114" i="5"/>
  <c r="D230" i="12"/>
  <c r="N315" i="5"/>
  <c r="N109" i="6"/>
  <c r="C105" i="5"/>
  <c r="E6" i="16"/>
  <c r="J306" i="5"/>
  <c r="J100" i="6"/>
  <c r="S95" i="5"/>
  <c r="E38" i="16"/>
  <c r="R306" i="5"/>
  <c r="F36" i="17"/>
  <c r="A11" i="16"/>
  <c r="C796" i="17"/>
  <c r="B19"/>
  <c r="G75" i="13"/>
  <c r="I395" i="6"/>
  <c r="G857" i="17"/>
  <c r="D79" i="16"/>
  <c r="G20" i="13"/>
  <c r="I373" i="6"/>
  <c r="F910" i="17"/>
  <c r="D476"/>
  <c r="H101" i="12"/>
  <c r="H50" i="25"/>
  <c r="G27" i="16"/>
  <c r="E771" i="17"/>
  <c r="Q302" i="6"/>
  <c r="E835" i="17"/>
  <c r="M331" i="6"/>
  <c r="F842" i="17"/>
  <c r="Q334" i="6"/>
  <c r="G849" i="17"/>
  <c r="A338" i="6"/>
  <c r="A228" i="13"/>
  <c r="F106" i="17"/>
  <c r="C320" i="5"/>
  <c r="O301"/>
  <c r="H5" i="14"/>
  <c r="G113" i="17"/>
  <c r="G323" i="5"/>
  <c r="S304"/>
  <c r="H13" i="14"/>
  <c r="H120" i="17"/>
  <c r="K326" i="5"/>
  <c r="C308"/>
  <c r="G5" i="15"/>
  <c r="I127" i="17"/>
  <c r="O329" i="5"/>
  <c r="G311"/>
  <c r="G13" i="15"/>
  <c r="A135" i="17"/>
  <c r="S332" i="5"/>
  <c r="K314"/>
  <c r="A850" i="17"/>
  <c r="C85"/>
  <c r="B7" i="10"/>
  <c r="B188" i="20"/>
  <c r="D33" i="16"/>
  <c r="H230" i="12"/>
  <c r="B9" i="10"/>
  <c r="B8" i="14"/>
  <c r="N353" i="5"/>
  <c r="N147" i="6"/>
  <c r="C143" i="5"/>
  <c r="B39" i="13"/>
  <c r="J344" i="5"/>
  <c r="J138" i="6"/>
  <c r="S133" i="5"/>
  <c r="C111" i="12"/>
  <c r="F335" i="5"/>
  <c r="F129" i="6"/>
  <c r="O124" i="5"/>
  <c r="C119" i="12"/>
  <c r="N335" i="5"/>
  <c r="H550" i="17"/>
  <c r="F424"/>
  <c r="I852"/>
  <c r="A140"/>
  <c r="D214" i="13"/>
  <c r="H83" i="7"/>
  <c r="B916" i="17"/>
  <c r="B91"/>
  <c r="G156" i="13"/>
  <c r="H28" i="7"/>
  <c r="D580" i="17"/>
  <c r="D40" i="16"/>
  <c r="H237" i="12"/>
  <c r="Q357" i="6"/>
  <c r="E587" i="17"/>
  <c r="D41" i="16"/>
  <c r="H238" i="12"/>
  <c r="E358" i="6"/>
  <c r="H78" i="17"/>
  <c r="R356" i="5"/>
  <c r="R150" i="6"/>
  <c r="G146" i="5"/>
  <c r="B103" i="13"/>
  <c r="N347" i="5"/>
  <c r="N141" i="6"/>
  <c r="C137" i="5"/>
  <c r="C175" i="12"/>
  <c r="J338" i="5"/>
  <c r="J132" i="6"/>
  <c r="S127" i="5"/>
  <c r="C183" i="12"/>
  <c r="R338" i="5"/>
  <c r="E21" i="12"/>
  <c r="H94" i="13"/>
  <c r="T259" i="5"/>
  <c r="L241"/>
  <c r="F139" i="6"/>
  <c r="O134" i="5"/>
  <c r="C127" i="12"/>
  <c r="B336" i="5"/>
  <c r="B130" i="6"/>
  <c r="K125" i="5"/>
  <c r="L406" i="6"/>
  <c r="J27"/>
  <c r="K255" i="5"/>
  <c r="D231"/>
  <c r="L358" i="6"/>
  <c r="J21"/>
  <c r="K249" i="5"/>
  <c r="D225"/>
  <c r="AE366" i="4"/>
  <c r="A151"/>
  <c r="F299" i="3"/>
  <c r="Z111"/>
  <c r="E11" i="5"/>
  <c r="AF209" i="4"/>
  <c r="M406" i="3"/>
  <c r="B346"/>
  <c r="I14" i="5"/>
  <c r="D210" i="4"/>
  <c r="Y406" i="3"/>
  <c r="L346"/>
  <c r="E43" i="5"/>
  <c r="I214" i="4"/>
  <c r="Q410" i="3"/>
  <c r="D350"/>
  <c r="I46" i="5"/>
  <c r="AJ214" i="4"/>
  <c r="A411" i="3"/>
  <c r="N350"/>
  <c r="M49" i="5"/>
  <c r="H215" i="4"/>
  <c r="K411" i="3"/>
  <c r="Z350"/>
  <c r="I78" i="5"/>
  <c r="AJ219" i="4"/>
  <c r="C415" i="3"/>
  <c r="R354"/>
  <c r="N280"/>
  <c r="J142" i="4"/>
  <c r="S153" i="3"/>
  <c r="Z187"/>
  <c r="I307"/>
  <c r="AI72" i="4"/>
  <c r="D142" i="5"/>
  <c r="P116" i="3"/>
  <c r="K30"/>
  <c r="N316" i="6"/>
  <c r="L395" i="5"/>
  <c r="H80"/>
  <c r="F242" i="6"/>
  <c r="F144" i="4"/>
  <c r="W125" i="3"/>
  <c r="G67" i="4"/>
  <c r="H407" i="3"/>
  <c r="F9" i="4"/>
  <c r="F404" i="6"/>
  <c r="E288"/>
  <c r="E280" i="5"/>
  <c r="B226"/>
  <c r="K299"/>
  <c r="B265" i="4"/>
  <c r="F157" i="7"/>
  <c r="F62" i="6"/>
  <c r="G290" i="5"/>
  <c r="AG253" i="4"/>
  <c r="D113" i="7"/>
  <c r="K183" i="6"/>
  <c r="H412" i="5"/>
  <c r="J383" i="4"/>
  <c r="D73" i="7"/>
  <c r="K177" i="6"/>
  <c r="H406" i="5"/>
  <c r="E376" i="4"/>
  <c r="AJ402"/>
  <c r="AG74"/>
  <c r="M294" i="3"/>
  <c r="B234"/>
  <c r="Q267" i="5"/>
  <c r="AG133" i="4"/>
  <c r="K154" i="3"/>
  <c r="R102"/>
  <c r="A271" i="5"/>
  <c r="E134" i="4"/>
  <c r="T154" i="3"/>
  <c r="Z102"/>
  <c r="Q299" i="5"/>
  <c r="AG138" i="4"/>
  <c r="X157" i="3"/>
  <c r="C106"/>
  <c r="A303" i="5"/>
  <c r="E139" i="4"/>
  <c r="H158" i="3"/>
  <c r="L106"/>
  <c r="E306" i="5"/>
  <c r="AG139" i="4"/>
  <c r="Q158" i="3"/>
  <c r="U106"/>
  <c r="A335" i="5"/>
  <c r="D144" i="4"/>
  <c r="U161" i="3"/>
  <c r="Z109"/>
  <c r="G215"/>
  <c r="I159"/>
  <c r="J12" i="5"/>
  <c r="E10" i="3"/>
  <c r="Z168"/>
  <c r="Q310"/>
  <c r="K264"/>
  <c r="D228" i="6"/>
  <c r="J161" i="3"/>
  <c r="E225" i="7"/>
  <c r="S105" i="5"/>
  <c r="H277" i="4"/>
  <c r="G234" i="12"/>
  <c r="AH128" i="4"/>
  <c r="Z323" i="3"/>
  <c r="F209" i="4"/>
  <c r="N328" i="3"/>
  <c r="AI167" i="4"/>
  <c r="B129" i="7"/>
  <c r="Q313" i="6"/>
  <c r="E259" i="4"/>
  <c r="Q337" i="5"/>
  <c r="O302"/>
  <c r="A269" i="4"/>
  <c r="F221" i="7"/>
  <c r="J65" i="6"/>
  <c r="K293" i="5"/>
  <c r="AF257" i="4"/>
  <c r="B135" i="7"/>
  <c r="O186" i="6"/>
  <c r="L415" i="5"/>
  <c r="I387" i="4"/>
  <c r="B95" i="7"/>
  <c r="O180" i="6"/>
  <c r="L409" i="5"/>
  <c r="C380" i="4"/>
  <c r="AI406"/>
  <c r="AG78"/>
  <c r="U297" i="3"/>
  <c r="H237"/>
  <c r="B29" i="20"/>
  <c r="D799" i="17"/>
  <c r="C234" i="7"/>
  <c r="A183"/>
  <c r="A41"/>
  <c r="A255"/>
  <c r="A113"/>
  <c r="A263"/>
  <c r="A121"/>
  <c r="A271"/>
  <c r="A129"/>
  <c r="C413" i="17"/>
  <c r="C108"/>
  <c r="N102" i="6"/>
  <c r="R93"/>
  <c r="B470" i="17"/>
  <c r="D115"/>
  <c r="R105" i="6"/>
  <c r="B97"/>
  <c r="A527" i="17"/>
  <c r="E122"/>
  <c r="B109" i="6"/>
  <c r="F100"/>
  <c r="H675" i="17"/>
  <c r="F129"/>
  <c r="F112" i="6"/>
  <c r="J103"/>
  <c r="D903" i="17"/>
  <c r="G136"/>
  <c r="J115" i="6"/>
  <c r="N106"/>
  <c r="H255" i="17"/>
  <c r="A5" i="8"/>
  <c r="Q412" i="6"/>
  <c r="B469" i="17"/>
  <c r="C197" i="13"/>
  <c r="A6" i="8"/>
  <c r="M413" i="6"/>
  <c r="E389"/>
  <c r="L360" i="5"/>
  <c r="Q201"/>
  <c r="I152"/>
  <c r="Q370" i="6"/>
  <c r="H351" i="5"/>
  <c r="M192"/>
  <c r="E143"/>
  <c r="H354" i="6"/>
  <c r="D342" i="5"/>
  <c r="I183"/>
  <c r="A134"/>
  <c r="P354" i="6"/>
  <c r="D399" i="17"/>
  <c r="B770"/>
  <c r="S306" i="6"/>
  <c r="I261" i="17"/>
  <c r="C179" i="12"/>
  <c r="H1" i="11"/>
  <c r="G275" i="6"/>
  <c r="E863" i="17"/>
  <c r="C124" i="12"/>
  <c r="A203"/>
  <c r="G253" i="6"/>
  <c r="D475" i="17"/>
  <c r="C204" i="13"/>
  <c r="A13" i="8"/>
  <c r="D8" i="7"/>
  <c r="C476" i="17"/>
  <c r="C205" i="13"/>
  <c r="A14" i="8"/>
  <c r="C11" i="7"/>
  <c r="M395" i="6"/>
  <c r="P363" i="5"/>
  <c r="A205"/>
  <c r="M155"/>
  <c r="E377" i="6"/>
  <c r="L354" i="5"/>
  <c r="Q195"/>
  <c r="I146"/>
  <c r="Q358" i="6"/>
  <c r="H345" i="5"/>
  <c r="M186"/>
  <c r="E137"/>
  <c r="M359" i="6"/>
  <c r="G23" i="7"/>
  <c r="H42" i="13"/>
  <c r="H67"/>
  <c r="C42" i="6"/>
  <c r="D352" i="5"/>
  <c r="I193"/>
  <c r="A144"/>
  <c r="D355" i="6"/>
  <c r="T342" i="5"/>
  <c r="E184"/>
  <c r="Q134"/>
  <c r="L70" i="6"/>
  <c r="L51"/>
  <c r="F283" i="4"/>
  <c r="I249" i="5"/>
  <c r="L64" i="6"/>
  <c r="L45"/>
  <c r="AH275" i="4"/>
  <c r="B234" i="5"/>
  <c r="I243"/>
  <c r="J116" i="4"/>
  <c r="L141" i="3"/>
  <c r="T58"/>
  <c r="T94" i="5"/>
  <c r="B176" i="4"/>
  <c r="U396" i="3"/>
  <c r="A43"/>
  <c r="H95" i="5"/>
  <c r="J176" i="4"/>
  <c r="E397" i="3"/>
  <c r="O43"/>
  <c r="T98" i="5"/>
  <c r="AI180" i="4"/>
  <c r="W400" i="3"/>
  <c r="Y47"/>
  <c r="H99" i="5"/>
  <c r="G181" i="4"/>
  <c r="G401" i="3"/>
  <c r="M48"/>
  <c r="P99" i="5"/>
  <c r="AI181" i="4"/>
  <c r="S401" i="3"/>
  <c r="Y48"/>
  <c r="H103" i="5"/>
  <c r="G186" i="4"/>
  <c r="K405" i="3"/>
  <c r="K53"/>
  <c r="Q36"/>
  <c r="U41"/>
  <c r="S68"/>
  <c r="S331"/>
  <c r="A27"/>
  <c r="W277"/>
  <c r="O341"/>
  <c r="P351"/>
  <c r="AD149" i="4"/>
  <c r="L14" i="6"/>
  <c r="I201"/>
  <c r="E147"/>
  <c r="N24" i="5"/>
  <c r="D292" i="4"/>
  <c r="D194" i="3"/>
  <c r="AF349" i="4"/>
  <c r="Q250" i="3"/>
  <c r="C171" i="7"/>
  <c r="Q360" i="6"/>
  <c r="T288"/>
  <c r="E47" i="5"/>
  <c r="L95" i="6"/>
  <c r="AE337" i="4"/>
  <c r="J276"/>
  <c r="H105" i="6"/>
  <c r="H86"/>
  <c r="H326" i="4"/>
  <c r="B281" i="20"/>
  <c r="I227" i="6"/>
  <c r="M25"/>
  <c r="B37" i="5"/>
  <c r="B597" i="17"/>
  <c r="I221" i="6"/>
  <c r="M19"/>
  <c r="B31" i="5"/>
  <c r="F35" i="16"/>
  <c r="D393" i="4"/>
  <c r="AI40"/>
  <c r="U284" i="3"/>
  <c r="H55" i="6"/>
  <c r="AE233" i="4"/>
  <c r="A329" i="3"/>
  <c r="B146"/>
  <c r="L58" i="6"/>
  <c r="F234" i="4"/>
  <c r="I329" i="3"/>
  <c r="K146"/>
  <c r="H87" i="6"/>
  <c r="F240" i="4"/>
  <c r="C332" i="3"/>
  <c r="O149"/>
  <c r="L90" i="6"/>
  <c r="AJ240" i="4"/>
  <c r="K332" i="3"/>
  <c r="X149"/>
  <c r="P93" i="6"/>
  <c r="AD241" i="4"/>
  <c r="S332" i="3"/>
  <c r="H150"/>
  <c r="L122" i="6"/>
  <c r="I247" i="4"/>
  <c r="M335" i="3"/>
  <c r="L153"/>
  <c r="B303" i="4"/>
  <c r="I188" i="3"/>
  <c r="C209"/>
  <c r="R70"/>
  <c r="M359" i="5"/>
  <c r="K362" i="3"/>
  <c r="I27"/>
  <c r="B41"/>
  <c r="S78"/>
  <c r="S241"/>
  <c r="J5" i="6"/>
  <c r="B256" i="5"/>
  <c r="T256"/>
  <c r="F178"/>
  <c r="S82"/>
  <c r="Q403" i="3"/>
  <c r="AE286" i="4"/>
  <c r="R209" i="3"/>
  <c r="G233" i="6"/>
  <c r="A412"/>
  <c r="L314"/>
  <c r="Q72" i="5"/>
  <c r="P98" i="6"/>
  <c r="J341" i="4"/>
  <c r="J280"/>
  <c r="L108" i="6"/>
  <c r="L89"/>
  <c r="F330" i="4"/>
  <c r="B288" i="20"/>
  <c r="E232" i="6"/>
  <c r="Q28"/>
  <c r="F40" i="5"/>
  <c r="B596" i="17"/>
  <c r="M224" i="6"/>
  <c r="Q22"/>
  <c r="F34" i="5"/>
  <c r="A173" i="17"/>
  <c r="C397" i="4"/>
  <c r="AH44"/>
  <c r="A288" i="3"/>
  <c r="T80" i="6"/>
  <c r="F29" i="20"/>
  <c r="N273" i="6"/>
  <c r="H227" i="20"/>
  <c r="D561" i="17"/>
  <c r="C5" i="21"/>
  <c r="A77" i="20"/>
  <c r="B237" i="23"/>
  <c r="A141" i="20"/>
  <c r="E954" i="17"/>
  <c r="A205" i="20"/>
  <c r="G163" i="13"/>
  <c r="H189" i="12"/>
  <c r="N131" i="6"/>
  <c r="F113"/>
  <c r="G171" i="13"/>
  <c r="H197" i="12"/>
  <c r="R134" i="6"/>
  <c r="J116"/>
  <c r="G179" i="13"/>
  <c r="H205" i="12"/>
  <c r="B138" i="6"/>
  <c r="N119"/>
  <c r="G187" i="13"/>
  <c r="H213" i="12"/>
  <c r="F141" i="6"/>
  <c r="R122"/>
  <c r="G195" i="13"/>
  <c r="H221" i="12"/>
  <c r="J144" i="6"/>
  <c r="B126"/>
  <c r="G139" i="13"/>
  <c r="H165" i="12"/>
  <c r="C242" i="7"/>
  <c r="H819" i="17"/>
  <c r="F370"/>
  <c r="A192" i="13"/>
  <c r="B245" i="7"/>
  <c r="A153" i="13"/>
  <c r="B179" i="6"/>
  <c r="C407" i="5"/>
  <c r="AH397" i="4"/>
  <c r="B239" i="12"/>
  <c r="R169" i="6"/>
  <c r="S397" i="5"/>
  <c r="H386" i="4"/>
  <c r="A148" i="12"/>
  <c r="N160" i="6"/>
  <c r="O388" i="5"/>
  <c r="D375" i="4"/>
  <c r="A180" i="12"/>
  <c r="B161" i="6"/>
  <c r="A271" i="17"/>
  <c r="I118"/>
  <c r="G514"/>
  <c r="D348"/>
  <c r="H83" i="12"/>
  <c r="A210" i="7"/>
  <c r="H651" i="17"/>
  <c r="I205"/>
  <c r="G63"/>
  <c r="A155" i="7"/>
  <c r="G844" i="17"/>
  <c r="D420"/>
  <c r="A199" i="13"/>
  <c r="D263" i="7"/>
  <c r="C848" i="17"/>
  <c r="E427"/>
  <c r="A200" i="13"/>
  <c r="C266" i="7"/>
  <c r="B225" i="13"/>
  <c r="F182" i="6"/>
  <c r="G410" i="5"/>
  <c r="AG401" i="4"/>
  <c r="A33" i="13"/>
  <c r="B173" i="6"/>
  <c r="C401" i="5"/>
  <c r="G390" i="4"/>
  <c r="H5" i="12"/>
  <c r="R163" i="6"/>
  <c r="S391" i="5"/>
  <c r="C379" i="4"/>
  <c r="H13" i="12"/>
  <c r="F164" i="6"/>
  <c r="B379"/>
  <c r="M275"/>
  <c r="L235" i="5"/>
  <c r="D217"/>
  <c r="O398"/>
  <c r="H387" i="4"/>
  <c r="A212" i="12"/>
  <c r="J161" i="6"/>
  <c r="K389" i="5"/>
  <c r="D376" i="4"/>
  <c r="B161" i="7"/>
  <c r="S286" i="5"/>
  <c r="C98" i="6"/>
  <c r="L77" i="5"/>
  <c r="B369" i="6"/>
  <c r="S280" i="5"/>
  <c r="C92" i="6"/>
  <c r="L71" i="5"/>
  <c r="D326" i="4"/>
  <c r="E197"/>
  <c r="G396" i="3"/>
  <c r="T335"/>
  <c r="D348" i="4"/>
  <c r="AG19"/>
  <c r="Y248" i="3"/>
  <c r="U189"/>
  <c r="AF348" i="4"/>
  <c r="E20"/>
  <c r="K249" i="3"/>
  <c r="D190"/>
  <c r="C353" i="4"/>
  <c r="AF24"/>
  <c r="C253" i="3"/>
  <c r="H193"/>
  <c r="AD353" i="4"/>
  <c r="D25"/>
  <c r="M253" i="3"/>
  <c r="R193"/>
  <c r="B354" i="4"/>
  <c r="AF25"/>
  <c r="W253" i="3"/>
  <c r="A194"/>
  <c r="I358" i="4"/>
  <c r="D30"/>
  <c r="O257" i="3"/>
  <c r="E197"/>
  <c r="A48"/>
  <c r="Y293"/>
  <c r="B95" i="12"/>
  <c r="G201" i="3"/>
  <c r="P211"/>
  <c r="I320"/>
  <c r="AG29" i="4"/>
  <c r="E245" i="3"/>
  <c r="F33"/>
  <c r="O307" i="6"/>
  <c r="S233" i="5"/>
  <c r="A470" i="17"/>
  <c r="A244" i="5"/>
  <c r="J257" i="3"/>
  <c r="R21" i="5"/>
  <c r="A209" i="3"/>
  <c r="N5" i="6"/>
  <c r="I153" i="3"/>
  <c r="G447" i="17"/>
  <c r="A293"/>
  <c r="K267" i="6"/>
  <c r="O258"/>
  <c r="C142"/>
  <c r="L121" i="5"/>
  <c r="C280" i="6"/>
  <c r="O321" i="5"/>
  <c r="S132" i="6"/>
  <c r="H112" i="5"/>
  <c r="S249" i="6"/>
  <c r="S29"/>
  <c r="P258" i="5"/>
  <c r="I234"/>
  <c r="S243" i="6"/>
  <c r="S23"/>
  <c r="P252" i="5"/>
  <c r="I228"/>
  <c r="S232"/>
  <c r="G121" i="4"/>
  <c r="P145" i="3"/>
  <c r="Z94"/>
  <c r="G89" i="5"/>
  <c r="AG180" i="4"/>
  <c r="X381" i="3"/>
  <c r="B278"/>
  <c r="O89" i="5"/>
  <c r="E181" i="4"/>
  <c r="J382" i="3"/>
  <c r="L278"/>
  <c r="G93" i="5"/>
  <c r="AG185" i="4"/>
  <c r="B386" i="3"/>
  <c r="D282"/>
  <c r="O93" i="5"/>
  <c r="E186" i="4"/>
  <c r="L386" i="3"/>
  <c r="N282"/>
  <c r="C94" i="5"/>
  <c r="AF186" i="4"/>
  <c r="V386" i="3"/>
  <c r="Z282"/>
  <c r="O97" i="5"/>
  <c r="C191" i="4"/>
  <c r="N390" i="3"/>
  <c r="R286"/>
  <c r="Y231"/>
  <c r="N128"/>
  <c r="J131" i="4"/>
  <c r="Z12" i="3"/>
  <c r="D183"/>
  <c r="V214"/>
  <c r="F82"/>
  <c r="F263" i="4"/>
  <c r="H174" i="3"/>
  <c r="D21" i="17"/>
  <c r="P12" i="5"/>
  <c r="E29"/>
  <c r="T214" i="6"/>
  <c r="F395" i="3"/>
  <c r="I10" i="6"/>
  <c r="G130" i="3"/>
  <c r="H228" i="6"/>
  <c r="U251" i="3"/>
  <c r="F504" i="17"/>
  <c r="I349"/>
  <c r="C293" i="6"/>
  <c r="G284"/>
  <c r="G145"/>
  <c r="P124" i="5"/>
  <c r="O305" i="6"/>
  <c r="S324" i="5"/>
  <c r="C136" i="6"/>
  <c r="L115" i="5"/>
  <c r="C253" i="6"/>
  <c r="C33"/>
  <c r="T261" i="5"/>
  <c r="N239"/>
  <c r="C247" i="6"/>
  <c r="C27"/>
  <c r="T255" i="5"/>
  <c r="M231"/>
  <c r="C236"/>
  <c r="F125" i="4"/>
  <c r="L148" i="3"/>
  <c r="L97"/>
  <c r="B85" i="20"/>
  <c r="F282"/>
  <c r="E660" i="17"/>
  <c r="C237"/>
  <c r="C958"/>
  <c r="E209" i="13"/>
  <c r="A977" i="17"/>
  <c r="E217" i="13"/>
  <c r="B284" i="20"/>
  <c r="E225" i="13"/>
  <c r="C252" i="6"/>
  <c r="L408"/>
  <c r="F6" i="9"/>
  <c r="I324" i="4"/>
  <c r="O277" i="6"/>
  <c r="P411"/>
  <c r="F14" i="9"/>
  <c r="H328" i="4"/>
  <c r="G303" i="6"/>
  <c r="T414"/>
  <c r="F22" i="9"/>
  <c r="G332" i="4"/>
  <c r="S328" i="6"/>
  <c r="G3" i="7"/>
  <c r="F30" i="9"/>
  <c r="E336" i="4"/>
  <c r="K354" i="6"/>
  <c r="G11" i="7"/>
  <c r="F38" i="9"/>
  <c r="D340" i="4"/>
  <c r="E403" i="6"/>
  <c r="T398"/>
  <c r="F35" i="7"/>
  <c r="B244"/>
  <c r="G100" i="17"/>
  <c r="E202" i="13"/>
  <c r="F36" i="7"/>
  <c r="D246"/>
  <c r="H17" i="6"/>
  <c r="E225"/>
  <c r="N236" i="5"/>
  <c r="R186"/>
  <c r="D8" i="6"/>
  <c r="A216"/>
  <c r="J227" i="5"/>
  <c r="N177"/>
  <c r="A412"/>
  <c r="Q206" i="6"/>
  <c r="F218" i="5"/>
  <c r="J168"/>
  <c r="I412"/>
  <c r="E152" i="23"/>
  <c r="G89" i="13"/>
  <c r="N358" i="6"/>
  <c r="A20" i="16"/>
  <c r="E243" i="12"/>
  <c r="F273" i="7"/>
  <c r="Q325" i="6"/>
  <c r="G409" i="17"/>
  <c r="E188" i="12"/>
  <c r="F218" i="7"/>
  <c r="Q303" i="6"/>
  <c r="I106" i="17"/>
  <c r="B210" i="13"/>
  <c r="F43" i="7"/>
  <c r="C265"/>
  <c r="H107" i="17"/>
  <c r="B212" i="13"/>
  <c r="F44" i="7"/>
  <c r="B268"/>
  <c r="L20" i="6"/>
  <c r="I228"/>
  <c r="M248" i="5"/>
  <c r="B190"/>
  <c r="H11" i="6"/>
  <c r="E219"/>
  <c r="N230" i="5"/>
  <c r="R180"/>
  <c r="E415"/>
  <c r="A210" i="6"/>
  <c r="J221" i="5"/>
  <c r="N171"/>
  <c r="M415"/>
  <c r="H905" i="17"/>
  <c r="F300"/>
  <c r="E51" i="16"/>
  <c r="G138" i="12"/>
  <c r="Q216" i="6"/>
  <c r="F228" i="5"/>
  <c r="J178"/>
  <c r="Q412"/>
  <c r="M207" i="6"/>
  <c r="B219" i="5"/>
  <c r="I526" i="17"/>
  <c r="Q121" i="6"/>
  <c r="B333" i="5"/>
  <c r="I326" i="4"/>
  <c r="C420" i="17"/>
  <c r="Q115" i="6"/>
  <c r="B327" i="5"/>
  <c r="A319" i="4"/>
  <c r="I356" i="6"/>
  <c r="AI262" i="4"/>
  <c r="G358" i="3"/>
  <c r="L179"/>
  <c r="F12" i="6"/>
  <c r="AG101" i="4"/>
  <c r="U247" i="3"/>
  <c r="M59"/>
  <c r="J15" i="6"/>
  <c r="E102" i="4"/>
  <c r="C248" i="3"/>
  <c r="U59"/>
  <c r="F44" i="6"/>
  <c r="AG106" i="4"/>
  <c r="W250" i="3"/>
  <c r="O62"/>
  <c r="J47" i="6"/>
  <c r="E107" i="4"/>
  <c r="E251" i="3"/>
  <c r="W62"/>
  <c r="N50" i="6"/>
  <c r="AG107" i="4"/>
  <c r="M251" i="3"/>
  <c r="E63"/>
  <c r="J79" i="6"/>
  <c r="E112" i="4"/>
  <c r="G254" i="3"/>
  <c r="Y65"/>
  <c r="C235" i="4"/>
  <c r="L27" i="3"/>
  <c r="O6"/>
  <c r="U244"/>
  <c r="G229" i="5"/>
  <c r="E210" i="3"/>
  <c r="A112"/>
  <c r="A168"/>
  <c r="C43"/>
  <c r="N51"/>
  <c r="B543" i="17"/>
  <c r="A102" i="6"/>
  <c r="J107" i="5"/>
  <c r="F337"/>
  <c r="C324" i="3"/>
  <c r="K367"/>
  <c r="AE98" i="4"/>
  <c r="M385" i="3"/>
  <c r="B190" i="17"/>
  <c r="G96" i="16"/>
  <c r="O265" i="5"/>
  <c r="G247"/>
  <c r="B377"/>
  <c r="I380" i="4"/>
  <c r="E328" i="17"/>
  <c r="M156" i="6"/>
  <c r="R367" i="5"/>
  <c r="C369" i="4"/>
  <c r="E203" i="13"/>
  <c r="B282" i="5"/>
  <c r="B76" i="6"/>
  <c r="K71" i="5"/>
  <c r="E83" i="13"/>
  <c r="B276" i="5"/>
  <c r="B70" i="6"/>
  <c r="K65" i="5"/>
  <c r="E183" i="6"/>
  <c r="B203" i="4"/>
  <c r="U163" i="3"/>
  <c r="H337"/>
  <c r="T265" i="5"/>
  <c r="J25" i="4"/>
  <c r="L368" i="3"/>
  <c r="C191"/>
  <c r="D269" i="5"/>
  <c r="B26" i="4"/>
  <c r="T368" i="3"/>
  <c r="L191"/>
  <c r="T297" i="5"/>
  <c r="J30" i="4"/>
  <c r="N371" i="3"/>
  <c r="Q194"/>
  <c r="D301" i="5"/>
  <c r="A31" i="4"/>
  <c r="V371" i="3"/>
  <c r="Z194"/>
  <c r="H304" i="5"/>
  <c r="I31" i="4"/>
  <c r="D372" i="3"/>
  <c r="I195"/>
  <c r="D333" i="5"/>
  <c r="A36" i="4"/>
  <c r="X374" i="3"/>
  <c r="R198"/>
  <c r="M228"/>
  <c r="E103" i="6"/>
  <c r="M69" i="3"/>
  <c r="L21"/>
  <c r="B116" i="4"/>
  <c r="K232" i="5"/>
  <c r="K298" i="3"/>
  <c r="G416"/>
  <c r="O215"/>
  <c r="E48" i="23"/>
  <c r="F396" i="5"/>
  <c r="J152" i="6"/>
  <c r="A47" i="5"/>
  <c r="H110" i="13"/>
  <c r="A77" i="4"/>
  <c r="T193" i="3"/>
  <c r="F35" i="4"/>
  <c r="C175" i="3"/>
  <c r="B286" i="17"/>
  <c r="F42"/>
  <c r="G291" i="5"/>
  <c r="S272"/>
  <c r="F380"/>
  <c r="H384" i="4"/>
  <c r="D385" i="17"/>
  <c r="Q159" i="6"/>
  <c r="B371" i="5"/>
  <c r="C373" i="4"/>
  <c r="D5" i="17"/>
  <c r="F285" i="5"/>
  <c r="F79" i="6"/>
  <c r="O74" i="5"/>
  <c r="E147" i="13"/>
  <c r="F279" i="5"/>
  <c r="F73" i="6"/>
  <c r="O68" i="5"/>
  <c r="Q208" i="6"/>
  <c r="B207" i="4"/>
  <c r="G166" i="3"/>
  <c r="P340"/>
  <c r="F68" i="20"/>
  <c r="F36"/>
  <c r="E134" i="13"/>
  <c r="E152" i="12"/>
  <c r="E206" i="13"/>
  <c r="E224" i="12"/>
  <c r="E44" i="17"/>
  <c r="E232" i="12"/>
  <c r="I72" i="17"/>
  <c r="E240" i="12"/>
  <c r="G122" i="17"/>
  <c r="D238" i="7"/>
  <c r="F330" i="6"/>
  <c r="R402" i="5"/>
  <c r="H882" i="17"/>
  <c r="I449"/>
  <c r="G255" i="20"/>
  <c r="D839" i="17"/>
  <c r="G182" i="12"/>
  <c r="H251" i="7"/>
  <c r="F93" i="23"/>
  <c r="I252" i="17"/>
  <c r="G127" i="12"/>
  <c r="H196" i="7"/>
  <c r="D866" i="17"/>
  <c r="I84"/>
  <c r="G149" i="13"/>
  <c r="H21" i="7"/>
  <c r="E873" i="17"/>
  <c r="H85"/>
  <c r="G150" i="13"/>
  <c r="H22" i="7"/>
  <c r="E24" i="15"/>
  <c r="A11" i="6"/>
  <c r="B218"/>
  <c r="K213" i="5"/>
  <c r="C187" i="17"/>
  <c r="R414" i="5"/>
  <c r="R208" i="6"/>
  <c r="G204" i="5"/>
  <c r="A246" i="17"/>
  <c r="N405" i="5"/>
  <c r="N199" i="6"/>
  <c r="C195" i="5"/>
  <c r="E264" i="17"/>
  <c r="B406" i="5"/>
  <c r="E884" i="17"/>
  <c r="G450"/>
  <c r="B77" i="23"/>
  <c r="F211" i="13"/>
  <c r="G190" i="12"/>
  <c r="H259" i="7"/>
  <c r="G56" i="25"/>
  <c r="F290" i="17"/>
  <c r="G135" i="12"/>
  <c r="H204" i="7"/>
  <c r="C923" i="17"/>
  <c r="A92"/>
  <c r="G157" i="13"/>
  <c r="H29" i="7"/>
  <c r="A938" i="17"/>
  <c r="I92"/>
  <c r="G158" i="13"/>
  <c r="H30" i="7"/>
  <c r="D58" i="16"/>
  <c r="E14" i="6"/>
  <c r="F221"/>
  <c r="O216" i="5"/>
  <c r="I263" i="17"/>
  <c r="C5" i="6"/>
  <c r="B212"/>
  <c r="K207" i="5"/>
  <c r="F80" i="17"/>
  <c r="R408" i="5"/>
  <c r="R202" i="6"/>
  <c r="G198" i="5"/>
  <c r="G87" i="17"/>
  <c r="F409" i="5"/>
  <c r="F550" i="17"/>
  <c r="D424"/>
  <c r="H143" i="24"/>
  <c r="E283" i="17"/>
  <c r="G134" i="12"/>
  <c r="H203" i="7"/>
  <c r="B194" i="23"/>
  <c r="H197" i="17"/>
  <c r="G34"/>
  <c r="H148" i="7"/>
  <c r="B154" i="20"/>
  <c r="C42" i="17"/>
  <c r="G101" i="13"/>
  <c r="A672" i="17"/>
  <c r="H79" i="24"/>
  <c r="G114"/>
  <c r="G178"/>
  <c r="H14" i="25"/>
  <c r="F100"/>
  <c r="H11" i="23"/>
  <c r="A102"/>
  <c r="A118"/>
  <c r="A134"/>
  <c r="G638" i="17"/>
  <c r="G32" i="7"/>
  <c r="G702" i="17"/>
  <c r="G104" i="7"/>
  <c r="H709" i="17"/>
  <c r="G112" i="7"/>
  <c r="A447" i="17"/>
  <c r="G157" i="12"/>
  <c r="H226" i="7"/>
  <c r="F206" i="23"/>
  <c r="C326" i="17"/>
  <c r="A328"/>
  <c r="F142" i="23"/>
  <c r="D238" i="20"/>
  <c r="C115" i="16"/>
  <c r="F115" i="13"/>
  <c r="P387" i="6"/>
  <c r="D246" i="20"/>
  <c r="A3" i="17"/>
  <c r="F116" i="13"/>
  <c r="D388" i="6"/>
  <c r="F123" i="20"/>
  <c r="D3" i="15"/>
  <c r="G229" i="12"/>
  <c r="G6" i="8"/>
  <c r="A62" i="20"/>
  <c r="B754" i="17"/>
  <c r="C761"/>
  <c r="C610"/>
  <c r="C51" i="24"/>
  <c r="B66" i="17"/>
  <c r="F187" i="13"/>
  <c r="L416" i="6"/>
  <c r="C83" i="24"/>
  <c r="A67" i="17"/>
  <c r="F188" i="13"/>
  <c r="T416" i="6"/>
  <c r="E189" i="20"/>
  <c r="C45" i="16"/>
  <c r="F45" i="13"/>
  <c r="P359" i="6"/>
  <c r="A126" i="20"/>
  <c r="F782" i="17"/>
  <c r="G789"/>
  <c r="D617"/>
  <c r="C74" i="23"/>
  <c r="C73" i="17"/>
  <c r="F195" i="13"/>
  <c r="G7" i="7"/>
  <c r="C106" i="23"/>
  <c r="B74" i="17"/>
  <c r="F196" i="13"/>
  <c r="G8" i="7"/>
  <c r="E253" i="20"/>
  <c r="C53" i="16"/>
  <c r="F53" i="13"/>
  <c r="T362" i="6"/>
  <c r="A190" i="20"/>
  <c r="B175"/>
  <c r="B239"/>
  <c r="E624" i="17"/>
  <c r="B75" i="24"/>
  <c r="D80" i="17"/>
  <c r="F203" i="13"/>
  <c r="G15" i="7"/>
  <c r="B107" i="24"/>
  <c r="C81" i="17"/>
  <c r="F204" i="13"/>
  <c r="G16" i="7"/>
  <c r="B60" i="23"/>
  <c r="C61" i="16"/>
  <c r="F61" i="13"/>
  <c r="D366" i="6"/>
  <c r="E888" i="17"/>
  <c r="B789"/>
  <c r="F67" i="20"/>
  <c r="E12" i="14"/>
  <c r="G222" i="12"/>
  <c r="H291" i="7"/>
  <c r="G135" i="20"/>
  <c r="B518" i="17"/>
  <c r="G167" i="12"/>
  <c r="H236" i="7"/>
  <c r="E696" i="17"/>
  <c r="E120"/>
  <c r="G189" i="13"/>
  <c r="H61" i="7"/>
  <c r="F703" i="17"/>
  <c r="D121"/>
  <c r="G190" i="13"/>
  <c r="H62" i="7"/>
  <c r="B179" i="17"/>
  <c r="A27" i="6"/>
  <c r="F238" i="5"/>
  <c r="K229"/>
  <c r="F15" i="17"/>
  <c r="Q17" i="6"/>
  <c r="R224"/>
  <c r="G220" i="5"/>
  <c r="G223" i="13"/>
  <c r="M8" i="6"/>
  <c r="N215"/>
  <c r="C211" i="5"/>
  <c r="G231" i="13"/>
  <c r="A9" i="6"/>
  <c r="H161" i="24"/>
  <c r="B788" i="17"/>
  <c r="F131" i="20"/>
  <c r="D4" i="15"/>
  <c r="G230" i="12"/>
  <c r="G7" i="8"/>
  <c r="G199" i="20"/>
  <c r="C640" i="17"/>
  <c r="G175" i="12"/>
  <c r="H244" i="7"/>
  <c r="D753" i="17"/>
  <c r="F127"/>
  <c r="G197" i="13"/>
  <c r="H69" i="7"/>
  <c r="E760" i="17"/>
  <c r="E128"/>
  <c r="G198" i="13"/>
  <c r="H70" i="7"/>
  <c r="F244" i="17"/>
  <c r="E30" i="6"/>
  <c r="J241" i="5"/>
  <c r="O232"/>
  <c r="E72" i="17"/>
  <c r="A21" i="6"/>
  <c r="B228"/>
  <c r="K223" i="5"/>
  <c r="D10" i="16"/>
  <c r="Q11" i="6"/>
  <c r="R218"/>
  <c r="G214" i="5"/>
  <c r="D18" i="16"/>
  <c r="E12" i="6"/>
  <c r="I1007" i="17"/>
  <c r="I788"/>
  <c r="F195" i="20"/>
  <c r="D12" i="15"/>
  <c r="G238" i="12"/>
  <c r="G15" i="8"/>
  <c r="G263" i="20"/>
  <c r="H867" i="17"/>
  <c r="G183" i="12"/>
  <c r="H252" i="7"/>
  <c r="C810" i="17"/>
  <c r="G134"/>
  <c r="G205" i="13"/>
  <c r="H77" i="7"/>
  <c r="D817" i="17"/>
  <c r="F135"/>
  <c r="G206" i="13"/>
  <c r="H78" i="7"/>
  <c r="B999" i="17"/>
  <c r="I33" i="6"/>
  <c r="N244" i="5"/>
  <c r="S235"/>
  <c r="D129" i="17"/>
  <c r="E24" i="6"/>
  <c r="R234"/>
  <c r="O226" i="5"/>
  <c r="D74" i="16"/>
  <c r="A15" i="6"/>
  <c r="B222"/>
  <c r="K217" i="5"/>
  <c r="D82" i="16"/>
  <c r="I15" i="6"/>
  <c r="D1011" i="17"/>
  <c r="A269" i="20"/>
  <c r="F259"/>
  <c r="D20" i="15"/>
  <c r="G246" i="12"/>
  <c r="F3" i="9"/>
  <c r="B109" i="23"/>
  <c r="F212" i="13"/>
  <c r="G191" i="12"/>
  <c r="H260" i="7"/>
  <c r="B867" i="17"/>
  <c r="H141"/>
  <c r="D218" i="13"/>
  <c r="H85" i="7"/>
  <c r="C874" i="17"/>
  <c r="G142"/>
  <c r="D220" i="13"/>
  <c r="H86" i="7"/>
  <c r="D24" i="15"/>
  <c r="M36" i="6"/>
  <c r="R247" i="5"/>
  <c r="N245"/>
  <c r="C186" i="17"/>
  <c r="I27" i="6"/>
  <c r="N238" i="5"/>
  <c r="S229"/>
  <c r="G22" i="17"/>
  <c r="E18" i="6"/>
  <c r="F225"/>
  <c r="O220" i="5"/>
  <c r="H29" i="17"/>
  <c r="M18" i="6"/>
  <c r="G1" i="19"/>
  <c r="E62" i="24"/>
  <c r="F88" i="23"/>
  <c r="D28" i="15"/>
  <c r="G254" i="12"/>
  <c r="F11" i="9"/>
  <c r="A926" i="17"/>
  <c r="F220" i="13"/>
  <c r="G199" i="12"/>
  <c r="H268" i="7"/>
  <c r="A924" i="17"/>
  <c r="I148"/>
  <c r="C4" i="14"/>
  <c r="H93" i="7"/>
  <c r="E940" i="17"/>
  <c r="H149"/>
  <c r="B7" i="14"/>
  <c r="H94" i="7"/>
  <c r="C58" i="16"/>
  <c r="Q39" i="6"/>
  <c r="B251" i="5"/>
  <c r="A263"/>
  <c r="A260" i="17"/>
  <c r="M30" i="6"/>
  <c r="R241" i="5"/>
  <c r="C233"/>
  <c r="F79" i="17"/>
  <c r="I21" i="6"/>
  <c r="J228"/>
  <c r="S223" i="5"/>
  <c r="G86" i="17"/>
  <c r="Q21" i="6"/>
  <c r="B886" i="17"/>
  <c r="C783"/>
  <c r="H205" i="24"/>
  <c r="F219" i="13"/>
  <c r="G198" i="12"/>
  <c r="H267" i="7"/>
  <c r="E979" i="17"/>
  <c r="E347"/>
  <c r="G143" i="12"/>
  <c r="H212" i="7"/>
  <c r="B153" i="20"/>
  <c r="B99" i="17"/>
  <c r="G165" i="13"/>
  <c r="F252" i="20"/>
  <c r="G701" i="17"/>
  <c r="I715"/>
  <c r="B730"/>
  <c r="D744"/>
  <c r="F758"/>
  <c r="H772"/>
  <c r="E559"/>
  <c r="G573"/>
  <c r="I587"/>
  <c r="A100" i="20"/>
  <c r="F31" i="7"/>
  <c r="A172" i="20"/>
  <c r="F103" i="7"/>
  <c r="A180" i="20"/>
  <c r="F111" i="7"/>
  <c r="E11" i="14"/>
  <c r="G221" i="12"/>
  <c r="H290" i="7"/>
  <c r="F234" i="23"/>
  <c r="A555" i="17"/>
  <c r="B562"/>
  <c r="B603"/>
  <c r="D50" i="23"/>
  <c r="A59" i="17"/>
  <c r="F179" i="13"/>
  <c r="H413" i="6"/>
  <c r="D82" i="23"/>
  <c r="I59" i="17"/>
  <c r="F180" i="13"/>
  <c r="P413" i="6"/>
  <c r="E125" i="20"/>
  <c r="C37" i="16"/>
  <c r="F37" i="13"/>
  <c r="L356" i="6"/>
  <c r="H164" i="20"/>
  <c r="F708" i="17"/>
  <c r="D710"/>
  <c r="B667"/>
  <c r="A290"/>
  <c r="A123"/>
  <c r="E55" i="16"/>
  <c r="G63" i="7"/>
  <c r="B22" i="9"/>
  <c r="I123" i="17"/>
  <c r="E59" i="16"/>
  <c r="G64" i="7"/>
  <c r="D190" i="20"/>
  <c r="C109" i="16"/>
  <c r="F109" i="13"/>
  <c r="H385" i="6"/>
  <c r="H228" i="20"/>
  <c r="G715" i="17"/>
  <c r="E717"/>
  <c r="C674"/>
  <c r="B297"/>
  <c r="B130"/>
  <c r="E87" i="16"/>
  <c r="G71" i="7"/>
  <c r="F232" i="6"/>
  <c r="A131" i="17"/>
  <c r="E91" i="16"/>
  <c r="G72" i="7"/>
  <c r="D254" i="20"/>
  <c r="I3" i="17"/>
  <c r="F117" i="13"/>
  <c r="L388" i="6"/>
  <c r="H292" i="20"/>
  <c r="E765" i="17"/>
  <c r="C767"/>
  <c r="D681"/>
  <c r="C304"/>
  <c r="C137"/>
  <c r="I5"/>
  <c r="G79" i="7"/>
  <c r="J235" i="6"/>
  <c r="B138" i="17"/>
  <c r="E9"/>
  <c r="G80" i="7"/>
  <c r="F67" i="23"/>
  <c r="A11" i="17"/>
  <c r="F125" i="13"/>
  <c r="P391" i="6"/>
  <c r="D311" i="17"/>
  <c r="H151" i="24"/>
  <c r="E69" i="20"/>
  <c r="C30" i="16"/>
  <c r="F30" i="13"/>
  <c r="A5" i="10"/>
  <c r="F139" i="20"/>
  <c r="D5" i="15"/>
  <c r="G231" i="12"/>
  <c r="G8" i="8"/>
  <c r="A165" i="20"/>
  <c r="D177" i="17"/>
  <c r="H59" i="16"/>
  <c r="H125" i="7"/>
  <c r="A173" i="20"/>
  <c r="C178" i="17"/>
  <c r="H63" i="16"/>
  <c r="H126" i="7"/>
  <c r="A179" i="17"/>
  <c r="M52" i="6"/>
  <c r="R263" i="5"/>
  <c r="I365"/>
  <c r="E15" i="17"/>
  <c r="I43" i="6"/>
  <c r="N254" i="5"/>
  <c r="Q291"/>
  <c r="F223" i="13"/>
  <c r="E34" i="6"/>
  <c r="J245" i="5"/>
  <c r="O236"/>
  <c r="F231" i="13"/>
  <c r="M34" i="6"/>
  <c r="C368" i="17"/>
  <c r="C138" i="23"/>
  <c r="E133" i="20"/>
  <c r="C38" i="16"/>
  <c r="F38" i="13"/>
  <c r="T356" i="6"/>
  <c r="F203" i="20"/>
  <c r="D13" i="15"/>
  <c r="G239" i="12"/>
  <c r="G16" i="8"/>
  <c r="A229" i="20"/>
  <c r="E184" i="17"/>
  <c r="H91" i="16"/>
  <c r="H133" i="7"/>
  <c r="A237" i="20"/>
  <c r="D185" i="17"/>
  <c r="H95" i="16"/>
  <c r="H134" i="7"/>
  <c r="D244" i="17"/>
  <c r="Q55" i="6"/>
  <c r="B267" i="5"/>
  <c r="A391"/>
  <c r="D72" i="17"/>
  <c r="M46" i="6"/>
  <c r="R257" i="5"/>
  <c r="I317"/>
  <c r="C10" i="16"/>
  <c r="I37" i="6"/>
  <c r="N248" i="5"/>
  <c r="R248"/>
  <c r="C18" i="16"/>
  <c r="Q37" i="6"/>
  <c r="B425" i="17"/>
  <c r="F290" i="6"/>
  <c r="E197" i="20"/>
  <c r="C46" i="16"/>
  <c r="F46" i="13"/>
  <c r="D360" i="6"/>
  <c r="F267" i="20"/>
  <c r="D21" i="15"/>
  <c r="G247" i="12"/>
  <c r="F4" i="9"/>
  <c r="A1" i="21"/>
  <c r="F191" i="17"/>
  <c r="H9"/>
  <c r="H141" i="7"/>
  <c r="B2" i="23"/>
  <c r="E192" i="17"/>
  <c r="D13"/>
  <c r="H142" i="7"/>
  <c r="E989" i="17"/>
  <c r="A59" i="6"/>
  <c r="F270" i="5"/>
  <c r="M416"/>
  <c r="C129" i="17"/>
  <c r="Q49" i="6"/>
  <c r="B261" i="5"/>
  <c r="A343"/>
  <c r="C74" i="16"/>
  <c r="M40" i="6"/>
  <c r="R251" i="5"/>
  <c r="I269"/>
  <c r="C82" i="16"/>
  <c r="A41" i="6"/>
  <c r="A482" i="17"/>
  <c r="R315" i="6"/>
  <c r="E261" i="20"/>
  <c r="C54" i="16"/>
  <c r="F54" i="13"/>
  <c r="H363" i="6"/>
  <c r="F120" i="23"/>
  <c r="D29" i="15"/>
  <c r="G255" i="12"/>
  <c r="F12" i="9"/>
  <c r="B226" i="23"/>
  <c r="G198" i="17"/>
  <c r="C38"/>
  <c r="H149" i="7"/>
  <c r="E7" i="24"/>
  <c r="F199" i="17"/>
  <c r="H41"/>
  <c r="H150" i="7"/>
  <c r="C24" i="15"/>
  <c r="E62" i="6"/>
  <c r="J273" i="5"/>
  <c r="AF252" i="4"/>
  <c r="B186" i="17"/>
  <c r="A53" i="6"/>
  <c r="F264" i="5"/>
  <c r="M368"/>
  <c r="F22" i="17"/>
  <c r="Q43" i="6"/>
  <c r="B255" i="5"/>
  <c r="A295"/>
  <c r="G29" i="17"/>
  <c r="E44" i="6"/>
  <c r="I538" i="17"/>
  <c r="J341" i="6"/>
  <c r="B92" i="23"/>
  <c r="C62" i="16"/>
  <c r="F62" i="13"/>
  <c r="L366" i="6"/>
  <c r="G927" i="17"/>
  <c r="C7" i="16"/>
  <c r="F7" i="13"/>
  <c r="F20" i="9"/>
  <c r="H11" i="20"/>
  <c r="H205" i="17"/>
  <c r="G66"/>
  <c r="H157" i="7"/>
  <c r="H19" i="20"/>
  <c r="G206" i="17"/>
  <c r="C70"/>
  <c r="H158" i="7"/>
  <c r="B58" i="16"/>
  <c r="I65" i="6"/>
  <c r="N276" i="5"/>
  <c r="AE256" i="4"/>
  <c r="E259" i="17"/>
  <c r="E56" i="6"/>
  <c r="J267" i="5"/>
  <c r="E394"/>
  <c r="E79" i="17"/>
  <c r="A47" i="6"/>
  <c r="F258" i="5"/>
  <c r="M320"/>
  <c r="F86" i="17"/>
  <c r="I47" i="6"/>
  <c r="E2" i="19"/>
  <c r="E93" i="24"/>
  <c r="G8" i="25"/>
  <c r="C6" i="16"/>
  <c r="F6" i="13"/>
  <c r="F19" i="9"/>
  <c r="I982" i="17"/>
  <c r="F228" i="13"/>
  <c r="G207" i="12"/>
  <c r="H276" i="7"/>
  <c r="B160" i="20"/>
  <c r="A156" i="17"/>
  <c r="B7" i="15"/>
  <c r="B2" i="24"/>
  <c r="E854" i="17"/>
  <c r="G868"/>
  <c r="I882"/>
  <c r="B897"/>
  <c r="D911"/>
  <c r="F925"/>
  <c r="C712"/>
  <c r="E726"/>
  <c r="G740"/>
  <c r="H202" i="20"/>
  <c r="E30" i="7"/>
  <c r="H274" i="20"/>
  <c r="E102" i="7"/>
  <c r="H282" i="20"/>
  <c r="E110" i="7"/>
  <c r="C29" i="16"/>
  <c r="F29" i="13"/>
  <c r="A3" i="10"/>
  <c r="H100" i="20"/>
  <c r="H658" i="17"/>
  <c r="F660"/>
  <c r="A660"/>
  <c r="I282"/>
  <c r="I115"/>
  <c r="E23" i="16"/>
  <c r="G55" i="7"/>
  <c r="C292"/>
  <c r="H116" i="17"/>
  <c r="E27" i="16"/>
  <c r="G56" i="7"/>
  <c r="D126" i="20"/>
  <c r="C101" i="16"/>
  <c r="F101" i="13"/>
  <c r="D382" i="6"/>
  <c r="G168" i="20"/>
  <c r="H953" i="17"/>
  <c r="D958"/>
  <c r="A724"/>
  <c r="I346"/>
  <c r="I179"/>
  <c r="C493"/>
  <c r="G127" i="7"/>
  <c r="N254" i="6"/>
  <c r="H180" i="17"/>
  <c r="B550"/>
  <c r="G128" i="7"/>
  <c r="D91" i="24"/>
  <c r="G53" i="17"/>
  <c r="F173" i="13"/>
  <c r="T410" i="6"/>
  <c r="G232" i="20"/>
  <c r="F972" i="17"/>
  <c r="B977"/>
  <c r="B731"/>
  <c r="A354"/>
  <c r="A187"/>
  <c r="F44" i="12"/>
  <c r="G135" i="7"/>
  <c r="R257" i="6"/>
  <c r="I187" i="17"/>
  <c r="F45" i="12"/>
  <c r="G136" i="7"/>
  <c r="D114" i="23"/>
  <c r="H60" i="17"/>
  <c r="F181" i="13"/>
  <c r="D414" i="6"/>
  <c r="G2" i="22"/>
  <c r="B269" i="20"/>
  <c r="B285"/>
  <c r="C738" i="17"/>
  <c r="B361"/>
  <c r="B194"/>
  <c r="F52" i="12"/>
  <c r="G143" i="7"/>
  <c r="B261" i="6"/>
  <c r="A195" i="17"/>
  <c r="F53" i="12"/>
  <c r="G144" i="7"/>
  <c r="B121" i="24"/>
  <c r="I67" i="17"/>
  <c r="F189" i="13"/>
  <c r="H1" i="7"/>
  <c r="E349" i="17"/>
  <c r="I251" i="6"/>
  <c r="D70" i="20"/>
  <c r="C94" i="16"/>
  <c r="F94" i="13"/>
  <c r="H379" i="6"/>
  <c r="E141" i="20"/>
  <c r="C39" i="16"/>
  <c r="F39" i="13"/>
  <c r="H357" i="6"/>
  <c r="H267" i="20"/>
  <c r="C242" i="17"/>
  <c r="B569"/>
  <c r="H189" i="7"/>
  <c r="H275" i="20"/>
  <c r="D243" i="17"/>
  <c r="G121" i="12"/>
  <c r="H190" i="7"/>
  <c r="H179" i="17"/>
  <c r="E78" i="6"/>
  <c r="J289" i="5"/>
  <c r="G272" i="4"/>
  <c r="C16" i="17"/>
  <c r="A69" i="6"/>
  <c r="F280" i="5"/>
  <c r="A261" i="4"/>
  <c r="E223" i="13"/>
  <c r="Q59" i="6"/>
  <c r="B271" i="5"/>
  <c r="AG249" i="4"/>
  <c r="E231" i="13"/>
  <c r="E60" i="6"/>
  <c r="D406" i="17"/>
  <c r="A277" i="6"/>
  <c r="D134" i="20"/>
  <c r="C102" i="16"/>
  <c r="F102" i="13"/>
  <c r="L382" i="6"/>
  <c r="E205" i="20"/>
  <c r="C47" i="16"/>
  <c r="F47" i="13"/>
  <c r="L360" i="6"/>
  <c r="F125" i="23"/>
  <c r="A255" i="17"/>
  <c r="G128" i="12"/>
  <c r="H197" i="7"/>
  <c r="F157" i="23"/>
  <c r="F257" i="17"/>
  <c r="G129" i="12"/>
  <c r="H198" i="7"/>
  <c r="E245" i="17"/>
  <c r="I81" i="6"/>
  <c r="N292" i="5"/>
  <c r="G276" i="4"/>
  <c r="B73" i="17"/>
  <c r="E72" i="6"/>
  <c r="J283" i="5"/>
  <c r="A265" i="4"/>
  <c r="B10" i="16"/>
  <c r="A63" i="6"/>
  <c r="F274" i="5"/>
  <c r="AF253" i="4"/>
  <c r="B18" i="16"/>
  <c r="I63" i="6"/>
  <c r="C463" i="17"/>
  <c r="M302" i="6"/>
  <c r="D198" i="20"/>
  <c r="C110" i="16"/>
  <c r="F110" i="13"/>
  <c r="P385" i="6"/>
  <c r="E269" i="20"/>
  <c r="C55" i="16"/>
  <c r="F55" i="13"/>
  <c r="P363" i="6"/>
  <c r="G929" i="17"/>
  <c r="G297"/>
  <c r="G136" i="12"/>
  <c r="H205" i="7"/>
  <c r="H936" i="17"/>
  <c r="H304"/>
  <c r="G137" i="12"/>
  <c r="H206" i="7"/>
  <c r="B174" i="20"/>
  <c r="M84" i="6"/>
  <c r="R295" i="5"/>
  <c r="G280" i="4"/>
  <c r="A130" i="17"/>
  <c r="I75" i="6"/>
  <c r="N286" i="5"/>
  <c r="AJ268" i="4"/>
  <c r="B74" i="16"/>
  <c r="E66" i="6"/>
  <c r="J277" i="5"/>
  <c r="AE257" i="4"/>
  <c r="B82" i="16"/>
  <c r="M66" i="6"/>
  <c r="B520" i="17"/>
  <c r="E328" i="6"/>
  <c r="D262" i="20"/>
  <c r="H4" i="17"/>
  <c r="F118" i="13"/>
  <c r="T388" i="6"/>
  <c r="B124" i="23"/>
  <c r="C63" i="16"/>
  <c r="F63" i="13"/>
  <c r="T366" i="6"/>
  <c r="F986" i="17"/>
  <c r="F354"/>
  <c r="G144" i="12"/>
  <c r="H213" i="7"/>
  <c r="G993" i="17"/>
  <c r="G361"/>
  <c r="G145" i="12"/>
  <c r="H214" i="7"/>
  <c r="A64" i="16"/>
  <c r="Q87" i="6"/>
  <c r="B299" i="5"/>
  <c r="G284" i="4"/>
  <c r="I186" i="17"/>
  <c r="M78" i="6"/>
  <c r="R289" i="5"/>
  <c r="AI272" i="4"/>
  <c r="D23" i="17"/>
  <c r="I69" i="6"/>
  <c r="N280" i="5"/>
  <c r="I261" i="4"/>
  <c r="E30" i="17"/>
  <c r="Q69" i="6"/>
  <c r="C648" i="17"/>
  <c r="Q353" i="6"/>
  <c r="F99" i="23"/>
  <c r="I11" i="17"/>
  <c r="F126" i="13"/>
  <c r="D392" i="6"/>
  <c r="D929" i="17"/>
  <c r="C71" i="16"/>
  <c r="F71" i="13"/>
  <c r="D370" i="6"/>
  <c r="G15" i="20"/>
  <c r="E411" i="17"/>
  <c r="G152" i="12"/>
  <c r="H221" i="7"/>
  <c r="G23" i="20"/>
  <c r="F418" i="17"/>
  <c r="G153" i="12"/>
  <c r="H222" i="7"/>
  <c r="D14" i="17"/>
  <c r="A91" i="6"/>
  <c r="F302" i="5"/>
  <c r="G288" i="4"/>
  <c r="G262" i="17"/>
  <c r="Q81" i="6"/>
  <c r="B293" i="5"/>
  <c r="AI276" i="4"/>
  <c r="C80" i="17"/>
  <c r="M72" i="6"/>
  <c r="R283" i="5"/>
  <c r="I265" i="4"/>
  <c r="D87" i="17"/>
  <c r="A73" i="6"/>
  <c r="A723" i="17"/>
  <c r="S377" i="6"/>
  <c r="F27" i="25"/>
  <c r="C70" i="16"/>
  <c r="F70" i="13"/>
  <c r="P369" i="6"/>
  <c r="F984" i="17"/>
  <c r="C15" i="16"/>
  <c r="F15" i="13"/>
  <c r="F28" i="9"/>
  <c r="H75" i="20"/>
  <c r="H213" i="17"/>
  <c r="C110"/>
  <c r="G12" i="38"/>
  <c r="C857" i="17"/>
  <c r="E871"/>
  <c r="G885"/>
  <c r="I899"/>
  <c r="B914"/>
  <c r="G932"/>
  <c r="A715"/>
  <c r="C729"/>
  <c r="E743"/>
  <c r="G206" i="20"/>
  <c r="E60" i="12"/>
  <c r="G278" i="20"/>
  <c r="A255" i="12"/>
  <c r="G286" i="20"/>
  <c r="H62" i="13"/>
  <c r="C93" i="16"/>
  <c r="F93" i="13"/>
  <c r="T378" i="6"/>
  <c r="G104" i="20"/>
  <c r="D886" i="17"/>
  <c r="B888"/>
  <c r="I716"/>
  <c r="H339"/>
  <c r="H172"/>
  <c r="I217"/>
  <c r="G119" i="7"/>
  <c r="J251" i="6"/>
  <c r="G173" i="17"/>
  <c r="D227"/>
  <c r="G120" i="7"/>
  <c r="E90" i="23"/>
  <c r="F46" i="17"/>
  <c r="F165" i="13"/>
  <c r="P407" i="6"/>
  <c r="F172" i="20"/>
  <c r="C710" i="17"/>
  <c r="A712"/>
  <c r="I780"/>
  <c r="H403"/>
  <c r="F245"/>
  <c r="F100" i="12"/>
  <c r="G191" i="7"/>
  <c r="F280" i="6"/>
  <c r="H246" i="17"/>
  <c r="F101" i="12"/>
  <c r="G192" i="7"/>
  <c r="F49" i="24"/>
  <c r="F110" i="17"/>
  <c r="A1" i="16"/>
  <c r="G49" i="7"/>
  <c r="F236" i="20"/>
  <c r="D717" i="17"/>
  <c r="B719"/>
  <c r="A788"/>
  <c r="I410"/>
  <c r="A263"/>
  <c r="F108" i="12"/>
  <c r="G199" i="7"/>
  <c r="J283" i="6"/>
  <c r="D268" i="17"/>
  <c r="F109" i="12"/>
  <c r="G200" i="7"/>
  <c r="R283" i="6"/>
  <c r="G117" i="17"/>
  <c r="E31" i="16"/>
  <c r="G57" i="7"/>
  <c r="B13" i="22"/>
  <c r="B767" i="17"/>
  <c r="I768"/>
  <c r="B795"/>
  <c r="A418"/>
  <c r="B318"/>
  <c r="F116" i="12"/>
  <c r="G207" i="7"/>
  <c r="N286" i="6"/>
  <c r="C325" i="17"/>
  <c r="F117" i="12"/>
  <c r="G208" i="7"/>
  <c r="B287" i="6"/>
  <c r="H124" i="17"/>
  <c r="E63" i="16"/>
  <c r="G65" i="7"/>
  <c r="C350" i="17"/>
  <c r="P251" i="6"/>
  <c r="C275" i="20"/>
  <c r="D40" i="17"/>
  <c r="F158" i="13"/>
  <c r="T404" i="6"/>
  <c r="D142" i="20"/>
  <c r="C103" i="16"/>
  <c r="F103" i="13"/>
  <c r="T382" i="6"/>
  <c r="G271" i="20"/>
  <c r="C896" i="17"/>
  <c r="G184" i="12"/>
  <c r="H253" i="7"/>
  <c r="G279" i="20"/>
  <c r="G924" i="17"/>
  <c r="G185" i="12"/>
  <c r="H254" i="7"/>
  <c r="G256" i="17"/>
  <c r="Q103" i="6"/>
  <c r="B315" i="5"/>
  <c r="E304" i="4"/>
  <c r="D78" i="17"/>
  <c r="M94" i="6"/>
  <c r="R305" i="5"/>
  <c r="AH292" i="4"/>
  <c r="A16" i="16"/>
  <c r="I85" i="6"/>
  <c r="N296" i="5"/>
  <c r="G281" i="4"/>
  <c r="A24" i="16"/>
  <c r="Q85" i="6"/>
  <c r="B407" i="17"/>
  <c r="H277" i="6"/>
  <c r="E122" i="23"/>
  <c r="E47" i="17"/>
  <c r="F166" i="13"/>
  <c r="D408" i="6"/>
  <c r="D206" i="20"/>
  <c r="C111" i="16"/>
  <c r="F111" i="13"/>
  <c r="D386" i="6"/>
  <c r="B141" i="23"/>
  <c r="F213" i="13"/>
  <c r="G192" i="12"/>
  <c r="H261" i="7"/>
  <c r="B173" i="23"/>
  <c r="F214" i="13"/>
  <c r="G193" i="12"/>
  <c r="H262" i="7"/>
  <c r="H263" i="17"/>
  <c r="A107" i="6"/>
  <c r="F318" i="5"/>
  <c r="D308" i="4"/>
  <c r="C135" i="17"/>
  <c r="Q97" i="6"/>
  <c r="B309" i="5"/>
  <c r="AH296" i="4"/>
  <c r="A80" i="16"/>
  <c r="M88" i="6"/>
  <c r="R299" i="5"/>
  <c r="G285" i="4"/>
  <c r="A88" i="16"/>
  <c r="A89" i="6"/>
  <c r="A464" i="17"/>
  <c r="T302" i="6"/>
  <c r="G137" i="24"/>
  <c r="F54" i="17"/>
  <c r="F174" i="13"/>
  <c r="H411" i="6"/>
  <c r="D270" i="20"/>
  <c r="G5" i="17"/>
  <c r="F119" i="13"/>
  <c r="H389" i="6"/>
  <c r="B933" i="17"/>
  <c r="F221" i="13"/>
  <c r="G200" i="12"/>
  <c r="H269" i="7"/>
  <c r="C940" i="17"/>
  <c r="F222" i="13"/>
  <c r="G201" i="12"/>
  <c r="H270" i="7"/>
  <c r="G320" i="17"/>
  <c r="E110" i="6"/>
  <c r="J321" i="5"/>
  <c r="D312" i="4"/>
  <c r="B192" i="17"/>
  <c r="A101" i="6"/>
  <c r="F312" i="5"/>
  <c r="AG300" i="4"/>
  <c r="F28" i="17"/>
  <c r="Q91" i="6"/>
  <c r="B303" i="5"/>
  <c r="G289" i="4"/>
  <c r="G35" i="17"/>
  <c r="E92" i="6"/>
  <c r="I520" i="17"/>
  <c r="L328" i="6"/>
  <c r="D146" i="23"/>
  <c r="G61" i="17"/>
  <c r="F182" i="13"/>
  <c r="L414" i="6"/>
  <c r="F131" i="23"/>
  <c r="H12" i="17"/>
  <c r="F127" i="13"/>
  <c r="L392" i="6"/>
  <c r="A990" i="17"/>
  <c r="F229" i="13"/>
  <c r="G208" i="12"/>
  <c r="H277" i="7"/>
  <c r="B997" i="17"/>
  <c r="F230" i="13"/>
  <c r="G209" i="12"/>
  <c r="H278" i="7"/>
  <c r="F377" i="17"/>
  <c r="I113" i="6"/>
  <c r="N324" i="5"/>
  <c r="B316" i="4"/>
  <c r="B302" i="17"/>
  <c r="E104" i="6"/>
  <c r="J315" i="5"/>
  <c r="AG304" i="4"/>
  <c r="E85" i="17"/>
  <c r="A95" i="6"/>
  <c r="F306" i="5"/>
  <c r="F293" i="4"/>
  <c r="F92" i="17"/>
  <c r="I95" i="6"/>
  <c r="A651" i="17"/>
  <c r="D354" i="6"/>
  <c r="B185" i="24"/>
  <c r="H68" i="17"/>
  <c r="F190" i="13"/>
  <c r="G2" i="7"/>
  <c r="D928" i="17"/>
  <c r="I19"/>
  <c r="F135" i="13"/>
  <c r="P395" i="6"/>
  <c r="F19" i="20"/>
  <c r="E6" i="14"/>
  <c r="G216" i="12"/>
  <c r="H285" i="7"/>
  <c r="F27" i="20"/>
  <c r="E7" i="14"/>
  <c r="G217" i="12"/>
  <c r="H286" i="7"/>
  <c r="E434" i="17"/>
  <c r="M116" i="6"/>
  <c r="R327" i="5"/>
  <c r="A320" i="4"/>
  <c r="I270" i="17"/>
  <c r="I107" i="6"/>
  <c r="N318" i="5"/>
  <c r="AF308" i="4"/>
  <c r="D142" i="17"/>
  <c r="E98" i="6"/>
  <c r="J309" i="5"/>
  <c r="F297" i="4"/>
  <c r="E149" i="17"/>
  <c r="M98" i="6"/>
  <c r="H875" i="17"/>
  <c r="N402" i="6"/>
  <c r="H45" i="25"/>
  <c r="A19" i="17"/>
  <c r="F134" i="13"/>
  <c r="H395" i="6"/>
  <c r="C986" i="17"/>
  <c r="C79" i="16"/>
  <c r="F79" i="13"/>
  <c r="H373" i="6"/>
  <c r="G79" i="20"/>
  <c r="D468" i="17"/>
  <c r="G160" i="12"/>
  <c r="F86" i="20"/>
  <c r="E53" i="16"/>
  <c r="B248" i="23"/>
  <c r="C49" i="12"/>
  <c r="A964" i="17"/>
  <c r="B215" i="12"/>
  <c r="B971" i="17"/>
  <c r="B247" i="12"/>
  <c r="C978" i="17"/>
  <c r="H47" i="13"/>
  <c r="A219" i="17"/>
  <c r="I468"/>
  <c r="G267" i="6"/>
  <c r="L324"/>
  <c r="B226" i="17"/>
  <c r="A476"/>
  <c r="S292" i="6"/>
  <c r="D350"/>
  <c r="C233" i="17"/>
  <c r="B483"/>
  <c r="K318" i="6"/>
  <c r="E395"/>
  <c r="D240" i="17"/>
  <c r="C490"/>
  <c r="C344" i="6"/>
  <c r="C99" i="7"/>
  <c r="E247" i="17"/>
  <c r="D497"/>
  <c r="D383" i="6"/>
  <c r="B270" i="7"/>
  <c r="A985" i="17"/>
  <c r="F447"/>
  <c r="A9" i="10"/>
  <c r="E93" i="20"/>
  <c r="C33" i="16"/>
  <c r="F33" i="13"/>
  <c r="A11" i="10"/>
  <c r="F528" i="17"/>
  <c r="I145" i="6"/>
  <c r="N356" i="5"/>
  <c r="E355" i="4"/>
  <c r="A365" i="17"/>
  <c r="E136" i="6"/>
  <c r="J347" i="5"/>
  <c r="B344" i="4"/>
  <c r="C817" i="17"/>
  <c r="A127" i="6"/>
  <c r="F338" i="5"/>
  <c r="AH332" i="4"/>
  <c r="G845" i="17"/>
  <c r="I127" i="6"/>
  <c r="G570" i="17"/>
  <c r="C128" i="7"/>
  <c r="F268" i="6"/>
  <c r="I139" i="17"/>
  <c r="F16"/>
  <c r="G82" i="7"/>
  <c r="A30" i="23"/>
  <c r="A91" i="17"/>
  <c r="C222" i="13"/>
  <c r="G27" i="7"/>
  <c r="E149" i="20"/>
  <c r="C40" i="16"/>
  <c r="F40" i="13"/>
  <c r="P357" i="6"/>
  <c r="E157" i="20"/>
  <c r="C41" i="16"/>
  <c r="F41" i="13"/>
  <c r="D358" i="6"/>
  <c r="A682" i="17"/>
  <c r="M148" i="6"/>
  <c r="R359" i="5"/>
  <c r="D359" i="4"/>
  <c r="I421" i="17"/>
  <c r="I139" i="6"/>
  <c r="N350" i="5"/>
  <c r="AJ347" i="4"/>
  <c r="D258" i="17"/>
  <c r="E130" i="6"/>
  <c r="J341" i="5"/>
  <c r="AG336" i="4"/>
  <c r="E265" i="17"/>
  <c r="M130" i="6"/>
  <c r="B123" i="13"/>
  <c r="C149" i="12"/>
  <c r="C31" i="6"/>
  <c r="O12"/>
  <c r="F348" i="5"/>
  <c r="A345" i="4"/>
  <c r="B874" i="17"/>
  <c r="Q127" i="6"/>
  <c r="B339" i="5"/>
  <c r="AH333" i="4"/>
  <c r="F162" i="13"/>
  <c r="R238" i="6"/>
  <c r="F47"/>
  <c r="O42" i="5"/>
  <c r="F42" i="13"/>
  <c r="F226" i="6"/>
  <c r="F41"/>
  <c r="O36" i="5"/>
  <c r="R365"/>
  <c r="AF167" i="4"/>
  <c r="Q141" i="3"/>
  <c r="T307"/>
  <c r="M60" i="5"/>
  <c r="F226" i="4"/>
  <c r="H346" i="3"/>
  <c r="U165"/>
  <c r="Q63" i="5"/>
  <c r="AH226" i="4"/>
  <c r="P346" i="3"/>
  <c r="D166"/>
  <c r="M92" i="5"/>
  <c r="I232" i="4"/>
  <c r="J349" i="3"/>
  <c r="H169"/>
  <c r="Q95" i="5"/>
  <c r="C233" i="4"/>
  <c r="R349" i="3"/>
  <c r="R169"/>
  <c r="A99" i="5"/>
  <c r="AH233" i="4"/>
  <c r="Z349" i="3"/>
  <c r="A170"/>
  <c r="Q127" i="5"/>
  <c r="AH239" i="4"/>
  <c r="T352" i="3"/>
  <c r="E173"/>
  <c r="J384"/>
  <c r="AG299" i="4"/>
  <c r="A32" i="3"/>
  <c r="K381"/>
  <c r="B68" i="4"/>
  <c r="F413"/>
  <c r="S74" i="3"/>
  <c r="C298"/>
  <c r="R111"/>
  <c r="H894" i="17"/>
  <c r="Q8" i="6"/>
  <c r="H381" i="4"/>
  <c r="J281"/>
  <c r="AJ248"/>
  <c r="X117" i="3"/>
  <c r="L172" i="5"/>
  <c r="F86" i="3"/>
  <c r="H151" i="5"/>
  <c r="F375" i="6"/>
  <c r="F179" i="7"/>
  <c r="AH288" i="4"/>
  <c r="AI265"/>
  <c r="F91" i="6"/>
  <c r="O86" i="5"/>
  <c r="E127" i="12"/>
  <c r="B288" i="5"/>
  <c r="B82" i="6"/>
  <c r="K77" i="5"/>
  <c r="A38" i="7"/>
  <c r="K392" i="5"/>
  <c r="O203" i="6"/>
  <c r="D183" i="5"/>
  <c r="C98" i="7"/>
  <c r="K386" i="5"/>
  <c r="O197" i="6"/>
  <c r="D177" i="5"/>
  <c r="AF377" i="4"/>
  <c r="J91"/>
  <c r="H262" i="3"/>
  <c r="Z73"/>
  <c r="R160" i="5"/>
  <c r="J150" i="4"/>
  <c r="G357" i="3"/>
  <c r="V296"/>
  <c r="R162" i="5"/>
  <c r="B151" i="4"/>
  <c r="S357" i="3"/>
  <c r="F297"/>
  <c r="R176" i="5"/>
  <c r="J155" i="4"/>
  <c r="K361" i="3"/>
  <c r="X300"/>
  <c r="R178" i="5"/>
  <c r="A156" i="4"/>
  <c r="U361" i="3"/>
  <c r="H301"/>
  <c r="B180" i="5"/>
  <c r="I156" i="4"/>
  <c r="E362" i="3"/>
  <c r="T301"/>
  <c r="R194" i="5"/>
  <c r="AI160" i="4"/>
  <c r="W365" i="3"/>
  <c r="L305"/>
  <c r="D125"/>
  <c r="AF140" i="4"/>
  <c r="O256" i="3"/>
  <c r="F52"/>
  <c r="P333"/>
  <c r="A72" i="4"/>
  <c r="I128"/>
  <c r="D31" i="3"/>
  <c r="M350"/>
  <c r="F191" i="12"/>
  <c r="E298" i="4"/>
  <c r="AH286"/>
  <c r="I353" i="5"/>
  <c r="L30"/>
  <c r="Y340" i="3"/>
  <c r="P95" i="5"/>
  <c r="A398" i="3"/>
  <c r="C334" i="4"/>
  <c r="R400" i="6"/>
  <c r="F243" i="7"/>
  <c r="H320" i="4"/>
  <c r="AG297"/>
  <c r="J94" i="6"/>
  <c r="S89" i="5"/>
  <c r="E191" i="12"/>
  <c r="F291" i="5"/>
  <c r="F85" i="6"/>
  <c r="O80" i="5"/>
  <c r="A102" i="7"/>
  <c r="O395" i="5"/>
  <c r="S206" i="6"/>
  <c r="H186" i="5"/>
  <c r="B269" i="7"/>
  <c r="O389" i="5"/>
  <c r="S200" i="6"/>
  <c r="H180" i="5"/>
  <c r="D409" i="4"/>
  <c r="J95"/>
  <c r="T264" i="3"/>
  <c r="L76"/>
  <c r="B18" i="19"/>
  <c r="G948" i="17"/>
  <c r="A188" i="13"/>
  <c r="I279" i="17"/>
  <c r="H92" i="16"/>
  <c r="H128" i="12"/>
  <c r="E16" i="16"/>
  <c r="H136" i="12"/>
  <c r="E48" i="16"/>
  <c r="H144" i="12"/>
  <c r="E80" i="16"/>
  <c r="B841" i="17"/>
  <c r="F470"/>
  <c r="H19" i="9"/>
  <c r="E276" i="7"/>
  <c r="F869" i="17"/>
  <c r="G477"/>
  <c r="G31" i="12"/>
  <c r="C28" i="9"/>
  <c r="A898" i="17"/>
  <c r="H484"/>
  <c r="G120" i="12"/>
  <c r="A38" i="9"/>
  <c r="A928" i="17"/>
  <c r="I491"/>
  <c r="H3" i="10"/>
  <c r="H35" i="9"/>
  <c r="G1003" i="17"/>
  <c r="A499"/>
  <c r="B50" i="12"/>
  <c r="B49"/>
  <c r="H755" i="17"/>
  <c r="D120" i="12"/>
  <c r="L413" i="6"/>
  <c r="D506" i="17"/>
  <c r="B198" i="13"/>
  <c r="D122" i="12"/>
  <c r="H414" i="6"/>
  <c r="D389"/>
  <c r="O152"/>
  <c r="L381" i="5"/>
  <c r="AD345" i="4"/>
  <c r="P370" i="6"/>
  <c r="K143"/>
  <c r="H372" i="5"/>
  <c r="H334" i="4"/>
  <c r="G354" i="6"/>
  <c r="G134"/>
  <c r="D363" i="5"/>
  <c r="C323" i="4"/>
  <c r="O354" i="6"/>
  <c r="O134"/>
  <c r="C205" i="7"/>
  <c r="O364" i="6"/>
  <c r="H317" i="17"/>
  <c r="G62" i="16"/>
  <c r="E10" i="10"/>
  <c r="F287" i="6"/>
  <c r="I268" i="17"/>
  <c r="G7" i="16"/>
  <c r="B189" i="12"/>
  <c r="F265" i="6"/>
  <c r="F512" i="17"/>
  <c r="B205" i="13"/>
  <c r="A150" i="12"/>
  <c r="B11" i="7"/>
  <c r="E513" i="17"/>
  <c r="B206" i="13"/>
  <c r="A154" i="12"/>
  <c r="D13" i="7"/>
  <c r="L395" i="6"/>
  <c r="S155"/>
  <c r="P384" i="5"/>
  <c r="J349" i="4"/>
  <c r="D377" i="6"/>
  <c r="O146"/>
  <c r="L375" i="5"/>
  <c r="F338" i="4"/>
  <c r="P358" i="6"/>
  <c r="K137"/>
  <c r="H366" i="5"/>
  <c r="C327" i="4"/>
  <c r="L359" i="6"/>
  <c r="S137"/>
  <c r="D84" i="17"/>
  <c r="G33" i="16"/>
  <c r="O226" i="6"/>
  <c r="S217"/>
  <c r="D373" i="5"/>
  <c r="H335" i="4"/>
  <c r="C355" i="6"/>
  <c r="C135"/>
  <c r="T363" i="5"/>
  <c r="C324" i="4"/>
  <c r="H272" i="6"/>
  <c r="D260" i="5"/>
  <c r="I101"/>
  <c r="A52"/>
  <c r="H266" i="6"/>
  <c r="D254" i="5"/>
  <c r="I95"/>
  <c r="A46"/>
  <c r="K50"/>
  <c r="AH132" i="4"/>
  <c r="D342" i="3"/>
  <c r="F238"/>
  <c r="C296" i="4"/>
  <c r="D192"/>
  <c r="G195" i="3"/>
  <c r="E106"/>
  <c r="AE296" i="4"/>
  <c r="AF192"/>
  <c r="P195" i="3"/>
  <c r="N106"/>
  <c r="B301" i="4"/>
  <c r="AJ196"/>
  <c r="Z198" i="3"/>
  <c r="S109"/>
  <c r="J301" i="4"/>
  <c r="H197"/>
  <c r="J199" i="3"/>
  <c r="B110"/>
  <c r="B302" i="4"/>
  <c r="AJ197"/>
  <c r="T199" i="3"/>
  <c r="K110"/>
  <c r="J306" i="4"/>
  <c r="G202"/>
  <c r="L203" i="3"/>
  <c r="O113"/>
  <c r="M138"/>
  <c r="Y154"/>
  <c r="A257"/>
  <c r="U53"/>
  <c r="C97"/>
  <c r="V15"/>
  <c r="R147"/>
  <c r="E144" i="4"/>
  <c r="N157" i="5"/>
  <c r="L228" i="6"/>
  <c r="G326"/>
  <c r="J75"/>
  <c r="G246" i="5"/>
  <c r="C159" i="7"/>
  <c r="J172" i="4"/>
  <c r="X151" i="3"/>
  <c r="C194" i="4"/>
  <c r="B89" i="17"/>
  <c r="C1" i="10"/>
  <c r="E179" i="7"/>
  <c r="M96" i="5"/>
  <c r="D304"/>
  <c r="I145"/>
  <c r="A96"/>
  <c r="D307" i="6"/>
  <c r="T294" i="5"/>
  <c r="E136"/>
  <c r="Q86"/>
  <c r="L22" i="6"/>
  <c r="I231"/>
  <c r="I259" i="5"/>
  <c r="B192"/>
  <c r="L16" i="6"/>
  <c r="I224"/>
  <c r="R235" i="5"/>
  <c r="B186"/>
  <c r="L190"/>
  <c r="D57" i="4"/>
  <c r="T99" i="3"/>
  <c r="A351"/>
  <c r="T46" i="5"/>
  <c r="AD116" i="4"/>
  <c r="O347" i="3"/>
  <c r="C407"/>
  <c r="H47" i="5"/>
  <c r="B117" i="4"/>
  <c r="Y347" i="3"/>
  <c r="U408"/>
  <c r="T50" i="5"/>
  <c r="J121" i="4"/>
  <c r="Q351" i="3"/>
  <c r="A7"/>
  <c r="H51" i="5"/>
  <c r="A122" i="4"/>
  <c r="A352" i="3"/>
  <c r="I7"/>
  <c r="P51" i="5"/>
  <c r="I122" i="4"/>
  <c r="M352" i="3"/>
  <c r="Q7"/>
  <c r="H55" i="5"/>
  <c r="A127" i="4"/>
  <c r="E356" i="3"/>
  <c r="O10"/>
  <c r="U381"/>
  <c r="G404"/>
  <c r="L88"/>
  <c r="C309"/>
  <c r="M332"/>
  <c r="I98"/>
  <c r="F152"/>
  <c r="S369"/>
  <c r="E148" i="4"/>
  <c r="D66" i="16"/>
  <c r="C275" i="6"/>
  <c r="N403" i="5"/>
  <c r="J12" i="6"/>
  <c r="P36" i="3"/>
  <c r="C220" i="4"/>
  <c r="X106" i="3"/>
  <c r="AI178" i="4"/>
  <c r="C151" i="17"/>
  <c r="A4" i="8"/>
  <c r="E243" i="7"/>
  <c r="E122" i="5"/>
  <c r="H307"/>
  <c r="M148"/>
  <c r="E99"/>
  <c r="H310" i="6"/>
  <c r="D298" i="5"/>
  <c r="I139"/>
  <c r="A90"/>
  <c r="P25" i="6"/>
  <c r="P6"/>
  <c r="A285" i="5"/>
  <c r="F195"/>
  <c r="P19" i="6"/>
  <c r="M227"/>
  <c r="I245" i="5"/>
  <c r="F189"/>
  <c r="P193"/>
  <c r="B61" i="4"/>
  <c r="F102" i="3"/>
  <c r="E364"/>
  <c r="F89" i="20"/>
  <c r="H705" i="17"/>
  <c r="A773"/>
  <c r="H185" i="7"/>
  <c r="A837" i="17"/>
  <c r="H257" i="7"/>
  <c r="B844" i="17"/>
  <c r="H265" i="7"/>
  <c r="C851" i="17"/>
  <c r="H273" i="7"/>
  <c r="D97" i="17"/>
  <c r="E22" i="15"/>
  <c r="N337" i="5"/>
  <c r="F319"/>
  <c r="E104" i="17"/>
  <c r="E30" i="15"/>
  <c r="R340" i="5"/>
  <c r="J322"/>
  <c r="F111" i="17"/>
  <c r="D8" i="16"/>
  <c r="B344" i="5"/>
  <c r="N325"/>
  <c r="G118" i="17"/>
  <c r="D16" i="16"/>
  <c r="F347" i="5"/>
  <c r="R328"/>
  <c r="H125" i="17"/>
  <c r="D24" i="16"/>
  <c r="J350" i="5"/>
  <c r="B332"/>
  <c r="A76" i="17"/>
  <c r="F14" i="14"/>
  <c r="Q405" i="6"/>
  <c r="B218" i="20"/>
  <c r="B43" i="17"/>
  <c r="G102" i="13"/>
  <c r="E406" i="6"/>
  <c r="B227" i="17"/>
  <c r="R404" i="5"/>
  <c r="R198" i="6"/>
  <c r="G194" i="5"/>
  <c r="D59" i="17"/>
  <c r="N395" i="5"/>
  <c r="N189" i="6"/>
  <c r="C185" i="5"/>
  <c r="G25" i="15"/>
  <c r="J386" i="5"/>
  <c r="J180" i="6"/>
  <c r="S175" i="5"/>
  <c r="F3" i="16"/>
  <c r="R386" i="5"/>
  <c r="A770" i="17"/>
  <c r="C481"/>
  <c r="D972"/>
  <c r="D340"/>
  <c r="G142" i="12"/>
  <c r="H211" i="7"/>
  <c r="H3" i="20"/>
  <c r="I204" i="17"/>
  <c r="B63"/>
  <c r="H156" i="7"/>
  <c r="I581" i="17"/>
  <c r="D49"/>
  <c r="G109" i="13"/>
  <c r="A409" i="6"/>
  <c r="A589" i="17"/>
  <c r="C50"/>
  <c r="G110" i="13"/>
  <c r="I409" i="6"/>
  <c r="D548" i="17"/>
  <c r="B408" i="5"/>
  <c r="B202" i="6"/>
  <c r="K197" i="5"/>
  <c r="C116" i="17"/>
  <c r="R398" i="5"/>
  <c r="R192" i="6"/>
  <c r="G188" i="5"/>
  <c r="F59" i="16"/>
  <c r="N389" i="5"/>
  <c r="N183" i="6"/>
  <c r="C179" i="5"/>
  <c r="F67" i="16"/>
  <c r="B390" i="5"/>
  <c r="A53" i="13"/>
  <c r="H88"/>
  <c r="S259" i="5"/>
  <c r="K241"/>
  <c r="J190" i="6"/>
  <c r="S185" i="5"/>
  <c r="F11" i="16"/>
  <c r="F387" i="5"/>
  <c r="F181" i="6"/>
  <c r="O176" i="5"/>
  <c r="N405" i="6"/>
  <c r="N78"/>
  <c r="O306" i="5"/>
  <c r="AJ273" i="4"/>
  <c r="N357" i="6"/>
  <c r="N72"/>
  <c r="O300" i="5"/>
  <c r="I266" i="4"/>
  <c r="AH386"/>
  <c r="AJ213"/>
  <c r="P338" i="3"/>
  <c r="Z156"/>
  <c r="D11" i="5"/>
  <c r="J36" i="4"/>
  <c r="D228" i="3"/>
  <c r="N398"/>
  <c r="H14" i="5"/>
  <c r="B37" i="4"/>
  <c r="L228" i="3"/>
  <c r="Z398"/>
  <c r="D43" i="5"/>
  <c r="J41" i="4"/>
  <c r="F231" i="3"/>
  <c r="R402"/>
  <c r="H46" i="5"/>
  <c r="A42" i="4"/>
  <c r="N231" i="3"/>
  <c r="B403"/>
  <c r="L49" i="5"/>
  <c r="I42" i="4"/>
  <c r="V231" i="3"/>
  <c r="L403"/>
  <c r="H78" i="5"/>
  <c r="AJ46" i="4"/>
  <c r="P234" i="3"/>
  <c r="D407"/>
  <c r="T351"/>
  <c r="C176" i="4"/>
  <c r="J32" i="3"/>
  <c r="M396"/>
  <c r="L315"/>
  <c r="AJ105" i="4"/>
  <c r="S158" i="5"/>
  <c r="E313" i="3"/>
  <c r="L124"/>
  <c r="G282" i="7"/>
  <c r="S186" i="6"/>
  <c r="D372" i="4"/>
  <c r="H181" i="13"/>
  <c r="B50" i="4"/>
  <c r="T402" i="3"/>
  <c r="AF210" i="4"/>
  <c r="N373" i="3"/>
  <c r="B153" i="4"/>
  <c r="L405" i="6"/>
  <c r="S288"/>
  <c r="E414" i="5"/>
  <c r="A267"/>
  <c r="O350"/>
  <c r="I328" i="4"/>
  <c r="F8" i="12"/>
  <c r="J113" i="6"/>
  <c r="K341" i="5"/>
  <c r="C317" i="4"/>
  <c r="R265" i="6"/>
  <c r="S238" i="5"/>
  <c r="C50" i="6"/>
  <c r="L29" i="5"/>
  <c r="R251" i="6"/>
  <c r="O228"/>
  <c r="C44"/>
  <c r="L23" i="5"/>
  <c r="F121"/>
  <c r="D138" i="4"/>
  <c r="A347" i="3"/>
  <c r="N286"/>
  <c r="C289" i="4"/>
  <c r="AH196"/>
  <c r="S199" i="3"/>
  <c r="P147"/>
  <c r="AE289" i="4"/>
  <c r="F197"/>
  <c r="E200" i="3"/>
  <c r="Y147"/>
  <c r="B294" i="4"/>
  <c r="AG201"/>
  <c r="W203" i="3"/>
  <c r="C151"/>
  <c r="J294" i="4"/>
  <c r="E202"/>
  <c r="G204" i="3"/>
  <c r="L151"/>
  <c r="B295" i="4"/>
  <c r="AG202"/>
  <c r="Q204" i="3"/>
  <c r="V151"/>
  <c r="I299" i="4"/>
  <c r="E207"/>
  <c r="I208" i="3"/>
  <c r="Z154"/>
  <c r="B7"/>
  <c r="R313"/>
  <c r="B128" i="6"/>
  <c r="E57" i="3"/>
  <c r="M46"/>
  <c r="T318"/>
  <c r="AI28" i="4"/>
  <c r="K74" i="3"/>
  <c r="K365"/>
  <c r="C3" i="13"/>
  <c r="AI277" i="4"/>
  <c r="C71" i="5"/>
  <c r="A48" i="16"/>
  <c r="C35" i="4"/>
  <c r="T237" i="3"/>
  <c r="AI115" i="4"/>
  <c r="T294" i="3"/>
  <c r="AF74" i="4"/>
  <c r="D133" i="7"/>
  <c r="K314" i="6"/>
  <c r="AF258" i="4"/>
  <c r="A236"/>
  <c r="S353" i="5"/>
  <c r="H332" i="4"/>
  <c r="G83" i="12"/>
  <c r="N116" i="6"/>
  <c r="O344" i="5"/>
  <c r="B321" i="4"/>
  <c r="F274" i="6"/>
  <c r="C242" i="5"/>
  <c r="G53" i="6"/>
  <c r="P32" i="5"/>
  <c r="F258" i="6"/>
  <c r="I237"/>
  <c r="G47"/>
  <c r="P26" i="5"/>
  <c r="B134"/>
  <c r="C142" i="4"/>
  <c r="I350" i="3"/>
  <c r="V289"/>
  <c r="B53" i="20"/>
  <c r="G56" i="12"/>
  <c r="F108" i="20"/>
  <c r="B277" i="6"/>
  <c r="E174" i="20"/>
  <c r="R305" i="6"/>
  <c r="E238" i="20"/>
  <c r="B309" i="6"/>
  <c r="C1" i="23"/>
  <c r="F312" i="6"/>
  <c r="H682" i="17"/>
  <c r="F167" i="13"/>
  <c r="G249" i="12"/>
  <c r="J331" i="5"/>
  <c r="G739" i="17"/>
  <c r="F175" i="13"/>
  <c r="G1"/>
  <c r="N334" i="5"/>
  <c r="F796" i="17"/>
  <c r="F183" i="13"/>
  <c r="F9"/>
  <c r="R337" i="5"/>
  <c r="E853" i="17"/>
  <c r="F191" i="13"/>
  <c r="F17"/>
  <c r="B341" i="5"/>
  <c r="D910" i="17"/>
  <c r="F199" i="13"/>
  <c r="F25"/>
  <c r="F344" i="5"/>
  <c r="F878" i="17"/>
  <c r="F143" i="13"/>
  <c r="E34" i="7"/>
  <c r="T230" i="6"/>
  <c r="H162" i="17"/>
  <c r="E98" i="16"/>
  <c r="E35" i="7"/>
  <c r="H231" i="6"/>
  <c r="D222"/>
  <c r="D203"/>
  <c r="E48" i="5"/>
  <c r="F409" i="4"/>
  <c r="T212" i="6"/>
  <c r="T193"/>
  <c r="A39" i="5"/>
  <c r="AJ397" i="4"/>
  <c r="P203" i="6"/>
  <c r="P184"/>
  <c r="Q29" i="5"/>
  <c r="J386" i="4"/>
  <c r="D204" i="6"/>
  <c r="E42" i="24"/>
  <c r="F31" i="17"/>
  <c r="E359" i="6"/>
  <c r="E338" i="17"/>
  <c r="C50" i="13"/>
  <c r="E272" i="7"/>
  <c r="D326" i="6"/>
  <c r="F289" i="17"/>
  <c r="D251" i="12"/>
  <c r="E217" i="7"/>
  <c r="D304" i="6"/>
  <c r="A169" i="17"/>
  <c r="B12"/>
  <c r="E42" i="7"/>
  <c r="D234" i="6"/>
  <c r="I169" i="17"/>
  <c r="G15"/>
  <c r="E43" i="7"/>
  <c r="L234" i="6"/>
  <c r="H225"/>
  <c r="H206"/>
  <c r="I51" i="5"/>
  <c r="D413" i="4"/>
  <c r="D216" i="6"/>
  <c r="D197"/>
  <c r="E42" i="5"/>
  <c r="AI401" i="4"/>
  <c r="T206" i="6"/>
  <c r="T187"/>
  <c r="A33" i="5"/>
  <c r="I390" i="4"/>
  <c r="H207" i="6"/>
  <c r="C69" i="16"/>
  <c r="A291" i="7"/>
  <c r="A117"/>
  <c r="S37" i="5"/>
  <c r="P194" i="6"/>
  <c r="Q39" i="5"/>
  <c r="AI398" i="4"/>
  <c r="L204" i="6"/>
  <c r="L185"/>
  <c r="M30" i="5"/>
  <c r="J387" i="4"/>
  <c r="A330" i="5"/>
  <c r="Q124" i="6"/>
  <c r="F136" i="5"/>
  <c r="J86"/>
  <c r="A324"/>
  <c r="Q118" i="6"/>
  <c r="F130" i="5"/>
  <c r="J80"/>
  <c r="T84"/>
  <c r="AE163" i="4"/>
  <c r="M386" i="3"/>
  <c r="H183" i="7"/>
  <c r="J338" i="4"/>
  <c r="I405" i="3"/>
  <c r="G239"/>
  <c r="H247" i="7"/>
  <c r="B339" i="4"/>
  <c r="Q405" i="3"/>
  <c r="Q239"/>
  <c r="F18" i="8"/>
  <c r="H343" i="4"/>
  <c r="K408" i="3"/>
  <c r="I243"/>
  <c r="G361" i="6"/>
  <c r="AJ343" i="4"/>
  <c r="S408" i="3"/>
  <c r="S243"/>
  <c r="S386" i="6"/>
  <c r="H344" i="4"/>
  <c r="A409" i="3"/>
  <c r="E244"/>
  <c r="B412" i="6"/>
  <c r="AH348" i="4"/>
  <c r="U411" i="3"/>
  <c r="W247"/>
  <c r="I105" i="5"/>
  <c r="J40" i="3"/>
  <c r="R46"/>
  <c r="G231"/>
  <c r="F36"/>
  <c r="J27"/>
  <c r="U292"/>
  <c r="I358"/>
  <c r="Z318"/>
  <c r="D348"/>
  <c r="C486" i="17"/>
  <c r="K366" i="5"/>
  <c r="G252"/>
  <c r="P42"/>
  <c r="AE127" i="4"/>
  <c r="A77" i="3"/>
  <c r="B198" i="4"/>
  <c r="D122" i="3"/>
  <c r="E552" i="17"/>
  <c r="A348"/>
  <c r="B21" i="9"/>
  <c r="J291" i="6"/>
  <c r="Q168"/>
  <c r="F180" i="5"/>
  <c r="J130"/>
  <c r="Q364"/>
  <c r="M159" i="6"/>
  <c r="B171" i="5"/>
  <c r="F101" i="17"/>
  <c r="Q73" i="6"/>
  <c r="B285" i="5"/>
  <c r="AJ266" i="4"/>
  <c r="B106" i="16"/>
  <c r="Q67" i="6"/>
  <c r="B279" i="5"/>
  <c r="J259" i="4"/>
  <c r="I388" i="5"/>
  <c r="AG219" i="4"/>
  <c r="I321" i="3"/>
  <c r="G137"/>
  <c r="C37" i="6"/>
  <c r="G42" i="4"/>
  <c r="W210" i="3"/>
  <c r="B400"/>
  <c r="G40" i="6"/>
  <c r="AI42" i="4"/>
  <c r="E211" i="3"/>
  <c r="N400"/>
  <c r="C69" i="6"/>
  <c r="F47" i="4"/>
  <c r="Y213" i="3"/>
  <c r="F404"/>
  <c r="G72" i="6"/>
  <c r="AH47" i="4"/>
  <c r="G214" i="3"/>
  <c r="P404"/>
  <c r="K75" i="6"/>
  <c r="F48" i="4"/>
  <c r="O214" i="3"/>
  <c r="Z404"/>
  <c r="G104" i="6"/>
  <c r="AH52" i="4"/>
  <c r="I217" i="3"/>
  <c r="R408"/>
  <c r="AE232" i="4"/>
  <c r="Z20" i="3"/>
  <c r="E224"/>
  <c r="Z78"/>
  <c r="Q241" i="5"/>
  <c r="V170" i="3"/>
  <c r="D30"/>
  <c r="G45"/>
  <c r="W408"/>
  <c r="W56"/>
  <c r="A214" i="7"/>
  <c r="H365" i="5"/>
  <c r="B172" i="6"/>
  <c r="H196" i="5"/>
  <c r="AH112" i="4"/>
  <c r="C315" i="3"/>
  <c r="A135" i="4"/>
  <c r="K293" i="3"/>
  <c r="C777" i="17"/>
  <c r="I404"/>
  <c r="H241" i="6"/>
  <c r="M298"/>
  <c r="A172"/>
  <c r="J183" i="5"/>
  <c r="N133"/>
  <c r="A368"/>
  <c r="Q162" i="6"/>
  <c r="F174" i="5"/>
  <c r="E158" i="17"/>
  <c r="A77" i="6"/>
  <c r="F288" i="5"/>
  <c r="AJ270" i="4"/>
  <c r="H51" i="17"/>
  <c r="A71" i="6"/>
  <c r="F282" i="5"/>
  <c r="I263" i="4"/>
  <c r="A414" i="5"/>
  <c r="AF223" i="4"/>
  <c r="U323" i="3"/>
  <c r="B140"/>
  <c r="G666" i="17"/>
  <c r="F32" i="20"/>
  <c r="C40" i="17"/>
  <c r="B237"/>
  <c r="C104"/>
  <c r="E80" i="24"/>
  <c r="C168" i="17"/>
  <c r="A9" i="16"/>
  <c r="D175" i="17"/>
  <c r="A17" i="16"/>
  <c r="E182" i="17"/>
  <c r="F33" i="7"/>
  <c r="E4" i="9"/>
  <c r="M194" i="6"/>
  <c r="D859" i="17"/>
  <c r="A280" i="7"/>
  <c r="J335" i="6"/>
  <c r="H835" i="17"/>
  <c r="F159" i="12"/>
  <c r="G250" i="7"/>
  <c r="R303" i="6"/>
  <c r="D252" i="17"/>
  <c r="F104" i="12"/>
  <c r="G195" i="7"/>
  <c r="A21" i="24"/>
  <c r="H84" i="17"/>
  <c r="F208" i="13"/>
  <c r="G20" i="7"/>
  <c r="A53" i="24"/>
  <c r="G85" i="17"/>
  <c r="C210" i="13"/>
  <c r="G21" i="7"/>
  <c r="G706" i="17"/>
  <c r="Q215" i="6"/>
  <c r="A14"/>
  <c r="J25" i="5"/>
  <c r="F428" i="17"/>
  <c r="M206" i="6"/>
  <c r="R417" i="5"/>
  <c r="F16"/>
  <c r="A738" i="17"/>
  <c r="I197" i="6"/>
  <c r="N408" i="5"/>
  <c r="B7"/>
  <c r="E766" i="17"/>
  <c r="Q197" i="6"/>
  <c r="C916" i="17"/>
  <c r="G32" i="9"/>
  <c r="N338" i="6"/>
  <c r="E211" i="13"/>
  <c r="F167" i="12"/>
  <c r="G258" i="7"/>
  <c r="B307" i="6"/>
  <c r="G289" i="17"/>
  <c r="F112" i="12"/>
  <c r="G203" i="7"/>
  <c r="A62" i="23"/>
  <c r="I91" i="17"/>
  <c r="C224" i="13"/>
  <c r="G28" i="7"/>
  <c r="A94" i="23"/>
  <c r="H92" i="17"/>
  <c r="C226" i="13"/>
  <c r="G29" i="7"/>
  <c r="D708" i="17"/>
  <c r="A219" i="6"/>
  <c r="E17"/>
  <c r="N28" i="5"/>
  <c r="D429" i="17"/>
  <c r="Q209" i="6"/>
  <c r="A8"/>
  <c r="J19" i="5"/>
  <c r="B30" i="20"/>
  <c r="M200" i="6"/>
  <c r="R411" i="5"/>
  <c r="F10"/>
  <c r="B286" i="20"/>
  <c r="A201" i="6"/>
  <c r="B67" i="20"/>
  <c r="D39" i="7"/>
  <c r="F316" i="6"/>
  <c r="F282" i="17"/>
  <c r="F111" i="12"/>
  <c r="G202" i="7"/>
  <c r="N284" i="6"/>
  <c r="G197" i="17"/>
  <c r="F56" i="12"/>
  <c r="G147" i="7"/>
  <c r="B151" i="23"/>
  <c r="B42" i="17"/>
  <c r="F160" i="13"/>
  <c r="E668" i="17"/>
  <c r="B33" i="20"/>
  <c r="B65"/>
  <c r="B97"/>
  <c r="B129"/>
  <c r="B161"/>
  <c r="B193"/>
  <c r="F940" i="17"/>
  <c r="C950"/>
  <c r="D959"/>
  <c r="F596"/>
  <c r="C1" i="14"/>
  <c r="C831" i="17"/>
  <c r="D109"/>
  <c r="A881"/>
  <c r="C166"/>
  <c r="B446"/>
  <c r="F134" i="12"/>
  <c r="G225" i="7"/>
  <c r="H163" i="23"/>
  <c r="G664" i="17"/>
  <c r="E666"/>
  <c r="F170" i="23"/>
  <c r="H836" i="17"/>
  <c r="B115" i="16"/>
  <c r="E92" i="13"/>
  <c r="G387" i="6"/>
  <c r="O402"/>
  <c r="H3" i="17"/>
  <c r="E93" i="13"/>
  <c r="O387" i="6"/>
  <c r="K403"/>
  <c r="C3" i="15"/>
  <c r="F206" i="12"/>
  <c r="F5" i="8"/>
  <c r="C26" i="20"/>
  <c r="B969" i="17"/>
  <c r="C974"/>
  <c r="A68" i="20"/>
  <c r="C271" i="17"/>
  <c r="I66"/>
  <c r="E164" i="13"/>
  <c r="C416" i="6"/>
  <c r="C145" i="7"/>
  <c r="H67" i="17"/>
  <c r="E165" i="13"/>
  <c r="K416" i="6"/>
  <c r="B148" i="7"/>
  <c r="B45" i="16"/>
  <c r="E22" i="13"/>
  <c r="G359" i="6"/>
  <c r="C90" i="20"/>
  <c r="E988" i="17"/>
  <c r="A993"/>
  <c r="A76" i="20"/>
  <c r="D278" i="17"/>
  <c r="A74"/>
  <c r="E172" i="13"/>
  <c r="F6" i="7"/>
  <c r="D166"/>
  <c r="I74" i="17"/>
  <c r="E173" i="13"/>
  <c r="F7" i="7"/>
  <c r="C169"/>
  <c r="B53" i="16"/>
  <c r="E30" i="13"/>
  <c r="K362" i="6"/>
  <c r="C154" i="20"/>
  <c r="F18" i="23"/>
  <c r="F82"/>
  <c r="A84" i="20"/>
  <c r="E285" i="17"/>
  <c r="B81"/>
  <c r="E180" i="13"/>
  <c r="F14" i="7"/>
  <c r="B188"/>
  <c r="A82" i="17"/>
  <c r="E181" i="13"/>
  <c r="F15" i="7"/>
  <c r="D190"/>
  <c r="B61" i="16"/>
  <c r="E38" i="13"/>
  <c r="O365" i="6"/>
  <c r="G687" i="17"/>
  <c r="H89" i="7"/>
  <c r="J351" i="6"/>
  <c r="D12" i="14"/>
  <c r="F199" i="12"/>
  <c r="G290" i="7"/>
  <c r="R319" i="6"/>
  <c r="C517" i="17"/>
  <c r="F144" i="12"/>
  <c r="G235" i="7"/>
  <c r="R297" i="6"/>
  <c r="D120" i="17"/>
  <c r="E43" i="16"/>
  <c r="G60" i="7"/>
  <c r="C18" i="8"/>
  <c r="C121" i="17"/>
  <c r="E47" i="16"/>
  <c r="G61" i="7"/>
  <c r="A181" i="20"/>
  <c r="A237" i="6"/>
  <c r="A30"/>
  <c r="J41" i="5"/>
  <c r="H767" i="17"/>
  <c r="M222" i="6"/>
  <c r="Q20"/>
  <c r="F32" i="5"/>
  <c r="H818" i="17"/>
  <c r="I213" i="6"/>
  <c r="M11"/>
  <c r="B23" i="5"/>
  <c r="G875" i="17"/>
  <c r="Q213" i="6"/>
  <c r="F744" i="17"/>
  <c r="H153" i="7"/>
  <c r="N354" i="6"/>
  <c r="C4" i="15"/>
  <c r="F207" i="12"/>
  <c r="F6" i="8"/>
  <c r="B323" i="6"/>
  <c r="G636" i="17"/>
  <c r="F152" i="12"/>
  <c r="G243" i="7"/>
  <c r="B301" i="6"/>
  <c r="E127" i="17"/>
  <c r="E75" i="16"/>
  <c r="G68" i="7"/>
  <c r="B231" i="6"/>
  <c r="D128" i="17"/>
  <c r="E79" i="16"/>
  <c r="G69" i="7"/>
  <c r="H283" i="20"/>
  <c r="I238" i="5"/>
  <c r="E33" i="6"/>
  <c r="N44" i="5"/>
  <c r="H766" i="17"/>
  <c r="Q225" i="6"/>
  <c r="A24"/>
  <c r="J35" i="5"/>
  <c r="E820" i="17"/>
  <c r="M216" i="6"/>
  <c r="Q14"/>
  <c r="F26" i="5"/>
  <c r="D877" i="17"/>
  <c r="A217" i="6"/>
  <c r="E801" i="17"/>
  <c r="H217" i="7"/>
  <c r="K359" i="6"/>
  <c r="C12" i="15"/>
  <c r="F215" i="12"/>
  <c r="F14" i="8"/>
  <c r="F326" i="6"/>
  <c r="C864" i="17"/>
  <c r="F160" i="12"/>
  <c r="G251" i="7"/>
  <c r="F304" i="6"/>
  <c r="F134" i="17"/>
  <c r="E107" i="16"/>
  <c r="G76" i="7"/>
  <c r="F234" i="6"/>
  <c r="E135" i="17"/>
  <c r="E111" i="16"/>
  <c r="G77" i="7"/>
  <c r="G287" i="20"/>
  <c r="M241" i="5"/>
  <c r="I36" i="6"/>
  <c r="R47" i="5"/>
  <c r="F767" i="17"/>
  <c r="A229" i="6"/>
  <c r="E27"/>
  <c r="N38" i="5"/>
  <c r="B822" i="17"/>
  <c r="Q219" i="6"/>
  <c r="A18"/>
  <c r="J29" i="5"/>
  <c r="A879" i="17"/>
  <c r="E220" i="6"/>
  <c r="D858" i="17"/>
  <c r="H281" i="7"/>
  <c r="S365" i="6"/>
  <c r="C20" i="15"/>
  <c r="F223" i="12"/>
  <c r="E2" i="9"/>
  <c r="J329" i="6"/>
  <c r="E212" i="13"/>
  <c r="F168" i="12"/>
  <c r="G259" i="7"/>
  <c r="J307" i="6"/>
  <c r="G141" i="17"/>
  <c r="G23"/>
  <c r="G84" i="7"/>
  <c r="J237" i="6"/>
  <c r="F142" i="17"/>
  <c r="C27"/>
  <c r="G85" i="7"/>
  <c r="F291" i="20"/>
  <c r="Q244" i="5"/>
  <c r="M39" i="6"/>
  <c r="B51" i="5"/>
  <c r="A245" i="20"/>
  <c r="M238" i="6"/>
  <c r="I30"/>
  <c r="R41" i="5"/>
  <c r="G824" i="17"/>
  <c r="A223" i="6"/>
  <c r="E21"/>
  <c r="N32" i="5"/>
  <c r="F881" i="17"/>
  <c r="I223" i="6"/>
  <c r="C915" i="17"/>
  <c r="F33" i="9"/>
  <c r="G372" i="6"/>
  <c r="C28" i="15"/>
  <c r="F231" i="12"/>
  <c r="E10" i="9"/>
  <c r="N332" i="6"/>
  <c r="E220" i="13"/>
  <c r="F176" i="12"/>
  <c r="G267" i="7"/>
  <c r="N310" i="6"/>
  <c r="H148" i="17"/>
  <c r="B52"/>
  <c r="G92" i="7"/>
  <c r="N240" i="6"/>
  <c r="G149" i="17"/>
  <c r="G55"/>
  <c r="G93" i="7"/>
  <c r="E1" i="21"/>
  <c r="A248" i="5"/>
  <c r="Q42" i="6"/>
  <c r="F54" i="5"/>
  <c r="F189" i="23"/>
  <c r="Q238" i="5"/>
  <c r="M33" i="6"/>
  <c r="B45" i="5"/>
  <c r="G823" i="17"/>
  <c r="E226" i="6"/>
  <c r="I24"/>
  <c r="R35" i="5"/>
  <c r="F880" i="17"/>
  <c r="M226" i="6"/>
  <c r="B82" i="20"/>
  <c r="I375" i="6"/>
  <c r="R341"/>
  <c r="E219" i="13"/>
  <c r="F175" i="12"/>
  <c r="G266" i="7"/>
  <c r="F310" i="6"/>
  <c r="F346" i="17"/>
  <c r="F120" i="12"/>
  <c r="G211" i="7"/>
  <c r="G57" i="25"/>
  <c r="A99" i="17"/>
  <c r="B12" i="14"/>
  <c r="F248" i="20"/>
  <c r="B40"/>
  <c r="B72"/>
  <c r="B104"/>
  <c r="B136"/>
  <c r="B168"/>
  <c r="B200"/>
  <c r="E942" i="17"/>
  <c r="B952"/>
  <c r="H961"/>
  <c r="E601"/>
  <c r="E197" i="13"/>
  <c r="B836" i="17"/>
  <c r="E12"/>
  <c r="I885"/>
  <c r="I40"/>
  <c r="D11" i="14"/>
  <c r="F198" i="12"/>
  <c r="G289" i="7"/>
  <c r="A60" i="46"/>
  <c r="C892" i="17"/>
  <c r="A894"/>
  <c r="A60" i="20"/>
  <c r="B264" i="17"/>
  <c r="H59"/>
  <c r="E156" i="13"/>
  <c r="S412" i="6"/>
  <c r="B124" i="7"/>
  <c r="G60" i="17"/>
  <c r="E157" i="13"/>
  <c r="G413" i="6"/>
  <c r="D126" i="7"/>
  <c r="B37" i="16"/>
  <c r="E14" i="13"/>
  <c r="B2" i="11"/>
  <c r="E129" i="23"/>
  <c r="E713" i="17"/>
  <c r="C715"/>
  <c r="A132" i="20"/>
  <c r="B328" i="17"/>
  <c r="H123"/>
  <c r="F6" i="15"/>
  <c r="F62" i="7"/>
  <c r="B29" i="9"/>
  <c r="G124" i="17"/>
  <c r="B9" i="15"/>
  <c r="F63" i="7"/>
  <c r="B37" i="9"/>
  <c r="B109" i="16"/>
  <c r="E86" i="13"/>
  <c r="S384" i="6"/>
  <c r="E193" i="23"/>
  <c r="F720" i="17"/>
  <c r="D722"/>
  <c r="A140" i="20"/>
  <c r="C335" i="17"/>
  <c r="I130"/>
  <c r="A28" i="15"/>
  <c r="F70" i="7"/>
  <c r="M244" i="6"/>
  <c r="H131" i="17"/>
  <c r="F30" i="15"/>
  <c r="F71" i="7"/>
  <c r="A245" i="6"/>
  <c r="G4" i="17"/>
  <c r="E94" i="13"/>
  <c r="C388" i="6"/>
  <c r="D2" i="24"/>
  <c r="D770" i="17"/>
  <c r="B772"/>
  <c r="A148" i="20"/>
  <c r="D342" i="17"/>
  <c r="A138"/>
  <c r="H26" i="16"/>
  <c r="F78" i="7"/>
  <c r="Q247" i="6"/>
  <c r="I138" i="17"/>
  <c r="H30" i="16"/>
  <c r="F79" i="7"/>
  <c r="E248" i="6"/>
  <c r="H11" i="17"/>
  <c r="E102" i="13"/>
  <c r="G391" i="6"/>
  <c r="E688" i="17"/>
  <c r="G88" i="7"/>
  <c r="S397" i="6"/>
  <c r="B30" i="16"/>
  <c r="E7" i="13"/>
  <c r="F2" i="10"/>
  <c r="J345" i="6"/>
  <c r="C5" i="15"/>
  <c r="F208" i="12"/>
  <c r="F7" i="8"/>
  <c r="J323" i="6"/>
  <c r="C177" i="17"/>
  <c r="F322"/>
  <c r="G124" i="7"/>
  <c r="J253" i="6"/>
  <c r="B178" i="17"/>
  <c r="E379"/>
  <c r="G125" i="7"/>
  <c r="R253" i="6"/>
  <c r="Q260" i="5"/>
  <c r="M55" i="6"/>
  <c r="B67" i="5"/>
  <c r="F227" i="23"/>
  <c r="M251" i="5"/>
  <c r="I46" i="6"/>
  <c r="R57" i="5"/>
  <c r="D947" i="17"/>
  <c r="I242" i="5"/>
  <c r="E37" i="6"/>
  <c r="N48" i="5"/>
  <c r="C1004" i="17"/>
  <c r="Q242" i="5"/>
  <c r="D745" i="17"/>
  <c r="G152" i="7"/>
  <c r="G404" i="6"/>
  <c r="B38" i="16"/>
  <c r="E15" i="13"/>
  <c r="K356" i="6"/>
  <c r="N348"/>
  <c r="C13" i="15"/>
  <c r="F216" i="12"/>
  <c r="F15" i="8"/>
  <c r="N326" i="6"/>
  <c r="D184" i="17"/>
  <c r="F41" i="12"/>
  <c r="G132" i="7"/>
  <c r="N256" i="6"/>
  <c r="C185" i="17"/>
  <c r="F42" i="12"/>
  <c r="G133" i="7"/>
  <c r="B257" i="6"/>
  <c r="A264" i="5"/>
  <c r="Q58" i="6"/>
  <c r="F70" i="5"/>
  <c r="C42" i="23"/>
  <c r="Q254" i="5"/>
  <c r="M49" i="6"/>
  <c r="B61" i="5"/>
  <c r="A949" i="17"/>
  <c r="M245" i="5"/>
  <c r="I40" i="6"/>
  <c r="R51" i="5"/>
  <c r="I1005" i="17"/>
  <c r="A246" i="5"/>
  <c r="C802" i="17"/>
  <c r="G216" i="7"/>
  <c r="O410" i="6"/>
  <c r="B46" i="16"/>
  <c r="E23" i="13"/>
  <c r="O359" i="6"/>
  <c r="R351"/>
  <c r="C21" i="15"/>
  <c r="F224" i="12"/>
  <c r="E3" i="9"/>
  <c r="R329" i="6"/>
  <c r="E191" i="17"/>
  <c r="F49" i="12"/>
  <c r="G140" i="7"/>
  <c r="R259" i="6"/>
  <c r="D192" i="17"/>
  <c r="F50" i="12"/>
  <c r="G141" i="7"/>
  <c r="F260" i="6"/>
  <c r="E267" i="5"/>
  <c r="A62" i="6"/>
  <c r="J73" i="5"/>
  <c r="N23"/>
  <c r="A258"/>
  <c r="Q52" i="6"/>
  <c r="F64" i="5"/>
  <c r="G950" i="17"/>
  <c r="Q248" i="5"/>
  <c r="M43" i="6"/>
  <c r="B55" i="5"/>
  <c r="F1007" i="17"/>
  <c r="E249" i="5"/>
  <c r="B859" i="17"/>
  <c r="G280" i="7"/>
  <c r="C1"/>
  <c r="B54" i="16"/>
  <c r="E31" i="13"/>
  <c r="S362" i="6"/>
  <c r="B355"/>
  <c r="C29" i="15"/>
  <c r="F232" i="12"/>
  <c r="E11" i="9"/>
  <c r="B333" i="6"/>
  <c r="F198" i="17"/>
  <c r="F57" i="12"/>
  <c r="G148" i="7"/>
  <c r="B263" i="6"/>
  <c r="E199" i="17"/>
  <c r="F58" i="12"/>
  <c r="G149" i="7"/>
  <c r="J263" i="6"/>
  <c r="I270" i="5"/>
  <c r="E65" i="6"/>
  <c r="N76" i="5"/>
  <c r="R26"/>
  <c r="E261"/>
  <c r="A56" i="6"/>
  <c r="J67" i="5"/>
  <c r="G949" i="17"/>
  <c r="A252" i="5"/>
  <c r="Q46" i="6"/>
  <c r="F58" i="5"/>
  <c r="F1006" i="17"/>
  <c r="I252" i="5"/>
  <c r="A916" i="17"/>
  <c r="E32" i="9"/>
  <c r="D22" i="7"/>
  <c r="B62" i="16"/>
  <c r="E39" i="13"/>
  <c r="C366" i="6"/>
  <c r="G360"/>
  <c r="B7" i="16"/>
  <c r="F240" i="12"/>
  <c r="E19" i="9"/>
  <c r="F336" i="6"/>
  <c r="G205" i="17"/>
  <c r="F65" i="12"/>
  <c r="G156" i="7"/>
  <c r="F266" i="6"/>
  <c r="F206" i="17"/>
  <c r="F66" i="12"/>
  <c r="G157" i="7"/>
  <c r="N266" i="6"/>
  <c r="M273" i="5"/>
  <c r="I68" i="6"/>
  <c r="R79" i="5"/>
  <c r="B30"/>
  <c r="I264"/>
  <c r="E59" i="6"/>
  <c r="N70" i="5"/>
  <c r="B43" i="24"/>
  <c r="E255" i="5"/>
  <c r="A50" i="6"/>
  <c r="J61" i="5"/>
  <c r="A85" i="24"/>
  <c r="M255" i="5"/>
  <c r="B81" i="20"/>
  <c r="H375" i="6"/>
  <c r="O378"/>
  <c r="B6" i="16"/>
  <c r="F239" i="12"/>
  <c r="E18" i="9"/>
  <c r="R335" i="6"/>
  <c r="E228" i="13"/>
  <c r="F184" i="12"/>
  <c r="G275" i="7"/>
  <c r="R313" i="6"/>
  <c r="I155" i="17"/>
  <c r="I80"/>
  <c r="F667"/>
  <c r="H60" i="20"/>
  <c r="H64"/>
  <c r="H68"/>
  <c r="H72"/>
  <c r="H76"/>
  <c r="H80"/>
  <c r="H20"/>
  <c r="H24"/>
  <c r="H28"/>
  <c r="G165"/>
  <c r="E78" i="16"/>
  <c r="H959" i="17"/>
  <c r="D136" i="12"/>
  <c r="F1009" i="17"/>
  <c r="D144" i="12"/>
  <c r="B29" i="16"/>
  <c r="E6" i="13"/>
  <c r="E1" i="10"/>
  <c r="E65" i="23"/>
  <c r="G663" i="17"/>
  <c r="E665"/>
  <c r="A124" i="20"/>
  <c r="A321" i="17"/>
  <c r="G116"/>
  <c r="B1" i="14"/>
  <c r="F54" i="7"/>
  <c r="B2" i="8"/>
  <c r="F117" i="17"/>
  <c r="G3" i="14"/>
  <c r="F55" i="7"/>
  <c r="B6" i="8"/>
  <c r="B101" i="16"/>
  <c r="E78" i="13"/>
  <c r="O381" i="6"/>
  <c r="D153" i="23"/>
  <c r="E966" i="17"/>
  <c r="F971"/>
  <c r="A196" i="20"/>
  <c r="A385" i="17"/>
  <c r="G180"/>
  <c r="E108"/>
  <c r="F126" i="7"/>
  <c r="A267" i="6"/>
  <c r="F181" i="17"/>
  <c r="F115"/>
  <c r="F127" i="7"/>
  <c r="I267" i="6"/>
  <c r="E54" i="17"/>
  <c r="E150" i="13"/>
  <c r="K410" i="6"/>
  <c r="D217" i="23"/>
  <c r="H985" i="17"/>
  <c r="D990"/>
  <c r="A204" i="20"/>
  <c r="B392" i="17"/>
  <c r="H187"/>
  <c r="D165"/>
  <c r="F134" i="7"/>
  <c r="E270" i="6"/>
  <c r="G188" i="17"/>
  <c r="E172"/>
  <c r="F135" i="7"/>
  <c r="M270" i="6"/>
  <c r="F61" i="17"/>
  <c r="E158" i="13"/>
  <c r="O413" i="6"/>
  <c r="C26" i="24"/>
  <c r="F46" i="23"/>
  <c r="F110"/>
  <c r="A212" i="20"/>
  <c r="C399" i="17"/>
  <c r="I194"/>
  <c r="C226"/>
  <c r="F142" i="7"/>
  <c r="I273" i="6"/>
  <c r="H195" i="17"/>
  <c r="G235"/>
  <c r="F143" i="7"/>
  <c r="Q273" i="6"/>
  <c r="G68" i="17"/>
  <c r="E166" i="13"/>
  <c r="S416" i="6"/>
  <c r="A156" i="20"/>
  <c r="F87" i="7"/>
  <c r="B108"/>
  <c r="B94" i="16"/>
  <c r="E71" i="13"/>
  <c r="S378" i="6"/>
  <c r="S385"/>
  <c r="B39" i="16"/>
  <c r="E16" i="13"/>
  <c r="S356" i="6"/>
  <c r="B349"/>
  <c r="A242" i="17"/>
  <c r="F97" i="12"/>
  <c r="G188" i="7"/>
  <c r="B279" i="6"/>
  <c r="C243" i="17"/>
  <c r="F98" i="12"/>
  <c r="G189" i="7"/>
  <c r="J279" i="6"/>
  <c r="I286" i="5"/>
  <c r="E81" i="6"/>
  <c r="N92" i="5"/>
  <c r="R42"/>
  <c r="E277"/>
  <c r="A72" i="6"/>
  <c r="J83" i="5"/>
  <c r="N33"/>
  <c r="A268"/>
  <c r="Q62" i="6"/>
  <c r="F74" i="5"/>
  <c r="J24"/>
  <c r="I268"/>
  <c r="A220" i="20"/>
  <c r="F151" i="7"/>
  <c r="C129"/>
  <c r="B102" i="16"/>
  <c r="E79" i="13"/>
  <c r="C382" i="6"/>
  <c r="G392"/>
  <c r="B47" i="16"/>
  <c r="E24" i="13"/>
  <c r="C360" i="6"/>
  <c r="F352"/>
  <c r="I254" i="17"/>
  <c r="F105" i="12"/>
  <c r="G196" i="7"/>
  <c r="F282" i="6"/>
  <c r="D257" i="17"/>
  <c r="F106" i="12"/>
  <c r="G197" i="7"/>
  <c r="N282" i="6"/>
  <c r="M289" i="5"/>
  <c r="I84" i="6"/>
  <c r="R95" i="5"/>
  <c r="B46"/>
  <c r="I280"/>
  <c r="E75" i="6"/>
  <c r="N86" i="5"/>
  <c r="R36"/>
  <c r="E271"/>
  <c r="A66" i="6"/>
  <c r="J77" i="5"/>
  <c r="N27"/>
  <c r="M271"/>
  <c r="A284" i="20"/>
  <c r="F215" i="7"/>
  <c r="D150"/>
  <c r="B110" i="16"/>
  <c r="E87" i="13"/>
  <c r="G385" i="6"/>
  <c r="O398"/>
  <c r="B55" i="16"/>
  <c r="E32" i="13"/>
  <c r="G363" i="6"/>
  <c r="J355"/>
  <c r="H296" i="17"/>
  <c r="F113" i="12"/>
  <c r="G204" i="7"/>
  <c r="J285" i="6"/>
  <c r="I303" i="17"/>
  <c r="F114" i="12"/>
  <c r="G205" i="7"/>
  <c r="R285" i="6"/>
  <c r="Q292" i="5"/>
  <c r="M87" i="6"/>
  <c r="B99" i="5"/>
  <c r="F49"/>
  <c r="M283"/>
  <c r="I78" i="6"/>
  <c r="R89" i="5"/>
  <c r="B40"/>
  <c r="I274"/>
  <c r="E69" i="6"/>
  <c r="N80" i="5"/>
  <c r="R30"/>
  <c r="Q274"/>
  <c r="B190" i="23"/>
  <c r="F279" i="7"/>
  <c r="B172"/>
  <c r="F5" i="17"/>
  <c r="E95" i="13"/>
  <c r="K388" i="6"/>
  <c r="C405"/>
  <c r="B63" i="16"/>
  <c r="E40" i="13"/>
  <c r="K366" i="6"/>
  <c r="C361"/>
  <c r="G353" i="17"/>
  <c r="F121" i="12"/>
  <c r="G212" i="7"/>
  <c r="N288" i="6"/>
  <c r="H360" i="17"/>
  <c r="F122" i="12"/>
  <c r="G213" i="7"/>
  <c r="B289" i="6"/>
  <c r="A296" i="5"/>
  <c r="Q90" i="6"/>
  <c r="F102" i="5"/>
  <c r="J52"/>
  <c r="Q286"/>
  <c r="M81" i="6"/>
  <c r="B93" i="5"/>
  <c r="F43"/>
  <c r="M277"/>
  <c r="I72" i="6"/>
  <c r="R83" i="5"/>
  <c r="B34"/>
  <c r="A278"/>
  <c r="H2" i="20"/>
  <c r="D31" i="9"/>
  <c r="C193" i="7"/>
  <c r="G12" i="17"/>
  <c r="E103" i="13"/>
  <c r="O391" i="6"/>
  <c r="K411"/>
  <c r="B71" i="16"/>
  <c r="E48" i="13"/>
  <c r="O369" i="6"/>
  <c r="K367"/>
  <c r="F410" i="17"/>
  <c r="F129" i="12"/>
  <c r="G220" i="7"/>
  <c r="R291" i="6"/>
  <c r="G417" i="17"/>
  <c r="F130" i="12"/>
  <c r="G221" i="7"/>
  <c r="F292" i="6"/>
  <c r="E299" i="5"/>
  <c r="A94" i="6"/>
  <c r="J105" i="5"/>
  <c r="N55"/>
  <c r="A290"/>
  <c r="Q84" i="6"/>
  <c r="F96" i="5"/>
  <c r="J46"/>
  <c r="Q280"/>
  <c r="M75" i="6"/>
  <c r="B87" i="5"/>
  <c r="F37"/>
  <c r="E281"/>
  <c r="B88" i="20"/>
  <c r="S374" i="6"/>
  <c r="B44" i="7"/>
  <c r="B70" i="16"/>
  <c r="E47" i="13"/>
  <c r="G369" i="6"/>
  <c r="O366"/>
  <c r="B15" i="16"/>
  <c r="F248" i="12"/>
  <c r="E27" i="9"/>
  <c r="J339" i="6"/>
  <c r="F213" i="17"/>
  <c r="F73" i="12"/>
  <c r="F247" i="20"/>
  <c r="G64"/>
  <c r="G68"/>
  <c r="G72"/>
  <c r="G76"/>
  <c r="G80"/>
  <c r="G84"/>
  <c r="G24"/>
  <c r="G28"/>
  <c r="G32"/>
  <c r="D19" i="24"/>
  <c r="C65" i="12"/>
  <c r="B99" i="24"/>
  <c r="C137" i="12"/>
  <c r="A109" i="24"/>
  <c r="C145" i="12"/>
  <c r="B93" i="16"/>
  <c r="E70" i="13"/>
  <c r="K378" i="6"/>
  <c r="D89" i="23"/>
  <c r="C891" i="17"/>
  <c r="A893"/>
  <c r="A188" i="20"/>
  <c r="I377" i="17"/>
  <c r="F173"/>
  <c r="H65"/>
  <c r="F118" i="7"/>
  <c r="Q263" i="6"/>
  <c r="E174" i="17"/>
  <c r="D69"/>
  <c r="F119" i="7"/>
  <c r="E264" i="6"/>
  <c r="D47" i="17"/>
  <c r="E142" i="13"/>
  <c r="G407" i="6"/>
  <c r="C177" i="23"/>
  <c r="C714" i="17"/>
  <c r="A716"/>
  <c r="A260" i="20"/>
  <c r="I441" i="17"/>
  <c r="G246"/>
  <c r="E160" i="12"/>
  <c r="F190" i="7"/>
  <c r="M292" i="6"/>
  <c r="I247" i="17"/>
  <c r="E161" i="12"/>
  <c r="F191" i="7"/>
  <c r="A293" i="6"/>
  <c r="D111" i="17"/>
  <c r="B220" i="13"/>
  <c r="F48" i="7"/>
  <c r="C241" i="23"/>
  <c r="D721" i="17"/>
  <c r="B723"/>
  <c r="A268" i="20"/>
  <c r="A449" i="17"/>
  <c r="E267"/>
  <c r="E168" i="12"/>
  <c r="F198" i="7"/>
  <c r="Q295" i="6"/>
  <c r="F274" i="17"/>
  <c r="E169" i="12"/>
  <c r="F199" i="7"/>
  <c r="E296" i="6"/>
  <c r="E118" i="17"/>
  <c r="C6" i="14"/>
  <c r="F56" i="7"/>
  <c r="B50" i="24"/>
  <c r="B771" i="17"/>
  <c r="I772"/>
  <c r="A276" i="20"/>
  <c r="B456" i="17"/>
  <c r="D324"/>
  <c r="E176" i="12"/>
  <c r="F206" i="7"/>
  <c r="A299" i="6"/>
  <c r="E331" i="17"/>
  <c r="E177" i="12"/>
  <c r="F207" i="7"/>
  <c r="I299" i="6"/>
  <c r="F125" i="17"/>
  <c r="A12" i="15"/>
  <c r="F64" i="7"/>
  <c r="H258" i="20"/>
  <c r="E86" i="7"/>
  <c r="D278"/>
  <c r="B41" i="17"/>
  <c r="E135" i="13"/>
  <c r="K404" i="6"/>
  <c r="B68" i="7"/>
  <c r="B103" i="16"/>
  <c r="E80" i="13"/>
  <c r="K382" i="6"/>
  <c r="C393"/>
  <c r="G892" i="17"/>
  <c r="F161" i="12"/>
  <c r="G252" i="7"/>
  <c r="N304" i="6"/>
  <c r="B921" i="17"/>
  <c r="F162" i="12"/>
  <c r="G253" i="7"/>
  <c r="B305" i="6"/>
  <c r="A312" i="5"/>
  <c r="Q106" i="6"/>
  <c r="F118" i="5"/>
  <c r="J68"/>
  <c r="Q302"/>
  <c r="M97" i="6"/>
  <c r="B109" i="5"/>
  <c r="F59"/>
  <c r="M293"/>
  <c r="I88" i="6"/>
  <c r="R99" i="5"/>
  <c r="B50"/>
  <c r="A294"/>
  <c r="F89" i="23"/>
  <c r="E150" i="7"/>
  <c r="B10" i="8"/>
  <c r="C48" i="17"/>
  <c r="E143" i="13"/>
  <c r="O407" i="6"/>
  <c r="C89" i="7"/>
  <c r="B111" i="16"/>
  <c r="E88" i="13"/>
  <c r="O385" i="6"/>
  <c r="K399"/>
  <c r="E213" i="13"/>
  <c r="F169" i="12"/>
  <c r="G260" i="7"/>
  <c r="R307" i="6"/>
  <c r="E214" i="13"/>
  <c r="F170" i="12"/>
  <c r="G261" i="7"/>
  <c r="F308" i="6"/>
  <c r="E315" i="5"/>
  <c r="A110" i="6"/>
  <c r="J121" i="5"/>
  <c r="N71"/>
  <c r="A306"/>
  <c r="Q100" i="6"/>
  <c r="F112" i="5"/>
  <c r="J62"/>
  <c r="Q296"/>
  <c r="M91" i="6"/>
  <c r="B103" i="5"/>
  <c r="F53"/>
  <c r="E297"/>
  <c r="F35" i="25"/>
  <c r="E214" i="7"/>
  <c r="E242" i="6"/>
  <c r="D55" i="17"/>
  <c r="E151" i="13"/>
  <c r="S410" i="6"/>
  <c r="D110" i="7"/>
  <c r="E6" i="17"/>
  <c r="E96" i="13"/>
  <c r="S388" i="6"/>
  <c r="S405"/>
  <c r="E221" i="13"/>
  <c r="F177" i="12"/>
  <c r="G268" i="7"/>
  <c r="B311" i="6"/>
  <c r="E222" i="13"/>
  <c r="F178" i="12"/>
  <c r="G269" i="7"/>
  <c r="J311" i="6"/>
  <c r="I318" i="5"/>
  <c r="E113" i="6"/>
  <c r="N124" i="5"/>
  <c r="R74"/>
  <c r="E309"/>
  <c r="A104" i="6"/>
  <c r="J115" i="5"/>
  <c r="N65"/>
  <c r="A300"/>
  <c r="Q94" i="6"/>
  <c r="F106" i="5"/>
  <c r="J56"/>
  <c r="I300"/>
  <c r="F978" i="17"/>
  <c r="E278" i="7"/>
  <c r="I245" i="6"/>
  <c r="E62" i="17"/>
  <c r="E159" i="13"/>
  <c r="C414" i="6"/>
  <c r="B132" i="7"/>
  <c r="F13" i="17"/>
  <c r="E104" i="13"/>
  <c r="C392" i="6"/>
  <c r="G412"/>
  <c r="E229" i="13"/>
  <c r="F185" i="12"/>
  <c r="G276" i="7"/>
  <c r="F314" i="6"/>
  <c r="E230" i="13"/>
  <c r="F186" i="12"/>
  <c r="G277" i="7"/>
  <c r="N314" i="6"/>
  <c r="M321" i="5"/>
  <c r="I116" i="6"/>
  <c r="R127" i="5"/>
  <c r="B78"/>
  <c r="I312"/>
  <c r="E107" i="6"/>
  <c r="N118" i="5"/>
  <c r="R68"/>
  <c r="E303"/>
  <c r="A98" i="6"/>
  <c r="J109" i="5"/>
  <c r="N59"/>
  <c r="M303"/>
  <c r="G6" i="20"/>
  <c r="C30" i="9"/>
  <c r="M248" i="6"/>
  <c r="F69" i="17"/>
  <c r="E167" i="13"/>
  <c r="G1" i="7"/>
  <c r="C153"/>
  <c r="G20" i="17"/>
  <c r="E112" i="13"/>
  <c r="G395" i="6"/>
  <c r="D6" i="7"/>
  <c r="D6" i="14"/>
  <c r="F193" i="12"/>
  <c r="G284" i="7"/>
  <c r="J317" i="6"/>
  <c r="D7" i="14"/>
  <c r="F194" i="12"/>
  <c r="G285" i="7"/>
  <c r="R317" i="6"/>
  <c r="Q324" i="5"/>
  <c r="M119" i="6"/>
  <c r="B131" i="5"/>
  <c r="F81"/>
  <c r="M315"/>
  <c r="I110" i="6"/>
  <c r="R121" i="5"/>
  <c r="B72"/>
  <c r="I306"/>
  <c r="E101" i="6"/>
  <c r="N112" i="5"/>
  <c r="R62"/>
  <c r="Q306"/>
  <c r="H66" i="20"/>
  <c r="J374" i="6"/>
  <c r="D214" i="7"/>
  <c r="H19" i="17"/>
  <c r="E111" i="13"/>
  <c r="S394" i="6"/>
  <c r="B4" i="7"/>
  <c r="B79" i="16"/>
  <c r="E56" i="13"/>
  <c r="S372" i="6"/>
  <c r="S373"/>
  <c r="E467" i="17"/>
  <c r="F137" i="12"/>
  <c r="D204" i="23"/>
  <c r="G19" i="16"/>
  <c r="D665" i="17"/>
  <c r="F101" i="16"/>
  <c r="I970" i="17"/>
  <c r="A54"/>
  <c r="C990"/>
  <c r="B61"/>
  <c r="F106" i="23"/>
  <c r="C68" i="17"/>
  <c r="H22" i="9"/>
  <c r="D258" i="7"/>
  <c r="N355" i="6"/>
  <c r="L101" i="5"/>
  <c r="G34" i="12"/>
  <c r="B280" i="7"/>
  <c r="K361" i="6"/>
  <c r="P104" i="5"/>
  <c r="A131" i="12"/>
  <c r="B12" i="8"/>
  <c r="S367" i="6"/>
  <c r="T107" i="5"/>
  <c r="H6" i="10"/>
  <c r="I230" i="6"/>
  <c r="G374"/>
  <c r="D111" i="5"/>
  <c r="E53" i="12"/>
  <c r="M233" i="6"/>
  <c r="O380"/>
  <c r="H114" i="5"/>
  <c r="E263" i="7"/>
  <c r="D194"/>
  <c r="F6" i="10"/>
  <c r="F346" i="6"/>
  <c r="B33" i="16"/>
  <c r="E10" i="13"/>
  <c r="F8" i="10"/>
  <c r="N346" i="6"/>
  <c r="M353" i="5"/>
  <c r="I148" i="6"/>
  <c r="R159" i="5"/>
  <c r="B110"/>
  <c r="I344"/>
  <c r="E139" i="6"/>
  <c r="N150" i="5"/>
  <c r="R100"/>
  <c r="E335"/>
  <c r="A130" i="6"/>
  <c r="J141" i="5"/>
  <c r="N91"/>
  <c r="M335"/>
  <c r="F138" i="20"/>
  <c r="H140" i="13"/>
  <c r="M280" i="6"/>
  <c r="G140" i="17"/>
  <c r="H38" i="16"/>
  <c r="F81" i="7"/>
  <c r="A249" i="6"/>
  <c r="H91" i="17"/>
  <c r="E192" i="13"/>
  <c r="F26" i="7"/>
  <c r="B220"/>
  <c r="B40" i="16"/>
  <c r="E17" i="13"/>
  <c r="G357" i="6"/>
  <c r="J349"/>
  <c r="B41" i="16"/>
  <c r="E18" i="13"/>
  <c r="O357" i="6"/>
  <c r="R349"/>
  <c r="Q356" i="5"/>
  <c r="M151" i="6"/>
  <c r="B163" i="5"/>
  <c r="F113"/>
  <c r="M347"/>
  <c r="I142" i="6"/>
  <c r="R153" i="5"/>
  <c r="B104"/>
  <c r="I338"/>
  <c r="E133" i="6"/>
  <c r="N144" i="5"/>
  <c r="R94"/>
  <c r="Q338"/>
  <c r="G439" i="17"/>
  <c r="G996"/>
  <c r="C251" i="6"/>
  <c r="O232"/>
  <c r="A140"/>
  <c r="J151" i="5"/>
  <c r="N101"/>
  <c r="A336"/>
  <c r="Q130" i="6"/>
  <c r="F142" i="5"/>
  <c r="I43" i="17"/>
  <c r="A45" i="6"/>
  <c r="F256" i="5"/>
  <c r="M304"/>
  <c r="C42" i="16"/>
  <c r="A39" i="6"/>
  <c r="F250" i="5"/>
  <c r="M256"/>
  <c r="M154" i="6"/>
  <c r="H184" i="4"/>
  <c r="E299" i="3"/>
  <c r="Y111"/>
  <c r="L215" i="6"/>
  <c r="E248" i="4"/>
  <c r="S188" i="3"/>
  <c r="N370"/>
  <c r="P218" i="6"/>
  <c r="AH6" i="4"/>
  <c r="A189" i="3"/>
  <c r="Z370"/>
  <c r="H251" i="5"/>
  <c r="J11" i="4"/>
  <c r="U191" i="3"/>
  <c r="R374"/>
  <c r="L254" i="5"/>
  <c r="B12" i="4"/>
  <c r="C192" i="3"/>
  <c r="B375"/>
  <c r="P257" i="5"/>
  <c r="J12" i="4"/>
  <c r="K192" i="3"/>
  <c r="L375"/>
  <c r="L286" i="5"/>
  <c r="B17" i="4"/>
  <c r="E195" i="3"/>
  <c r="D379"/>
  <c r="AG183" i="4"/>
  <c r="W275" i="3"/>
  <c r="B119"/>
  <c r="T35"/>
  <c r="P7" i="5"/>
  <c r="F21" i="3"/>
  <c r="V7"/>
  <c r="G20"/>
  <c r="S290"/>
  <c r="K243"/>
  <c r="B193" i="6"/>
  <c r="B178"/>
  <c r="G116" i="5"/>
  <c r="O126"/>
  <c r="T284" i="3"/>
  <c r="J223" i="6"/>
  <c r="K268" i="3"/>
  <c r="R53" i="6"/>
  <c r="D123" i="13"/>
  <c r="E149" i="12"/>
  <c r="T55" i="6"/>
  <c r="L37"/>
  <c r="F300" i="5"/>
  <c r="AI285" i="4"/>
  <c r="C208" i="17"/>
  <c r="Q79" i="6"/>
  <c r="B291" i="5"/>
  <c r="G274" i="4"/>
  <c r="H80" i="16"/>
  <c r="F184" i="6"/>
  <c r="G412" i="5"/>
  <c r="E404" i="4"/>
  <c r="A137" i="13"/>
  <c r="F178" i="6"/>
  <c r="G406" i="5"/>
  <c r="AH396" i="4"/>
  <c r="O390" i="5"/>
  <c r="F108" i="4"/>
  <c r="S104" i="3"/>
  <c r="N258"/>
  <c r="R69" i="5"/>
  <c r="F167" i="4"/>
  <c r="J309" i="3"/>
  <c r="P123"/>
  <c r="B73" i="5"/>
  <c r="AG167" i="4"/>
  <c r="R309" i="3"/>
  <c r="Y123"/>
  <c r="R101" i="5"/>
  <c r="E172" i="4"/>
  <c r="L312" i="3"/>
  <c r="C127"/>
  <c r="B105" i="5"/>
  <c r="AG172" i="4"/>
  <c r="T312" i="3"/>
  <c r="L127"/>
  <c r="F108" i="5"/>
  <c r="E173" i="4"/>
  <c r="B313" i="3"/>
  <c r="V127"/>
  <c r="B137" i="5"/>
  <c r="AF177" i="4"/>
  <c r="V315" i="3"/>
  <c r="Z130"/>
  <c r="M402"/>
  <c r="M312" i="5"/>
  <c r="C359" i="3"/>
  <c r="I186"/>
  <c r="A161"/>
  <c r="T10" i="5"/>
  <c r="B185" i="6"/>
  <c r="Y114" i="3"/>
  <c r="B30"/>
  <c r="F87" i="17"/>
  <c r="N33" i="6"/>
  <c r="G203"/>
  <c r="F56" i="5"/>
  <c r="K339"/>
  <c r="W146" i="3"/>
  <c r="O222" i="6"/>
  <c r="A229" i="3"/>
  <c r="C121" i="7"/>
  <c r="D187" i="13"/>
  <c r="E213" i="12"/>
  <c r="L81" i="6"/>
  <c r="D63"/>
  <c r="J303" i="5"/>
  <c r="AI289" i="4"/>
  <c r="A431" i="17"/>
  <c r="A83" i="6"/>
  <c r="F294" i="5"/>
  <c r="G278" i="4"/>
  <c r="A13" i="15"/>
  <c r="J187" i="6"/>
  <c r="K415" i="5"/>
  <c r="D408" i="4"/>
  <c r="A201" i="13"/>
  <c r="J181" i="6"/>
  <c r="K409" i="5"/>
  <c r="AG400" i="4"/>
  <c r="G416" i="5"/>
  <c r="F112" i="4"/>
  <c r="E107" i="3"/>
  <c r="V261"/>
  <c r="B2" i="19"/>
  <c r="F939" i="17"/>
  <c r="B342"/>
  <c r="F237"/>
  <c r="F104"/>
  <c r="B270" i="20"/>
  <c r="F168" i="17"/>
  <c r="G216" i="13"/>
  <c r="G175" i="17"/>
  <c r="G224" i="13"/>
  <c r="H182" i="17"/>
  <c r="A34" i="7"/>
  <c r="M355" i="6"/>
  <c r="C315" i="4"/>
  <c r="H292"/>
  <c r="A42" i="7"/>
  <c r="J361" i="6"/>
  <c r="B319" i="4"/>
  <c r="G296"/>
  <c r="A50" i="7"/>
  <c r="R367" i="6"/>
  <c r="B323" i="4"/>
  <c r="F300"/>
  <c r="A58" i="7"/>
  <c r="F374" i="6"/>
  <c r="B327" i="4"/>
  <c r="F304"/>
  <c r="A66" i="7"/>
  <c r="N380" i="6"/>
  <c r="AJ330" i="4"/>
  <c r="E308"/>
  <c r="A10" i="7"/>
  <c r="B110" i="12"/>
  <c r="C69" i="7"/>
  <c r="H588" i="17"/>
  <c r="I199"/>
  <c r="G111" i="12"/>
  <c r="B72" i="7"/>
  <c r="D138"/>
  <c r="O361" i="5"/>
  <c r="S172" i="6"/>
  <c r="H152" i="5"/>
  <c r="N333" i="6"/>
  <c r="K352" i="5"/>
  <c r="O163" i="6"/>
  <c r="D143" i="5"/>
  <c r="B260" i="6"/>
  <c r="G343" i="5"/>
  <c r="K154" i="6"/>
  <c r="T133" i="5"/>
  <c r="F263" i="6"/>
  <c r="O343" i="5"/>
  <c r="H81" i="13"/>
  <c r="C3" i="11"/>
  <c r="F318" i="17"/>
  <c r="F63" i="16"/>
  <c r="H9" i="12"/>
  <c r="M287" i="6"/>
  <c r="G269" i="17"/>
  <c r="F8" i="16"/>
  <c r="A200" i="12"/>
  <c r="M265" i="6"/>
  <c r="G613" i="17"/>
  <c r="B206"/>
  <c r="B124" i="12"/>
  <c r="D90" i="7"/>
  <c r="C617" i="17"/>
  <c r="A207"/>
  <c r="B128" i="12"/>
  <c r="C93" i="7"/>
  <c r="B9" i="9"/>
  <c r="S364" i="5"/>
  <c r="C176" i="6"/>
  <c r="L155" i="5"/>
  <c r="G362" i="6"/>
  <c r="O355" i="5"/>
  <c r="S166" i="6"/>
  <c r="H146" i="5"/>
  <c r="N285" i="6"/>
  <c r="K346" i="5"/>
  <c r="O157" i="6"/>
  <c r="D137" i="5"/>
  <c r="R288" i="6"/>
  <c r="S346" i="5"/>
  <c r="G446" i="17"/>
  <c r="A292"/>
  <c r="R247" i="6"/>
  <c r="F236"/>
  <c r="K164"/>
  <c r="T143" i="5"/>
  <c r="J266" i="6"/>
  <c r="C344" i="5"/>
  <c r="G155" i="6"/>
  <c r="P134" i="5"/>
  <c r="G272" i="6"/>
  <c r="G52"/>
  <c r="D281" i="5"/>
  <c r="A379"/>
  <c r="G266" i="6"/>
  <c r="G46"/>
  <c r="D275" i="5"/>
  <c r="A331"/>
  <c r="A367"/>
  <c r="D149" i="4"/>
  <c r="H165" i="3"/>
  <c r="M113"/>
  <c r="O111" i="5"/>
  <c r="F208" i="4"/>
  <c r="X404" i="3"/>
  <c r="Z300"/>
  <c r="C112" i="5"/>
  <c r="AH208" i="4"/>
  <c r="H405" i="3"/>
  <c r="L301"/>
  <c r="O115" i="5"/>
  <c r="D213" i="4"/>
  <c r="Z408" i="3"/>
  <c r="D305"/>
  <c r="C116" i="5"/>
  <c r="AE213" i="4"/>
  <c r="L409" i="3"/>
  <c r="N305"/>
  <c r="K116" i="5"/>
  <c r="C214" i="4"/>
  <c r="V409" i="3"/>
  <c r="X305"/>
  <c r="C120" i="5"/>
  <c r="J218" i="4"/>
  <c r="N413" i="3"/>
  <c r="P309"/>
  <c r="W323"/>
  <c r="V300"/>
  <c r="AE116" i="4"/>
  <c r="F30" i="3"/>
  <c r="Q272"/>
  <c r="R398"/>
  <c r="H243"/>
  <c r="O59" i="5"/>
  <c r="I262" i="3"/>
  <c r="I235" i="17"/>
  <c r="A126" i="23"/>
  <c r="L243" i="6"/>
  <c r="L221"/>
  <c r="F278" i="3"/>
  <c r="J243" i="4"/>
  <c r="A240" i="3"/>
  <c r="I135" i="4"/>
  <c r="E40" i="24"/>
  <c r="C131" i="13"/>
  <c r="D213" i="12"/>
  <c r="H255" i="5"/>
  <c r="G96" i="6"/>
  <c r="D325" i="5"/>
  <c r="A276" i="4"/>
  <c r="C307" i="6"/>
  <c r="C87"/>
  <c r="T315" i="5"/>
  <c r="AE264" i="4"/>
  <c r="H227" i="6"/>
  <c r="H208"/>
  <c r="I53" i="5"/>
  <c r="AE415" i="4"/>
  <c r="H221" i="6"/>
  <c r="H202"/>
  <c r="I47" i="5"/>
  <c r="F408" i="4"/>
  <c r="AG413"/>
  <c r="G73"/>
  <c r="X292" i="3"/>
  <c r="F190"/>
  <c r="M338" i="5"/>
  <c r="AI132" i="4"/>
  <c r="B153" i="3"/>
  <c r="X68"/>
  <c r="Q341" i="5"/>
  <c r="G133" i="4"/>
  <c r="K153" i="3"/>
  <c r="F69"/>
  <c r="M370" i="5"/>
  <c r="AI137" i="4"/>
  <c r="O156" i="3"/>
  <c r="Z71"/>
  <c r="Q373" i="5"/>
  <c r="G138" i="4"/>
  <c r="X156" i="3"/>
  <c r="H72"/>
  <c r="A377" i="5"/>
  <c r="AI138" i="4"/>
  <c r="G157" i="3"/>
  <c r="P72"/>
  <c r="Q405" i="5"/>
  <c r="F143" i="4"/>
  <c r="L160" i="3"/>
  <c r="J75"/>
  <c r="E36"/>
  <c r="Y40"/>
  <c r="T276"/>
  <c r="B6"/>
  <c r="R26"/>
  <c r="I274"/>
  <c r="C16"/>
  <c r="G143" i="4"/>
  <c r="S62" i="5"/>
  <c r="I250" i="6"/>
  <c r="F156" i="17"/>
  <c r="G320" i="6"/>
  <c r="K145"/>
  <c r="Q131" i="3"/>
  <c r="AE303" i="4"/>
  <c r="Y143" i="3"/>
  <c r="B309" i="4"/>
  <c r="G107" i="20"/>
  <c r="C195" i="13"/>
  <c r="C21"/>
  <c r="T280" i="5"/>
  <c r="K99" i="6"/>
  <c r="H328" i="5"/>
  <c r="A280" i="4"/>
  <c r="G310" i="6"/>
  <c r="G90"/>
  <c r="D319" i="5"/>
  <c r="J268" i="4"/>
  <c r="B232" i="6"/>
  <c r="L211"/>
  <c r="M56" i="5"/>
  <c r="E7"/>
  <c r="L224" i="6"/>
  <c r="L205"/>
  <c r="M50" i="5"/>
  <c r="E412" i="4"/>
  <c r="AF417"/>
  <c r="G77"/>
  <c r="F296" i="3"/>
  <c r="B193"/>
  <c r="F85" i="20"/>
  <c r="J270" i="6"/>
  <c r="B289" i="17"/>
  <c r="G329"/>
  <c r="G605"/>
  <c r="G188" i="12"/>
  <c r="B634" i="17"/>
  <c r="G196" i="12"/>
  <c r="C833" i="17"/>
  <c r="G204" i="12"/>
  <c r="B25" i="20"/>
  <c r="E692" i="17"/>
  <c r="C159" i="12"/>
  <c r="C46" i="13"/>
  <c r="E568" i="17"/>
  <c r="D749"/>
  <c r="C223" i="12"/>
  <c r="C110" i="13"/>
  <c r="D625" i="17"/>
  <c r="C806"/>
  <c r="B31" i="13"/>
  <c r="C174"/>
  <c r="C682" i="17"/>
  <c r="B863"/>
  <c r="B95" i="13"/>
  <c r="H5" i="16"/>
  <c r="B739" i="17"/>
  <c r="A920"/>
  <c r="B159" i="13"/>
  <c r="I184" i="17"/>
  <c r="C795"/>
  <c r="B109" i="20"/>
  <c r="P405" i="6"/>
  <c r="E49" i="24"/>
  <c r="A43" i="17"/>
  <c r="F161" i="13"/>
  <c r="D406" i="6"/>
  <c r="B681" i="17"/>
  <c r="M196" i="6"/>
  <c r="R407" i="5"/>
  <c r="F6"/>
  <c r="G421" i="17"/>
  <c r="I187" i="6"/>
  <c r="N398" i="5"/>
  <c r="C407" i="4"/>
  <c r="B258" i="17"/>
  <c r="E178" i="6"/>
  <c r="J389" i="5"/>
  <c r="AG395" i="4"/>
  <c r="C265" i="17"/>
  <c r="M178" i="6"/>
  <c r="I574" i="17"/>
  <c r="C210" i="7"/>
  <c r="J319" i="6"/>
  <c r="E339" i="17"/>
  <c r="F119" i="12"/>
  <c r="G210" i="7"/>
  <c r="R287" i="6"/>
  <c r="H204" i="17"/>
  <c r="F64" i="12"/>
  <c r="G155" i="7"/>
  <c r="E186" i="23"/>
  <c r="C49" i="17"/>
  <c r="F168" i="13"/>
  <c r="T408" i="6"/>
  <c r="E218" i="23"/>
  <c r="B50" i="17"/>
  <c r="F169" i="13"/>
  <c r="H409" i="6"/>
  <c r="G908" i="17"/>
  <c r="Q199" i="6"/>
  <c r="B411" i="5"/>
  <c r="J9"/>
  <c r="F478" i="17"/>
  <c r="M190" i="6"/>
  <c r="R401" i="5"/>
  <c r="C411" i="4"/>
  <c r="A315" i="17"/>
  <c r="I181" i="6"/>
  <c r="N392" i="5"/>
  <c r="AF399" i="4"/>
  <c r="B322" i="17"/>
  <c r="Q181" i="6"/>
  <c r="A134" i="17"/>
  <c r="F33" i="16"/>
  <c r="R31" i="6"/>
  <c r="J13"/>
  <c r="J399" i="5"/>
  <c r="C408" i="4"/>
  <c r="D272" i="17"/>
  <c r="A179" i="6"/>
  <c r="F390" i="5"/>
  <c r="AG396" i="4"/>
  <c r="D199" i="13"/>
  <c r="J304" i="5"/>
  <c r="J98" i="6"/>
  <c r="S93" i="5"/>
  <c r="D79" i="13"/>
  <c r="J298" i="5"/>
  <c r="J92" i="6"/>
  <c r="S87" i="5"/>
  <c r="L135" i="6"/>
  <c r="AG231" i="4"/>
  <c r="A181" i="3"/>
  <c r="H360"/>
  <c r="O31" i="6"/>
  <c r="G53" i="4"/>
  <c r="R385" i="3"/>
  <c r="Z212"/>
  <c r="S34" i="6"/>
  <c r="AI53" i="4"/>
  <c r="Z385" i="3"/>
  <c r="L213"/>
  <c r="O63" i="6"/>
  <c r="G58" i="4"/>
  <c r="T388" i="3"/>
  <c r="D217"/>
  <c r="S66" i="6"/>
  <c r="AH58" i="4"/>
  <c r="B389" i="3"/>
  <c r="N217"/>
  <c r="C70" i="6"/>
  <c r="F59" i="4"/>
  <c r="J389" i="3"/>
  <c r="X217"/>
  <c r="S98" i="6"/>
  <c r="AF63" i="4"/>
  <c r="D392" i="3"/>
  <c r="P221"/>
  <c r="G412"/>
  <c r="E100" i="6"/>
  <c r="V131" i="3"/>
  <c r="V39"/>
  <c r="J100" i="4"/>
  <c r="J20" i="5"/>
  <c r="O416" i="3"/>
  <c r="B23"/>
  <c r="K307"/>
  <c r="R175"/>
  <c r="M213" i="6"/>
  <c r="E232" i="5"/>
  <c r="E151"/>
  <c r="L158"/>
  <c r="L43" i="3"/>
  <c r="G61" i="5"/>
  <c r="P353" i="3"/>
  <c r="O65" i="5"/>
  <c r="D104" i="12"/>
  <c r="F30"/>
  <c r="L285" i="5"/>
  <c r="D267"/>
  <c r="J142" i="6"/>
  <c r="S137" i="5"/>
  <c r="C191" i="12"/>
  <c r="F339" i="5"/>
  <c r="F133" i="6"/>
  <c r="O128" i="5"/>
  <c r="G38" i="7"/>
  <c r="N30" i="6"/>
  <c r="O258" i="5"/>
  <c r="H234"/>
  <c r="D384" i="6"/>
  <c r="N24"/>
  <c r="O252" i="5"/>
  <c r="H228"/>
  <c r="E398" i="4"/>
  <c r="A155"/>
  <c r="R301" i="3"/>
  <c r="U114"/>
  <c r="Q36" i="5"/>
  <c r="J213" i="4"/>
  <c r="U409" i="3"/>
  <c r="H349"/>
  <c r="A40" i="5"/>
  <c r="A214" i="4"/>
  <c r="E410" i="3"/>
  <c r="T349"/>
  <c r="Q68" i="5"/>
  <c r="H218" i="4"/>
  <c r="W413" i="3"/>
  <c r="L353"/>
  <c r="A72" i="5"/>
  <c r="AJ218" i="4"/>
  <c r="I414" i="3"/>
  <c r="V353"/>
  <c r="E75" i="5"/>
  <c r="H219" i="4"/>
  <c r="S414" i="3"/>
  <c r="F354"/>
  <c r="A104" i="5"/>
  <c r="AI223" i="4"/>
  <c r="R197" i="3"/>
  <c r="X357"/>
  <c r="T306"/>
  <c r="E174" i="4"/>
  <c r="E52"/>
  <c r="O199" i="3"/>
  <c r="O333"/>
  <c r="J104" i="4"/>
  <c r="P167" i="5"/>
  <c r="W127" i="3"/>
  <c r="W32"/>
  <c r="D4" i="14"/>
  <c r="M164" i="5"/>
  <c r="M78"/>
  <c r="T99"/>
  <c r="AI342" i="4"/>
  <c r="B244" i="3"/>
  <c r="C10" i="5"/>
  <c r="D301" i="3"/>
  <c r="Q283" i="5"/>
  <c r="H156" i="13"/>
  <c r="A119" i="12"/>
  <c r="D311" i="5"/>
  <c r="P292"/>
  <c r="N145" i="6"/>
  <c r="C141" i="5"/>
  <c r="C255" i="12"/>
  <c r="J342" i="5"/>
  <c r="J136" i="6"/>
  <c r="S131" i="5"/>
  <c r="G102" i="7"/>
  <c r="R33" i="6"/>
  <c r="S261" i="5"/>
  <c r="I239"/>
  <c r="P409" i="6"/>
  <c r="R27"/>
  <c r="S255" i="5"/>
  <c r="L231"/>
  <c r="J15"/>
  <c r="AI158" i="4"/>
  <c r="D304" i="3"/>
  <c r="P117"/>
  <c r="B21" i="20"/>
  <c r="F210"/>
  <c r="L404" i="6"/>
  <c r="G183" i="7"/>
  <c r="G41"/>
  <c r="G255"/>
  <c r="G113"/>
  <c r="G263"/>
  <c r="G121"/>
  <c r="G271"/>
  <c r="G129"/>
  <c r="D48" i="17"/>
  <c r="D23" i="15"/>
  <c r="E120" i="6"/>
  <c r="I111"/>
  <c r="E55" i="17"/>
  <c r="D1" i="16"/>
  <c r="I123" i="6"/>
  <c r="M114"/>
  <c r="F62" i="17"/>
  <c r="C9" i="16"/>
  <c r="M126" i="6"/>
  <c r="Q117"/>
  <c r="G69" i="17"/>
  <c r="C17" i="16"/>
  <c r="Q129" i="6"/>
  <c r="A121"/>
  <c r="H76" i="17"/>
  <c r="C25" i="16"/>
  <c r="A133" i="6"/>
  <c r="E124"/>
  <c r="A27" i="17"/>
  <c r="D66" i="12"/>
  <c r="G231" i="6"/>
  <c r="E671" i="17"/>
  <c r="C70" i="12"/>
  <c r="A68"/>
  <c r="O231" i="6"/>
  <c r="C247" i="7"/>
  <c r="P411" i="5"/>
  <c r="M348"/>
  <c r="M203"/>
  <c r="B186" i="7"/>
  <c r="L402" i="5"/>
  <c r="A275"/>
  <c r="I194"/>
  <c r="D124" i="7"/>
  <c r="H393" i="5"/>
  <c r="M234"/>
  <c r="E185"/>
  <c r="C127" i="7"/>
  <c r="E398" i="17"/>
  <c r="H895"/>
  <c r="T359" i="6"/>
  <c r="G375" i="17"/>
  <c r="B51" i="13"/>
  <c r="B234" i="12"/>
  <c r="K326" i="6"/>
  <c r="H326" i="17"/>
  <c r="C252" i="12"/>
  <c r="A79"/>
  <c r="K304" i="6"/>
  <c r="D696" i="17"/>
  <c r="C77" i="12"/>
  <c r="B79"/>
  <c r="K234" i="6"/>
  <c r="I699" i="17"/>
  <c r="C78" i="12"/>
  <c r="G80"/>
  <c r="S234" i="6"/>
  <c r="D268" i="7"/>
  <c r="T414" i="5"/>
  <c r="E374"/>
  <c r="Q206"/>
  <c r="C207" i="7"/>
  <c r="P405" i="5"/>
  <c r="M300"/>
  <c r="M197"/>
  <c r="B146" i="7"/>
  <c r="L396" i="5"/>
  <c r="J240"/>
  <c r="I188"/>
  <c r="D148" i="7"/>
  <c r="E87" i="17"/>
  <c r="H164" i="12"/>
  <c r="E32" i="16"/>
  <c r="J42" i="6"/>
  <c r="H403" i="5"/>
  <c r="I281"/>
  <c r="E195"/>
  <c r="B130" i="7"/>
  <c r="D394" i="5"/>
  <c r="I235"/>
  <c r="A186"/>
  <c r="P121" i="6"/>
  <c r="P102"/>
  <c r="G346" i="4"/>
  <c r="J285"/>
  <c r="P115" i="6"/>
  <c r="P96"/>
  <c r="C339" i="4"/>
  <c r="B278"/>
  <c r="AF283"/>
  <c r="AI179"/>
  <c r="L186" i="3"/>
  <c r="D98"/>
  <c r="D146" i="5"/>
  <c r="AG242" i="4"/>
  <c r="P65" i="3"/>
  <c r="Y172"/>
  <c r="L146" i="5"/>
  <c r="H243" i="4"/>
  <c r="X65" i="3"/>
  <c r="J174"/>
  <c r="D150" i="5"/>
  <c r="AF6" i="4"/>
  <c r="R68" i="3"/>
  <c r="A187"/>
  <c r="L150" i="5"/>
  <c r="D7" i="4"/>
  <c r="Z68" i="3"/>
  <c r="L188"/>
  <c r="T150" i="5"/>
  <c r="AF7" i="4"/>
  <c r="H69" i="3"/>
  <c r="V189"/>
  <c r="L154" i="5"/>
  <c r="H12" i="4"/>
  <c r="B72" i="3"/>
  <c r="I203"/>
  <c r="K151"/>
  <c r="C169"/>
  <c r="V74"/>
  <c r="S8"/>
  <c r="Y108"/>
  <c r="Y18"/>
  <c r="X30"/>
  <c r="K379"/>
  <c r="A183" i="4"/>
  <c r="C417"/>
  <c r="I358" i="5"/>
  <c r="H176" i="6"/>
  <c r="AH271" i="4"/>
  <c r="S210" i="5"/>
  <c r="Z225" i="3"/>
  <c r="Q393" i="5"/>
  <c r="V327" i="3"/>
  <c r="S368" i="6"/>
  <c r="K385"/>
  <c r="F301"/>
  <c r="D47" i="5"/>
  <c r="P146" i="6"/>
  <c r="AE400" i="4"/>
  <c r="AI339"/>
  <c r="L156" i="6"/>
  <c r="L137"/>
  <c r="E389" i="4"/>
  <c r="AE328"/>
  <c r="A282" i="5"/>
  <c r="Q76" i="6"/>
  <c r="F88" i="5"/>
  <c r="J38"/>
  <c r="A276"/>
  <c r="Q70" i="6"/>
  <c r="F82" i="5"/>
  <c r="J32"/>
  <c r="T36"/>
  <c r="D104" i="4"/>
  <c r="G337" i="3"/>
  <c r="C257" i="6"/>
  <c r="E279" i="4"/>
  <c r="K368" i="3"/>
  <c r="B191"/>
  <c r="G260" i="6"/>
  <c r="AG279" i="4"/>
  <c r="S368" i="3"/>
  <c r="K191"/>
  <c r="C289" i="6"/>
  <c r="E284" i="4"/>
  <c r="M371" i="3"/>
  <c r="P194"/>
  <c r="G292" i="6"/>
  <c r="AG284" i="4"/>
  <c r="U371" i="3"/>
  <c r="Y194"/>
  <c r="K295" i="6"/>
  <c r="E285" i="4"/>
  <c r="C372" i="3"/>
  <c r="H195"/>
  <c r="G324" i="6"/>
  <c r="AG289" i="4"/>
  <c r="W374" i="3"/>
  <c r="Q198"/>
  <c r="AG323" i="4"/>
  <c r="W396" i="3"/>
  <c r="F6"/>
  <c r="K241"/>
  <c r="Y263"/>
  <c r="U294"/>
  <c r="J110"/>
  <c r="N166"/>
  <c r="X273"/>
  <c r="Y198"/>
  <c r="AH405" i="4"/>
  <c r="I73" i="6"/>
  <c r="G100"/>
  <c r="M66" i="5"/>
  <c r="G407" i="4"/>
  <c r="N383" i="3"/>
  <c r="Q259" i="5"/>
  <c r="O150" i="3"/>
  <c r="J368" i="6"/>
  <c r="D66" i="7"/>
  <c r="R326" i="6"/>
  <c r="P72" i="5"/>
  <c r="T149" i="6"/>
  <c r="AD404" i="4"/>
  <c r="AG343"/>
  <c r="P159" i="6"/>
  <c r="P140"/>
  <c r="E393" i="4"/>
  <c r="J332"/>
  <c r="E285" i="5"/>
  <c r="A80" i="6"/>
  <c r="J91" i="5"/>
  <c r="N41"/>
  <c r="E279"/>
  <c r="A74" i="6"/>
  <c r="J85" i="5"/>
  <c r="N35"/>
  <c r="D40"/>
  <c r="D108" i="4"/>
  <c r="O340" i="3"/>
  <c r="O282" i="6"/>
  <c r="F28" i="20"/>
  <c r="G28" i="16"/>
  <c r="H434" i="17"/>
  <c r="Q289" i="6"/>
  <c r="H498" i="17"/>
  <c r="M318" i="6"/>
  <c r="I505" i="17"/>
  <c r="Q321" i="6"/>
  <c r="A513" i="17"/>
  <c r="A325" i="6"/>
  <c r="E199" i="13"/>
  <c r="F225" i="12"/>
  <c r="Q402" i="5"/>
  <c r="D984" i="17"/>
  <c r="H153" i="12"/>
  <c r="Q347" i="6"/>
  <c r="G860" i="17"/>
  <c r="E219" i="12"/>
  <c r="F249" i="7"/>
  <c r="E316" i="6"/>
  <c r="G254" i="17"/>
  <c r="E164" i="12"/>
  <c r="F194" i="7"/>
  <c r="E294" i="6"/>
  <c r="F85" i="17"/>
  <c r="E185" i="13"/>
  <c r="F19" i="7"/>
  <c r="C201"/>
  <c r="E86" i="17"/>
  <c r="E186" i="13"/>
  <c r="F20" i="7"/>
  <c r="B204"/>
  <c r="T10" i="6"/>
  <c r="Q218"/>
  <c r="F230" i="5"/>
  <c r="J180"/>
  <c r="Q414"/>
  <c r="M209" i="6"/>
  <c r="B221" i="5"/>
  <c r="F171"/>
  <c r="M405"/>
  <c r="I200" i="6"/>
  <c r="R211" i="5"/>
  <c r="B162"/>
  <c r="A406"/>
  <c r="C49" i="20"/>
  <c r="H217" i="12"/>
  <c r="A351" i="6"/>
  <c r="A4" i="16"/>
  <c r="E227" i="12"/>
  <c r="F257" i="7"/>
  <c r="I319" i="6"/>
  <c r="I295" i="17"/>
  <c r="E172" i="12"/>
  <c r="F202" i="7"/>
  <c r="I297" i="6"/>
  <c r="G92" i="17"/>
  <c r="E193" i="13"/>
  <c r="F27" i="7"/>
  <c r="D222"/>
  <c r="F93" i="17"/>
  <c r="E194" i="13"/>
  <c r="F28" i="7"/>
  <c r="C225"/>
  <c r="D14" i="6"/>
  <c r="A222"/>
  <c r="J233" i="5"/>
  <c r="N183"/>
  <c r="B5" i="6"/>
  <c r="Q212"/>
  <c r="F224" i="5"/>
  <c r="J174"/>
  <c r="Q408"/>
  <c r="M203" i="6"/>
  <c r="B215" i="5"/>
  <c r="F165"/>
  <c r="E409"/>
  <c r="D77" i="20"/>
  <c r="A115" i="13"/>
  <c r="M328" i="6"/>
  <c r="H288" i="17"/>
  <c r="E171" i="12"/>
  <c r="F201" i="7"/>
  <c r="A297" i="6"/>
  <c r="E198" i="17"/>
  <c r="E315"/>
  <c r="F146" i="7"/>
  <c r="A275" i="6"/>
  <c r="I42" i="17"/>
  <c r="E137" i="13"/>
  <c r="I664" i="17"/>
  <c r="H71" i="24"/>
  <c r="H103"/>
  <c r="G162"/>
  <c r="G226"/>
  <c r="H78" i="25"/>
  <c r="H3" i="23"/>
  <c r="A100"/>
  <c r="A116"/>
  <c r="A132"/>
  <c r="H594" i="17"/>
  <c r="E95"/>
  <c r="E829"/>
  <c r="E159"/>
  <c r="C879"/>
  <c r="F166"/>
  <c r="D452"/>
  <c r="E194" i="12"/>
  <c r="F224" i="7"/>
  <c r="F139" i="24"/>
  <c r="H231" i="20"/>
  <c r="H233"/>
  <c r="H98"/>
  <c r="B246"/>
  <c r="A65" i="17"/>
  <c r="D152" i="13"/>
  <c r="R386" i="6"/>
  <c r="D35" i="7"/>
  <c r="I65" i="17"/>
  <c r="D153" i="13"/>
  <c r="F387" i="6"/>
  <c r="C38" i="7"/>
  <c r="A43" i="16"/>
  <c r="D10" i="13"/>
  <c r="E4" i="8"/>
  <c r="A212" i="23"/>
  <c r="G35" i="20"/>
  <c r="G37"/>
  <c r="H170"/>
  <c r="A272" i="17"/>
  <c r="A129"/>
  <c r="C11" i="14"/>
  <c r="N415" i="6"/>
  <c r="D227" i="7"/>
  <c r="I129" i="17"/>
  <c r="B14" i="14"/>
  <c r="B416" i="6"/>
  <c r="C230" i="7"/>
  <c r="A115" i="16"/>
  <c r="D82" i="13"/>
  <c r="R358" i="6"/>
  <c r="H21" i="24"/>
  <c r="G43" i="20"/>
  <c r="G45"/>
  <c r="H178"/>
  <c r="B279" i="17"/>
  <c r="B136"/>
  <c r="A17" i="15"/>
  <c r="E5" i="7"/>
  <c r="B249"/>
  <c r="A137" i="17"/>
  <c r="F19" i="15"/>
  <c r="E6" i="7"/>
  <c r="D251"/>
  <c r="I9" i="17"/>
  <c r="D90" i="13"/>
  <c r="B362" i="6"/>
  <c r="H85" i="24"/>
  <c r="G99" i="20"/>
  <c r="G101"/>
  <c r="H186"/>
  <c r="C286" i="17"/>
  <c r="C143"/>
  <c r="E10" i="16"/>
  <c r="E13" i="7"/>
  <c r="C270"/>
  <c r="B144" i="17"/>
  <c r="E14" i="16"/>
  <c r="E14" i="7"/>
  <c r="B273"/>
  <c r="A17" i="17"/>
  <c r="D98" i="13"/>
  <c r="F365" i="6"/>
  <c r="C104" i="23"/>
  <c r="D226" i="13"/>
  <c r="J371" i="6"/>
  <c r="A36" i="16"/>
  <c r="D3" i="13"/>
  <c r="F289" i="7"/>
  <c r="E332" i="6"/>
  <c r="E523" i="17"/>
  <c r="E204" i="12"/>
  <c r="F234" i="7"/>
  <c r="E310" i="6"/>
  <c r="B121" i="17"/>
  <c r="C14" i="14"/>
  <c r="F59" i="7"/>
  <c r="B5" i="9"/>
  <c r="A122" i="17"/>
  <c r="B1" i="15"/>
  <c r="F60" i="7"/>
  <c r="B13" i="9"/>
  <c r="T26" i="6"/>
  <c r="T7"/>
  <c r="M294" i="5"/>
  <c r="J196"/>
  <c r="P17" i="6"/>
  <c r="M225"/>
  <c r="I237" i="5"/>
  <c r="F187"/>
  <c r="L8" i="6"/>
  <c r="I216"/>
  <c r="R227" i="5"/>
  <c r="B178"/>
  <c r="T8" i="6"/>
  <c r="H211" i="23"/>
  <c r="E52" i="17"/>
  <c r="R377" i="6"/>
  <c r="A44" i="16"/>
  <c r="D11" i="13"/>
  <c r="E5" i="8"/>
  <c r="I335" i="6"/>
  <c r="F661" i="17"/>
  <c r="E212" i="12"/>
  <c r="F242" i="7"/>
  <c r="I313" i="6"/>
  <c r="C128" i="17"/>
  <c r="A20" i="15"/>
  <c r="F67" i="7"/>
  <c r="I243" i="6"/>
  <c r="B129" i="17"/>
  <c r="F22" i="15"/>
  <c r="F68" i="7"/>
  <c r="Q243" i="6"/>
  <c r="D30"/>
  <c r="D11"/>
  <c r="E320" i="5"/>
  <c r="N199"/>
  <c r="T20" i="6"/>
  <c r="Q228"/>
  <c r="E250" i="5"/>
  <c r="J190"/>
  <c r="P11" i="6"/>
  <c r="M219"/>
  <c r="B231" i="5"/>
  <c r="F181"/>
  <c r="D12" i="6"/>
  <c r="I402" i="17"/>
  <c r="G148" i="12"/>
  <c r="F384" i="6"/>
  <c r="A52" i="16"/>
  <c r="D19" i="13"/>
  <c r="E13" i="8"/>
  <c r="M338" i="6"/>
  <c r="B889" i="17"/>
  <c r="E220" i="12"/>
  <c r="F250" i="7"/>
  <c r="M316" i="6"/>
  <c r="D135" i="17"/>
  <c r="H14" i="16"/>
  <c r="F75" i="7"/>
  <c r="M246" i="6"/>
  <c r="C136" i="17"/>
  <c r="H18" i="16"/>
  <c r="F76" i="7"/>
  <c r="A247" i="6"/>
  <c r="H33"/>
  <c r="H14"/>
  <c r="Q345" i="5"/>
  <c r="R202"/>
  <c r="D24" i="6"/>
  <c r="Q237"/>
  <c r="E272" i="5"/>
  <c r="N193"/>
  <c r="T14" i="6"/>
  <c r="Q222"/>
  <c r="F234" i="5"/>
  <c r="J184"/>
  <c r="H15" i="6"/>
  <c r="G861" i="17"/>
  <c r="G212" i="12"/>
  <c r="N390" i="6"/>
  <c r="A60" i="16"/>
  <c r="D27" i="13"/>
  <c r="E1" i="9"/>
  <c r="Q341" i="6"/>
  <c r="A5" i="16"/>
  <c r="E228" i="12"/>
  <c r="F258" i="7"/>
  <c r="Q319" i="6"/>
  <c r="E142" i="17"/>
  <c r="H46" i="16"/>
  <c r="F83" i="7"/>
  <c r="Q249" i="6"/>
  <c r="D143" i="17"/>
  <c r="H50" i="16"/>
  <c r="F84" i="7"/>
  <c r="E250" i="6"/>
  <c r="L36"/>
  <c r="L17"/>
  <c r="I371" i="5"/>
  <c r="B206"/>
  <c r="H27" i="6"/>
  <c r="H8"/>
  <c r="Q297" i="5"/>
  <c r="R196"/>
  <c r="D18" i="6"/>
  <c r="A226"/>
  <c r="A239" i="5"/>
  <c r="N187"/>
  <c r="L18" i="6"/>
  <c r="A441" i="17"/>
  <c r="F20" i="13"/>
  <c r="B397" i="6"/>
  <c r="A68" i="16"/>
  <c r="D35" i="13"/>
  <c r="D9" i="9"/>
  <c r="A345" i="6"/>
  <c r="A13" i="16"/>
  <c r="E236" i="12"/>
  <c r="F266" i="7"/>
  <c r="A323" i="6"/>
  <c r="F149" i="17"/>
  <c r="H78" i="16"/>
  <c r="F91" i="7"/>
  <c r="A253" i="6"/>
  <c r="E150" i="17"/>
  <c r="H82" i="16"/>
  <c r="F92" i="7"/>
  <c r="I253" i="6"/>
  <c r="P39"/>
  <c r="P20"/>
  <c r="A397" i="5"/>
  <c r="F209"/>
  <c r="L30" i="6"/>
  <c r="L11"/>
  <c r="I323" i="5"/>
  <c r="B200"/>
  <c r="H21" i="6"/>
  <c r="E229"/>
  <c r="Q251" i="5"/>
  <c r="R190"/>
  <c r="P21" i="6"/>
  <c r="B15" i="23"/>
  <c r="G25" i="13"/>
  <c r="E354" i="6"/>
  <c r="A12" i="16"/>
  <c r="E235" i="12"/>
  <c r="F265" i="7"/>
  <c r="M322" i="6"/>
  <c r="H352" i="17"/>
  <c r="E180" i="12"/>
  <c r="F210" i="7"/>
  <c r="M300" i="6"/>
  <c r="H99" i="17"/>
  <c r="E201" i="13"/>
  <c r="F244" i="20"/>
  <c r="C3" i="46"/>
  <c r="D712" i="17"/>
  <c r="B60" i="46"/>
  <c r="H740" i="17"/>
  <c r="A117" i="46"/>
  <c r="C769" i="17"/>
  <c r="D164" i="46"/>
  <c r="B570" i="17"/>
  <c r="D3" i="46"/>
  <c r="G599" i="17"/>
  <c r="C96"/>
  <c r="D834"/>
  <c r="C160"/>
  <c r="B884"/>
  <c r="D167"/>
  <c r="A35" i="16"/>
  <c r="D2" i="13"/>
  <c r="F288" i="7"/>
  <c r="E18" i="44"/>
  <c r="E1011" i="17"/>
  <c r="A1" i="19"/>
  <c r="H162" i="20"/>
  <c r="I264" i="17"/>
  <c r="I121"/>
  <c r="H223" i="13"/>
  <c r="J412" i="6"/>
  <c r="C206" i="7"/>
  <c r="H122" i="17"/>
  <c r="H225" i="13"/>
  <c r="R412" i="6"/>
  <c r="B209" i="7"/>
  <c r="A107" i="16"/>
  <c r="D74" i="13"/>
  <c r="A1" i="11"/>
  <c r="H241" i="23"/>
  <c r="G291" i="20"/>
  <c r="G1" i="21"/>
  <c r="H234" i="20"/>
  <c r="I328" i="17"/>
  <c r="I185"/>
  <c r="G79"/>
  <c r="E61" i="7"/>
  <c r="P241" i="6"/>
  <c r="H186" i="17"/>
  <c r="C86"/>
  <c r="E62" i="7"/>
  <c r="D242" i="6"/>
  <c r="G59" i="17"/>
  <c r="D146" i="13"/>
  <c r="J384" i="6"/>
  <c r="G50" i="24"/>
  <c r="G10" i="22"/>
  <c r="B5" i="23"/>
  <c r="H242" i="20"/>
  <c r="A336" i="17"/>
  <c r="A193"/>
  <c r="A136"/>
  <c r="E69" i="7"/>
  <c r="T244" i="6"/>
  <c r="I193" i="17"/>
  <c r="B143"/>
  <c r="E70" i="7"/>
  <c r="H245" i="6"/>
  <c r="H66" i="17"/>
  <c r="D154" i="13"/>
  <c r="N387" i="6"/>
  <c r="B120" i="24"/>
  <c r="B221" i="23"/>
  <c r="B229"/>
  <c r="H250" i="20"/>
  <c r="B343" i="17"/>
  <c r="B200"/>
  <c r="I192"/>
  <c r="E77" i="7"/>
  <c r="D248" i="6"/>
  <c r="A201" i="17"/>
  <c r="A200"/>
  <c r="E78" i="7"/>
  <c r="L248" i="6"/>
  <c r="I73" i="17"/>
  <c r="D162" i="13"/>
  <c r="R390" i="6"/>
  <c r="D774" i="17"/>
  <c r="I37"/>
  <c r="D19" i="7"/>
  <c r="A100" i="16"/>
  <c r="D67" i="13"/>
  <c r="D1" i="10"/>
  <c r="J359" i="6"/>
  <c r="A45" i="16"/>
  <c r="D12" i="13"/>
  <c r="E6" i="8"/>
  <c r="Q335" i="6"/>
  <c r="A178" i="17"/>
  <c r="B87"/>
  <c r="F123" i="7"/>
  <c r="Q265" i="6"/>
  <c r="I178" i="17"/>
  <c r="C94"/>
  <c r="F124" i="7"/>
  <c r="E266" i="6"/>
  <c r="L52"/>
  <c r="L33"/>
  <c r="AJ260" i="4"/>
  <c r="B222" i="5"/>
  <c r="H43" i="6"/>
  <c r="H24"/>
  <c r="AF249" i="4"/>
  <c r="R212" i="5"/>
  <c r="D34" i="6"/>
  <c r="D15"/>
  <c r="E352" i="5"/>
  <c r="N203"/>
  <c r="L34" i="6"/>
  <c r="F190" i="23"/>
  <c r="F61" i="12"/>
  <c r="B41" i="7"/>
  <c r="A108" i="16"/>
  <c r="D75" i="13"/>
  <c r="B356" i="6"/>
  <c r="R365"/>
  <c r="A53" i="16"/>
  <c r="D20" i="13"/>
  <c r="E14" i="8"/>
  <c r="A339" i="6"/>
  <c r="B185" i="17"/>
  <c r="A144"/>
  <c r="F131" i="7"/>
  <c r="A269" i="6"/>
  <c r="A186" i="17"/>
  <c r="B151"/>
  <c r="F132" i="7"/>
  <c r="I269" i="6"/>
  <c r="P55"/>
  <c r="P36"/>
  <c r="AJ264" i="4"/>
  <c r="F225" i="5"/>
  <c r="L46" i="6"/>
  <c r="L27"/>
  <c r="AE253" i="4"/>
  <c r="B216" i="5"/>
  <c r="H37" i="6"/>
  <c r="H18"/>
  <c r="Q377" i="5"/>
  <c r="R206"/>
  <c r="P37" i="6"/>
  <c r="A776" i="17"/>
  <c r="F125" i="12"/>
  <c r="C62" i="7"/>
  <c r="G3" i="17"/>
  <c r="D83" i="13"/>
  <c r="F359" i="6"/>
  <c r="F372"/>
  <c r="A61" i="16"/>
  <c r="D28" i="13"/>
  <c r="D2" i="9"/>
  <c r="E342" i="6"/>
  <c r="C192" i="17"/>
  <c r="I200"/>
  <c r="F139" i="7"/>
  <c r="E272" i="6"/>
  <c r="B193" i="17"/>
  <c r="A208"/>
  <c r="F140" i="7"/>
  <c r="M272" i="6"/>
  <c r="T58"/>
  <c r="T39"/>
  <c r="AI268" i="4"/>
  <c r="J228" i="5"/>
  <c r="P49" i="6"/>
  <c r="P30"/>
  <c r="J257" i="4"/>
  <c r="F219" i="5"/>
  <c r="L40" i="6"/>
  <c r="L21"/>
  <c r="I403" i="5"/>
  <c r="B210"/>
  <c r="T40" i="6"/>
  <c r="F250" i="23"/>
  <c r="F189" i="12"/>
  <c r="D83" i="7"/>
  <c r="H10" i="17"/>
  <c r="D91" i="13"/>
  <c r="J362" i="6"/>
  <c r="N378"/>
  <c r="A69" i="16"/>
  <c r="D36" i="13"/>
  <c r="D10" i="9"/>
  <c r="I345" i="6"/>
  <c r="D199" i="17"/>
  <c r="D372"/>
  <c r="F147" i="7"/>
  <c r="I275" i="6"/>
  <c r="C200" i="17"/>
  <c r="C429"/>
  <c r="F148" i="7"/>
  <c r="Q275" i="6"/>
  <c r="D62"/>
  <c r="D43"/>
  <c r="AH272" i="4"/>
  <c r="N231" i="5"/>
  <c r="T52" i="6"/>
  <c r="T33"/>
  <c r="H261" i="4"/>
  <c r="J222" i="5"/>
  <c r="P43" i="6"/>
  <c r="P24"/>
  <c r="D250" i="4"/>
  <c r="F213" i="5"/>
  <c r="D44" i="6"/>
  <c r="G777" i="17"/>
  <c r="F253" i="12"/>
  <c r="B105" i="7"/>
  <c r="I17" i="17"/>
  <c r="D99" i="13"/>
  <c r="N365" i="6"/>
  <c r="B385"/>
  <c r="A77" i="16"/>
  <c r="D44" i="13"/>
  <c r="D18" i="9"/>
  <c r="M348" i="6"/>
  <c r="E206" i="17"/>
  <c r="E125" i="12"/>
  <c r="F155" i="7"/>
  <c r="M278" i="6"/>
  <c r="D207" i="17"/>
  <c r="E126" i="12"/>
  <c r="F156" i="7"/>
  <c r="A279" i="6"/>
  <c r="H65"/>
  <c r="H46"/>
  <c r="AH276" i="4"/>
  <c r="R234" i="5"/>
  <c r="D56" i="6"/>
  <c r="D37"/>
  <c r="H265" i="4"/>
  <c r="N225" i="5"/>
  <c r="T46" i="6"/>
  <c r="T27"/>
  <c r="C254" i="4"/>
  <c r="J216" i="5"/>
  <c r="H47" i="6"/>
  <c r="C214" i="17"/>
  <c r="F84" i="13"/>
  <c r="J403" i="6"/>
  <c r="A76" i="16"/>
  <c r="D43" i="13"/>
  <c r="D17" i="9"/>
  <c r="E348" i="6"/>
  <c r="A21" i="16"/>
  <c r="E244" i="12"/>
  <c r="F274" i="7"/>
  <c r="E326" i="6"/>
  <c r="G156" i="17"/>
  <c r="H110" i="16"/>
  <c r="C249" i="23"/>
  <c r="E25"/>
  <c r="B865" i="17"/>
  <c r="E33" i="23"/>
  <c r="F893" i="17"/>
  <c r="E41" i="23"/>
  <c r="A922" i="17"/>
  <c r="G4" i="21"/>
  <c r="I722" i="17"/>
  <c r="F7" i="22"/>
  <c r="G163" i="20"/>
  <c r="D158" i="17"/>
  <c r="A958"/>
  <c r="D226"/>
  <c r="H1007"/>
  <c r="H235"/>
  <c r="A99" i="16"/>
  <c r="D66" i="13"/>
  <c r="D40" i="9"/>
  <c r="H177" i="23"/>
  <c r="G235" i="20"/>
  <c r="G237"/>
  <c r="H226"/>
  <c r="H321" i="17"/>
  <c r="H178"/>
  <c r="C51"/>
  <c r="E53" i="7"/>
  <c r="L238" i="6"/>
  <c r="G179" i="17"/>
  <c r="H54"/>
  <c r="E54" i="7"/>
  <c r="T238" i="6"/>
  <c r="F52" i="17"/>
  <c r="D138" i="13"/>
  <c r="F381" i="6"/>
  <c r="F7" i="24"/>
  <c r="F39" i="20"/>
  <c r="F41"/>
  <c r="C8" i="22"/>
  <c r="H385" i="17"/>
  <c r="B259"/>
  <c r="D159" i="12"/>
  <c r="E125" i="7"/>
  <c r="H267" i="6"/>
  <c r="B262" i="17"/>
  <c r="D160" i="12"/>
  <c r="E126" i="7"/>
  <c r="P267" i="6"/>
  <c r="F116" i="17"/>
  <c r="H211" i="13"/>
  <c r="B410" i="6"/>
  <c r="F71" i="24"/>
  <c r="F47" i="20"/>
  <c r="F49"/>
  <c r="F25" i="23"/>
  <c r="I392" i="17"/>
  <c r="C309"/>
  <c r="D167" i="12"/>
  <c r="E133" i="7"/>
  <c r="L270" i="6"/>
  <c r="D316" i="17"/>
  <c r="D168" i="12"/>
  <c r="E134" i="7"/>
  <c r="T270" i="6"/>
  <c r="G123" i="17"/>
  <c r="H227" i="13"/>
  <c r="F413" i="6"/>
  <c r="A162" i="24"/>
  <c r="F103" i="20"/>
  <c r="F105"/>
  <c r="F57" i="23"/>
  <c r="A400" i="17"/>
  <c r="B366"/>
  <c r="D175" i="12"/>
  <c r="E141" i="7"/>
  <c r="P273" i="6"/>
  <c r="C373" i="17"/>
  <c r="D176" i="12"/>
  <c r="E142" i="7"/>
  <c r="D274" i="6"/>
  <c r="H130" i="17"/>
  <c r="G16" i="14"/>
  <c r="J416" i="6"/>
  <c r="C779" i="17"/>
  <c r="H62" i="16"/>
  <c r="C190" i="7"/>
  <c r="D46" i="17"/>
  <c r="D131" i="13"/>
  <c r="J378" i="6"/>
  <c r="N410"/>
  <c r="A109" i="16"/>
  <c r="D76" i="13"/>
  <c r="J356" i="6"/>
  <c r="N366"/>
  <c r="B243" i="17"/>
  <c r="E157" i="12"/>
  <c r="F187" i="7"/>
  <c r="I291" i="6"/>
  <c r="C244" i="17"/>
  <c r="E158" i="12"/>
  <c r="F188" i="7"/>
  <c r="Q291" i="6"/>
  <c r="D78"/>
  <c r="D59"/>
  <c r="AG292" i="4"/>
  <c r="Q305" i="5"/>
  <c r="T68" i="6"/>
  <c r="T49"/>
  <c r="F281" i="4"/>
  <c r="A243" i="5"/>
  <c r="P59" i="6"/>
  <c r="P40"/>
  <c r="AI269" i="4"/>
  <c r="F229" i="5"/>
  <c r="D60" i="6"/>
  <c r="F19" i="25"/>
  <c r="E121" i="12"/>
  <c r="D211" i="7"/>
  <c r="E53" i="17"/>
  <c r="D139" i="13"/>
  <c r="N381" i="6"/>
  <c r="B1" i="7"/>
  <c r="F4" i="17"/>
  <c r="D84" i="13"/>
  <c r="N359" i="6"/>
  <c r="B373"/>
  <c r="H256" i="17"/>
  <c r="E165" i="12"/>
  <c r="F195" i="7"/>
  <c r="M294" i="6"/>
  <c r="D259" i="17"/>
  <c r="E166" i="12"/>
  <c r="F196" i="7"/>
  <c r="A295" i="6"/>
  <c r="H81"/>
  <c r="H62"/>
  <c r="AG296" i="4"/>
  <c r="I331" i="5"/>
  <c r="D72" i="6"/>
  <c r="D53"/>
  <c r="F285" i="4"/>
  <c r="Q257" i="5"/>
  <c r="T62" i="6"/>
  <c r="T43"/>
  <c r="AH273" i="4"/>
  <c r="J232" i="5"/>
  <c r="H63" i="6"/>
  <c r="A780" i="17"/>
  <c r="E185" i="12"/>
  <c r="B233" i="7"/>
  <c r="F60" i="17"/>
  <c r="D147" i="13"/>
  <c r="R384" i="6"/>
  <c r="C22" i="7"/>
  <c r="G11" i="17"/>
  <c r="D92" i="13"/>
  <c r="R362" i="6"/>
  <c r="J379"/>
  <c r="A303" i="17"/>
  <c r="E173" i="12"/>
  <c r="F203" i="7"/>
  <c r="Q297" i="6"/>
  <c r="B310" i="17"/>
  <c r="E174" i="12"/>
  <c r="F204" i="7"/>
  <c r="E298" i="6"/>
  <c r="L84"/>
  <c r="L65"/>
  <c r="AF300" i="4"/>
  <c r="A357" i="5"/>
  <c r="H75" i="6"/>
  <c r="H56"/>
  <c r="F289" i="4"/>
  <c r="I283" i="5"/>
  <c r="D66" i="6"/>
  <c r="D47"/>
  <c r="AH277" i="4"/>
  <c r="N235" i="5"/>
  <c r="L66" i="6"/>
  <c r="A3" i="20"/>
  <c r="E249" i="12"/>
  <c r="C254" i="7"/>
  <c r="G67" i="17"/>
  <c r="D155" i="13"/>
  <c r="B388" i="6"/>
  <c r="D43" i="7"/>
  <c r="H18" i="17"/>
  <c r="D100" i="13"/>
  <c r="B366" i="6"/>
  <c r="R385"/>
  <c r="I359" i="17"/>
  <c r="E181" i="12"/>
  <c r="F211" i="7"/>
  <c r="A301" i="6"/>
  <c r="A367" i="17"/>
  <c r="E182" i="12"/>
  <c r="F212" i="7"/>
  <c r="I301" i="6"/>
  <c r="P87"/>
  <c r="P68"/>
  <c r="AF304" i="4"/>
  <c r="M382" i="5"/>
  <c r="L78" i="6"/>
  <c r="L59"/>
  <c r="E293" i="4"/>
  <c r="A309" i="5"/>
  <c r="H69" i="6"/>
  <c r="H50"/>
  <c r="AH281" i="4"/>
  <c r="M244" i="5"/>
  <c r="P69" i="6"/>
  <c r="A259" i="20"/>
  <c r="D57" i="13"/>
  <c r="D275" i="7"/>
  <c r="H74" i="17"/>
  <c r="D163" i="13"/>
  <c r="F391" i="6"/>
  <c r="B65" i="7"/>
  <c r="I25" i="17"/>
  <c r="D108" i="13"/>
  <c r="F369" i="6"/>
  <c r="F392"/>
  <c r="H416" i="17"/>
  <c r="E189" i="12"/>
  <c r="F219" i="7"/>
  <c r="E304" i="6"/>
  <c r="I423" i="17"/>
  <c r="E190" i="12"/>
  <c r="F220" i="7"/>
  <c r="M304" i="6"/>
  <c r="T90"/>
  <c r="T71"/>
  <c r="AE308" i="4"/>
  <c r="E408" i="5"/>
  <c r="P81" i="6"/>
  <c r="P62"/>
  <c r="E297" i="4"/>
  <c r="M334" i="5"/>
  <c r="L72" i="6"/>
  <c r="L53"/>
  <c r="AH285" i="4"/>
  <c r="A261" i="5"/>
  <c r="T72" i="6"/>
  <c r="H115" i="24"/>
  <c r="E61" i="13"/>
  <c r="C126" i="7"/>
  <c r="A25" i="17"/>
  <c r="D107" i="13"/>
  <c r="R368" i="6"/>
  <c r="J391"/>
  <c r="A85" i="16"/>
  <c r="D52" i="13"/>
  <c r="D26" i="9"/>
  <c r="Q351" i="6"/>
  <c r="G214" i="17"/>
  <c r="E133" i="12"/>
  <c r="I90" i="46"/>
  <c r="D49" i="23"/>
  <c r="I867" i="17"/>
  <c r="D57" i="23"/>
  <c r="D896" i="17"/>
  <c r="D65" i="23"/>
  <c r="H924" i="17"/>
  <c r="D9" i="23"/>
  <c r="G725" i="17"/>
  <c r="D17" i="23"/>
  <c r="C495" i="17"/>
  <c r="G653"/>
  <c r="I552"/>
  <c r="G909"/>
  <c r="A779"/>
  <c r="B959"/>
  <c r="E45"/>
  <c r="D130" i="13"/>
  <c r="B378" i="6"/>
  <c r="G198" i="23"/>
  <c r="G3" i="19"/>
  <c r="G5"/>
  <c r="H290" i="20"/>
  <c r="G378" i="17"/>
  <c r="B244"/>
  <c r="D151" i="12"/>
  <c r="E117" i="7"/>
  <c r="D264" i="6"/>
  <c r="C245" i="17"/>
  <c r="D152" i="12"/>
  <c r="E118" i="7"/>
  <c r="L264" i="6"/>
  <c r="E109" i="17"/>
  <c r="D202" i="13"/>
  <c r="R406" i="6"/>
  <c r="A30" i="33"/>
  <c r="B5" i="21"/>
  <c r="B5" i="22"/>
  <c r="F249" i="23"/>
  <c r="G442" i="17"/>
  <c r="G264"/>
  <c r="D223" i="12"/>
  <c r="E189" i="7"/>
  <c r="T292" i="6"/>
  <c r="F265" i="17"/>
  <c r="D224" i="12"/>
  <c r="E190" i="7"/>
  <c r="H293" i="6"/>
  <c r="E173" i="17"/>
  <c r="I29"/>
  <c r="E47" i="7"/>
  <c r="H7" i="37"/>
  <c r="F8" i="23"/>
  <c r="F16"/>
  <c r="E54" i="24"/>
  <c r="H449" i="17"/>
  <c r="H271"/>
  <c r="D231" i="12"/>
  <c r="E197" i="7"/>
  <c r="D296" i="6"/>
  <c r="G272" i="17"/>
  <c r="D232" i="12"/>
  <c r="E198" i="7"/>
  <c r="L296" i="6"/>
  <c r="F180" i="17"/>
  <c r="D58"/>
  <c r="E55" i="7"/>
  <c r="A72" i="46"/>
  <c r="F232" i="23"/>
  <c r="F240"/>
  <c r="H127" i="24"/>
  <c r="I456" i="17"/>
  <c r="I278"/>
  <c r="D239" i="12"/>
  <c r="E205" i="7"/>
  <c r="H299" i="6"/>
  <c r="H279" i="17"/>
  <c r="D240" i="12"/>
  <c r="E206" i="7"/>
  <c r="P299" i="6"/>
  <c r="G187" i="17"/>
  <c r="D93"/>
  <c r="E63" i="7"/>
  <c r="E13" i="24"/>
  <c r="C365" i="17"/>
  <c r="D236" i="6"/>
  <c r="C103" i="17"/>
  <c r="D195" i="13"/>
  <c r="B404" i="6"/>
  <c r="C150" i="7"/>
  <c r="D54" i="17"/>
  <c r="D140" i="13"/>
  <c r="B382" i="6"/>
  <c r="D3" i="7"/>
  <c r="F917" i="17"/>
  <c r="E221" i="12"/>
  <c r="F251" i="7"/>
  <c r="A317" i="6"/>
  <c r="H979" i="17"/>
  <c r="E222" i="12"/>
  <c r="F252" i="7"/>
  <c r="I317" i="6"/>
  <c r="P103"/>
  <c r="P84"/>
  <c r="H324" i="4"/>
  <c r="D263"/>
  <c r="L94" i="6"/>
  <c r="L75"/>
  <c r="C313" i="4"/>
  <c r="AI251"/>
  <c r="H85" i="6"/>
  <c r="H66"/>
  <c r="AF301" i="4"/>
  <c r="I363" i="5"/>
  <c r="P85" i="6"/>
  <c r="F113" i="20"/>
  <c r="D184" i="12"/>
  <c r="H239" i="6"/>
  <c r="D110" i="17"/>
  <c r="D203" i="13"/>
  <c r="F407" i="6"/>
  <c r="D171" i="7"/>
  <c r="E61" i="17"/>
  <c r="D148" i="13"/>
  <c r="F385" i="6"/>
  <c r="B25" i="7"/>
  <c r="A6" i="16"/>
  <c r="E229" i="12"/>
  <c r="F259" i="7"/>
  <c r="E320" i="6"/>
  <c r="A7" i="16"/>
  <c r="E230" i="12"/>
  <c r="F260" i="7"/>
  <c r="M320" i="6"/>
  <c r="T106"/>
  <c r="T87"/>
  <c r="G328" i="4"/>
  <c r="C267"/>
  <c r="P97" i="6"/>
  <c r="P78"/>
  <c r="A317" i="4"/>
  <c r="AH255"/>
  <c r="L88" i="6"/>
  <c r="L69"/>
  <c r="AF305" i="4"/>
  <c r="A389" i="5"/>
  <c r="T88" i="6"/>
  <c r="E28" i="24"/>
  <c r="D248" i="12"/>
  <c r="L242" i="6"/>
  <c r="E117" i="17"/>
  <c r="H213" i="13"/>
  <c r="J410" i="6"/>
  <c r="B193" i="7"/>
  <c r="F68" i="17"/>
  <c r="D156" i="13"/>
  <c r="J388" i="6"/>
  <c r="C46" i="7"/>
  <c r="A14" i="16"/>
  <c r="E237" i="12"/>
  <c r="F267" i="7"/>
  <c r="I323" i="6"/>
  <c r="A15" i="16"/>
  <c r="E238" i="12"/>
  <c r="F268" i="7"/>
  <c r="Q323" i="6"/>
  <c r="D110"/>
  <c r="D91"/>
  <c r="F332" i="4"/>
  <c r="C271"/>
  <c r="T100" i="6"/>
  <c r="T81"/>
  <c r="AJ320" i="4"/>
  <c r="AG259"/>
  <c r="P91" i="6"/>
  <c r="P72"/>
  <c r="AE309" i="4"/>
  <c r="M414" i="5"/>
  <c r="D92" i="6"/>
  <c r="E115" i="20"/>
  <c r="C56" i="13"/>
  <c r="P245" i="6"/>
  <c r="F124" i="17"/>
  <c r="H229" i="13"/>
  <c r="N413" i="6"/>
  <c r="C214" i="7"/>
  <c r="G75" i="17"/>
  <c r="D164" i="13"/>
  <c r="N391" i="6"/>
  <c r="D67" i="7"/>
  <c r="A22" i="16"/>
  <c r="E245" i="12"/>
  <c r="F275" i="7"/>
  <c r="M326" i="6"/>
  <c r="A23" i="16"/>
  <c r="E246" i="12"/>
  <c r="F276" i="7"/>
  <c r="A327" i="6"/>
  <c r="H113"/>
  <c r="H94"/>
  <c r="D336" i="4"/>
  <c r="B275"/>
  <c r="D104" i="6"/>
  <c r="D85"/>
  <c r="AJ324" i="4"/>
  <c r="AF263"/>
  <c r="T94" i="6"/>
  <c r="T75"/>
  <c r="AD313" i="4"/>
  <c r="G252"/>
  <c r="H95" i="6"/>
  <c r="E35" i="24"/>
  <c r="C120" i="13"/>
  <c r="T248" i="6"/>
  <c r="G131" i="17"/>
  <c r="F3" i="15"/>
  <c r="R416" i="6"/>
  <c r="D235" i="7"/>
  <c r="H82" i="17"/>
  <c r="D172" i="13"/>
  <c r="R394" i="6"/>
  <c r="B89" i="7"/>
  <c r="A30" i="16"/>
  <c r="E253" i="12"/>
  <c r="F283" i="7"/>
  <c r="Q329" i="6"/>
  <c r="A31" i="16"/>
  <c r="E254" i="12"/>
  <c r="F284" i="7"/>
  <c r="E330" i="6"/>
  <c r="L116"/>
  <c r="L97"/>
  <c r="C340" i="4"/>
  <c r="B279"/>
  <c r="H107" i="6"/>
  <c r="H88"/>
  <c r="AI328" i="4"/>
  <c r="AE267"/>
  <c r="D98" i="6"/>
  <c r="D79"/>
  <c r="I317" i="4"/>
  <c r="F256"/>
  <c r="L98" i="6"/>
  <c r="H105" i="20"/>
  <c r="D121" i="13"/>
  <c r="C9" i="8"/>
  <c r="I81" i="17"/>
  <c r="D171" i="13"/>
  <c r="J394" i="6"/>
  <c r="C86" i="7"/>
  <c r="A33" i="17"/>
  <c r="D116" i="13"/>
  <c r="J372" i="6"/>
  <c r="N398"/>
  <c r="G473" i="17"/>
  <c r="E197" i="12"/>
  <c r="F78" i="20"/>
  <c r="B178" i="13"/>
  <c r="F62" i="23"/>
  <c r="D352" i="17"/>
  <c r="E603"/>
  <c r="D416"/>
  <c r="D660"/>
  <c r="E423"/>
  <c r="C717"/>
  <c r="F430"/>
  <c r="A187" i="12"/>
  <c r="A4"/>
  <c r="D5" i="10"/>
  <c r="C122" i="6"/>
  <c r="G1" i="12"/>
  <c r="A12"/>
  <c r="D13" i="10"/>
  <c r="G125" i="6"/>
  <c r="E72" i="12"/>
  <c r="A20"/>
  <c r="B2"/>
  <c r="K128" i="6"/>
  <c r="B254" i="12"/>
  <c r="A28"/>
  <c r="B10"/>
  <c r="O131" i="6"/>
  <c r="E18" i="12"/>
  <c r="A36"/>
  <c r="B18"/>
  <c r="S134" i="6"/>
  <c r="A39" i="9"/>
  <c r="H49" i="13"/>
  <c r="C4" i="10"/>
  <c r="B361" i="6"/>
  <c r="A103" i="16"/>
  <c r="D70" i="13"/>
  <c r="C6" i="10"/>
  <c r="R361" i="6"/>
  <c r="H145"/>
  <c r="H126"/>
  <c r="J375" i="4"/>
  <c r="AG314"/>
  <c r="D136" i="6"/>
  <c r="D117"/>
  <c r="B364" i="4"/>
  <c r="H303"/>
  <c r="T126" i="6"/>
  <c r="T107"/>
  <c r="AH352" i="4"/>
  <c r="B292"/>
  <c r="H127" i="6"/>
  <c r="I440" i="17"/>
  <c r="E49" i="16"/>
  <c r="T280" i="6"/>
  <c r="H202" i="17"/>
  <c r="F215"/>
  <c r="E80" i="7"/>
  <c r="H249" i="6"/>
  <c r="I153" i="17"/>
  <c r="E58" i="16"/>
  <c r="E25" i="7"/>
  <c r="C17" i="8"/>
  <c r="A110" i="16"/>
  <c r="D77" i="13"/>
  <c r="R356" i="6"/>
  <c r="J367"/>
  <c r="A111" i="16"/>
  <c r="D78" i="13"/>
  <c r="F357" i="6"/>
  <c r="F368"/>
  <c r="L148"/>
  <c r="L129"/>
  <c r="I379" i="4"/>
  <c r="AF318"/>
  <c r="H139" i="6"/>
  <c r="H120"/>
  <c r="B368" i="4"/>
  <c r="G307"/>
  <c r="D130" i="6"/>
  <c r="D111"/>
  <c r="AF356" i="4"/>
  <c r="A296"/>
  <c r="L130" i="6"/>
  <c r="B3" i="7"/>
  <c r="G333" i="6"/>
  <c r="O263"/>
  <c r="I226" i="5"/>
  <c r="T117" i="6"/>
  <c r="B365" i="4"/>
  <c r="H304"/>
  <c r="P127" i="6"/>
  <c r="P108"/>
  <c r="AG353" i="4"/>
  <c r="F8" i="22"/>
  <c r="E253" i="5"/>
  <c r="A48" i="6"/>
  <c r="J59" i="5"/>
  <c r="E165" i="20"/>
  <c r="E247" i="5"/>
  <c r="A42" i="6"/>
  <c r="J53" i="5"/>
  <c r="I292" i="17"/>
  <c r="D8" i="5"/>
  <c r="J68" i="4"/>
  <c r="S307" i="3"/>
  <c r="L231" i="6"/>
  <c r="AE243" i="4"/>
  <c r="G346" i="3"/>
  <c r="T165"/>
  <c r="P234" i="6"/>
  <c r="C244" i="4"/>
  <c r="O346" i="3"/>
  <c r="C166"/>
  <c r="L263" i="6"/>
  <c r="AE248" i="4"/>
  <c r="I349" i="3"/>
  <c r="G169"/>
  <c r="P266" i="6"/>
  <c r="C249" i="4"/>
  <c r="Q349" i="3"/>
  <c r="P169"/>
  <c r="T269" i="6"/>
  <c r="AE249" i="4"/>
  <c r="Y349" i="3"/>
  <c r="Z169"/>
  <c r="P298" i="6"/>
  <c r="B254" i="4"/>
  <c r="S352" i="3"/>
  <c r="D173"/>
  <c r="O91" i="5"/>
  <c r="S278" i="3"/>
  <c r="Y300"/>
  <c r="V133"/>
  <c r="B881" i="17"/>
  <c r="P41" i="3"/>
  <c r="T48"/>
  <c r="O76"/>
  <c r="V65"/>
  <c r="V249"/>
  <c r="P399" i="5"/>
  <c r="K29" i="6"/>
  <c r="L303" i="5"/>
  <c r="I68"/>
  <c r="AF30" i="4"/>
  <c r="R395" i="3"/>
  <c r="G101" i="4"/>
  <c r="T60" i="3"/>
  <c r="C39" i="17"/>
  <c r="F233"/>
  <c r="T74" i="6"/>
  <c r="L56"/>
  <c r="A92"/>
  <c r="J103" i="5"/>
  <c r="N53"/>
  <c r="A288"/>
  <c r="Q82" i="6"/>
  <c r="F94" i="5"/>
  <c r="I101" i="17"/>
  <c r="B410" i="5"/>
  <c r="B204" i="6"/>
  <c r="K199" i="5"/>
  <c r="G208" i="17"/>
  <c r="B404" i="5"/>
  <c r="B198" i="6"/>
  <c r="K193" i="5"/>
  <c r="N162" i="6"/>
  <c r="B125" i="4"/>
  <c r="G262" i="3"/>
  <c r="Y73"/>
  <c r="I58" i="6"/>
  <c r="A184" i="4"/>
  <c r="U151" i="3"/>
  <c r="H321"/>
  <c r="M61" i="6"/>
  <c r="I184" i="4"/>
  <c r="C152" i="3"/>
  <c r="T321"/>
  <c r="I90" i="6"/>
  <c r="AJ188" i="4"/>
  <c r="W154" i="3"/>
  <c r="L325"/>
  <c r="M93" i="6"/>
  <c r="H189" i="4"/>
  <c r="E155" i="3"/>
  <c r="V325"/>
  <c r="Q96" i="6"/>
  <c r="AI189" i="4"/>
  <c r="M155" i="3"/>
  <c r="F326"/>
  <c r="M125" i="6"/>
  <c r="F194" i="4"/>
  <c r="G158" i="3"/>
  <c r="X329"/>
  <c r="AI182" i="4"/>
  <c r="Y218" i="3"/>
  <c r="R31"/>
  <c r="Q379"/>
  <c r="AE198" i="4"/>
  <c r="H236" i="17"/>
  <c r="U230" i="3"/>
  <c r="I296"/>
  <c r="P108"/>
  <c r="C182"/>
  <c r="L374" i="5"/>
  <c r="H54" i="6"/>
  <c r="S222"/>
  <c r="A222" i="5"/>
  <c r="AG15" i="4"/>
  <c r="J236" i="3"/>
  <c r="B38" i="4"/>
  <c r="R214" i="3"/>
  <c r="B96" i="17"/>
  <c r="A690"/>
  <c r="L100" i="6"/>
  <c r="D82"/>
  <c r="E95"/>
  <c r="N106" i="5"/>
  <c r="R56"/>
  <c r="E291"/>
  <c r="A86" i="6"/>
  <c r="J97" i="5"/>
  <c r="H158" i="17"/>
  <c r="F413" i="5"/>
  <c r="F207" i="6"/>
  <c r="O202" i="5"/>
  <c r="F434" i="17"/>
  <c r="F407" i="5"/>
  <c r="F201" i="6"/>
  <c r="O196" i="5"/>
  <c r="F188" i="6"/>
  <c r="A129" i="4"/>
  <c r="S264" i="3"/>
  <c r="K76"/>
  <c r="C95" i="25"/>
  <c r="I929" i="17"/>
  <c r="F805"/>
  <c r="G322"/>
  <c r="B265"/>
  <c r="B712"/>
  <c r="C279"/>
  <c r="A769"/>
  <c r="B336"/>
  <c r="I825"/>
  <c r="A393"/>
  <c r="H64" i="16"/>
  <c r="A23" i="13"/>
  <c r="S339" i="5"/>
  <c r="K321"/>
  <c r="H96" i="16"/>
  <c r="A31" i="13"/>
  <c r="C343" i="5"/>
  <c r="O324"/>
  <c r="C14" i="17"/>
  <c r="A39" i="13"/>
  <c r="G346" i="5"/>
  <c r="S327"/>
  <c r="G42" i="17"/>
  <c r="A47" i="13"/>
  <c r="K349" i="5"/>
  <c r="C331"/>
  <c r="B71" i="17"/>
  <c r="A55" i="13"/>
  <c r="O352" i="5"/>
  <c r="G334"/>
  <c r="A8" i="15"/>
  <c r="A127" i="13"/>
  <c r="D71" i="7"/>
  <c r="C592" i="17"/>
  <c r="G200"/>
  <c r="A128" i="13"/>
  <c r="C74" i="7"/>
  <c r="B196" i="12"/>
  <c r="J153" i="6"/>
  <c r="K381" i="5"/>
  <c r="D366" i="4"/>
  <c r="A165" i="12"/>
  <c r="F144" i="6"/>
  <c r="G372" i="5"/>
  <c r="AH354" i="4"/>
  <c r="B137" i="12"/>
  <c r="B135" i="6"/>
  <c r="C363" i="5"/>
  <c r="AE343" i="4"/>
  <c r="B169" i="12"/>
  <c r="J135" i="6"/>
  <c r="H264" i="17"/>
  <c r="B118"/>
  <c r="I513"/>
  <c r="I197"/>
  <c r="G31"/>
  <c r="A146" i="7"/>
  <c r="H539" i="17"/>
  <c r="A149"/>
  <c r="E251"/>
  <c r="A91" i="7"/>
  <c r="B617" i="17"/>
  <c r="I206"/>
  <c r="A135" i="13"/>
  <c r="B93" i="7"/>
  <c r="G620" i="17"/>
  <c r="H207"/>
  <c r="A136" i="13"/>
  <c r="D95" i="7"/>
  <c r="A23" i="12"/>
  <c r="N156" i="6"/>
  <c r="O384" i="5"/>
  <c r="D370" i="4"/>
  <c r="D14" i="10"/>
  <c r="J147" i="6"/>
  <c r="K375" i="5"/>
  <c r="AG358" i="4"/>
  <c r="E6" i="10"/>
  <c r="F138" i="6"/>
  <c r="G366" i="5"/>
  <c r="I347" i="4"/>
  <c r="E14" i="10"/>
  <c r="N138" i="6"/>
  <c r="G378"/>
  <c r="F275"/>
  <c r="P30" i="5"/>
  <c r="H12"/>
  <c r="C373"/>
  <c r="AH355" i="4"/>
  <c r="B201" i="12"/>
  <c r="R135" i="6"/>
  <c r="S363" i="5"/>
  <c r="AD344" i="4"/>
  <c r="D78" i="7"/>
  <c r="G261" i="5"/>
  <c r="K72" i="6"/>
  <c r="T51" i="5"/>
  <c r="F350" i="6"/>
  <c r="G255" i="5"/>
  <c r="K66" i="6"/>
  <c r="T45" i="5"/>
  <c r="R210"/>
  <c r="AI165" i="4"/>
  <c r="A370" i="3"/>
  <c r="N309"/>
  <c r="AH316" i="4"/>
  <c r="H224"/>
  <c r="S222" i="3"/>
  <c r="H167"/>
  <c r="F317" i="4"/>
  <c r="AJ224"/>
  <c r="C223" i="3"/>
  <c r="Q167"/>
  <c r="AG321" i="4"/>
  <c r="A230"/>
  <c r="U226" i="3"/>
  <c r="U170"/>
  <c r="E322" i="4"/>
  <c r="AF230"/>
  <c r="G227" i="3"/>
  <c r="D171"/>
  <c r="AG322" i="4"/>
  <c r="G231"/>
  <c r="Q227" i="3"/>
  <c r="N171"/>
  <c r="E327" i="4"/>
  <c r="F237"/>
  <c r="I231" i="3"/>
  <c r="R174"/>
  <c r="L24"/>
  <c r="K136"/>
  <c r="F108" i="6"/>
  <c r="S110" i="3"/>
  <c r="T38"/>
  <c r="T122"/>
  <c r="G13" i="4"/>
  <c r="E80" i="3"/>
  <c r="N13"/>
  <c r="F639" i="17"/>
  <c r="A415" i="4"/>
  <c r="D98" i="16"/>
  <c r="A87" i="6"/>
  <c r="M340" i="3"/>
  <c r="AJ396" i="4"/>
  <c r="Z405" i="3"/>
  <c r="Q228" i="5"/>
  <c r="H350" i="3"/>
  <c r="E410" i="17"/>
  <c r="F885"/>
  <c r="L267" i="6"/>
  <c r="P258"/>
  <c r="K116"/>
  <c r="T95" i="5"/>
  <c r="P279" i="6"/>
  <c r="C296" i="5"/>
  <c r="G107" i="6"/>
  <c r="P86" i="5"/>
  <c r="B282" i="7"/>
  <c r="T416" i="5"/>
  <c r="E390"/>
  <c r="Q208"/>
  <c r="B242" i="7"/>
  <c r="T410" i="5"/>
  <c r="E342"/>
  <c r="Q202"/>
  <c r="G207"/>
  <c r="AF89" i="4"/>
  <c r="C123" i="3"/>
  <c r="B399"/>
  <c r="O63" i="5"/>
  <c r="E149" i="4"/>
  <c r="R355" i="3"/>
  <c r="T251"/>
  <c r="C64" i="5"/>
  <c r="AF149" i="4"/>
  <c r="B356" i="3"/>
  <c r="F252"/>
  <c r="O67" i="5"/>
  <c r="D154" i="4"/>
  <c r="T359" i="3"/>
  <c r="X255"/>
  <c r="C68" i="5"/>
  <c r="AF154" i="4"/>
  <c r="F360" i="3"/>
  <c r="H256"/>
  <c r="K68" i="5"/>
  <c r="D155" i="4"/>
  <c r="P360" i="3"/>
  <c r="R256"/>
  <c r="C72" i="5"/>
  <c r="J159" i="4"/>
  <c r="H364" i="3"/>
  <c r="J260"/>
  <c r="Z136"/>
  <c r="N302"/>
  <c r="AH114" i="4"/>
  <c r="K255" i="3"/>
  <c r="K94"/>
  <c r="F41"/>
  <c r="K261"/>
  <c r="L68" i="5"/>
  <c r="Q87" i="3"/>
  <c r="E50" i="7"/>
  <c r="AI299" i="4"/>
  <c r="AF320"/>
  <c r="T86" i="6"/>
  <c r="B277" i="3"/>
  <c r="E38" i="5"/>
  <c r="F327" i="3"/>
  <c r="D253" i="5"/>
  <c r="Q133" i="3"/>
  <c r="D467" i="17"/>
  <c r="G312"/>
  <c r="D293" i="6"/>
  <c r="H284"/>
  <c r="O119"/>
  <c r="D99" i="5"/>
  <c r="H305" i="6"/>
  <c r="G299" i="5"/>
  <c r="K110" i="6"/>
  <c r="T89" i="5"/>
  <c r="B15" i="8"/>
  <c r="K7" i="6"/>
  <c r="Q415" i="5"/>
  <c r="A212"/>
  <c r="C263" i="7"/>
  <c r="D414" i="5"/>
  <c r="Q367"/>
  <c r="A206"/>
  <c r="K210"/>
  <c r="AF93" i="4"/>
  <c r="X125" i="3"/>
  <c r="J402"/>
  <c r="F81" i="20"/>
  <c r="G698" i="17"/>
  <c r="D287"/>
  <c r="E237"/>
  <c r="F598"/>
  <c r="F209" i="13"/>
  <c r="A627" i="17"/>
  <c r="F217" i="13"/>
  <c r="B826" i="17"/>
  <c r="F225" i="13"/>
  <c r="B501" i="17"/>
  <c r="M408" i="6"/>
  <c r="G5" i="9"/>
  <c r="S117" i="5"/>
  <c r="I571" i="17"/>
  <c r="Q411" i="6"/>
  <c r="G13" i="9"/>
  <c r="C121" i="5"/>
  <c r="E799" i="17"/>
  <c r="A415" i="6"/>
  <c r="G21" i="9"/>
  <c r="G124" i="5"/>
  <c r="I253" i="17"/>
  <c r="H4" i="7"/>
  <c r="G29" i="9"/>
  <c r="K127" i="5"/>
  <c r="H310" i="17"/>
  <c r="H12" i="7"/>
  <c r="G37" i="9"/>
  <c r="O130" i="5"/>
  <c r="E330" i="17"/>
  <c r="A399" i="6"/>
  <c r="G405"/>
  <c r="C73" i="7"/>
  <c r="H43" i="17"/>
  <c r="E138" i="13"/>
  <c r="O405" i="6"/>
  <c r="B76" i="7"/>
  <c r="Q404" i="5"/>
  <c r="M199" i="6"/>
  <c r="B211" i="5"/>
  <c r="F161"/>
  <c r="M395"/>
  <c r="I190" i="6"/>
  <c r="R201" i="5"/>
  <c r="B152"/>
  <c r="I386"/>
  <c r="E181" i="6"/>
  <c r="N192" i="5"/>
  <c r="R142"/>
  <c r="Q386"/>
  <c r="D141" i="20"/>
  <c r="A179" i="13"/>
  <c r="Q331" i="6"/>
  <c r="G345" i="17"/>
  <c r="E179" i="12"/>
  <c r="F209" i="7"/>
  <c r="E300" i="6"/>
  <c r="F205" i="17"/>
  <c r="E124" i="12"/>
  <c r="F154" i="7"/>
  <c r="E278" i="6"/>
  <c r="A50" i="17"/>
  <c r="E145" i="13"/>
  <c r="K408" i="6"/>
  <c r="D94" i="7"/>
  <c r="I50" i="17"/>
  <c r="E146" i="13"/>
  <c r="S408" i="6"/>
  <c r="C97" i="7"/>
  <c r="A408" i="5"/>
  <c r="Q202" i="6"/>
  <c r="F214" i="5"/>
  <c r="J164"/>
  <c r="Q398"/>
  <c r="M193" i="6"/>
  <c r="B205" i="5"/>
  <c r="F155"/>
  <c r="M389"/>
  <c r="I184" i="6"/>
  <c r="R195" i="5"/>
  <c r="B146"/>
  <c r="A390"/>
  <c r="D496" i="17"/>
  <c r="I291"/>
  <c r="G62" i="7"/>
  <c r="H207"/>
  <c r="E191" i="6"/>
  <c r="N202" i="5"/>
  <c r="R152"/>
  <c r="E387"/>
  <c r="A182" i="6"/>
  <c r="J193" i="5"/>
  <c r="H106" i="17"/>
  <c r="E96" i="6"/>
  <c r="J307" i="5"/>
  <c r="AH294" i="4"/>
  <c r="A112" i="16"/>
  <c r="E90" i="6"/>
  <c r="J301" i="5"/>
  <c r="G287" i="4"/>
  <c r="L154" i="6"/>
  <c r="F231" i="4"/>
  <c r="O338" i="3"/>
  <c r="Y156"/>
  <c r="G216" i="6"/>
  <c r="C70" i="4"/>
  <c r="C228" i="3"/>
  <c r="U39"/>
  <c r="K219" i="6"/>
  <c r="AE70" i="4"/>
  <c r="K228" i="3"/>
  <c r="C40"/>
  <c r="K252" i="5"/>
  <c r="B75" i="4"/>
  <c r="E231" i="3"/>
  <c r="W42"/>
  <c r="O255" i="5"/>
  <c r="J75" i="4"/>
  <c r="M231" i="3"/>
  <c r="E43"/>
  <c r="S258" i="5"/>
  <c r="B76" i="4"/>
  <c r="U231" i="3"/>
  <c r="M43"/>
  <c r="O287" i="5"/>
  <c r="J80" i="4"/>
  <c r="O234" i="3"/>
  <c r="G46"/>
  <c r="H216" i="4"/>
  <c r="L171" i="3"/>
  <c r="A316"/>
  <c r="Z147"/>
  <c r="K24" i="5"/>
  <c r="M348" i="3"/>
  <c r="E53"/>
  <c r="E84"/>
  <c r="J21"/>
  <c r="M305"/>
  <c r="C172" i="7"/>
  <c r="N412" i="5"/>
  <c r="H385" i="4"/>
  <c r="A132" i="6"/>
  <c r="Y205" i="3"/>
  <c r="E19"/>
  <c r="AI145" i="4"/>
  <c r="O400" i="3"/>
  <c r="B187" i="13"/>
  <c r="C213" i="12"/>
  <c r="O56" i="6"/>
  <c r="G38"/>
  <c r="J351" i="5"/>
  <c r="AJ348" i="4"/>
  <c r="F272" i="17"/>
  <c r="A131" i="6"/>
  <c r="F342" i="5"/>
  <c r="AF337" i="4"/>
  <c r="C1" i="15"/>
  <c r="J256" i="5"/>
  <c r="J50" i="6"/>
  <c r="S45" i="5"/>
  <c r="F106" i="13"/>
  <c r="J229" i="6"/>
  <c r="J44"/>
  <c r="S39" i="5"/>
  <c r="J391"/>
  <c r="AF171" i="4"/>
  <c r="C144" i="3"/>
  <c r="B311"/>
  <c r="E86" i="5"/>
  <c r="D231" i="4"/>
  <c r="T348" i="3"/>
  <c r="P168"/>
  <c r="I89" i="5"/>
  <c r="AI231" i="4"/>
  <c r="B349" i="3"/>
  <c r="Y168"/>
  <c r="E118" i="5"/>
  <c r="AH237" i="4"/>
  <c r="V351" i="3"/>
  <c r="D172"/>
  <c r="I121" i="5"/>
  <c r="H238" i="4"/>
  <c r="D352" i="3"/>
  <c r="M172"/>
  <c r="M124" i="5"/>
  <c r="C239" i="4"/>
  <c r="L352" i="3"/>
  <c r="V172"/>
  <c r="I153" i="5"/>
  <c r="A245" i="4"/>
  <c r="F355" i="3"/>
  <c r="Z175"/>
  <c r="R410"/>
  <c r="N114" i="5"/>
  <c r="N34" i="3"/>
  <c r="M394"/>
  <c r="AF99" i="4"/>
  <c r="O27" i="5"/>
  <c r="T100" i="3"/>
  <c r="G311"/>
  <c r="Y122"/>
  <c r="H630" i="17"/>
  <c r="F268" i="5"/>
  <c r="B50" i="6"/>
  <c r="C311" i="4"/>
  <c r="A129" i="6"/>
  <c r="M363" i="3"/>
  <c r="F227" i="20"/>
  <c r="H82" i="4"/>
  <c r="Z47" i="3"/>
  <c r="E57" i="16"/>
  <c r="B21" i="13"/>
  <c r="G82" i="6"/>
  <c r="S63"/>
  <c r="N354" i="5"/>
  <c r="AI352" i="4"/>
  <c r="E329" i="17"/>
  <c r="E134" i="6"/>
  <c r="J345" i="5"/>
  <c r="AD341" i="4"/>
  <c r="B95" i="17"/>
  <c r="N259" i="5"/>
  <c r="N53" i="6"/>
  <c r="C49" i="5"/>
  <c r="F170" i="13"/>
  <c r="J240" i="6"/>
  <c r="N47"/>
  <c r="C43" i="5"/>
  <c r="B417"/>
  <c r="AF175" i="4"/>
  <c r="O146" i="3"/>
  <c r="J314"/>
  <c r="B14" i="19"/>
  <c r="G946" i="17"/>
  <c r="F157" i="13"/>
  <c r="F92" i="12"/>
  <c r="F9" i="15"/>
  <c r="F164" i="12"/>
  <c r="D173" i="17"/>
  <c r="F172" i="12"/>
  <c r="I236" i="17"/>
  <c r="F180" i="12"/>
  <c r="F38"/>
  <c r="E154" i="23"/>
  <c r="F283" i="20"/>
  <c r="E498" i="17"/>
  <c r="A342"/>
  <c r="G201" i="24"/>
  <c r="F184" i="23"/>
  <c r="C561" i="17"/>
  <c r="I398"/>
  <c r="D178" i="23"/>
  <c r="I941" i="17"/>
  <c r="H788"/>
  <c r="H455"/>
  <c r="H23" i="25"/>
  <c r="H998" i="17"/>
  <c r="C251"/>
  <c r="G512"/>
  <c r="C202" i="23"/>
  <c r="E29" i="20"/>
  <c r="B308" i="17"/>
  <c r="B618"/>
  <c r="C985"/>
  <c r="C61" i="12"/>
  <c r="F243" i="6"/>
  <c r="G820" i="17"/>
  <c r="C10" i="19"/>
  <c r="E62" i="12"/>
  <c r="N243" i="6"/>
  <c r="D249" i="7"/>
  <c r="S203" i="6"/>
  <c r="G19"/>
  <c r="AG408" i="4"/>
  <c r="C188" i="7"/>
  <c r="O194" i="6"/>
  <c r="C10"/>
  <c r="G397" i="4"/>
  <c r="B127" i="7"/>
  <c r="K185" i="6"/>
  <c r="H414" i="5"/>
  <c r="A386" i="4"/>
  <c r="D129" i="7"/>
  <c r="S185" i="6"/>
  <c r="M400"/>
  <c r="G17" i="9"/>
  <c r="F431" i="17"/>
  <c r="C69"/>
  <c r="A213" i="12"/>
  <c r="J338" i="6"/>
  <c r="G382" i="17"/>
  <c r="D20"/>
  <c r="D70" i="12"/>
  <c r="J316" i="6"/>
  <c r="F845" i="17"/>
  <c r="A6" i="14"/>
  <c r="G73" i="12"/>
  <c r="J246" i="6"/>
  <c r="B849" i="17"/>
  <c r="A7" i="14"/>
  <c r="D75" i="12"/>
  <c r="R246" i="6"/>
  <c r="B271" i="7"/>
  <c r="C207" i="6"/>
  <c r="K22"/>
  <c r="AE412" i="4"/>
  <c r="D209" i="7"/>
  <c r="S197" i="6"/>
  <c r="G13"/>
  <c r="F401" i="4"/>
  <c r="C148" i="7"/>
  <c r="O188" i="6"/>
  <c r="L417" i="5"/>
  <c r="AJ389" i="4"/>
  <c r="B151" i="7"/>
  <c r="C189" i="6"/>
  <c r="F13" i="14"/>
  <c r="B172" i="17"/>
  <c r="J227" i="6"/>
  <c r="N218"/>
  <c r="S10"/>
  <c r="G398" i="4"/>
  <c r="C132" i="7"/>
  <c r="G186" i="6"/>
  <c r="D415" i="5"/>
  <c r="A387" i="4"/>
  <c r="L323" i="6"/>
  <c r="H311" i="5"/>
  <c r="M152"/>
  <c r="E103"/>
  <c r="L317" i="6"/>
  <c r="H305" i="5"/>
  <c r="M146"/>
  <c r="E97"/>
  <c r="O101"/>
  <c r="AJ195" i="4"/>
  <c r="R394" i="3"/>
  <c r="T290"/>
  <c r="A359" i="4"/>
  <c r="G18"/>
  <c r="J247" i="3"/>
  <c r="F151"/>
  <c r="I359" i="4"/>
  <c r="AI18"/>
  <c r="T247" i="3"/>
  <c r="O151"/>
  <c r="AJ363" i="4"/>
  <c r="G23"/>
  <c r="L251" i="3"/>
  <c r="S154"/>
  <c r="H364" i="4"/>
  <c r="AH23"/>
  <c r="X251" i="3"/>
  <c r="B155"/>
  <c r="AJ364" i="4"/>
  <c r="F24"/>
  <c r="H252" i="3"/>
  <c r="K155"/>
  <c r="H369" i="4"/>
  <c r="AH28"/>
  <c r="Z255" i="3"/>
  <c r="P158"/>
  <c r="S338"/>
  <c r="W30"/>
  <c r="AJ16" i="4"/>
  <c r="K257" i="3"/>
  <c r="K289"/>
  <c r="G72"/>
  <c r="R210"/>
  <c r="E177" i="4"/>
  <c r="A52" i="6"/>
  <c r="C289" i="7"/>
  <c r="B19" i="9"/>
  <c r="B378" i="5"/>
  <c r="N63" i="6"/>
  <c r="P139" i="3"/>
  <c r="G78" i="4"/>
  <c r="Z122" i="3"/>
  <c r="G68" i="4"/>
  <c r="F22" i="7"/>
  <c r="B24" i="12"/>
  <c r="C26"/>
  <c r="O67" i="6"/>
  <c r="H355" i="5"/>
  <c r="M196"/>
  <c r="E147"/>
  <c r="I360" i="6"/>
  <c r="D346" i="5"/>
  <c r="I187"/>
  <c r="A138"/>
  <c r="P73" i="6"/>
  <c r="P54"/>
  <c r="F287" i="4"/>
  <c r="M270" i="5"/>
  <c r="P67" i="6"/>
  <c r="P48"/>
  <c r="AH279" i="4"/>
  <c r="E238" i="5"/>
  <c r="M258"/>
  <c r="I120" i="4"/>
  <c r="G144" i="3"/>
  <c r="F61"/>
  <c r="D98" i="5"/>
  <c r="AJ179" i="4"/>
  <c r="A400" i="3"/>
  <c r="Z46"/>
  <c r="L98" i="5"/>
  <c r="H180" i="4"/>
  <c r="M400" i="3"/>
  <c r="N47"/>
  <c r="D102" i="5"/>
  <c r="AI184" i="4"/>
  <c r="E404" i="3"/>
  <c r="X51"/>
  <c r="L102" i="5"/>
  <c r="G185" i="4"/>
  <c r="O404" i="3"/>
  <c r="L52"/>
  <c r="T102" i="5"/>
  <c r="AI185" i="4"/>
  <c r="Y404" i="3"/>
  <c r="W52"/>
  <c r="L106" i="5"/>
  <c r="E190" i="4"/>
  <c r="Q408" i="3"/>
  <c r="I58"/>
  <c r="X39"/>
  <c r="R45"/>
  <c r="K88"/>
  <c r="G384"/>
  <c r="M29"/>
  <c r="A291"/>
  <c r="S354"/>
  <c r="V377"/>
  <c r="C181" i="4"/>
  <c r="G226" i="5"/>
  <c r="B12" i="9"/>
  <c r="A221" i="6"/>
  <c r="F298" i="5"/>
  <c r="T313" i="3"/>
  <c r="F126" i="4"/>
  <c r="V406" i="3"/>
  <c r="I53" i="4"/>
  <c r="E21" i="7"/>
  <c r="E108" i="12"/>
  <c r="A112"/>
  <c r="G93" i="6"/>
  <c r="L358" i="5"/>
  <c r="Q199"/>
  <c r="I150"/>
  <c r="Q366" i="6"/>
  <c r="H349" i="5"/>
  <c r="M190"/>
  <c r="E141"/>
  <c r="T76" i="6"/>
  <c r="T57"/>
  <c r="F291" i="4"/>
  <c r="E296" i="5"/>
  <c r="T70" i="6"/>
  <c r="T51"/>
  <c r="AH283" i="4"/>
  <c r="A251" i="5"/>
  <c r="E284"/>
  <c r="H124" i="4"/>
  <c r="B147" i="3"/>
  <c r="R63"/>
  <c r="F88" i="20"/>
  <c r="B880" i="17"/>
  <c r="A252" i="20"/>
  <c r="F183" i="7"/>
  <c r="B94" i="23"/>
  <c r="F255" i="7"/>
  <c r="B126" i="23"/>
  <c r="F263" i="7"/>
  <c r="B158" i="23"/>
  <c r="F271" i="7"/>
  <c r="A98" i="17"/>
  <c r="C22" i="15"/>
  <c r="R84" i="5"/>
  <c r="M264" i="6"/>
  <c r="C113" i="7"/>
  <c r="R333" i="6"/>
  <c r="B88" i="5"/>
  <c r="Q267" i="6"/>
  <c r="D134" i="7"/>
  <c r="B337" i="6"/>
  <c r="F91" i="5"/>
  <c r="A271" i="6"/>
  <c r="B156" i="7"/>
  <c r="F340" i="6"/>
  <c r="J94" i="5"/>
  <c r="E274" i="6"/>
  <c r="C177" i="7"/>
  <c r="J343" i="6"/>
  <c r="N97" i="5"/>
  <c r="Q251" i="6"/>
  <c r="B28" i="7"/>
  <c r="G100"/>
  <c r="R243" i="6"/>
  <c r="H156" i="17"/>
  <c r="A88"/>
  <c r="G101" i="7"/>
  <c r="D2" i="21"/>
  <c r="E251" i="5"/>
  <c r="A46" i="6"/>
  <c r="J57" i="5"/>
  <c r="B205" i="23"/>
  <c r="A242" i="5"/>
  <c r="Q36" i="6"/>
  <c r="F48" i="5"/>
  <c r="E824" i="17"/>
  <c r="I229" i="6"/>
  <c r="M27"/>
  <c r="B39" i="5"/>
  <c r="D881" i="17"/>
  <c r="Q229" i="6"/>
  <c r="G574" i="17"/>
  <c r="T400" i="6"/>
  <c r="C385"/>
  <c r="B14" i="16"/>
  <c r="F247" i="12"/>
  <c r="E26" i="9"/>
  <c r="B339" i="6"/>
  <c r="D5" i="14"/>
  <c r="F192" i="12"/>
  <c r="G283" i="7"/>
  <c r="B317" i="6"/>
  <c r="A163" i="17"/>
  <c r="H137"/>
  <c r="G108" i="7"/>
  <c r="B247" i="6"/>
  <c r="I163" i="17"/>
  <c r="I144"/>
  <c r="G109" i="7"/>
  <c r="C19" i="24"/>
  <c r="I254" i="5"/>
  <c r="E49" i="6"/>
  <c r="N60" i="5"/>
  <c r="F216" i="23"/>
  <c r="E245" i="5"/>
  <c r="A40" i="6"/>
  <c r="J51" i="5"/>
  <c r="B34" i="23"/>
  <c r="E240" i="6"/>
  <c r="Q30"/>
  <c r="F42" i="5"/>
  <c r="E71" i="24"/>
  <c r="Q241" i="6"/>
  <c r="C22" i="16"/>
  <c r="C170" i="17"/>
  <c r="I49" i="6"/>
  <c r="A31"/>
  <c r="M37"/>
  <c r="B49" i="5"/>
  <c r="C959" i="17"/>
  <c r="M230" i="6"/>
  <c r="I28"/>
  <c r="R39" i="5"/>
  <c r="E105" i="16"/>
  <c r="N355" i="5"/>
  <c r="N149" i="6"/>
  <c r="C145" i="5"/>
  <c r="B143" i="13"/>
  <c r="N349" i="5"/>
  <c r="N143" i="6"/>
  <c r="C139" i="5"/>
  <c r="G136" i="6"/>
  <c r="AH57" i="4"/>
  <c r="K220" i="3"/>
  <c r="V412"/>
  <c r="B32" i="6"/>
  <c r="AF116" i="4"/>
  <c r="Y109" i="3"/>
  <c r="N265"/>
  <c r="F35" i="6"/>
  <c r="D117" i="4"/>
  <c r="G110" i="3"/>
  <c r="X265"/>
  <c r="B64" i="6"/>
  <c r="AE121" i="4"/>
  <c r="A113" i="3"/>
  <c r="P269"/>
  <c r="F67" i="6"/>
  <c r="C122" i="4"/>
  <c r="I113" i="3"/>
  <c r="B270"/>
  <c r="J70" i="6"/>
  <c r="AE122" i="4"/>
  <c r="Q113" i="3"/>
  <c r="L270"/>
  <c r="F99" i="6"/>
  <c r="C127" i="4"/>
  <c r="K116" i="3"/>
  <c r="D274"/>
  <c r="A193"/>
  <c r="E14"/>
  <c r="Y330"/>
  <c r="I162"/>
  <c r="AF133" i="4"/>
  <c r="F179" i="6"/>
  <c r="Y58" i="3"/>
  <c r="M92"/>
  <c r="M24"/>
  <c r="N33"/>
  <c r="D217" i="6"/>
  <c r="S100"/>
  <c r="E407" i="4"/>
  <c r="O21" i="5"/>
  <c r="V322" i="3"/>
  <c r="F412" i="4"/>
  <c r="M276" i="3"/>
  <c r="C386" i="4"/>
  <c r="A117" i="13"/>
  <c r="G44" i="12"/>
  <c r="K285" i="5"/>
  <c r="C267"/>
  <c r="N193" i="6"/>
  <c r="C189" i="5"/>
  <c r="F75" i="16"/>
  <c r="J390" i="5"/>
  <c r="J184" i="6"/>
  <c r="S179" i="5"/>
  <c r="E36" i="7"/>
  <c r="R81" i="6"/>
  <c r="S309" i="5"/>
  <c r="AJ277" i="4"/>
  <c r="F383" i="6"/>
  <c r="R75"/>
  <c r="S303" i="5"/>
  <c r="I270" i="4"/>
  <c r="E6" i="5"/>
  <c r="AI217" i="4"/>
  <c r="B341" i="3"/>
  <c r="V159"/>
  <c r="P36" i="5"/>
  <c r="J40" i="4"/>
  <c r="P230" i="3"/>
  <c r="V401"/>
  <c r="T39" i="5"/>
  <c r="B41" i="4"/>
  <c r="X230" i="3"/>
  <c r="F402"/>
  <c r="P68" i="5"/>
  <c r="I45" i="4"/>
  <c r="R233" i="3"/>
  <c r="X405"/>
  <c r="T71" i="5"/>
  <c r="AJ45" i="4"/>
  <c r="Z233" i="3"/>
  <c r="J406"/>
  <c r="D75" i="5"/>
  <c r="H46" i="4"/>
  <c r="H234" i="3"/>
  <c r="T406"/>
  <c r="T103" i="5"/>
  <c r="AJ50" i="4"/>
  <c r="B237" i="3"/>
  <c r="L410"/>
  <c r="B378"/>
  <c r="I207" i="4"/>
  <c r="Z37" i="3"/>
  <c r="O409"/>
  <c r="T341"/>
  <c r="AF137" i="4"/>
  <c r="K184" i="5"/>
  <c r="I326" i="3"/>
  <c r="R135"/>
  <c r="B365" i="6"/>
  <c r="O7"/>
  <c r="H258" i="5"/>
  <c r="AF364" i="4"/>
  <c r="S200" i="5"/>
  <c r="H171" i="3"/>
  <c r="D349" i="4"/>
  <c r="Y223" i="3"/>
  <c r="P52" i="5"/>
  <c r="A181" i="13"/>
  <c r="B167" i="12"/>
  <c r="C311" i="5"/>
  <c r="O292"/>
  <c r="R196" i="6"/>
  <c r="G192" i="5"/>
  <c r="H23" i="17"/>
  <c r="N393" i="5"/>
  <c r="N187" i="6"/>
  <c r="C183" i="5"/>
  <c r="E100" i="7"/>
  <c r="B85" i="6"/>
  <c r="C313" i="5"/>
  <c r="AJ281" i="4"/>
  <c r="R408" i="6"/>
  <c r="B79"/>
  <c r="C307" i="5"/>
  <c r="H274" i="4"/>
  <c r="Q31" i="5"/>
  <c r="AI221" i="4"/>
  <c r="N343" i="3"/>
  <c r="Q162"/>
  <c r="B13" i="20"/>
  <c r="B78" i="23"/>
  <c r="N403" i="6"/>
  <c r="E181" i="7"/>
  <c r="E39"/>
  <c r="E253"/>
  <c r="E111"/>
  <c r="E261"/>
  <c r="E119"/>
  <c r="E269"/>
  <c r="E127"/>
  <c r="C111" i="17"/>
  <c r="A63" i="16"/>
  <c r="D120" i="6"/>
  <c r="H111"/>
  <c r="D118" i="17"/>
  <c r="A71" i="16"/>
  <c r="H123" i="6"/>
  <c r="L114"/>
  <c r="E125" i="17"/>
  <c r="A79" i="16"/>
  <c r="L126" i="6"/>
  <c r="P117"/>
  <c r="F132" i="17"/>
  <c r="A87" i="16"/>
  <c r="P129" i="6"/>
  <c r="T120"/>
  <c r="G139" i="17"/>
  <c r="A95" i="16"/>
  <c r="T132" i="6"/>
  <c r="D124"/>
  <c r="I89" i="17"/>
  <c r="F14" i="12"/>
  <c r="K282" i="6"/>
  <c r="H278" i="17"/>
  <c r="C198" i="12"/>
  <c r="F15"/>
  <c r="S282" i="6"/>
  <c r="G270"/>
  <c r="G50"/>
  <c r="D279" i="5"/>
  <c r="A363"/>
  <c r="C261" i="6"/>
  <c r="C41"/>
  <c r="T269" i="5"/>
  <c r="I289"/>
  <c r="S251" i="6"/>
  <c r="S31"/>
  <c r="P260" i="5"/>
  <c r="I236"/>
  <c r="G252" i="6"/>
  <c r="F16" i="37"/>
  <c r="D38" i="7"/>
  <c r="C152"/>
  <c r="E489" i="17"/>
  <c r="B179" i="13"/>
  <c r="E91" i="12"/>
  <c r="D399" i="6"/>
  <c r="F440" i="17"/>
  <c r="B124" i="13"/>
  <c r="E22" i="12"/>
  <c r="O355" i="6"/>
  <c r="A285" i="17"/>
  <c r="C205" i="12"/>
  <c r="F22"/>
  <c r="O285" i="6"/>
  <c r="I285" i="17"/>
  <c r="C206" i="12"/>
  <c r="F23"/>
  <c r="C286" i="6"/>
  <c r="K273"/>
  <c r="K53"/>
  <c r="H282" i="5"/>
  <c r="M388"/>
  <c r="G264" i="6"/>
  <c r="G44"/>
  <c r="D273" i="5"/>
  <c r="A315"/>
  <c r="C255" i="6"/>
  <c r="C35"/>
  <c r="T263" i="5"/>
  <c r="N247"/>
  <c r="K255" i="6"/>
  <c r="F631" i="17"/>
  <c r="F200" i="12"/>
  <c r="H201" i="17"/>
  <c r="E43" i="6"/>
  <c r="S41"/>
  <c r="P270" i="5"/>
  <c r="Q295"/>
  <c r="O252" i="6"/>
  <c r="O32"/>
  <c r="L261" i="5"/>
  <c r="B238"/>
  <c r="T172" i="6"/>
  <c r="T153"/>
  <c r="J409" i="4"/>
  <c r="AE348"/>
  <c r="T166" i="6"/>
  <c r="T147"/>
  <c r="C402" i="4"/>
  <c r="F341"/>
  <c r="AG346"/>
  <c r="A248"/>
  <c r="D237" i="3"/>
  <c r="K142"/>
  <c r="H197" i="5"/>
  <c r="I65" i="4"/>
  <c r="F105" i="3"/>
  <c r="Y378"/>
  <c r="P197" i="5"/>
  <c r="A66" i="4"/>
  <c r="O105" i="3"/>
  <c r="O380"/>
  <c r="H201" i="5"/>
  <c r="I70" i="4"/>
  <c r="T108" i="3"/>
  <c r="I395"/>
  <c r="P201" i="5"/>
  <c r="A71" i="4"/>
  <c r="C109" i="3"/>
  <c r="Y396"/>
  <c r="D202" i="5"/>
  <c r="I71" i="4"/>
  <c r="L109" i="3"/>
  <c r="Q398"/>
  <c r="P205" i="5"/>
  <c r="AJ75" i="4"/>
  <c r="P112" i="3"/>
  <c r="K413"/>
  <c r="U353"/>
  <c r="K374"/>
  <c r="S95"/>
  <c r="K145"/>
  <c r="G304"/>
  <c r="O80"/>
  <c r="U126"/>
  <c r="K168"/>
  <c r="L20" i="5"/>
  <c r="M54"/>
  <c r="P175" i="6"/>
  <c r="K23"/>
  <c r="I143" i="5"/>
  <c r="I190"/>
  <c r="U107" i="3"/>
  <c r="R21" i="6"/>
  <c r="A249" i="3"/>
  <c r="B69" i="16"/>
  <c r="B5" i="10"/>
  <c r="A181" i="7"/>
  <c r="K63" i="5"/>
  <c r="T197" i="6"/>
  <c r="A43" i="5"/>
  <c r="AI402" i="4"/>
  <c r="P207" i="6"/>
  <c r="P188"/>
  <c r="Q33" i="5"/>
  <c r="I391" i="4"/>
  <c r="E333" i="5"/>
  <c r="A128" i="6"/>
  <c r="J139" i="5"/>
  <c r="N89"/>
  <c r="E327"/>
  <c r="A122" i="6"/>
  <c r="J133" i="5"/>
  <c r="N83"/>
  <c r="D88"/>
  <c r="AD167" i="4"/>
  <c r="U389" i="3"/>
  <c r="G182" i="7"/>
  <c r="H342" i="4"/>
  <c r="U407" i="3"/>
  <c r="M242"/>
  <c r="G246" i="7"/>
  <c r="AJ342" i="4"/>
  <c r="C408" i="3"/>
  <c r="Y242"/>
  <c r="E17" i="8"/>
  <c r="F347" i="4"/>
  <c r="W410" i="3"/>
  <c r="Q246"/>
  <c r="R360" i="6"/>
  <c r="AH347" i="4"/>
  <c r="E411" i="3"/>
  <c r="A247"/>
  <c r="J386" i="6"/>
  <c r="F348" i="4"/>
  <c r="M411" i="3"/>
  <c r="K247"/>
  <c r="G15" i="12"/>
  <c r="AG352" i="4"/>
  <c r="G414" i="3"/>
  <c r="C251"/>
  <c r="D285" i="5"/>
  <c r="X43" i="3"/>
  <c r="Q50"/>
  <c r="C323"/>
  <c r="S50"/>
  <c r="V29"/>
  <c r="W305"/>
  <c r="K371"/>
  <c r="F345"/>
  <c r="V367"/>
  <c r="E326" i="5"/>
  <c r="A384"/>
  <c r="K360"/>
  <c r="L297"/>
  <c r="A35"/>
  <c r="A285" i="3"/>
  <c r="C21" i="6"/>
  <c r="W386" i="3"/>
  <c r="B24" i="17"/>
  <c r="Q379" i="6"/>
  <c r="A245" i="7"/>
  <c r="C89" i="5"/>
  <c r="D201" i="6"/>
  <c r="E46" i="5"/>
  <c r="AH406" i="4"/>
  <c r="T210" i="6"/>
  <c r="T191"/>
  <c r="A37" i="5"/>
  <c r="H395" i="4"/>
  <c r="I336" i="5"/>
  <c r="E131" i="6"/>
  <c r="N142" i="5"/>
  <c r="R92"/>
  <c r="I330"/>
  <c r="E125" i="6"/>
  <c r="N136" i="5"/>
  <c r="R86"/>
  <c r="H91"/>
  <c r="J171" i="4"/>
  <c r="C393" i="3"/>
  <c r="F181" i="7"/>
  <c r="C109" i="25"/>
  <c r="F273" i="6"/>
  <c r="B768" i="17"/>
  <c r="K290" i="6"/>
  <c r="B832" i="17"/>
  <c r="G319" i="6"/>
  <c r="C839" i="17"/>
  <c r="K322" i="6"/>
  <c r="D846" i="17"/>
  <c r="O325" i="6"/>
  <c r="C67" i="12"/>
  <c r="C92" i="13"/>
  <c r="T318" i="5"/>
  <c r="L300"/>
  <c r="C75" i="12"/>
  <c r="C100" i="13"/>
  <c r="D322" i="5"/>
  <c r="P303"/>
  <c r="C83" i="12"/>
  <c r="C108" i="13"/>
  <c r="H325" i="5"/>
  <c r="T306"/>
  <c r="C91" i="12"/>
  <c r="C116" i="13"/>
  <c r="L328" i="5"/>
  <c r="D310"/>
  <c r="C99" i="12"/>
  <c r="C124" i="13"/>
  <c r="P331" i="5"/>
  <c r="H313"/>
  <c r="E156" i="17"/>
  <c r="C68" i="13"/>
  <c r="A228" i="7"/>
  <c r="B961" i="17"/>
  <c r="E483"/>
  <c r="H102" i="12"/>
  <c r="A229" i="7"/>
  <c r="D159" i="13"/>
  <c r="J302" i="5"/>
  <c r="J96" i="6"/>
  <c r="S91" i="5"/>
  <c r="E231" i="12"/>
  <c r="F293" i="5"/>
  <c r="F87" i="6"/>
  <c r="O82" i="5"/>
  <c r="H22" i="16"/>
  <c r="B284" i="5"/>
  <c r="B78" i="6"/>
  <c r="K73" i="5"/>
  <c r="H54" i="16"/>
  <c r="J284" i="5"/>
  <c r="E93" i="17"/>
  <c r="A75" i="16"/>
  <c r="B853" i="17"/>
  <c r="C26"/>
  <c r="G83" i="13"/>
  <c r="M398" i="6"/>
  <c r="F914" i="17"/>
  <c r="D87" i="16"/>
  <c r="G28" i="13"/>
  <c r="M376" i="6"/>
  <c r="A577" i="17"/>
  <c r="C533"/>
  <c r="H109" i="12"/>
  <c r="A236" i="7"/>
  <c r="B584" i="17"/>
  <c r="D540"/>
  <c r="H110" i="12"/>
  <c r="A237" i="7"/>
  <c r="G8" i="14"/>
  <c r="N305" i="5"/>
  <c r="N99" i="6"/>
  <c r="C95" i="5"/>
  <c r="D39" i="13"/>
  <c r="J296" i="5"/>
  <c r="J90" i="6"/>
  <c r="S85" i="5"/>
  <c r="G216" i="17"/>
  <c r="F287" i="5"/>
  <c r="F81" i="6"/>
  <c r="O76" i="5"/>
  <c r="B486" i="17"/>
  <c r="N287" i="5"/>
  <c r="D33" i="9"/>
  <c r="F115" i="7"/>
  <c r="B257" i="4"/>
  <c r="M326" i="5"/>
  <c r="B88" i="6"/>
  <c r="K83" i="5"/>
  <c r="H86" i="16"/>
  <c r="R284" i="5"/>
  <c r="R78" i="6"/>
  <c r="G74" i="5"/>
  <c r="D247" i="7"/>
  <c r="G389" i="5"/>
  <c r="K200" i="6"/>
  <c r="T179" i="5"/>
  <c r="B395" i="6"/>
  <c r="G383" i="5"/>
  <c r="K194" i="6"/>
  <c r="T173" i="5"/>
  <c r="A346" i="4"/>
  <c r="AE87"/>
  <c r="V259" i="3"/>
  <c r="N71"/>
  <c r="B148" i="5"/>
  <c r="AE146" i="4"/>
  <c r="A354" i="3"/>
  <c r="N293"/>
  <c r="B150" i="5"/>
  <c r="C147" i="4"/>
  <c r="K354" i="3"/>
  <c r="X293"/>
  <c r="B164" i="5"/>
  <c r="J151" i="4"/>
  <c r="C358" i="3"/>
  <c r="P297"/>
  <c r="B166" i="5"/>
  <c r="B152" i="4"/>
  <c r="M358" i="3"/>
  <c r="B298"/>
  <c r="F167" i="5"/>
  <c r="J152" i="4"/>
  <c r="Y358" i="3"/>
  <c r="L298"/>
  <c r="B182" i="5"/>
  <c r="A157" i="4"/>
  <c r="Q362" i="3"/>
  <c r="D302"/>
  <c r="K85"/>
  <c r="A109" i="4"/>
  <c r="P135" i="3"/>
  <c r="G48"/>
  <c r="J307"/>
  <c r="G40" i="4"/>
  <c r="AI96"/>
  <c r="R28" i="3"/>
  <c r="K337"/>
  <c r="C28" i="17"/>
  <c r="Q215" i="5"/>
  <c r="I401"/>
  <c r="D28" i="7"/>
  <c r="W414" i="3"/>
  <c r="B648" i="17"/>
  <c r="J161" i="4"/>
  <c r="G107" i="3"/>
  <c r="AE103" i="4"/>
  <c r="E77" i="20"/>
  <c r="H211"/>
  <c r="B66" i="16"/>
  <c r="I367" i="17"/>
  <c r="G248" i="5"/>
  <c r="T223"/>
  <c r="H159" i="7"/>
  <c r="B11" i="6"/>
  <c r="C239" i="5"/>
  <c r="P214"/>
  <c r="G352" i="6"/>
  <c r="G132"/>
  <c r="D361" i="5"/>
  <c r="AE320" i="4"/>
  <c r="G346" i="6"/>
  <c r="G126"/>
  <c r="D355" i="5"/>
  <c r="F313" i="4"/>
  <c r="AJ339"/>
  <c r="E11"/>
  <c r="A242" i="3"/>
  <c r="V183"/>
  <c r="O191" i="5"/>
  <c r="G70" i="4"/>
  <c r="K109" i="3"/>
  <c r="B383"/>
  <c r="C192" i="5"/>
  <c r="AI70" i="4"/>
  <c r="T109" i="3"/>
  <c r="L383"/>
  <c r="O195" i="5"/>
  <c r="F75" i="4"/>
  <c r="X112" i="3"/>
  <c r="D387"/>
  <c r="C196" i="5"/>
  <c r="AH75" i="4"/>
  <c r="G113" i="3"/>
  <c r="P387"/>
  <c r="K196" i="5"/>
  <c r="F76" i="4"/>
  <c r="P113" i="3"/>
  <c r="Z387"/>
  <c r="C200" i="5"/>
  <c r="AG80" i="4"/>
  <c r="U116" i="3"/>
  <c r="R391"/>
  <c r="S57"/>
  <c r="L135"/>
  <c r="H405" i="4"/>
  <c r="M229" i="3"/>
  <c r="T41"/>
  <c r="R310"/>
  <c r="L264"/>
  <c r="E54" i="5"/>
  <c r="O39" i="3"/>
  <c r="F132" i="24"/>
  <c r="A352" i="4"/>
  <c r="P54" i="5"/>
  <c r="N349" i="6"/>
  <c r="AF222" i="4"/>
  <c r="H44" i="3"/>
  <c r="I66" i="4"/>
  <c r="R47" i="3"/>
  <c r="AH24" i="4"/>
  <c r="D78" i="20"/>
  <c r="G215"/>
  <c r="E21" i="17"/>
  <c r="B374"/>
  <c r="K251" i="5"/>
  <c r="D227"/>
  <c r="H223" i="7"/>
  <c r="F14" i="6"/>
  <c r="G242" i="5"/>
  <c r="T217"/>
  <c r="K355" i="6"/>
  <c r="K135"/>
  <c r="H364" i="5"/>
  <c r="AE324" i="4"/>
  <c r="K349" i="6"/>
  <c r="K129"/>
  <c r="H358" i="5"/>
  <c r="D317" i="4"/>
  <c r="AH343"/>
  <c r="E15"/>
  <c r="G245" i="3"/>
  <c r="Q186"/>
  <c r="A32" i="25"/>
  <c r="E55" i="12"/>
  <c r="C21" i="24"/>
  <c r="B302" i="6"/>
  <c r="H24" i="25"/>
  <c r="R330" i="6"/>
  <c r="H2" i="29"/>
  <c r="B334" i="6"/>
  <c r="F178" i="46"/>
  <c r="F337" i="6"/>
  <c r="B230" i="24"/>
  <c r="C11" i="17"/>
  <c r="B94" i="13"/>
  <c r="S101" i="6"/>
  <c r="F54" i="25"/>
  <c r="G39" i="17"/>
  <c r="B102" i="13"/>
  <c r="C105" i="6"/>
  <c r="I38" i="46"/>
  <c r="B68" i="17"/>
  <c r="B110" i="13"/>
  <c r="G108" i="6"/>
  <c r="E6" i="23"/>
  <c r="I112" i="17"/>
  <c r="B118" i="13"/>
  <c r="K111" i="6"/>
  <c r="D30" i="23"/>
  <c r="H169" i="17"/>
  <c r="B126" i="13"/>
  <c r="O114" i="6"/>
  <c r="C55" i="23"/>
  <c r="E29" i="16"/>
  <c r="H166" i="12"/>
  <c r="R112" i="6"/>
  <c r="F513" i="17"/>
  <c r="G92" i="13"/>
  <c r="H174" i="12"/>
  <c r="B116" i="6"/>
  <c r="C32" i="9"/>
  <c r="J104" i="6"/>
  <c r="C220"/>
  <c r="G380" i="3"/>
  <c r="I384"/>
  <c r="E385"/>
  <c r="Z33"/>
  <c r="D293" i="5"/>
  <c r="K379" i="6"/>
  <c r="O264" i="5"/>
  <c r="P380"/>
  <c r="X131" i="3"/>
  <c r="K135"/>
  <c r="D136"/>
  <c r="K200" i="5"/>
  <c r="C29"/>
  <c r="D46" i="7"/>
  <c r="S267" i="5"/>
  <c r="T383"/>
  <c r="I62"/>
  <c r="H217" i="4"/>
  <c r="C413" i="3"/>
  <c r="P352"/>
  <c r="M65" i="5"/>
  <c r="AJ217" i="4"/>
  <c r="M413" i="3"/>
  <c r="Z352"/>
  <c r="I94" i="5"/>
  <c r="H222" i="4"/>
  <c r="E417" i="3"/>
  <c r="R356"/>
  <c r="M97" i="5"/>
  <c r="AJ222" i="4"/>
  <c r="O417" i="3"/>
  <c r="D357"/>
  <c r="Q100" i="5"/>
  <c r="H223" i="4"/>
  <c r="D6"/>
  <c r="N357" i="3"/>
  <c r="M129" i="5"/>
  <c r="AJ227" i="4"/>
  <c r="D200" i="3"/>
  <c r="F361"/>
  <c r="Z332"/>
  <c r="AE205" i="4"/>
  <c r="R267" i="6"/>
  <c r="Q212" i="3"/>
  <c r="W359"/>
  <c r="F136" i="4"/>
  <c r="H193" i="5"/>
  <c r="C139" i="3"/>
  <c r="M35"/>
  <c r="Q231" i="6"/>
  <c r="AE409" i="4"/>
  <c r="C46"/>
  <c r="J219" i="3"/>
  <c r="AE193" i="4"/>
  <c r="AE291"/>
  <c r="G225" i="12"/>
  <c r="R321" i="5"/>
  <c r="A569" i="17"/>
  <c r="F151" i="13"/>
  <c r="G233" i="12"/>
  <c r="B325" i="5"/>
  <c r="C122" i="13"/>
  <c r="J313" i="5"/>
  <c r="N15" i="6"/>
  <c r="P326" i="3"/>
  <c r="R329"/>
  <c r="H330"/>
  <c r="I12"/>
  <c r="J319" i="5"/>
  <c r="O375" i="6"/>
  <c r="J56"/>
  <c r="C172"/>
  <c r="A331" i="3"/>
  <c r="C335"/>
  <c r="Y335"/>
  <c r="I42"/>
  <c r="B225" i="5"/>
  <c r="G401" i="6"/>
  <c r="N59"/>
  <c r="G175"/>
  <c r="I234" i="4"/>
  <c r="AF12"/>
  <c r="J213" i="3"/>
  <c r="V378"/>
  <c r="I238" i="4"/>
  <c r="D13"/>
  <c r="R213" i="3"/>
  <c r="H379"/>
  <c r="A274" i="4"/>
  <c r="AF17"/>
  <c r="L216" i="3"/>
  <c r="Z382"/>
  <c r="A278" i="4"/>
  <c r="D18"/>
  <c r="T216" i="3"/>
  <c r="J383"/>
  <c r="A282" i="4"/>
  <c r="AF18"/>
  <c r="B217" i="3"/>
  <c r="T383"/>
  <c r="AF317" i="4"/>
  <c r="D23"/>
  <c r="V219" i="3"/>
  <c r="L387"/>
  <c r="S194"/>
  <c r="F222" i="4"/>
  <c r="A259" i="3"/>
  <c r="S317"/>
  <c r="P163"/>
  <c r="AE152" i="4"/>
  <c r="E417"/>
  <c r="K234" i="3"/>
  <c r="W71"/>
  <c r="A53" i="7"/>
  <c r="R203" i="5"/>
  <c r="AF238" i="4"/>
  <c r="X376" i="3"/>
  <c r="AG146" i="4"/>
  <c r="F169" i="5"/>
  <c r="F202" i="12"/>
  <c r="M113" i="6"/>
  <c r="G134" i="20"/>
  <c r="E128" i="13"/>
  <c r="F210" i="12"/>
  <c r="Q116" i="6"/>
  <c r="E402" i="17"/>
  <c r="E105" i="6"/>
  <c r="J220"/>
  <c r="A169" i="3"/>
  <c r="C172"/>
  <c r="S172"/>
  <c r="X55"/>
  <c r="K115" i="6"/>
  <c r="E63" i="13"/>
  <c r="J265" i="5"/>
  <c r="O380"/>
  <c r="R289" i="3"/>
  <c r="T292"/>
  <c r="J293"/>
  <c r="C254"/>
  <c r="G344" i="5"/>
  <c r="E127" i="13"/>
  <c r="N268" i="5"/>
  <c r="S383"/>
  <c r="H62"/>
  <c r="I44" i="4"/>
  <c r="B233" i="3"/>
  <c r="D405"/>
  <c r="L65" i="5"/>
  <c r="A45" i="4"/>
  <c r="J233" i="3"/>
  <c r="N405"/>
  <c r="H94" i="5"/>
  <c r="H49" i="4"/>
  <c r="D236" i="3"/>
  <c r="F409"/>
  <c r="L97" i="5"/>
  <c r="AJ49" i="4"/>
  <c r="L236" i="3"/>
  <c r="P409"/>
  <c r="P100" i="5"/>
  <c r="H50" i="4"/>
  <c r="T236" i="3"/>
  <c r="B410"/>
  <c r="L129" i="5"/>
  <c r="AJ54" i="4"/>
  <c r="N239" i="3"/>
  <c r="T413"/>
  <c r="H404"/>
  <c r="AH242" i="4"/>
  <c r="G41" i="3"/>
  <c r="W6"/>
  <c r="Z367"/>
  <c r="F169" i="4"/>
  <c r="C210" i="5"/>
  <c r="K339" i="3"/>
  <c r="Y146"/>
  <c r="F877" i="17"/>
  <c r="A41" i="5"/>
  <c r="C189" i="4"/>
  <c r="I187" i="3"/>
  <c r="I99" i="4"/>
  <c r="C69" i="5"/>
  <c r="D6" i="13"/>
  <c r="L91" i="6"/>
  <c r="E50" i="24"/>
  <c r="D188" i="13"/>
  <c r="D14"/>
  <c r="P94" i="6"/>
  <c r="Q416"/>
  <c r="D83"/>
  <c r="I16"/>
  <c r="O326" i="3"/>
  <c r="Q329"/>
  <c r="G330"/>
  <c r="E196"/>
  <c r="I8" i="6"/>
  <c r="B86" i="16"/>
  <c r="E57" i="6"/>
  <c r="J172"/>
  <c r="C132" i="3"/>
  <c r="E135"/>
  <c r="U135"/>
  <c r="Z11"/>
  <c r="D272" i="5"/>
  <c r="A34" i="17"/>
  <c r="I60" i="6"/>
  <c r="N175"/>
  <c r="D255" i="4"/>
  <c r="D76"/>
  <c r="T252" i="3"/>
  <c r="L64"/>
  <c r="C259" i="4"/>
  <c r="AF76"/>
  <c r="B253" i="3"/>
  <c r="T64"/>
  <c r="AI294" i="4"/>
  <c r="C81"/>
  <c r="V255" i="3"/>
  <c r="N67"/>
  <c r="AH298" i="4"/>
  <c r="AE81"/>
  <c r="D256" i="3"/>
  <c r="V67"/>
  <c r="AH302" i="4"/>
  <c r="C82"/>
  <c r="L256" i="3"/>
  <c r="D68"/>
  <c r="E338" i="4"/>
  <c r="AE86"/>
  <c r="F259" i="3"/>
  <c r="X70"/>
  <c r="T218"/>
  <c r="L52" i="5"/>
  <c r="P83" i="3"/>
  <c r="S26"/>
  <c r="L187"/>
  <c r="B186" i="4"/>
  <c r="N29" i="5"/>
  <c r="C11" i="3"/>
  <c r="O243"/>
  <c r="A14" i="14"/>
  <c r="T271" i="5"/>
  <c r="AE142" i="4"/>
  <c r="L369" i="3"/>
  <c r="A53" i="4"/>
  <c r="G73" i="6"/>
  <c r="C69" i="13"/>
  <c r="D300" i="5"/>
  <c r="C400" i="17"/>
  <c r="H57" i="16"/>
  <c r="C77" i="13"/>
  <c r="H303" i="5"/>
  <c r="D88" i="17"/>
  <c r="P291" i="5"/>
  <c r="E221" i="6"/>
  <c r="AF112" i="4"/>
  <c r="J117"/>
  <c r="J118"/>
  <c r="C391" i="3"/>
  <c r="I222" i="6"/>
  <c r="D86" i="7"/>
  <c r="D35" i="6"/>
  <c r="J381" i="5"/>
  <c r="Q289" i="3"/>
  <c r="S292"/>
  <c r="I293"/>
  <c r="G55"/>
  <c r="E213" i="6"/>
  <c r="C257" i="7"/>
  <c r="H38" i="6"/>
  <c r="N384" i="5"/>
  <c r="O78"/>
  <c r="AI107" i="4"/>
  <c r="L272" i="3"/>
  <c r="D84"/>
  <c r="S81" i="5"/>
  <c r="G108" i="4"/>
  <c r="T272" i="3"/>
  <c r="L84"/>
  <c r="O110" i="5"/>
  <c r="AI112" i="4"/>
  <c r="N275" i="3"/>
  <c r="F87"/>
  <c r="S113" i="5"/>
  <c r="G113" i="4"/>
  <c r="V275" i="3"/>
  <c r="N87"/>
  <c r="C117" i="5"/>
  <c r="AH113" i="4"/>
  <c r="D276" i="3"/>
  <c r="V87"/>
  <c r="S145" i="5"/>
  <c r="E118" i="4"/>
  <c r="X278" i="3"/>
  <c r="P90"/>
  <c r="C44"/>
  <c r="I383" i="5"/>
  <c r="G167" i="3"/>
  <c r="Q51"/>
  <c r="W395"/>
  <c r="J202" i="4"/>
  <c r="G200" i="5"/>
  <c r="U30" i="3"/>
  <c r="O348"/>
  <c r="F226" i="7"/>
  <c r="S88" i="6"/>
  <c r="B96" i="4"/>
  <c r="V140" i="3"/>
  <c r="AG247" i="4"/>
  <c r="T260" i="5"/>
  <c r="B70" i="13"/>
  <c r="G92" i="6"/>
  <c r="A98" i="24"/>
  <c r="E61" i="16"/>
  <c r="B78" i="13"/>
  <c r="K95" i="6"/>
  <c r="F34" i="23"/>
  <c r="S83" i="6"/>
  <c r="D199"/>
  <c r="AI128" i="4"/>
  <c r="AI133"/>
  <c r="AI134"/>
  <c r="R37" i="3"/>
  <c r="E5" i="6"/>
  <c r="F23" i="7"/>
  <c r="P243" i="5"/>
  <c r="E173" i="6"/>
  <c r="E53" i="4"/>
  <c r="E58"/>
  <c r="D59"/>
  <c r="R194" i="3"/>
  <c r="C410" i="5"/>
  <c r="E22" i="7"/>
  <c r="T246" i="5"/>
  <c r="I176" i="6"/>
  <c r="AI275" i="4"/>
  <c r="AE139"/>
  <c r="D292" i="3"/>
  <c r="X103"/>
  <c r="AI279" i="4"/>
  <c r="C140"/>
  <c r="L292" i="3"/>
  <c r="G104"/>
  <c r="J315" i="4"/>
  <c r="J144"/>
  <c r="F295" i="3"/>
  <c r="K107"/>
  <c r="I319" i="4"/>
  <c r="B145"/>
  <c r="N295" i="3"/>
  <c r="T107"/>
  <c r="I323" i="4"/>
  <c r="J145"/>
  <c r="V295" i="3"/>
  <c r="D108"/>
  <c r="AF358" i="4"/>
  <c r="A150"/>
  <c r="P298" i="3"/>
  <c r="H111"/>
  <c r="S218"/>
  <c r="G69" i="5"/>
  <c r="G267" i="3"/>
  <c r="O107"/>
  <c r="H338"/>
  <c r="E219" i="4"/>
  <c r="R204" i="6"/>
  <c r="Q59" i="3"/>
  <c r="V12"/>
  <c r="I333" i="17"/>
  <c r="C323" i="5"/>
  <c r="G49" i="4"/>
  <c r="X288" i="3"/>
  <c r="E196" i="4"/>
  <c r="M279" i="5"/>
  <c r="B86" i="17"/>
  <c r="G301" i="5"/>
  <c r="K292"/>
  <c r="C293" i="17"/>
  <c r="C93"/>
  <c r="K304" i="5"/>
  <c r="O295"/>
  <c r="S292"/>
  <c r="P407"/>
  <c r="E145" i="4"/>
  <c r="D150"/>
  <c r="D151"/>
  <c r="H276" i="3"/>
  <c r="C86" i="12"/>
  <c r="A92" i="20"/>
  <c r="S35" i="6"/>
  <c r="D151"/>
  <c r="I69" i="4"/>
  <c r="H74"/>
  <c r="H75"/>
  <c r="O387" i="3"/>
  <c r="C2" i="8"/>
  <c r="H194" i="20"/>
  <c r="C39" i="6"/>
  <c r="H154"/>
  <c r="J95" i="5"/>
  <c r="E171" i="4"/>
  <c r="V311" i="3"/>
  <c r="K126"/>
  <c r="N98" i="5"/>
  <c r="AG171" i="4"/>
  <c r="D312" i="3"/>
  <c r="T126"/>
  <c r="J127" i="5"/>
  <c r="E176" i="4"/>
  <c r="X314" i="3"/>
  <c r="X129"/>
  <c r="N130" i="5"/>
  <c r="AF176" i="4"/>
  <c r="F315" i="3"/>
  <c r="H130"/>
  <c r="R133" i="5"/>
  <c r="D177" i="4"/>
  <c r="N315" i="3"/>
  <c r="Q130"/>
  <c r="N162" i="5"/>
  <c r="J181" i="4"/>
  <c r="H318" i="3"/>
  <c r="U133"/>
  <c r="F50"/>
  <c r="E264" i="4"/>
  <c r="G372" i="3"/>
  <c r="O197"/>
  <c r="S180"/>
  <c r="L36" i="5"/>
  <c r="R410"/>
  <c r="E126" i="3"/>
  <c r="N32"/>
  <c r="A245" i="12"/>
  <c r="R114" i="6"/>
  <c r="AJ242" i="4"/>
  <c r="I57" i="3"/>
  <c r="AJ149" i="4"/>
  <c r="E155" i="13"/>
  <c r="I86" i="17"/>
  <c r="B93" i="6"/>
  <c r="F84"/>
  <c r="E299" i="17"/>
  <c r="A94"/>
  <c r="F96" i="6"/>
  <c r="J87"/>
  <c r="N84"/>
  <c r="S199"/>
  <c r="H161" i="4"/>
  <c r="H166"/>
  <c r="H167"/>
  <c r="U336" i="3"/>
  <c r="D114" i="17"/>
  <c r="U306" i="3"/>
  <c r="S244" i="5"/>
  <c r="P359"/>
  <c r="AH85" i="4"/>
  <c r="AG90"/>
  <c r="AG91"/>
  <c r="H231" i="3"/>
  <c r="E60" i="25"/>
  <c r="L212" i="3"/>
  <c r="C248" i="5"/>
  <c r="T362"/>
  <c r="E296" i="4"/>
  <c r="AE202"/>
  <c r="N331" i="3"/>
  <c r="X148"/>
  <c r="D300" i="4"/>
  <c r="C203"/>
  <c r="V331" i="3"/>
  <c r="G149"/>
  <c r="AF335" i="4"/>
  <c r="AE207"/>
  <c r="P334" i="3"/>
  <c r="L152"/>
  <c r="AE339" i="4"/>
  <c r="C208"/>
  <c r="X334" i="3"/>
  <c r="U152"/>
  <c r="I343" i="4"/>
  <c r="AE208"/>
  <c r="F335" i="3"/>
  <c r="D153"/>
  <c r="A379" i="4"/>
  <c r="A213"/>
  <c r="Z337" i="3"/>
  <c r="H156"/>
  <c r="V226"/>
  <c r="J278" i="4"/>
  <c r="G17" i="3"/>
  <c r="Q302"/>
  <c r="G338"/>
  <c r="I255" i="5"/>
  <c r="B116" i="17"/>
  <c r="I219" i="3"/>
  <c r="G64"/>
  <c r="F345" i="17"/>
  <c r="R323" i="5"/>
  <c r="AH192" i="4"/>
  <c r="C210" i="3"/>
  <c r="E103" i="4"/>
  <c r="K90" i="3"/>
  <c r="H52" i="12"/>
  <c r="H178" i="13"/>
  <c r="C128" i="6"/>
  <c r="O109"/>
  <c r="J174"/>
  <c r="S169" i="5"/>
  <c r="I79" i="17"/>
  <c r="F371" i="5"/>
  <c r="F165" i="6"/>
  <c r="O160" i="5"/>
  <c r="F165" i="7"/>
  <c r="N62" i="6"/>
  <c r="O290" i="5"/>
  <c r="E254" i="4"/>
  <c r="F45" i="7"/>
  <c r="N56" i="6"/>
  <c r="O284" i="5"/>
  <c r="I407"/>
  <c r="I291"/>
  <c r="G194" i="4"/>
  <c r="H326" i="3"/>
  <c r="Y142"/>
  <c r="B266" i="4"/>
  <c r="AF16"/>
  <c r="V215" i="3"/>
  <c r="D382"/>
  <c r="B270" i="4"/>
  <c r="D17"/>
  <c r="D216" i="3"/>
  <c r="N382"/>
  <c r="AI305" i="4"/>
  <c r="AF21"/>
  <c r="X218" i="3"/>
  <c r="F386"/>
  <c r="AH309" i="4"/>
  <c r="D22"/>
  <c r="F219" i="3"/>
  <c r="R386"/>
  <c r="AG313" i="4"/>
  <c r="AF22"/>
  <c r="N219" i="3"/>
  <c r="B387"/>
  <c r="B349" i="4"/>
  <c r="C27"/>
  <c r="H222" i="3"/>
  <c r="T390"/>
  <c r="N220"/>
  <c r="J17" i="4"/>
  <c r="A364" i="3"/>
  <c r="U330"/>
  <c r="C186"/>
  <c r="D184" i="4"/>
  <c r="S30" i="5"/>
  <c r="O247" i="3"/>
  <c r="J78"/>
  <c r="H21" i="13"/>
  <c r="Q329" i="5"/>
  <c r="E256"/>
  <c r="A228"/>
  <c r="AG290" i="4"/>
  <c r="Y235" i="3"/>
  <c r="J197" i="4"/>
  <c r="H144" i="3"/>
  <c r="T48" i="5"/>
  <c r="F89" i="7"/>
  <c r="K360" i="6"/>
  <c r="F166" i="5"/>
  <c r="R147"/>
  <c r="F75" i="6"/>
  <c r="O70" i="5"/>
  <c r="E3" i="13"/>
  <c r="B272" i="5"/>
  <c r="B66" i="6"/>
  <c r="K61" i="5"/>
  <c r="E321" i="6"/>
  <c r="K376" i="5"/>
  <c r="O187" i="6"/>
  <c r="D167" i="5"/>
  <c r="E273" i="6"/>
  <c r="K370" i="5"/>
  <c r="O181" i="6"/>
  <c r="D161" i="5"/>
  <c r="M242"/>
  <c r="AF71" i="4"/>
  <c r="Z249" i="3"/>
  <c r="R61"/>
  <c r="R96" i="5"/>
  <c r="AF130" i="4"/>
  <c r="W340" i="3"/>
  <c r="J280"/>
  <c r="R98" i="5"/>
  <c r="D131" i="4"/>
  <c r="G341" i="3"/>
  <c r="V280"/>
  <c r="R112" i="5"/>
  <c r="AF135" i="4"/>
  <c r="Y344" i="3"/>
  <c r="N284"/>
  <c r="R114" i="5"/>
  <c r="D136" i="4"/>
  <c r="K345" i="3"/>
  <c r="X284"/>
  <c r="B116" i="5"/>
  <c r="AF136" i="4"/>
  <c r="U345" i="3"/>
  <c r="H285"/>
  <c r="R130" i="5"/>
  <c r="C141" i="4"/>
  <c r="M349" i="3"/>
  <c r="Z288"/>
  <c r="S20"/>
  <c r="B219" i="4"/>
  <c r="S297" i="3"/>
  <c r="M34"/>
  <c r="J202"/>
  <c r="K360"/>
  <c r="J206" i="4"/>
  <c r="V18" i="3"/>
  <c r="W284"/>
  <c r="B250" i="6"/>
  <c r="B247" i="5"/>
  <c r="AH97" i="4"/>
  <c r="T148" i="3"/>
  <c r="B162" i="4"/>
  <c r="P107" i="3"/>
  <c r="G70" i="16"/>
  <c r="C217" i="13"/>
  <c r="C159" i="6"/>
  <c r="H32" i="16"/>
  <c r="A15" i="13"/>
  <c r="O336" i="5"/>
  <c r="G318"/>
  <c r="B200" i="6"/>
  <c r="K195" i="5"/>
  <c r="G80" i="17"/>
  <c r="R396" i="5"/>
  <c r="R190" i="6"/>
  <c r="G186" i="5"/>
  <c r="E164" i="7"/>
  <c r="F88" i="6"/>
  <c r="G316" i="5"/>
  <c r="AJ285" i="4"/>
  <c r="E44" i="7"/>
  <c r="F82" i="6"/>
  <c r="G310" i="5"/>
  <c r="H278" i="4"/>
  <c r="I57" i="5"/>
  <c r="AH225" i="4"/>
  <c r="Z345" i="3"/>
  <c r="L165"/>
  <c r="T87" i="5"/>
  <c r="H48" i="4"/>
  <c r="N235" i="3"/>
  <c r="J408"/>
  <c r="D91" i="5"/>
  <c r="AJ48" i="4"/>
  <c r="V235" i="3"/>
  <c r="V408"/>
  <c r="T119" i="5"/>
  <c r="H53" i="4"/>
  <c r="P238" i="3"/>
  <c r="N412"/>
  <c r="D123" i="5"/>
  <c r="AJ53" i="4"/>
  <c r="X238" i="3"/>
  <c r="X412"/>
  <c r="H126" i="5"/>
  <c r="H54" i="4"/>
  <c r="F239" i="3"/>
  <c r="H413"/>
  <c r="D155" i="5"/>
  <c r="AI58" i="4"/>
  <c r="Z241" i="3"/>
  <c r="Z416"/>
  <c r="V63"/>
  <c r="J254" i="4"/>
  <c r="Y44" i="3"/>
  <c r="M9"/>
  <c r="F394"/>
  <c r="AF200" i="4"/>
  <c r="O235" i="5"/>
  <c r="O352" i="3"/>
  <c r="E158"/>
  <c r="E251" i="12"/>
  <c r="C361" i="4"/>
  <c r="AI349"/>
  <c r="D344"/>
  <c r="D56" i="5"/>
  <c r="M393" i="3"/>
  <c r="A371" i="4"/>
  <c r="Y292" i="3"/>
  <c r="L202" i="5"/>
  <c r="E88" i="7"/>
  <c r="B360" i="6"/>
  <c r="G383" i="4"/>
  <c r="AE360"/>
  <c r="R100" i="6"/>
  <c r="G96" i="5"/>
  <c r="D63" i="13"/>
  <c r="N297" i="5"/>
  <c r="N91" i="6"/>
  <c r="C87" i="5"/>
  <c r="A230" i="7"/>
  <c r="C402" i="5"/>
  <c r="G213" i="6"/>
  <c r="P192" i="5"/>
  <c r="A110" i="7"/>
  <c r="C396" i="5"/>
  <c r="G207" i="6"/>
  <c r="P186" i="5"/>
  <c r="S49"/>
  <c r="G103" i="4"/>
  <c r="R269" i="3"/>
  <c r="J81"/>
  <c r="F199" i="5"/>
  <c r="G162" i="4"/>
  <c r="C367" i="3"/>
  <c r="R306"/>
  <c r="F201" i="5"/>
  <c r="AI162" i="4"/>
  <c r="O367" i="3"/>
  <c r="B307"/>
  <c r="F215" i="5"/>
  <c r="G167" i="4"/>
  <c r="G371" i="3"/>
  <c r="T310"/>
  <c r="F217" i="5"/>
  <c r="AH167" i="4"/>
  <c r="Q371" i="3"/>
  <c r="D311"/>
  <c r="J218" i="5"/>
  <c r="F168" i="4"/>
  <c r="A372" i="3"/>
  <c r="P311"/>
  <c r="F233" i="5"/>
  <c r="AH172" i="4"/>
  <c r="S375" i="3"/>
  <c r="H315"/>
  <c r="W296"/>
  <c r="AJ237" i="4"/>
  <c r="I63" i="3"/>
  <c r="L69"/>
  <c r="J412"/>
  <c r="C167" i="4"/>
  <c r="E223"/>
  <c r="P39" i="3"/>
  <c r="W389"/>
  <c r="C114" i="17"/>
  <c r="Q38" i="6"/>
  <c r="F271" i="4"/>
  <c r="D298" i="3"/>
  <c r="A115" i="4"/>
  <c r="D250" i="3"/>
  <c r="F71" i="16"/>
  <c r="B214" i="17"/>
  <c r="C368" i="5"/>
  <c r="G155" i="13"/>
  <c r="H181" i="12"/>
  <c r="J128" i="6"/>
  <c r="B110"/>
  <c r="N225"/>
  <c r="C221" i="5"/>
  <c r="F8" i="14"/>
  <c r="I9" i="6"/>
  <c r="J216"/>
  <c r="S211" i="5"/>
  <c r="F16" i="12"/>
  <c r="R113" i="6"/>
  <c r="S341" i="5"/>
  <c r="AE317" i="4"/>
  <c r="D82" i="12"/>
  <c r="R107" i="6"/>
  <c r="S335" i="5"/>
  <c r="E310" i="4"/>
  <c r="D237" i="5"/>
  <c r="C21" i="4"/>
  <c r="R365" i="3"/>
  <c r="Y187"/>
  <c r="AJ286" i="4"/>
  <c r="D80"/>
  <c r="F255" i="3"/>
  <c r="X66"/>
  <c r="AJ290" i="4"/>
  <c r="AE80"/>
  <c r="N255" i="3"/>
  <c r="F67"/>
  <c r="J326" i="4"/>
  <c r="C85"/>
  <c r="H258" i="3"/>
  <c r="Z69"/>
  <c r="H330" i="4"/>
  <c r="AE85"/>
  <c r="P258" i="3"/>
  <c r="H70"/>
  <c r="G334" i="4"/>
  <c r="C86"/>
  <c r="X258" i="3"/>
  <c r="P70"/>
  <c r="AF369" i="4"/>
  <c r="J90"/>
  <c r="R261" i="3"/>
  <c r="J73"/>
  <c r="Z244"/>
  <c r="D78" i="5"/>
  <c r="I90" i="3"/>
  <c r="E29"/>
  <c r="A212"/>
  <c r="G217" i="4"/>
  <c r="B132" i="5"/>
  <c r="O13" i="3"/>
  <c r="Q256"/>
  <c r="B77" i="17"/>
  <c r="I113" i="5"/>
  <c r="A53"/>
  <c r="H74"/>
  <c r="P209"/>
  <c r="K147" i="3"/>
  <c r="H121" i="5"/>
  <c r="V46" i="3"/>
  <c r="H365" i="4"/>
  <c r="A199" i="12"/>
  <c r="A4" i="9"/>
  <c r="M182" i="5"/>
  <c r="E164"/>
  <c r="J126" i="6"/>
  <c r="S121" i="5"/>
  <c r="C126" i="13"/>
  <c r="F323" i="5"/>
  <c r="F117" i="6"/>
  <c r="O112" i="5"/>
  <c r="H231" i="7"/>
  <c r="N14" i="6"/>
  <c r="O242" i="5"/>
  <c r="H218"/>
  <c r="H111" i="7"/>
  <c r="N8" i="6"/>
  <c r="I241"/>
  <c r="H212" i="5"/>
  <c r="E362"/>
  <c r="C135" i="4"/>
  <c r="J289" i="3"/>
  <c r="B101"/>
  <c r="I298" i="4"/>
  <c r="AJ193"/>
  <c r="K393" i="3"/>
  <c r="X332"/>
  <c r="H302" i="4"/>
  <c r="H194"/>
  <c r="U393" i="3"/>
  <c r="H333"/>
  <c r="AI337" i="4"/>
  <c r="AG198"/>
  <c r="M397" i="3"/>
  <c r="Z336"/>
  <c r="AG341" i="4"/>
  <c r="E199"/>
  <c r="W397" i="3"/>
  <c r="L337"/>
  <c r="AE345" i="4"/>
  <c r="AF199"/>
  <c r="I398" i="3"/>
  <c r="V337"/>
  <c r="D381" i="4"/>
  <c r="D204"/>
  <c r="A402" i="3"/>
  <c r="N341"/>
  <c r="Q178"/>
  <c r="AF15" i="4"/>
  <c r="L303" i="3"/>
  <c r="Z142"/>
  <c r="I202"/>
  <c r="F183" i="4"/>
  <c r="P39" i="5"/>
  <c r="G80" i="3"/>
  <c r="O20"/>
  <c r="G52" i="7"/>
  <c r="P16" i="6"/>
  <c r="L40" i="5"/>
  <c r="V119" i="3"/>
  <c r="AI67" i="4"/>
  <c r="R407" i="3"/>
  <c r="A205" i="17"/>
  <c r="C215"/>
  <c r="R159" i="6"/>
  <c r="C220" i="13"/>
  <c r="G240" i="12"/>
  <c r="J337" i="5"/>
  <c r="B319"/>
  <c r="J255"/>
  <c r="E298"/>
  <c r="E8" i="14"/>
  <c r="A35" i="6"/>
  <c r="F246" i="5"/>
  <c r="F239"/>
  <c r="C11" i="12"/>
  <c r="J139" i="6"/>
  <c r="K367" i="5"/>
  <c r="A349" i="4"/>
  <c r="A77" i="12"/>
  <c r="J133" i="6"/>
  <c r="K361" i="5"/>
  <c r="AE341" i="4"/>
  <c r="K28" i="6"/>
  <c r="AI52" i="4"/>
  <c r="J385" i="3"/>
  <c r="P212"/>
  <c r="G104" i="5"/>
  <c r="AI111" i="4"/>
  <c r="X274" i="3"/>
  <c r="P86"/>
  <c r="K107" i="5"/>
  <c r="G112" i="4"/>
  <c r="F275" i="3"/>
  <c r="X86"/>
  <c r="G136" i="5"/>
  <c r="AG116" i="4"/>
  <c r="Z277" i="3"/>
  <c r="R89"/>
  <c r="K139" i="5"/>
  <c r="E117" i="4"/>
  <c r="H278" i="3"/>
  <c r="Z89"/>
  <c r="O142" i="5"/>
  <c r="AG117" i="4"/>
  <c r="P278" i="3"/>
  <c r="H90"/>
  <c r="K171" i="5"/>
  <c r="D122" i="4"/>
  <c r="J281" i="3"/>
  <c r="B93"/>
  <c r="U63"/>
  <c r="D275" i="4"/>
  <c r="M178" i="3"/>
  <c r="W55"/>
  <c r="L200"/>
  <c r="G236" i="4"/>
  <c r="F12" i="5"/>
  <c r="G33" i="3"/>
  <c r="S361"/>
  <c r="H382" i="17"/>
  <c r="Q255" i="5"/>
  <c r="I155"/>
  <c r="H202"/>
  <c r="H374" i="4"/>
  <c r="P296" i="3"/>
  <c r="F265" i="4"/>
  <c r="U173" i="3"/>
  <c r="S116" i="5"/>
  <c r="B185" i="12"/>
  <c r="H48"/>
  <c r="H362" i="5"/>
  <c r="T343"/>
  <c r="B152" i="6"/>
  <c r="K147" i="5"/>
  <c r="B127" i="13"/>
  <c r="R348" i="5"/>
  <c r="R142" i="6"/>
  <c r="G138" i="5"/>
  <c r="G230" i="7"/>
  <c r="F40" i="6"/>
  <c r="G268" i="5"/>
  <c r="E276"/>
  <c r="G110" i="7"/>
  <c r="F34" i="6"/>
  <c r="G262" i="5"/>
  <c r="A241"/>
  <c r="N66"/>
  <c r="AH166" i="4"/>
  <c r="B309" i="3"/>
  <c r="G123"/>
  <c r="M113" i="5"/>
  <c r="G225" i="4"/>
  <c r="P198" i="3"/>
  <c r="D359"/>
  <c r="Q116" i="5"/>
  <c r="AI225" i="4"/>
  <c r="X198" i="3"/>
  <c r="P359"/>
  <c r="M145" i="5"/>
  <c r="E231" i="4"/>
  <c r="R201" i="3"/>
  <c r="H363"/>
  <c r="Q148" i="5"/>
  <c r="AJ231" i="4"/>
  <c r="Z201" i="3"/>
  <c r="R363"/>
  <c r="A152" i="5"/>
  <c r="AD232" i="4"/>
  <c r="H202" i="3"/>
  <c r="B364"/>
  <c r="Q180" i="5"/>
  <c r="J238" i="4"/>
  <c r="B205" i="3"/>
  <c r="T367"/>
  <c r="N385"/>
  <c r="I32" i="4"/>
  <c r="H33" i="3"/>
  <c r="Y238"/>
  <c r="I412"/>
  <c r="G199" i="4"/>
  <c r="A281" i="5"/>
  <c r="P161" i="3"/>
  <c r="X41"/>
  <c r="C113" i="17"/>
  <c r="T250" i="5"/>
  <c r="D194"/>
  <c r="J264" i="3"/>
  <c r="E21" i="4"/>
  <c r="J216" i="3"/>
  <c r="A204" i="17"/>
  <c r="D112" i="16"/>
  <c r="N385" i="5"/>
  <c r="E191" i="13"/>
  <c r="F217" i="12"/>
  <c r="E129" i="6"/>
  <c r="Q110"/>
  <c r="B281" i="5"/>
  <c r="A262" i="4"/>
  <c r="D8" i="14"/>
  <c r="M60" i="6"/>
  <c r="R271" i="5"/>
  <c r="AF250" i="4"/>
  <c r="H29" i="12"/>
  <c r="B165" i="6"/>
  <c r="C393" i="5"/>
  <c r="J380" i="4"/>
  <c r="B81" i="12"/>
  <c r="B159" i="6"/>
  <c r="C387" i="5"/>
  <c r="D373" i="4"/>
  <c r="C237" i="5"/>
  <c r="J84" i="4"/>
  <c r="B405" i="3"/>
  <c r="V238"/>
  <c r="AF307" i="4"/>
  <c r="J143"/>
  <c r="P294" i="3"/>
  <c r="S106"/>
  <c r="AF311" i="4"/>
  <c r="B144"/>
  <c r="X294" i="3"/>
  <c r="B107"/>
  <c r="AJ346" i="4"/>
  <c r="J148"/>
  <c r="R297" i="3"/>
  <c r="F110"/>
  <c r="AJ350" i="4"/>
  <c r="B149"/>
  <c r="Z297" i="3"/>
  <c r="P110"/>
  <c r="AG354" i="4"/>
  <c r="J149"/>
  <c r="H298" i="3"/>
  <c r="Y110"/>
  <c r="F390" i="4"/>
  <c r="A154"/>
  <c r="B301" i="3"/>
  <c r="C114"/>
  <c r="Y244"/>
  <c r="S94" i="5"/>
  <c r="I280" i="3"/>
  <c r="U118"/>
  <c r="Z357"/>
  <c r="AG234" i="4"/>
  <c r="R413" i="5"/>
  <c r="I66" i="3"/>
  <c r="H15"/>
  <c r="F3" i="20"/>
  <c r="T369" i="5"/>
  <c r="A387"/>
  <c r="AH301" i="4"/>
  <c r="C124" i="5"/>
  <c r="A84" i="3"/>
  <c r="O35" i="5"/>
  <c r="J327" i="3"/>
  <c r="AH259" i="4"/>
  <c r="A196" i="12"/>
  <c r="E41"/>
  <c r="O153" i="6"/>
  <c r="G135"/>
  <c r="N177"/>
  <c r="C173" i="5"/>
  <c r="H136" i="17"/>
  <c r="J374" i="5"/>
  <c r="J168" i="6"/>
  <c r="S163" i="5"/>
  <c r="F229" i="7"/>
  <c r="R65" i="6"/>
  <c r="S293" i="5"/>
  <c r="D258" i="4"/>
  <c r="F109" i="7"/>
  <c r="R59" i="6"/>
  <c r="S287" i="5"/>
  <c r="AG250" i="4"/>
  <c r="I260"/>
  <c r="D198"/>
  <c r="T328" i="3"/>
  <c r="T145"/>
  <c r="AJ297" i="4"/>
  <c r="AF20"/>
  <c r="H218" i="3"/>
  <c r="L385"/>
  <c r="AI301" i="4"/>
  <c r="D21"/>
  <c r="P218" i="3"/>
  <c r="V385"/>
  <c r="G337" i="4"/>
  <c r="AE25"/>
  <c r="J221" i="3"/>
  <c r="N389"/>
  <c r="E341" i="4"/>
  <c r="C26"/>
  <c r="R221" i="3"/>
  <c r="X389"/>
  <c r="C345" i="4"/>
  <c r="AE26"/>
  <c r="Z221" i="3"/>
  <c r="J390"/>
  <c r="AE380" i="4"/>
  <c r="B31"/>
  <c r="T224" i="3"/>
  <c r="B394"/>
  <c r="T246"/>
  <c r="F49" i="4"/>
  <c r="F10" i="3"/>
  <c r="Y343"/>
  <c r="L210"/>
  <c r="I215" i="4"/>
  <c r="K56" i="5"/>
  <c r="Q260" i="3"/>
  <c r="W84"/>
  <c r="G227" i="7"/>
  <c r="C43" i="6"/>
  <c r="B355" i="4"/>
  <c r="B77" i="3"/>
  <c r="D211" i="4"/>
  <c r="X373" i="3"/>
  <c r="I203" i="17"/>
  <c r="C112" i="16"/>
  <c r="I177" i="6"/>
  <c r="E54" i="16"/>
  <c r="D21" i="13"/>
  <c r="D107" i="6"/>
  <c r="P88"/>
  <c r="N306" i="5"/>
  <c r="AH293" i="4"/>
  <c r="A32" i="16"/>
  <c r="E86" i="6"/>
  <c r="J297" i="5"/>
  <c r="G282" i="4"/>
  <c r="D125" i="17"/>
  <c r="N190" i="6"/>
  <c r="P5"/>
  <c r="C412" i="4"/>
  <c r="H112" i="16"/>
  <c r="N184" i="6"/>
  <c r="O412" i="5"/>
  <c r="AF404" i="4"/>
  <c r="R28" i="6"/>
  <c r="E116" i="4"/>
  <c r="Q109" i="3"/>
  <c r="D265"/>
  <c r="B121" i="5"/>
  <c r="E175" i="4"/>
  <c r="H314" i="3"/>
  <c r="F129"/>
  <c r="F124" i="5"/>
  <c r="AG175" i="4"/>
  <c r="P314" i="3"/>
  <c r="O129"/>
  <c r="B153" i="5"/>
  <c r="C180" i="4"/>
  <c r="J317" i="3"/>
  <c r="T132"/>
  <c r="F156" i="5"/>
  <c r="AD180" i="4"/>
  <c r="R317" i="3"/>
  <c r="C133"/>
  <c r="J159" i="5"/>
  <c r="B181" i="4"/>
  <c r="Z317" i="3"/>
  <c r="L133"/>
  <c r="F188" i="5"/>
  <c r="J185" i="4"/>
  <c r="T320" i="3"/>
  <c r="P136"/>
  <c r="X69"/>
  <c r="B296" i="4"/>
  <c r="K385" i="3"/>
  <c r="S210"/>
  <c r="K200"/>
  <c r="D62" i="5"/>
  <c r="M202" i="6"/>
  <c r="L137" i="3"/>
  <c r="C35"/>
  <c r="H366" i="6"/>
  <c r="K84"/>
  <c r="L309" i="5"/>
  <c r="K39"/>
  <c r="I341"/>
  <c r="K219" i="3"/>
  <c r="S214" i="5"/>
  <c r="Q107" i="3"/>
  <c r="R66" i="5"/>
  <c r="E240" i="17"/>
  <c r="A79" i="13"/>
  <c r="G362" i="5"/>
  <c r="S343"/>
  <c r="F203" i="6"/>
  <c r="O198" i="5"/>
  <c r="F137" i="17"/>
  <c r="B400" i="5"/>
  <c r="B194" i="6"/>
  <c r="K189" i="5"/>
  <c r="E228" i="7"/>
  <c r="J91" i="6"/>
  <c r="K319" i="5"/>
  <c r="AJ289" i="4"/>
  <c r="E108" i="7"/>
  <c r="J85" i="6"/>
  <c r="K313" i="5"/>
  <c r="H282" i="4"/>
  <c r="A83" i="5"/>
  <c r="I230" i="4"/>
  <c r="L348" i="3"/>
  <c r="G168"/>
  <c r="L113" i="5"/>
  <c r="H52" i="4"/>
  <c r="Z237" i="3"/>
  <c r="R411"/>
  <c r="P116" i="5"/>
  <c r="AJ52" i="4"/>
  <c r="H238" i="3"/>
  <c r="B412"/>
  <c r="L145" i="5"/>
  <c r="H57" i="4"/>
  <c r="B241" i="3"/>
  <c r="T415"/>
  <c r="P148" i="5"/>
  <c r="AJ57" i="4"/>
  <c r="J241" i="3"/>
  <c r="F416"/>
  <c r="T151" i="5"/>
  <c r="H58" i="4"/>
  <c r="R241" i="3"/>
  <c r="P416"/>
  <c r="P180" i="5"/>
  <c r="AG62" i="4"/>
  <c r="L244" i="3"/>
  <c r="D56"/>
  <c r="N83"/>
  <c r="E286" i="4"/>
  <c r="W48" i="3"/>
  <c r="Y11"/>
  <c r="U58"/>
  <c r="AI233" i="4"/>
  <c r="A415" i="5"/>
  <c r="S365" i="3"/>
  <c r="L169"/>
  <c r="C461" i="17"/>
  <c r="G222" i="6"/>
  <c r="K108" i="5"/>
  <c r="D210" i="3"/>
  <c r="AH164" i="4"/>
  <c r="R144" i="3"/>
  <c r="G204" i="17"/>
  <c r="B112" i="16"/>
  <c r="M385" i="5"/>
  <c r="I471" i="17"/>
  <c r="C84" i="13"/>
  <c r="P315" i="5"/>
  <c r="H297"/>
  <c r="F332"/>
  <c r="I325" i="4"/>
  <c r="B349" i="17"/>
  <c r="Q111" i="6"/>
  <c r="B323" i="5"/>
  <c r="C314" i="4"/>
  <c r="E124" i="17"/>
  <c r="F216" i="6"/>
  <c r="F31"/>
  <c r="O26" i="5"/>
  <c r="G175" i="13"/>
  <c r="F210" i="6"/>
  <c r="F25"/>
  <c r="O20" i="5"/>
  <c r="R237"/>
  <c r="A148" i="4"/>
  <c r="I129" i="3"/>
  <c r="J291"/>
  <c r="AI327" i="4"/>
  <c r="AE206"/>
  <c r="Z333" i="3"/>
  <c r="S151"/>
  <c r="AH331" i="4"/>
  <c r="C207"/>
  <c r="H334" i="3"/>
  <c r="B152"/>
  <c r="B367" i="4"/>
  <c r="AD211"/>
  <c r="B337" i="3"/>
  <c r="G155"/>
  <c r="B371" i="4"/>
  <c r="B212"/>
  <c r="J337" i="3"/>
  <c r="P155"/>
  <c r="B375" i="4"/>
  <c r="J212"/>
  <c r="R337" i="3"/>
  <c r="Y155"/>
  <c r="J410" i="4"/>
  <c r="AI216"/>
  <c r="L340" i="3"/>
  <c r="C159"/>
  <c r="D253"/>
  <c r="M81" i="5"/>
  <c r="S19" i="3"/>
  <c r="S315"/>
  <c r="Y357"/>
  <c r="H255" i="4"/>
  <c r="G276" i="17"/>
  <c r="M232" i="3"/>
  <c r="Y70"/>
  <c r="D69" i="16"/>
  <c r="K212" i="6"/>
  <c r="T411" i="5"/>
  <c r="K167"/>
  <c r="R12"/>
  <c r="S350" i="3"/>
  <c r="AG380" i="4"/>
  <c r="E250" i="3"/>
  <c r="A385" i="5"/>
  <c r="D230" i="13"/>
  <c r="H245" i="12"/>
  <c r="B154" i="6"/>
  <c r="N135"/>
  <c r="R228"/>
  <c r="G224" i="5"/>
  <c r="D26" i="16"/>
  <c r="M12" i="6"/>
  <c r="N219"/>
  <c r="C215" i="5"/>
  <c r="E96" i="12"/>
  <c r="B117" i="6"/>
  <c r="C345" i="5"/>
  <c r="J321" i="4"/>
  <c r="H46" i="13"/>
  <c r="B111" i="6"/>
  <c r="C339" i="5"/>
  <c r="D314" i="4"/>
  <c r="P262" i="5"/>
  <c r="B25" i="4"/>
  <c r="D368" i="3"/>
  <c r="T190"/>
  <c r="AD318" i="4"/>
  <c r="C84"/>
  <c r="R257" i="3"/>
  <c r="J69"/>
  <c r="J322" i="4"/>
  <c r="AE84"/>
  <c r="Z257" i="3"/>
  <c r="R69"/>
  <c r="AH357" i="4"/>
  <c r="C89"/>
  <c r="T260" i="3"/>
  <c r="L72"/>
  <c r="AG361" i="4"/>
  <c r="AD89"/>
  <c r="B261" i="3"/>
  <c r="T72"/>
  <c r="AF365" i="4"/>
  <c r="B90"/>
  <c r="J261" i="3"/>
  <c r="B73"/>
  <c r="E401" i="4"/>
  <c r="J94"/>
  <c r="D264" i="3"/>
  <c r="V75"/>
  <c r="H271"/>
  <c r="P103" i="5"/>
  <c r="E100" i="3"/>
  <c r="Q31"/>
  <c r="I238"/>
  <c r="AE12" i="4"/>
  <c r="J234" i="5"/>
  <c r="A16" i="3"/>
  <c r="U269"/>
  <c r="A342" i="6"/>
  <c r="O405" i="5"/>
  <c r="I249" i="4"/>
  <c r="R367" i="3"/>
  <c r="D118" i="4"/>
  <c r="L293" i="3"/>
  <c r="D444" i="17"/>
  <c r="D62"/>
  <c r="H177" i="6"/>
  <c r="G521" i="17"/>
  <c r="B85" i="13"/>
  <c r="S107" i="6"/>
  <c r="K89"/>
  <c r="R357" i="5"/>
  <c r="AG356" i="4"/>
  <c r="D386" i="17"/>
  <c r="I137" i="6"/>
  <c r="N348" i="5"/>
  <c r="I345" i="4"/>
  <c r="F75" i="12"/>
  <c r="R262" i="5"/>
  <c r="R56" i="6"/>
  <c r="G52" i="5"/>
  <c r="A23" i="15"/>
  <c r="R256" i="5"/>
  <c r="R50" i="6"/>
  <c r="G46" i="5"/>
  <c r="M29" i="6"/>
  <c r="AD179" i="4"/>
  <c r="A149" i="3"/>
  <c r="P317"/>
  <c r="I137" i="5"/>
  <c r="AG241" i="4"/>
  <c r="R353" i="3"/>
  <c r="F174"/>
  <c r="M140" i="5"/>
  <c r="G242" i="4"/>
  <c r="Z353" i="3"/>
  <c r="P174"/>
  <c r="I169" i="5"/>
  <c r="F248" i="4"/>
  <c r="T356" i="3"/>
  <c r="T177"/>
  <c r="M172" i="5"/>
  <c r="AI6" i="4"/>
  <c r="B357" i="3"/>
  <c r="C178"/>
  <c r="Q175" i="5"/>
  <c r="G7" i="4"/>
  <c r="J357" i="3"/>
  <c r="L178"/>
  <c r="M204" i="5"/>
  <c r="C12" i="4"/>
  <c r="D360" i="3"/>
  <c r="P181"/>
  <c r="U90"/>
  <c r="A131" i="5"/>
  <c r="U40" i="3"/>
  <c r="N6"/>
  <c r="C163" i="4"/>
  <c r="S78" i="5"/>
  <c r="P250" i="6"/>
  <c r="M337" i="3"/>
  <c r="L145"/>
  <c r="H24" i="7"/>
  <c r="O318" i="5"/>
  <c r="G75" i="6"/>
  <c r="AI290" i="4"/>
  <c r="AJ293"/>
  <c r="B265" i="3"/>
  <c r="I222" i="5"/>
  <c r="S407" i="3"/>
  <c r="T281" i="5"/>
  <c r="A45" i="17"/>
  <c r="F48" i="13"/>
  <c r="B363" i="5"/>
  <c r="N344"/>
  <c r="N258"/>
  <c r="Q323"/>
  <c r="C26" i="16"/>
  <c r="E38" i="6"/>
  <c r="J249" i="5"/>
  <c r="B252"/>
  <c r="A88" i="12"/>
  <c r="N142" i="6"/>
  <c r="O370" i="5"/>
  <c r="AJ352" i="4"/>
  <c r="H11" i="13"/>
  <c r="N136" i="6"/>
  <c r="O364" i="5"/>
  <c r="J345" i="4"/>
  <c r="C54" i="6"/>
  <c r="AI56" i="4"/>
  <c r="V387" i="3"/>
  <c r="X215"/>
  <c r="S129" i="5"/>
  <c r="AH115" i="4"/>
  <c r="J277" i="3"/>
  <c r="B89"/>
  <c r="C133" i="5"/>
  <c r="F116" i="4"/>
  <c r="R277" i="3"/>
  <c r="J89"/>
  <c r="S161" i="5"/>
  <c r="AG120" i="4"/>
  <c r="L280" i="3"/>
  <c r="D92"/>
  <c r="C165" i="5"/>
  <c r="E121" i="4"/>
  <c r="T280" i="3"/>
  <c r="L92"/>
  <c r="G168" i="5"/>
  <c r="AF121" i="4"/>
  <c r="B281" i="3"/>
  <c r="T92"/>
  <c r="C197" i="5"/>
  <c r="D126" i="4"/>
  <c r="V283" i="3"/>
  <c r="N95"/>
  <c r="M83"/>
  <c r="A307" i="4"/>
  <c r="T189" i="3"/>
  <c r="A62"/>
  <c r="D220"/>
  <c r="I29" i="4"/>
  <c r="B217" i="5"/>
  <c r="X35" i="3"/>
  <c r="U374"/>
  <c r="G214" i="12"/>
  <c r="R171" i="6"/>
  <c r="Q239" i="5"/>
  <c r="U140" i="3"/>
  <c r="AD71" i="4"/>
  <c r="K80" i="3"/>
  <c r="A269" i="17"/>
  <c r="E482"/>
  <c r="A402" i="6"/>
  <c r="O140"/>
  <c r="F364" i="5"/>
  <c r="AE364" i="4"/>
  <c r="B500" i="17"/>
  <c r="Q143" i="6"/>
  <c r="B355" i="5"/>
  <c r="G353" i="4"/>
  <c r="F203" i="12"/>
  <c r="F269" i="5"/>
  <c r="F63" i="6"/>
  <c r="O58" i="5"/>
  <c r="F83" i="12"/>
  <c r="F263" i="5"/>
  <c r="F57" i="6"/>
  <c r="O52" i="5"/>
  <c r="Q80" i="6"/>
  <c r="H187" i="4"/>
  <c r="Y153" i="3"/>
  <c r="F324"/>
  <c r="M188" i="5"/>
  <c r="AE9" i="4"/>
  <c r="P358" i="3"/>
  <c r="W179"/>
  <c r="Q191" i="5"/>
  <c r="C10" i="4"/>
  <c r="X358" i="3"/>
  <c r="F180"/>
  <c r="M220" i="5"/>
  <c r="AE14" i="4"/>
  <c r="R361" i="3"/>
  <c r="J183"/>
  <c r="Q223" i="5"/>
  <c r="C15" i="4"/>
  <c r="Z361" i="3"/>
  <c r="S183"/>
  <c r="A227" i="5"/>
  <c r="AE15" i="4"/>
  <c r="H362" i="3"/>
  <c r="B184"/>
  <c r="A371" i="5"/>
  <c r="C20" i="4"/>
  <c r="B365" i="3"/>
  <c r="G187"/>
  <c r="A134"/>
  <c r="C102" i="6"/>
  <c r="I48" i="3"/>
  <c r="P11"/>
  <c r="C226" i="4"/>
  <c r="C130" i="5"/>
  <c r="A94" i="3"/>
  <c r="S363"/>
  <c r="Y167"/>
  <c r="F786" i="17"/>
  <c r="R293" i="5"/>
  <c r="I27"/>
  <c r="G313" i="4"/>
  <c r="F385"/>
  <c r="F262" i="3"/>
  <c r="B308" i="4"/>
  <c r="H189" i="3"/>
  <c r="P125" i="5"/>
  <c r="G218" i="7"/>
  <c r="D412" i="6"/>
  <c r="N12" i="5"/>
  <c r="AF403" i="4"/>
  <c r="B56" i="6"/>
  <c r="K51" i="5"/>
  <c r="F154" i="13"/>
  <c r="F237" i="6"/>
  <c r="R46"/>
  <c r="G42" i="5"/>
  <c r="S387" i="6"/>
  <c r="G357" i="5"/>
  <c r="K168" i="6"/>
  <c r="T147" i="5"/>
  <c r="B324" i="6"/>
  <c r="G351" i="5"/>
  <c r="K162" i="6"/>
  <c r="T141" i="5"/>
  <c r="P84"/>
  <c r="AJ47" i="4"/>
  <c r="F235" i="3"/>
  <c r="Z407"/>
  <c r="N21" i="5"/>
  <c r="AJ106" i="4"/>
  <c r="E321" i="3"/>
  <c r="R260"/>
  <c r="B22" i="5"/>
  <c r="H107" i="4"/>
  <c r="O321" i="3"/>
  <c r="D261"/>
  <c r="B36" i="5"/>
  <c r="AJ111" i="4"/>
  <c r="G325" i="3"/>
  <c r="V264"/>
  <c r="B38" i="5"/>
  <c r="H112" i="4"/>
  <c r="S325" i="3"/>
  <c r="F265"/>
  <c r="F39" i="5"/>
  <c r="AJ112" i="4"/>
  <c r="C326" i="3"/>
  <c r="P265"/>
  <c r="B54" i="5"/>
  <c r="F117" i="4"/>
  <c r="U329" i="3"/>
  <c r="H269"/>
  <c r="I264"/>
  <c r="F29" i="4"/>
  <c r="M286" i="3"/>
  <c r="R19"/>
  <c r="F71"/>
  <c r="G242"/>
  <c r="AE16" i="4"/>
  <c r="A115" i="17"/>
  <c r="C206" i="3"/>
  <c r="G150"/>
  <c r="AE34" i="4"/>
  <c r="E306" i="3"/>
  <c r="W287"/>
  <c r="J306"/>
  <c r="R53"/>
  <c r="D21"/>
  <c r="D55"/>
  <c r="V270"/>
  <c r="C85"/>
  <c r="I26" i="6"/>
  <c r="A105" i="3"/>
  <c r="X184"/>
  <c r="O349" i="5"/>
  <c r="R389"/>
  <c r="E396" i="4"/>
  <c r="I563" i="17"/>
  <c r="I169" i="6"/>
  <c r="N380" i="5"/>
  <c r="AJ384" i="4"/>
  <c r="D7" i="13"/>
  <c r="R294" i="5"/>
  <c r="R88" i="6"/>
  <c r="G84" i="5"/>
  <c r="E143" i="12"/>
  <c r="R288" i="5"/>
  <c r="R82" i="6"/>
  <c r="G78" i="5"/>
  <c r="P58" i="6"/>
  <c r="AH218" i="4"/>
  <c r="Q173" i="3"/>
  <c r="L350"/>
  <c r="H368" i="5"/>
  <c r="I41" i="4"/>
  <c r="H378" i="3"/>
  <c r="D203"/>
  <c r="L371" i="5"/>
  <c r="AJ41" i="4"/>
  <c r="P378" i="3"/>
  <c r="P203"/>
  <c r="H400" i="5"/>
  <c r="G46" i="4"/>
  <c r="J381" i="3"/>
  <c r="H207"/>
  <c r="L403" i="5"/>
  <c r="AI46" i="4"/>
  <c r="R381" i="3"/>
  <c r="R207"/>
  <c r="P406" i="5"/>
  <c r="G47" i="4"/>
  <c r="Z381" i="3"/>
  <c r="B208"/>
  <c r="C22" i="6"/>
  <c r="AI51" i="4"/>
  <c r="T384" i="3"/>
  <c r="T211"/>
  <c r="M333"/>
  <c r="S290" i="5"/>
  <c r="S98" i="3"/>
  <c r="H31"/>
  <c r="F247" i="4"/>
  <c r="H339"/>
  <c r="Y350" i="3"/>
  <c r="R15"/>
  <c r="A268"/>
  <c r="A56"/>
  <c r="N370" i="5"/>
  <c r="Q129"/>
  <c r="Q48"/>
  <c r="H107"/>
  <c r="I37" i="3"/>
  <c r="D70" i="5"/>
  <c r="M345" i="3"/>
  <c r="AG270" i="4"/>
  <c r="F217" i="7"/>
  <c r="O411" i="6"/>
  <c r="J217" i="5"/>
  <c r="B199"/>
  <c r="N81" i="6"/>
  <c r="C77" i="5"/>
  <c r="E131" i="13"/>
  <c r="J278" i="5"/>
  <c r="J72" i="6"/>
  <c r="S67" i="5"/>
  <c r="N388" i="6"/>
  <c r="S382" i="5"/>
  <c r="C194" i="6"/>
  <c r="L173" i="5"/>
  <c r="I324" i="6"/>
  <c r="S376" i="5"/>
  <c r="C188" i="6"/>
  <c r="L167" i="5"/>
  <c r="AJ282" i="4"/>
  <c r="AF79"/>
  <c r="X254" i="3"/>
  <c r="P66"/>
  <c r="J122" i="5"/>
  <c r="AF138" i="4"/>
  <c r="K347" i="3"/>
  <c r="Z286"/>
  <c r="J124" i="5"/>
  <c r="D139" i="4"/>
  <c r="W347" i="3"/>
  <c r="J287"/>
  <c r="J138" i="5"/>
  <c r="AE143" i="4"/>
  <c r="O351" i="3"/>
  <c r="B291"/>
  <c r="J140" i="5"/>
  <c r="C144" i="4"/>
  <c r="Y351" i="3"/>
  <c r="L291"/>
  <c r="N141" i="5"/>
  <c r="AE144" i="4"/>
  <c r="I352" i="3"/>
  <c r="X291"/>
  <c r="J156" i="5"/>
  <c r="C149" i="4"/>
  <c r="A356" i="3"/>
  <c r="P295"/>
  <c r="C42"/>
  <c r="AD45" i="4"/>
  <c r="L25" i="3"/>
  <c r="T40"/>
  <c r="V254"/>
  <c r="U399"/>
  <c r="H33" i="4"/>
  <c r="T23" i="3"/>
  <c r="C311"/>
  <c r="K112" i="5"/>
  <c r="AI362" i="4"/>
  <c r="T21" i="3"/>
  <c r="A18"/>
  <c r="W171"/>
  <c r="L190"/>
  <c r="C78"/>
  <c r="D222" i="4"/>
  <c r="E83" i="3"/>
  <c r="A255"/>
  <c r="J6"/>
  <c r="Y258"/>
  <c r="J145"/>
  <c r="J141" i="6"/>
  <c r="J415" i="5"/>
  <c r="R13"/>
  <c r="D567" i="17"/>
  <c r="A195" i="6"/>
  <c r="F406" i="5"/>
  <c r="H416" i="4"/>
  <c r="C70" i="13"/>
  <c r="J320" i="5"/>
  <c r="J114" i="6"/>
  <c r="S109" i="5"/>
  <c r="D206" i="12"/>
  <c r="J314" i="5"/>
  <c r="J108" i="6"/>
  <c r="S103" i="5"/>
  <c r="H267"/>
  <c r="B14" i="4"/>
  <c r="I193" i="3"/>
  <c r="R376"/>
  <c r="O159" i="6"/>
  <c r="C73" i="4"/>
  <c r="Z397" i="3"/>
  <c r="L229"/>
  <c r="S162" i="6"/>
  <c r="AE73" i="4"/>
  <c r="H398" i="3"/>
  <c r="V229"/>
  <c r="O191" i="6"/>
  <c r="C78" i="4"/>
  <c r="B401" i="3"/>
  <c r="N233"/>
  <c r="S194" i="6"/>
  <c r="AE78" i="4"/>
  <c r="J401" i="3"/>
  <c r="X233"/>
  <c r="C198" i="6"/>
  <c r="C79" i="4"/>
  <c r="R401" i="3"/>
  <c r="J234"/>
  <c r="S226" i="6"/>
  <c r="J83" i="4"/>
  <c r="L404" i="3"/>
  <c r="B238"/>
  <c r="N291"/>
  <c r="D238" i="6"/>
  <c r="B188" i="3"/>
  <c r="C61"/>
  <c r="AH21" i="4"/>
  <c r="A353"/>
  <c r="C23" i="3"/>
  <c r="N35"/>
  <c r="C373"/>
  <c r="Q16"/>
  <c r="M85" i="6"/>
  <c r="T283" i="5"/>
  <c r="Q176"/>
  <c r="H235"/>
  <c r="Y162" i="3"/>
  <c r="P223" i="5"/>
  <c r="H106" i="3"/>
  <c r="C40" i="5"/>
  <c r="E216" i="7"/>
  <c r="F411" i="6"/>
  <c r="A29" i="5"/>
  <c r="M10"/>
  <c r="F107" i="6"/>
  <c r="O102" i="5"/>
  <c r="D191" i="13"/>
  <c r="B304" i="5"/>
  <c r="B98" i="6"/>
  <c r="K93" i="5"/>
  <c r="B11" i="10"/>
  <c r="K408" i="5"/>
  <c r="O219" i="6"/>
  <c r="D199" i="5"/>
  <c r="A238" i="7"/>
  <c r="K402" i="5"/>
  <c r="O213" i="6"/>
  <c r="D193" i="5"/>
  <c r="C101"/>
  <c r="G111" i="4"/>
  <c r="P274" i="3"/>
  <c r="H86"/>
  <c r="R224" i="5"/>
  <c r="F170" i="4"/>
  <c r="S373" i="3"/>
  <c r="F313"/>
  <c r="R226" i="5"/>
  <c r="AH170" i="4"/>
  <c r="C374" i="3"/>
  <c r="P313"/>
  <c r="M252" i="5"/>
  <c r="F175" i="4"/>
  <c r="U377" i="3"/>
  <c r="H317"/>
  <c r="I267" i="5"/>
  <c r="AH175" i="4"/>
  <c r="E378" i="3"/>
  <c r="T317"/>
  <c r="A277" i="5"/>
  <c r="F176" i="4"/>
  <c r="Q378" i="3"/>
  <c r="D318"/>
  <c r="I395" i="5"/>
  <c r="AE180" i="4"/>
  <c r="I382" i="3"/>
  <c r="V321"/>
  <c r="B51"/>
  <c r="G62" i="4"/>
  <c r="G279" i="3"/>
  <c r="Q82"/>
  <c r="E71"/>
  <c r="AJ230" i="4"/>
  <c r="F270"/>
  <c r="Y46" i="3"/>
  <c r="E416"/>
  <c r="R32" i="5"/>
  <c r="Q58" i="3"/>
  <c r="W79"/>
  <c r="U69"/>
  <c r="P377"/>
  <c r="Q382"/>
  <c r="S239"/>
  <c r="L132" i="5"/>
  <c r="U270" i="3"/>
  <c r="W11"/>
  <c r="J46"/>
  <c r="J80"/>
  <c r="V38"/>
  <c r="F367" i="5"/>
  <c r="A28" i="6"/>
  <c r="J39" i="5"/>
  <c r="A953" i="17"/>
  <c r="M220" i="6"/>
  <c r="Q18"/>
  <c r="F30" i="5"/>
  <c r="B71" i="13"/>
  <c r="B346" i="5"/>
  <c r="B140" i="6"/>
  <c r="K135" i="5"/>
  <c r="C207" i="12"/>
  <c r="B340" i="5"/>
  <c r="B134" i="6"/>
  <c r="K129" i="5"/>
  <c r="K59" i="6"/>
  <c r="AH45" i="4"/>
  <c r="A213" i="3"/>
  <c r="Z402"/>
  <c r="G368" i="5"/>
  <c r="AH104" i="4"/>
  <c r="R417" i="3"/>
  <c r="R255"/>
  <c r="K371" i="5"/>
  <c r="F105" i="4"/>
  <c r="Z417" i="3"/>
  <c r="B256"/>
  <c r="G400" i="5"/>
  <c r="AH109" i="4"/>
  <c r="Q105" i="3"/>
  <c r="T259"/>
  <c r="K403" i="5"/>
  <c r="F110" i="4"/>
  <c r="Y105" i="3"/>
  <c r="F260"/>
  <c r="O406" i="5"/>
  <c r="AH110" i="4"/>
  <c r="G106" i="3"/>
  <c r="P260"/>
  <c r="J22" i="6"/>
  <c r="E115" i="4"/>
  <c r="A109" i="3"/>
  <c r="H264"/>
  <c r="Y133"/>
  <c r="I198"/>
  <c r="O291"/>
  <c r="O128"/>
  <c r="AE38" i="4"/>
  <c r="L387" i="5"/>
  <c r="W45" i="3"/>
  <c r="X71"/>
  <c r="C17"/>
  <c r="K406"/>
  <c r="I162" i="6"/>
  <c r="C24"/>
  <c r="A281" i="4"/>
  <c r="AJ405"/>
  <c r="S314" i="3"/>
  <c r="AE391" i="4"/>
  <c r="P248" i="3"/>
  <c r="O193" i="5"/>
  <c r="D77" i="12"/>
  <c r="G13"/>
  <c r="Q233" i="5"/>
  <c r="I215"/>
  <c r="R132" i="6"/>
  <c r="G128" i="5"/>
  <c r="H69" i="16"/>
  <c r="N329" i="5"/>
  <c r="N123" i="6"/>
  <c r="C119" i="5"/>
  <c r="A13" i="10"/>
  <c r="B21" i="6"/>
  <c r="C249" i="5"/>
  <c r="P224"/>
  <c r="H239" i="7"/>
  <c r="B15" i="6"/>
  <c r="C243" i="5"/>
  <c r="P218"/>
  <c r="AG303" i="4"/>
  <c r="B143"/>
  <c r="H294" i="3"/>
  <c r="J106"/>
  <c r="G361" i="4"/>
  <c r="AF201"/>
  <c r="Y399" i="3"/>
  <c r="L339"/>
  <c r="F365" i="4"/>
  <c r="D202"/>
  <c r="I400" i="3"/>
  <c r="X339"/>
  <c r="AI400" i="4"/>
  <c r="AF206"/>
  <c r="A404" i="3"/>
  <c r="P343"/>
  <c r="AH404" i="4"/>
  <c r="D207"/>
  <c r="M404" i="3"/>
  <c r="Z343"/>
  <c r="AH408" i="4"/>
  <c r="AF207"/>
  <c r="W404" i="3"/>
  <c r="J344"/>
  <c r="E27" i="5"/>
  <c r="C212" i="4"/>
  <c r="O408" i="3"/>
  <c r="B348"/>
  <c r="Z227"/>
  <c r="D79" i="4"/>
  <c r="H399" i="3"/>
  <c r="M165"/>
  <c r="U254"/>
  <c r="G9" i="4"/>
  <c r="T90" i="5"/>
  <c r="G95" i="3"/>
  <c r="M25"/>
  <c r="C239" i="7"/>
  <c r="W332" i="3"/>
  <c r="A243"/>
  <c r="Z85"/>
  <c r="W192"/>
  <c r="L221"/>
  <c r="Y85"/>
  <c r="Y186"/>
  <c r="AJ154" i="4"/>
  <c r="K54" i="3"/>
  <c r="S169"/>
  <c r="G101"/>
  <c r="G244"/>
  <c r="A159" i="6"/>
  <c r="M53"/>
  <c r="B65" i="5"/>
  <c r="D38" i="20"/>
  <c r="M249" i="5"/>
  <c r="I44" i="6"/>
  <c r="R55" i="5"/>
  <c r="A87" i="17"/>
  <c r="N371" i="5"/>
  <c r="N165" i="6"/>
  <c r="C161" i="5"/>
  <c r="G90" i="16"/>
  <c r="N365" i="5"/>
  <c r="N159" i="6"/>
  <c r="C155" i="5"/>
  <c r="K268"/>
  <c r="J77" i="4"/>
  <c r="S232" i="3"/>
  <c r="K44"/>
  <c r="B160" i="6"/>
  <c r="J136" i="4"/>
  <c r="G122" i="3"/>
  <c r="X281"/>
  <c r="F163" i="6"/>
  <c r="B137" i="4"/>
  <c r="O122" i="3"/>
  <c r="J282"/>
  <c r="B192" i="6"/>
  <c r="I141" i="4"/>
  <c r="I125" i="3"/>
  <c r="B286"/>
  <c r="F195" i="6"/>
  <c r="A142" i="4"/>
  <c r="Q125" i="3"/>
  <c r="L286"/>
  <c r="J198" i="6"/>
  <c r="I142" i="4"/>
  <c r="Y125" i="3"/>
  <c r="V286"/>
  <c r="F227" i="6"/>
  <c r="A147" i="4"/>
  <c r="S128" i="3"/>
  <c r="N290"/>
  <c r="M291"/>
  <c r="W248"/>
  <c r="O396"/>
  <c r="C222"/>
  <c r="H55" i="4"/>
  <c r="O158" i="6"/>
  <c r="O92" i="3"/>
  <c r="F147"/>
  <c r="H37"/>
  <c r="T183"/>
  <c r="H12" i="6"/>
  <c r="C152"/>
  <c r="D23" i="5"/>
  <c r="O149"/>
  <c r="V82" i="3"/>
  <c r="O163" i="5"/>
  <c r="X379" i="3"/>
  <c r="J354" i="4"/>
  <c r="G68" i="12"/>
  <c r="D10"/>
  <c r="L413" i="5"/>
  <c r="D395"/>
  <c r="J158" i="6"/>
  <c r="S153" i="5"/>
  <c r="E73" i="16"/>
  <c r="F355" i="5"/>
  <c r="F149" i="6"/>
  <c r="O144" i="5"/>
  <c r="F10" i="10"/>
  <c r="N46" i="6"/>
  <c r="O274" i="5"/>
  <c r="I327"/>
  <c r="G238" i="7"/>
  <c r="N40" i="6"/>
  <c r="O268" i="5"/>
  <c r="I279"/>
  <c r="R117"/>
  <c r="AG174" i="4"/>
  <c r="Z313" i="3"/>
  <c r="W128"/>
  <c r="Q164" i="5"/>
  <c r="D235" i="4"/>
  <c r="N203" i="3"/>
  <c r="T365"/>
  <c r="A168" i="5"/>
  <c r="AI235" i="4"/>
  <c r="V203" i="3"/>
  <c r="D366"/>
  <c r="Q196" i="5"/>
  <c r="AH241" i="4"/>
  <c r="P206" i="3"/>
  <c r="V369"/>
  <c r="A200" i="5"/>
  <c r="I242" i="4"/>
  <c r="X206" i="3"/>
  <c r="F370"/>
  <c r="E203" i="5"/>
  <c r="B243" i="4"/>
  <c r="F207" i="3"/>
  <c r="R370"/>
  <c r="A232" i="5"/>
  <c r="AJ6" i="4"/>
  <c r="Z209" i="3"/>
  <c r="J374"/>
  <c r="R104"/>
  <c r="A96" i="4"/>
  <c r="O79" i="3"/>
  <c r="E265"/>
  <c r="H77"/>
  <c r="AG25" i="4"/>
  <c r="D291"/>
  <c r="D184" i="3"/>
  <c r="S49"/>
  <c r="G71" i="20"/>
  <c r="T26" i="3"/>
  <c r="W90"/>
  <c r="H274"/>
  <c r="D402"/>
  <c r="H325"/>
  <c r="G274"/>
  <c r="X63"/>
  <c r="AH36" i="4"/>
  <c r="L394" i="3"/>
  <c r="A360"/>
  <c r="C85" i="6"/>
  <c r="V40" i="3"/>
  <c r="E367" i="5"/>
  <c r="E79" i="6"/>
  <c r="N90" i="5"/>
  <c r="R40"/>
  <c r="E275"/>
  <c r="A70" i="6"/>
  <c r="J81" i="5"/>
  <c r="H87" i="17"/>
  <c r="F397" i="5"/>
  <c r="F191" i="6"/>
  <c r="O186" i="5"/>
  <c r="F91" i="16"/>
  <c r="F391" i="5"/>
  <c r="F185" i="6"/>
  <c r="O180" i="5"/>
  <c r="F60" i="6"/>
  <c r="E109" i="4"/>
  <c r="K252" i="3"/>
  <c r="C64"/>
  <c r="B369" i="5"/>
  <c r="D168" i="4"/>
  <c r="Y141" i="3"/>
  <c r="F308"/>
  <c r="F372" i="5"/>
  <c r="AF168" i="4"/>
  <c r="G142" i="3"/>
  <c r="P308"/>
  <c r="B401" i="5"/>
  <c r="D173" i="4"/>
  <c r="A145" i="3"/>
  <c r="H312"/>
  <c r="F404" i="5"/>
  <c r="AF173" i="4"/>
  <c r="I145" i="3"/>
  <c r="R312"/>
  <c r="J407" i="5"/>
  <c r="D174" i="4"/>
  <c r="Q145" i="3"/>
  <c r="D313"/>
  <c r="E23" i="6"/>
  <c r="AE178" i="4"/>
  <c r="K148" i="3"/>
  <c r="V316"/>
  <c r="E56" i="4"/>
  <c r="Q404" i="3"/>
  <c r="V21"/>
  <c r="C327"/>
  <c r="C72" i="4"/>
  <c r="D401" i="6"/>
  <c r="B181" i="3"/>
  <c r="W243"/>
  <c r="Q75"/>
  <c r="H46"/>
  <c r="P114" i="6"/>
  <c r="G258" i="5"/>
  <c r="D151"/>
  <c r="I300" i="4"/>
  <c r="V217" i="3"/>
  <c r="AH317" i="4"/>
  <c r="Q152" i="3"/>
  <c r="Q52" i="5"/>
  <c r="E98" i="12"/>
  <c r="A13"/>
  <c r="S204" i="6"/>
  <c r="K186"/>
  <c r="B184"/>
  <c r="K179" i="5"/>
  <c r="F314" i="17"/>
  <c r="R380" i="5"/>
  <c r="R174" i="6"/>
  <c r="G170" i="5"/>
  <c r="C8" i="10"/>
  <c r="F72" i="6"/>
  <c r="G300" i="5"/>
  <c r="A266" i="4"/>
  <c r="F237" i="7"/>
  <c r="F66" i="6"/>
  <c r="G294" i="5"/>
  <c r="AE258" i="4"/>
  <c r="AJ323"/>
  <c r="C206"/>
  <c r="R333" i="3"/>
  <c r="J151"/>
  <c r="AH360" i="4"/>
  <c r="AE28"/>
  <c r="F223" i="3"/>
  <c r="Z391"/>
  <c r="AG364" i="4"/>
  <c r="C29"/>
  <c r="N223" i="3"/>
  <c r="J392"/>
  <c r="F400" i="4"/>
  <c r="J33"/>
  <c r="H226" i="3"/>
  <c r="B396"/>
  <c r="F404" i="4"/>
  <c r="B34"/>
  <c r="P226" i="3"/>
  <c r="N396"/>
  <c r="E408" i="4"/>
  <c r="J34"/>
  <c r="X226" i="3"/>
  <c r="X396"/>
  <c r="D27" i="5"/>
  <c r="B39" i="4"/>
  <c r="R229" i="3"/>
  <c r="P400"/>
  <c r="H299"/>
  <c r="AG112" i="4"/>
  <c r="Z24" i="3"/>
  <c r="E370"/>
  <c r="Z262"/>
  <c r="J42" i="4"/>
  <c r="O107" i="5"/>
  <c r="Y286" i="3"/>
  <c r="C102"/>
  <c r="G438" i="17"/>
  <c r="Y95" i="3"/>
  <c r="E279"/>
  <c r="AI110" i="4"/>
  <c r="V192" i="3"/>
  <c r="C34" i="5"/>
  <c r="H144" i="4"/>
  <c r="U212" i="3"/>
  <c r="V88"/>
  <c r="B225"/>
  <c r="O31"/>
  <c r="T140" i="6"/>
  <c r="O325" i="5"/>
  <c r="N99"/>
  <c r="M215" i="3"/>
  <c r="J58" i="4"/>
  <c r="AJ403"/>
  <c r="I295" i="3"/>
  <c r="C186" i="5"/>
  <c r="B263" i="3"/>
  <c r="E114" i="4"/>
  <c r="G55" i="13"/>
  <c r="I15" i="4"/>
  <c r="C393"/>
  <c r="V86" i="3"/>
  <c r="AJ12" i="4"/>
  <c r="F70"/>
  <c r="F368" i="3"/>
  <c r="V13"/>
  <c r="D152" i="4"/>
  <c r="C185"/>
  <c r="C297" i="3"/>
  <c r="E392" i="4"/>
  <c r="B104" i="6"/>
  <c r="K99" i="5"/>
  <c r="D127" i="13"/>
  <c r="R300" i="5"/>
  <c r="R94" i="6"/>
  <c r="G90" i="5"/>
  <c r="H2" i="8"/>
  <c r="G405" i="5"/>
  <c r="K216" i="6"/>
  <c r="T195" i="5"/>
  <c r="A174" i="7"/>
  <c r="G399" i="5"/>
  <c r="K210" i="6"/>
  <c r="T189" i="5"/>
  <c r="K75"/>
  <c r="G107" i="4"/>
  <c r="D272" i="3"/>
  <c r="V83"/>
  <c r="B212" i="5"/>
  <c r="G166" i="4"/>
  <c r="K370" i="3"/>
  <c r="X309"/>
  <c r="B214" i="5"/>
  <c r="AI166" i="4"/>
  <c r="U370" i="3"/>
  <c r="J310"/>
  <c r="B228" i="5"/>
  <c r="F171" i="4"/>
  <c r="M374" i="3"/>
  <c r="B314"/>
  <c r="B230" i="5"/>
  <c r="AH171" i="4"/>
  <c r="Y374" i="3"/>
  <c r="L314"/>
  <c r="F231" i="5"/>
  <c r="F172" i="4"/>
  <c r="I375" i="3"/>
  <c r="V314"/>
  <c r="A293" i="5"/>
  <c r="AG176" i="4"/>
  <c r="A379" i="3"/>
  <c r="N318"/>
  <c r="W401"/>
  <c r="AE30" i="4"/>
  <c r="A155" i="3"/>
  <c r="Y75"/>
  <c r="M51"/>
  <c r="I198" i="4"/>
  <c r="AG238"/>
  <c r="Z42" i="3"/>
  <c r="A403"/>
  <c r="F136" i="12"/>
  <c r="Q87" i="5"/>
  <c r="I288" i="4"/>
  <c r="C199" i="7"/>
  <c r="AF159" i="4"/>
  <c r="S402" i="5"/>
  <c r="AJ81" i="4"/>
  <c r="Y398" i="3"/>
  <c r="F40" i="4"/>
  <c r="D879" i="17"/>
  <c r="G876"/>
  <c r="A97" i="13"/>
  <c r="B92" i="12"/>
  <c r="G209" i="6"/>
  <c r="P188" i="5"/>
  <c r="C226" i="7"/>
  <c r="S388" i="5"/>
  <c r="C200" i="6"/>
  <c r="L179" i="5"/>
  <c r="C317" i="6"/>
  <c r="C97"/>
  <c r="T325" i="5"/>
  <c r="A277" i="4"/>
  <c r="C311" i="6"/>
  <c r="C91"/>
  <c r="T319" i="5"/>
  <c r="J269" i="4"/>
  <c r="J296"/>
  <c r="E204"/>
  <c r="W205" i="3"/>
  <c r="W152"/>
  <c r="K156" i="5"/>
  <c r="AG26" i="4"/>
  <c r="O81" i="3"/>
  <c r="Z346"/>
  <c r="S156" i="5"/>
  <c r="E27" i="4"/>
  <c r="W81" i="3"/>
  <c r="J347"/>
  <c r="K160" i="5"/>
  <c r="AF31" i="4"/>
  <c r="Q84" i="3"/>
  <c r="B351"/>
  <c r="S160" i="5"/>
  <c r="D32" i="4"/>
  <c r="Y84" i="3"/>
  <c r="L351"/>
  <c r="G161" i="5"/>
  <c r="AF32" i="4"/>
  <c r="G85" i="3"/>
  <c r="X351"/>
  <c r="S164" i="5"/>
  <c r="D37" i="4"/>
  <c r="A88" i="3"/>
  <c r="P355"/>
  <c r="Q22"/>
  <c r="G248"/>
  <c r="T106" i="5"/>
  <c r="K101" i="3"/>
  <c r="B13"/>
  <c r="L417"/>
  <c r="Q218"/>
  <c r="J42" i="5"/>
  <c r="K11" i="3"/>
  <c r="AE237" i="4"/>
  <c r="N153" i="6"/>
  <c r="O309" i="3"/>
  <c r="G368"/>
  <c r="Q370"/>
  <c r="W177"/>
  <c r="N36"/>
  <c r="O203" i="5"/>
  <c r="A176" i="3"/>
  <c r="C126"/>
  <c r="U367"/>
  <c r="G63" i="4"/>
  <c r="B33" i="3"/>
  <c r="Q189" i="5"/>
  <c r="N129" i="6"/>
  <c r="C125" i="5"/>
  <c r="C190" i="13"/>
  <c r="J326" i="5"/>
  <c r="J120" i="6"/>
  <c r="S115" i="5"/>
  <c r="N222" i="6"/>
  <c r="N37"/>
  <c r="C33" i="5"/>
  <c r="D181" i="17"/>
  <c r="N216" i="6"/>
  <c r="N31"/>
  <c r="C27" i="5"/>
  <c r="B289"/>
  <c r="AI155" i="4"/>
  <c r="G134" i="3"/>
  <c r="X297"/>
  <c r="AG390" i="4"/>
  <c r="H214"/>
  <c r="X338" i="3"/>
  <c r="J157"/>
  <c r="AF394" i="4"/>
  <c r="AI214"/>
  <c r="F339" i="3"/>
  <c r="S157"/>
  <c r="Q15" i="5"/>
  <c r="G219" i="4"/>
  <c r="Z341" i="3"/>
  <c r="W160"/>
  <c r="A19" i="5"/>
  <c r="AI219" i="4"/>
  <c r="H342" i="3"/>
  <c r="F161"/>
  <c r="E22" i="5"/>
  <c r="G220" i="4"/>
  <c r="P342" i="3"/>
  <c r="O161"/>
  <c r="A51" i="5"/>
  <c r="AH224" i="4"/>
  <c r="J345" i="3"/>
  <c r="T164"/>
  <c r="P305"/>
  <c r="L81" i="5"/>
  <c r="Q24" i="3"/>
  <c r="A342"/>
  <c r="I397"/>
  <c r="AH318" i="4"/>
  <c r="W353" i="3"/>
  <c r="Y86"/>
  <c r="A23"/>
  <c r="E27" i="17"/>
  <c r="F101" i="6"/>
  <c r="S13" i="5"/>
  <c r="AE314" i="4"/>
  <c r="U148" i="3"/>
  <c r="S33" i="5"/>
  <c r="B229" i="3"/>
  <c r="N73" i="6"/>
  <c r="G150" i="12"/>
  <c r="G117" i="13"/>
  <c r="F205" i="6"/>
  <c r="R186"/>
  <c r="J30"/>
  <c r="S25" i="5"/>
  <c r="G95" i="13"/>
  <c r="F206" i="6"/>
  <c r="J33" i="5"/>
  <c r="B135" i="13"/>
  <c r="J123" i="6"/>
  <c r="K351" i="5"/>
  <c r="H122"/>
  <c r="A135" i="6"/>
  <c r="J342" i="4"/>
  <c r="G203"/>
  <c r="H114" i="3"/>
  <c r="B362" i="4"/>
  <c r="Y294" i="3"/>
  <c r="B126" i="4"/>
  <c r="O74" i="3"/>
  <c r="AH30" i="4"/>
  <c r="A264" i="3"/>
  <c r="A15" i="4"/>
  <c r="S186" i="5"/>
  <c r="Z271" i="3"/>
  <c r="G102" i="4"/>
  <c r="M77" i="6"/>
  <c r="M21" i="3"/>
  <c r="M176"/>
  <c r="S225" i="5"/>
  <c r="X14" i="3"/>
  <c r="U17"/>
  <c r="S42"/>
  <c r="N134" i="5"/>
  <c r="F2" i="12"/>
  <c r="G411" i="6"/>
  <c r="E13" i="9"/>
  <c r="R137" i="5"/>
  <c r="B74" i="12"/>
  <c r="K414" i="6"/>
  <c r="E21" i="9"/>
  <c r="B141" i="5"/>
  <c r="H5" i="13"/>
  <c r="F2" i="7"/>
  <c r="E29" i="9"/>
  <c r="F144" i="5"/>
  <c r="E19" i="12"/>
  <c r="F10" i="7"/>
  <c r="E37" i="9"/>
  <c r="J147" i="5"/>
  <c r="A40" i="9"/>
  <c r="K398" i="6"/>
  <c r="F99" i="7"/>
  <c r="E256" i="6"/>
  <c r="F157" i="17"/>
  <c r="H114" i="16"/>
  <c r="F100" i="7"/>
  <c r="M256" i="6"/>
  <c r="T42"/>
  <c r="T23"/>
  <c r="D249" i="4"/>
  <c r="J212" i="5"/>
  <c r="P33" i="6"/>
  <c r="P14"/>
  <c r="A349" i="5"/>
  <c r="F203"/>
  <c r="L24" i="6"/>
  <c r="I239"/>
  <c r="I275" i="5"/>
  <c r="B194"/>
  <c r="T24" i="6"/>
  <c r="H441" i="17"/>
  <c r="F148" i="13"/>
  <c r="R409" i="6"/>
  <c r="A84" i="16"/>
  <c r="D51" i="13"/>
  <c r="D25" i="9"/>
  <c r="I351" i="6"/>
  <c r="A29" i="16"/>
  <c r="E252" i="12"/>
  <c r="F282" i="7"/>
  <c r="I329" i="6"/>
  <c r="H163" i="17"/>
  <c r="G26"/>
  <c r="F107" i="7"/>
  <c r="I259" i="6"/>
  <c r="G164" i="17"/>
  <c r="C30"/>
  <c r="F108" i="7"/>
  <c r="Q259" i="6"/>
  <c r="D46"/>
  <c r="D27"/>
  <c r="C253" i="4"/>
  <c r="N215" i="5"/>
  <c r="T36" i="6"/>
  <c r="T17"/>
  <c r="M374" i="5"/>
  <c r="J206"/>
  <c r="P27" i="6"/>
  <c r="P8"/>
  <c r="A301" i="5"/>
  <c r="F197"/>
  <c r="D28" i="6"/>
  <c r="E5" i="20"/>
  <c r="A101"/>
  <c r="B122" i="17"/>
  <c r="I311"/>
  <c r="L15" i="6"/>
  <c r="I355" i="5"/>
  <c r="B204"/>
  <c r="H25" i="6"/>
  <c r="H6"/>
  <c r="Q281" i="5"/>
  <c r="G596" i="17"/>
  <c r="I147" i="6"/>
  <c r="N358" i="5"/>
  <c r="AG357" i="4"/>
  <c r="E457" i="17"/>
  <c r="I141" i="6"/>
  <c r="N352" i="5"/>
  <c r="H350" i="4"/>
  <c r="H356" i="6"/>
  <c r="AF294" i="4"/>
  <c r="Y377" i="3"/>
  <c r="S202"/>
  <c r="B217" i="6"/>
  <c r="I133" i="4"/>
  <c r="M267" i="3"/>
  <c r="E79"/>
  <c r="F220" i="6"/>
  <c r="A134" i="4"/>
  <c r="U267" i="3"/>
  <c r="M79"/>
  <c r="B270" i="5"/>
  <c r="I138" i="4"/>
  <c r="O270" i="3"/>
  <c r="G82"/>
  <c r="F273" i="5"/>
  <c r="A139" i="4"/>
  <c r="W270" i="3"/>
  <c r="O82"/>
  <c r="J276" i="5"/>
  <c r="I139" i="4"/>
  <c r="E271" i="3"/>
  <c r="W82"/>
  <c r="F305" i="5"/>
  <c r="AJ143" i="4"/>
  <c r="Y273" i="3"/>
  <c r="Q85"/>
  <c r="J13" i="4"/>
  <c r="F22" i="3"/>
  <c r="K26"/>
  <c r="U349"/>
  <c r="J106" i="5"/>
  <c r="E19" i="16"/>
  <c r="U202" i="3"/>
  <c r="E268"/>
  <c r="A87"/>
  <c r="G379"/>
  <c r="L191" i="5"/>
  <c r="I204" i="6"/>
  <c r="R209" i="5"/>
  <c r="C264" i="6"/>
  <c r="I13" i="4"/>
  <c r="F126" i="3"/>
  <c r="AE51" i="4"/>
  <c r="P152" i="3"/>
  <c r="I190" i="17"/>
  <c r="F97" i="16"/>
  <c r="J57" i="6"/>
  <c r="B39"/>
  <c r="N402" i="5"/>
  <c r="B412" i="4"/>
  <c r="C329" i="17"/>
  <c r="E182" i="6"/>
  <c r="J393" i="5"/>
  <c r="AF400" i="4"/>
  <c r="E102" i="16"/>
  <c r="N307" i="5"/>
  <c r="N101" i="6"/>
  <c r="C97" i="5"/>
  <c r="D143" i="13"/>
  <c r="N301" i="5"/>
  <c r="N95" i="6"/>
  <c r="C91" i="5"/>
  <c r="D161" i="6"/>
  <c r="B237" i="4"/>
  <c r="M183" i="3"/>
  <c r="P363"/>
  <c r="G57" i="6"/>
  <c r="G57" i="4"/>
  <c r="D388" i="3"/>
  <c r="H216"/>
  <c r="K60" i="6"/>
  <c r="AI57" i="4"/>
  <c r="L388" i="3"/>
  <c r="R216"/>
  <c r="G89" i="6"/>
  <c r="E62" i="4"/>
  <c r="F391" i="3"/>
  <c r="J220"/>
  <c r="K92" i="6"/>
  <c r="AF62" i="4"/>
  <c r="N391" i="3"/>
  <c r="V220"/>
  <c r="O95" i="6"/>
  <c r="D63" i="4"/>
  <c r="V391" i="3"/>
  <c r="F221"/>
  <c r="K124" i="6"/>
  <c r="AF67" i="4"/>
  <c r="P394" i="3"/>
  <c r="X224"/>
  <c r="T212"/>
  <c r="I308" i="5"/>
  <c r="B143" i="3"/>
  <c r="G43"/>
  <c r="F132" i="4"/>
  <c r="F119" i="5"/>
  <c r="I8" i="3"/>
  <c r="N25"/>
  <c r="O320"/>
  <c r="S237"/>
  <c r="Q136" i="6"/>
  <c r="B259" i="5"/>
  <c r="A175"/>
  <c r="F77"/>
  <c r="J237" i="4"/>
  <c r="R350" i="3"/>
  <c r="B225" i="4"/>
  <c r="X328" i="3"/>
  <c r="D292" i="17"/>
  <c r="D43"/>
  <c r="B83" i="6"/>
  <c r="N64"/>
  <c r="R405" i="5"/>
  <c r="AJ415" i="4"/>
  <c r="B386" i="17"/>
  <c r="I185" i="6"/>
  <c r="N396" i="5"/>
  <c r="AE404" i="4"/>
  <c r="D134" i="12"/>
  <c r="R310" i="5"/>
  <c r="R104" i="6"/>
  <c r="G100" i="5"/>
  <c r="D207" i="13"/>
  <c r="R304" i="5"/>
  <c r="R98" i="6"/>
  <c r="G94" i="5"/>
  <c r="P186" i="6"/>
  <c r="F242" i="4"/>
  <c r="Y185" i="3"/>
  <c r="V366"/>
  <c r="C73" i="23"/>
  <c r="C41"/>
  <c r="D194" i="13"/>
  <c r="D215" i="12"/>
  <c r="E114" i="16"/>
  <c r="C31" i="13"/>
  <c r="D145" i="12"/>
  <c r="C39" i="13"/>
  <c r="D153" i="12"/>
  <c r="C47" i="13"/>
  <c r="D161" i="12"/>
  <c r="D230" i="6"/>
  <c r="M342"/>
  <c r="A295" i="4"/>
  <c r="B272"/>
  <c r="H233" i="6"/>
  <c r="Q345"/>
  <c r="AJ298" i="4"/>
  <c r="B276"/>
  <c r="L236" i="6"/>
  <c r="A349"/>
  <c r="AJ302" i="4"/>
  <c r="B280"/>
  <c r="P239" i="6"/>
  <c r="E352"/>
  <c r="AI306" i="4"/>
  <c r="B284"/>
  <c r="T242" i="6"/>
  <c r="I355"/>
  <c r="AI310" i="4"/>
  <c r="B288"/>
  <c r="B257" i="7"/>
  <c r="C9" i="12"/>
  <c r="J294" i="6"/>
  <c r="G334" i="17"/>
  <c r="G81" i="16"/>
  <c r="C10" i="12"/>
  <c r="R294" i="6"/>
  <c r="G408"/>
  <c r="G259" i="5"/>
  <c r="K70" i="6"/>
  <c r="T49" i="5"/>
  <c r="N308" i="6"/>
  <c r="C250" i="5"/>
  <c r="G61" i="6"/>
  <c r="P40" i="5"/>
  <c r="B271" i="6"/>
  <c r="S240" i="5"/>
  <c r="C52" i="6"/>
  <c r="L31" i="5"/>
  <c r="F272" i="6"/>
  <c r="G241" i="5"/>
  <c r="C400" i="6"/>
  <c r="E17" i="9"/>
  <c r="D545" i="17"/>
  <c r="A183"/>
  <c r="D81" i="12"/>
  <c r="C21" i="7"/>
  <c r="E496" i="17"/>
  <c r="B134"/>
  <c r="B16" i="12"/>
  <c r="C379" i="6"/>
  <c r="I340" i="17"/>
  <c r="G88" i="16"/>
  <c r="C17" i="12"/>
  <c r="N297" i="6"/>
  <c r="H341" i="17"/>
  <c r="G89" i="16"/>
  <c r="C18" i="12"/>
  <c r="B298" i="6"/>
  <c r="D142" i="7"/>
  <c r="K262" i="5"/>
  <c r="O73" i="6"/>
  <c r="D53" i="5"/>
  <c r="F334" i="6"/>
  <c r="G253" i="5"/>
  <c r="K64" i="6"/>
  <c r="T43" i="5"/>
  <c r="R279" i="6"/>
  <c r="C244" i="5"/>
  <c r="G55" i="6"/>
  <c r="P34" i="5"/>
  <c r="N280" i="6"/>
  <c r="K244" i="5"/>
  <c r="D13" i="14"/>
  <c r="A171" i="17"/>
  <c r="I248" i="5"/>
  <c r="M239"/>
  <c r="C62" i="6"/>
  <c r="L41" i="5"/>
  <c r="J273" i="6"/>
  <c r="O241" i="5"/>
  <c r="S52" i="6"/>
  <c r="H32" i="5"/>
  <c r="E393" i="6"/>
  <c r="L362" i="5"/>
  <c r="Q203"/>
  <c r="I154"/>
  <c r="E381" i="6"/>
  <c r="L356" i="5"/>
  <c r="Q197"/>
  <c r="I148"/>
  <c r="S152"/>
  <c r="F22" i="4"/>
  <c r="U78" i="3"/>
  <c r="H343"/>
  <c r="G9" i="5"/>
  <c r="AH81" i="4"/>
  <c r="X299" i="3"/>
  <c r="F196"/>
  <c r="O9" i="5"/>
  <c r="F82" i="4"/>
  <c r="H300" i="3"/>
  <c r="O196"/>
  <c r="G13" i="5"/>
  <c r="AH86" i="4"/>
  <c r="Z303" i="3"/>
  <c r="B200"/>
  <c r="O13" i="5"/>
  <c r="F87" i="4"/>
  <c r="J304" i="3"/>
  <c r="N200"/>
  <c r="C14" i="5"/>
  <c r="AH87" i="4"/>
  <c r="V304" i="3"/>
  <c r="X200"/>
  <c r="O17" i="5"/>
  <c r="E92" i="4"/>
  <c r="N308" i="3"/>
  <c r="P204"/>
  <c r="R30"/>
  <c r="Z204"/>
  <c r="J49" i="4"/>
  <c r="F35" i="3"/>
  <c r="C21"/>
  <c r="Q244"/>
  <c r="D235"/>
  <c r="J210" i="4"/>
  <c r="D19" i="3"/>
  <c r="E93" i="12"/>
  <c r="C58"/>
  <c r="I195" i="6"/>
  <c r="J349" i="5"/>
  <c r="R110" i="3"/>
  <c r="A221" i="4"/>
  <c r="D60" i="3"/>
  <c r="D180" i="4"/>
  <c r="C88" i="17"/>
  <c r="H228" i="12"/>
  <c r="C239" i="17"/>
  <c r="B68" i="6"/>
  <c r="L406" i="5"/>
  <c r="A307"/>
  <c r="I198"/>
  <c r="C151" i="7"/>
  <c r="H397" i="5"/>
  <c r="N243"/>
  <c r="E189"/>
  <c r="T124" i="6"/>
  <c r="T105"/>
  <c r="G350" i="4"/>
  <c r="J289"/>
  <c r="T118" i="6"/>
  <c r="T99"/>
  <c r="A343" i="4"/>
  <c r="B282"/>
  <c r="AF287"/>
  <c r="AH183"/>
  <c r="G189" i="3"/>
  <c r="P100"/>
  <c r="H149" i="5"/>
  <c r="B248" i="4"/>
  <c r="B68" i="3"/>
  <c r="F184"/>
  <c r="P149" i="5"/>
  <c r="AG248" i="4"/>
  <c r="J68" i="3"/>
  <c r="P185"/>
  <c r="H153" i="5"/>
  <c r="AJ10" i="4"/>
  <c r="D71" i="3"/>
  <c r="K198"/>
  <c r="P153" i="5"/>
  <c r="H11" i="4"/>
  <c r="L71" i="3"/>
  <c r="A200"/>
  <c r="D154" i="5"/>
  <c r="AJ11" i="4"/>
  <c r="T71" i="3"/>
  <c r="S201"/>
  <c r="P157" i="5"/>
  <c r="H16" i="4"/>
  <c r="N74" i="3"/>
  <c r="M216"/>
  <c r="R162"/>
  <c r="I180"/>
  <c r="N94"/>
  <c r="G39"/>
  <c r="F120"/>
  <c r="K21"/>
  <c r="J33"/>
  <c r="S405"/>
  <c r="G214" i="4"/>
  <c r="L209" i="6"/>
  <c r="E28" i="7"/>
  <c r="P41" i="6"/>
  <c r="Q166"/>
  <c r="Z279" i="3"/>
  <c r="B33" i="4"/>
  <c r="D373" i="3"/>
  <c r="AE133" i="4"/>
  <c r="D150" i="17"/>
  <c r="G36" i="13"/>
  <c r="H118" i="12"/>
  <c r="N93" i="6"/>
  <c r="P409" i="5"/>
  <c r="M332"/>
  <c r="M201"/>
  <c r="D172" i="7"/>
  <c r="L400" i="5"/>
  <c r="A259"/>
  <c r="I192"/>
  <c r="D128" i="6"/>
  <c r="D109"/>
  <c r="E354" i="4"/>
  <c r="I293"/>
  <c r="D122" i="6"/>
  <c r="D103"/>
  <c r="AI346" i="4"/>
  <c r="B286"/>
  <c r="AF291"/>
  <c r="AG187"/>
  <c r="B192" i="3"/>
  <c r="B103"/>
  <c r="F87" i="20"/>
  <c r="B210" i="24"/>
  <c r="B233" i="23"/>
  <c r="F34" i="12"/>
  <c r="G960" i="17"/>
  <c r="B162" i="12"/>
  <c r="H967" i="17"/>
  <c r="B194" i="12"/>
  <c r="I974" i="17"/>
  <c r="B226" i="12"/>
  <c r="H660" i="17"/>
  <c r="H375"/>
  <c r="D331" i="6"/>
  <c r="P312"/>
  <c r="C689" i="17"/>
  <c r="I382"/>
  <c r="H334" i="6"/>
  <c r="T315"/>
  <c r="G717" i="17"/>
  <c r="A390"/>
  <c r="L337" i="6"/>
  <c r="D319"/>
  <c r="B746" i="17"/>
  <c r="B397"/>
  <c r="P340" i="6"/>
  <c r="H322"/>
  <c r="F774" i="17"/>
  <c r="C404"/>
  <c r="T343" i="6"/>
  <c r="L325"/>
  <c r="E575" i="17"/>
  <c r="E354"/>
  <c r="H229" i="7"/>
  <c r="G87" i="20"/>
  <c r="E475" i="17"/>
  <c r="G161" i="12"/>
  <c r="H230" i="7"/>
  <c r="C71" i="17"/>
  <c r="E94" i="6"/>
  <c r="J305" i="5"/>
  <c r="G292" i="4"/>
  <c r="A8" i="16"/>
  <c r="A85" i="6"/>
  <c r="F296" i="5"/>
  <c r="AI280" i="4"/>
  <c r="B137" i="17"/>
  <c r="Q75" i="6"/>
  <c r="B287" i="5"/>
  <c r="H269" i="4"/>
  <c r="C144" i="17"/>
  <c r="E76" i="6"/>
  <c r="E236" i="17"/>
  <c r="D123" i="7"/>
  <c r="B978" i="17"/>
  <c r="B26"/>
  <c r="F142" i="13"/>
  <c r="L398" i="6"/>
  <c r="D14" i="20"/>
  <c r="C87" i="16"/>
  <c r="F87" i="13"/>
  <c r="L376" i="6"/>
  <c r="G143" i="20"/>
  <c r="C525" i="17"/>
  <c r="G168" i="12"/>
  <c r="H237" i="7"/>
  <c r="G151" i="20"/>
  <c r="D532" i="17"/>
  <c r="G169" i="12"/>
  <c r="H238" i="7"/>
  <c r="B128" i="17"/>
  <c r="I97" i="6"/>
  <c r="N308" i="5"/>
  <c r="F296" i="4"/>
  <c r="A72" i="16"/>
  <c r="E88" i="6"/>
  <c r="J299" i="5"/>
  <c r="AI284" i="4"/>
  <c r="A194" i="17"/>
  <c r="A79" i="6"/>
  <c r="F290" i="5"/>
  <c r="G273" i="4"/>
  <c r="B201" i="17"/>
  <c r="I79" i="6"/>
  <c r="D59" i="13"/>
  <c r="B55" i="17"/>
  <c r="H30" i="6"/>
  <c r="T11"/>
  <c r="B297" i="5"/>
  <c r="AI281" i="4"/>
  <c r="D151" i="17"/>
  <c r="M76" i="6"/>
  <c r="R287" i="5"/>
  <c r="H270" i="4"/>
  <c r="A193" i="13"/>
  <c r="B181" i="6"/>
  <c r="C409" i="5"/>
  <c r="E400" i="4"/>
  <c r="A73" i="13"/>
  <c r="B175" i="6"/>
  <c r="C403" i="5"/>
  <c r="AI392" i="4"/>
  <c r="C365" i="5"/>
  <c r="F104" i="4"/>
  <c r="J417" i="3"/>
  <c r="H255"/>
  <c r="F44" i="5"/>
  <c r="F163" i="4"/>
  <c r="X306" i="3"/>
  <c r="U120"/>
  <c r="J47" i="5"/>
  <c r="AH163" i="4"/>
  <c r="F307" i="3"/>
  <c r="D121"/>
  <c r="F76" i="5"/>
  <c r="E168" i="4"/>
  <c r="Z309" i="3"/>
  <c r="H124"/>
  <c r="J79" i="5"/>
  <c r="AG168" i="4"/>
  <c r="H310" i="3"/>
  <c r="Q124"/>
  <c r="N82" i="5"/>
  <c r="E169" i="4"/>
  <c r="P310" i="3"/>
  <c r="Z124"/>
  <c r="J111" i="5"/>
  <c r="AG173" i="4"/>
  <c r="J313" i="3"/>
  <c r="E128"/>
  <c r="G376"/>
  <c r="S222" i="5"/>
  <c r="A346" i="3"/>
  <c r="B175"/>
  <c r="I141"/>
  <c r="AF392" i="4"/>
  <c r="G393" i="5"/>
  <c r="R103" i="3"/>
  <c r="P27"/>
  <c r="F348" i="6"/>
  <c r="R212"/>
  <c r="J113" i="5"/>
  <c r="B32"/>
  <c r="F100" i="4"/>
  <c r="T209" i="3"/>
  <c r="AE244" i="4"/>
  <c r="U166" i="3"/>
  <c r="AJ236" i="4"/>
  <c r="D376" i="6"/>
  <c r="H181" i="7"/>
  <c r="H268" i="4"/>
  <c r="I397" i="5"/>
  <c r="B40" i="6"/>
  <c r="K35" i="5"/>
  <c r="H73" i="17"/>
  <c r="R215" i="6"/>
  <c r="R30"/>
  <c r="G26" i="5"/>
  <c r="B244" i="6"/>
  <c r="G341" i="5"/>
  <c r="K152" i="6"/>
  <c r="T131" i="5"/>
  <c r="C16" i="7"/>
  <c r="G335" i="5"/>
  <c r="K146" i="6"/>
  <c r="T125" i="5"/>
  <c r="AI356" i="4"/>
  <c r="C28"/>
  <c r="X222" i="3"/>
  <c r="P391"/>
  <c r="D415" i="4"/>
  <c r="D87"/>
  <c r="U304" i="3"/>
  <c r="H244"/>
  <c r="AF415" i="4"/>
  <c r="AF87"/>
  <c r="E305" i="3"/>
  <c r="R244"/>
  <c r="N7" i="5"/>
  <c r="C92" i="4"/>
  <c r="W308" i="3"/>
  <c r="J248"/>
  <c r="B8" i="5"/>
  <c r="AE92" i="4"/>
  <c r="G309" i="3"/>
  <c r="V248"/>
  <c r="J8" i="5"/>
  <c r="C93" i="4"/>
  <c r="S309" i="3"/>
  <c r="F249"/>
  <c r="B12" i="5"/>
  <c r="J97" i="4"/>
  <c r="K313" i="3"/>
  <c r="X252"/>
  <c r="S198"/>
  <c r="C108" i="4"/>
  <c r="J11" i="3"/>
  <c r="F7"/>
  <c r="D309"/>
  <c r="U143"/>
  <c r="B95" i="4"/>
  <c r="X191" i="3"/>
  <c r="P148"/>
  <c r="A282" i="7"/>
  <c r="R173" i="5"/>
  <c r="R87"/>
  <c r="AH407" i="4"/>
  <c r="I85"/>
  <c r="A57" i="3"/>
  <c r="D166" i="4"/>
  <c r="U99" i="3"/>
  <c r="H23" i="5"/>
  <c r="P401" i="6"/>
  <c r="H245" i="7"/>
  <c r="E300" i="4"/>
  <c r="G277"/>
  <c r="F43" i="6"/>
  <c r="O38" i="5"/>
  <c r="G154" i="12"/>
  <c r="B219" i="6"/>
  <c r="B34"/>
  <c r="K29" i="5"/>
  <c r="N269" i="6"/>
  <c r="K344" i="5"/>
  <c r="O155" i="6"/>
  <c r="D135" i="5"/>
  <c r="B187" i="7"/>
  <c r="K338" i="5"/>
  <c r="O149" i="6"/>
  <c r="D129" i="5"/>
  <c r="H388" i="4"/>
  <c r="B32"/>
  <c r="J225" i="3"/>
  <c r="V394"/>
  <c r="B5" i="20"/>
  <c r="C951" i="17"/>
  <c r="H216" i="13"/>
  <c r="C28" i="12"/>
  <c r="A69"/>
  <c r="A137"/>
  <c r="H35" i="13"/>
  <c r="A169" i="12"/>
  <c r="H99" i="13"/>
  <c r="A201" i="12"/>
  <c r="H163" i="13"/>
  <c r="E614" i="17"/>
  <c r="I413"/>
  <c r="S321" i="6"/>
  <c r="C313"/>
  <c r="I642" i="17"/>
  <c r="A421"/>
  <c r="C325" i="6"/>
  <c r="G316"/>
  <c r="D671" i="17"/>
  <c r="B428"/>
  <c r="G328" i="6"/>
  <c r="K319"/>
  <c r="H699" i="17"/>
  <c r="C435"/>
  <c r="K331" i="6"/>
  <c r="O322"/>
  <c r="C728" i="17"/>
  <c r="D442"/>
  <c r="O334" i="6"/>
  <c r="S325"/>
  <c r="C547" i="17"/>
  <c r="F15" i="14"/>
  <c r="R318" i="5"/>
  <c r="B310"/>
  <c r="C34" i="17"/>
  <c r="E7" i="15"/>
  <c r="B322" i="5"/>
  <c r="F313"/>
  <c r="J310"/>
  <c r="S408"/>
  <c r="E178" i="4"/>
  <c r="C183"/>
  <c r="C184"/>
  <c r="AG125"/>
  <c r="G296" i="17"/>
  <c r="AE56" i="4"/>
  <c r="N36" i="6"/>
  <c r="S151"/>
  <c r="A102" i="4"/>
  <c r="A107"/>
  <c r="A108"/>
  <c r="D335" i="3"/>
  <c r="N319" i="6"/>
  <c r="AD214" i="4"/>
  <c r="R39" i="6"/>
  <c r="C155"/>
  <c r="Q111" i="5"/>
  <c r="H236" i="4"/>
  <c r="F351" i="3"/>
  <c r="K171"/>
  <c r="A115" i="5"/>
  <c r="C237" i="4"/>
  <c r="N351" i="3"/>
  <c r="T171"/>
  <c r="Q143" i="5"/>
  <c r="A243" i="4"/>
  <c r="H354" i="3"/>
  <c r="Y174"/>
  <c r="A147" i="5"/>
  <c r="AF243" i="4"/>
  <c r="P354" i="3"/>
  <c r="H175"/>
  <c r="E150" i="5"/>
  <c r="F244" i="4"/>
  <c r="X354" i="3"/>
  <c r="Q175"/>
  <c r="A179" i="5"/>
  <c r="C8" i="4"/>
  <c r="R357" i="3"/>
  <c r="U178"/>
  <c r="C71"/>
  <c r="AJ319" i="4"/>
  <c r="M37" i="3"/>
  <c r="Q407"/>
  <c r="H131" i="4"/>
  <c r="G53" i="5"/>
  <c r="F407" i="3"/>
  <c r="I324"/>
  <c r="E134"/>
  <c r="G153" i="13"/>
  <c r="M115" i="6"/>
  <c r="A366" i="4"/>
  <c r="Q367" i="3"/>
  <c r="AG276" i="4"/>
  <c r="J87" i="3"/>
  <c r="E15" i="14"/>
  <c r="M110" i="6"/>
  <c r="Q101"/>
  <c r="B34" i="17"/>
  <c r="D7" i="15"/>
  <c r="Q113" i="6"/>
  <c r="A105"/>
  <c r="E102"/>
  <c r="N200"/>
  <c r="AH194" i="4"/>
  <c r="AE199"/>
  <c r="AE200"/>
  <c r="R80" i="5"/>
  <c r="G10" i="13"/>
  <c r="A408" i="4"/>
  <c r="J262" i="5"/>
  <c r="S360"/>
  <c r="AH118" i="4"/>
  <c r="AG123"/>
  <c r="AG124"/>
  <c r="G124"/>
  <c r="E280" i="7"/>
  <c r="T176" i="5"/>
  <c r="N265"/>
  <c r="C364"/>
  <c r="L291"/>
  <c r="J29" i="4"/>
  <c r="X370" i="3"/>
  <c r="X193"/>
  <c r="P294" i="5"/>
  <c r="B30" i="4"/>
  <c r="F371" i="3"/>
  <c r="H194"/>
  <c r="L323" i="5"/>
  <c r="I34" i="4"/>
  <c r="Z373" i="3"/>
  <c r="L197"/>
  <c r="P326" i="5"/>
  <c r="A35" i="4"/>
  <c r="H374" i="3"/>
  <c r="V197"/>
  <c r="T329" i="5"/>
  <c r="I35" i="4"/>
  <c r="P374" i="3"/>
  <c r="F198"/>
  <c r="P358" i="5"/>
  <c r="A40" i="4"/>
  <c r="J377" i="3"/>
  <c r="X201"/>
  <c r="S254"/>
  <c r="D81" i="6"/>
  <c r="E76" i="3"/>
  <c r="X23"/>
  <c r="AH147" i="4"/>
  <c r="I389" i="5"/>
  <c r="O311" i="3"/>
  <c r="H8"/>
  <c r="Q228"/>
  <c r="N14"/>
  <c r="L93" i="6"/>
  <c r="H117" i="5"/>
  <c r="G125" i="3"/>
  <c r="T44" i="5"/>
  <c r="X223" i="3"/>
  <c r="D15" i="14"/>
  <c r="Q318" i="5"/>
  <c r="A310"/>
  <c r="I34" i="17"/>
  <c r="C7" i="15"/>
  <c r="A322" i="5"/>
  <c r="E313"/>
  <c r="I310"/>
  <c r="I13" i="6"/>
  <c r="J211" i="4"/>
  <c r="F216"/>
  <c r="F217"/>
  <c r="Y400" i="3"/>
  <c r="X27"/>
  <c r="N282" i="5"/>
  <c r="E54" i="6"/>
  <c r="N152"/>
  <c r="AE135" i="4"/>
  <c r="AD140"/>
  <c r="J141"/>
  <c r="O43" i="5"/>
  <c r="G152" i="13"/>
  <c r="N279" i="5"/>
  <c r="I57" i="6"/>
  <c r="R155"/>
  <c r="S82"/>
  <c r="E61" i="4"/>
  <c r="P390" i="3"/>
  <c r="P219"/>
  <c r="C86" i="6"/>
  <c r="AG61" i="4"/>
  <c r="X390" i="3"/>
  <c r="Z219"/>
  <c r="S114" i="6"/>
  <c r="D66" i="4"/>
  <c r="R393" i="3"/>
  <c r="R223"/>
  <c r="C118" i="6"/>
  <c r="AF66" i="4"/>
  <c r="Z393" i="3"/>
  <c r="B224"/>
  <c r="G121" i="6"/>
  <c r="D67" i="4"/>
  <c r="H394" i="3"/>
  <c r="N224"/>
  <c r="C150" i="6"/>
  <c r="AE71" i="4"/>
  <c r="B397" i="3"/>
  <c r="F228"/>
  <c r="L232"/>
  <c r="D100" i="6"/>
  <c r="I154" i="3"/>
  <c r="F47"/>
  <c r="A164" i="4"/>
  <c r="N221" i="5"/>
  <c r="U10" i="3"/>
  <c r="Z27"/>
  <c r="S333"/>
  <c r="I303"/>
  <c r="D302" i="5"/>
  <c r="G260" i="4"/>
  <c r="T270" i="3"/>
  <c r="L198" i="5"/>
  <c r="L381" i="3"/>
  <c r="A39" i="16"/>
  <c r="L110" i="6"/>
  <c r="P101"/>
  <c r="A97" i="17"/>
  <c r="A47" i="16"/>
  <c r="P113" i="6"/>
  <c r="T104"/>
  <c r="D102"/>
  <c r="E218"/>
  <c r="G228" i="4"/>
  <c r="AJ234"/>
  <c r="F236"/>
  <c r="C177" i="3"/>
  <c r="J190"/>
  <c r="X268"/>
  <c r="I262" i="5"/>
  <c r="J378"/>
  <c r="H152" i="4"/>
  <c r="G157"/>
  <c r="G158"/>
  <c r="M60" i="3"/>
  <c r="U417"/>
  <c r="L80"/>
  <c r="M265" i="5"/>
  <c r="N381"/>
  <c r="K291"/>
  <c r="A93" i="4"/>
  <c r="H410" i="3"/>
  <c r="V245"/>
  <c r="O294" i="5"/>
  <c r="I93" i="4"/>
  <c r="P410" i="3"/>
  <c r="F246"/>
  <c r="K323" i="5"/>
  <c r="AI97" i="4"/>
  <c r="J413" i="3"/>
  <c r="X249"/>
  <c r="O326" i="5"/>
  <c r="G98" i="4"/>
  <c r="R413" i="3"/>
  <c r="J250"/>
  <c r="S329" i="5"/>
  <c r="AH98" i="4"/>
  <c r="Z413" i="3"/>
  <c r="T250"/>
  <c r="O358" i="5"/>
  <c r="F103" i="4"/>
  <c r="T416" i="3"/>
  <c r="L254"/>
  <c r="Z389"/>
  <c r="D37"/>
  <c r="E252"/>
  <c r="W95"/>
  <c r="E180" i="4"/>
  <c r="J191" i="5"/>
  <c r="O35" i="3"/>
  <c r="S53"/>
  <c r="S9"/>
  <c r="T162"/>
  <c r="G94" i="6"/>
  <c r="O31" i="5"/>
  <c r="B402" i="3"/>
  <c r="I360" i="4"/>
  <c r="F191" i="3"/>
  <c r="D355" i="17"/>
  <c r="H312" i="6"/>
  <c r="L303"/>
  <c r="B517" i="17"/>
  <c r="E362"/>
  <c r="L315" i="6"/>
  <c r="P306"/>
  <c r="T303"/>
  <c r="H13"/>
  <c r="P43" i="5"/>
  <c r="P47"/>
  <c r="L48"/>
  <c r="Q368" i="3"/>
  <c r="I116" i="4"/>
  <c r="T327" i="3"/>
  <c r="D54" i="6"/>
  <c r="E170"/>
  <c r="C169" i="4"/>
  <c r="C174"/>
  <c r="C175"/>
  <c r="L48" i="3"/>
  <c r="Z355"/>
  <c r="M130"/>
  <c r="H57" i="6"/>
  <c r="I173"/>
  <c r="F83"/>
  <c r="AE124" i="4"/>
  <c r="W114" i="3"/>
  <c r="B272"/>
  <c r="J86" i="6"/>
  <c r="C125" i="4"/>
  <c r="E115" i="3"/>
  <c r="N272"/>
  <c r="F115" i="6"/>
  <c r="J129" i="4"/>
  <c r="Y117" i="3"/>
  <c r="F276"/>
  <c r="J118" i="6"/>
  <c r="B130" i="4"/>
  <c r="G118" i="3"/>
  <c r="P276"/>
  <c r="N121" i="6"/>
  <c r="J130" i="4"/>
  <c r="O118" i="3"/>
  <c r="Z276"/>
  <c r="J150" i="6"/>
  <c r="B135" i="4"/>
  <c r="I121" i="3"/>
  <c r="R280"/>
  <c r="K232"/>
  <c r="I55"/>
  <c r="E357"/>
  <c r="V184"/>
  <c r="AG196" i="4"/>
  <c r="A180" i="6"/>
  <c r="Y71" i="3"/>
  <c r="L113"/>
  <c r="K29"/>
  <c r="Z66"/>
  <c r="O277" i="5"/>
  <c r="G185"/>
  <c r="Q171" i="3"/>
  <c r="S112" i="5"/>
  <c r="R347" i="3"/>
  <c r="F392" i="17"/>
  <c r="G312" i="6"/>
  <c r="K303"/>
  <c r="F557" i="17"/>
  <c r="G399"/>
  <c r="K315" i="6"/>
  <c r="O306"/>
  <c r="S303"/>
  <c r="D218"/>
  <c r="A313" i="5"/>
  <c r="A345"/>
  <c r="I351"/>
  <c r="M33" i="3"/>
  <c r="G37" i="5"/>
  <c r="AJ82" i="4"/>
  <c r="T255" i="6"/>
  <c r="I378" i="5"/>
  <c r="I405" i="4"/>
  <c r="I410"/>
  <c r="I411"/>
  <c r="K175" i="3"/>
  <c r="AJ83" i="4"/>
  <c r="I67"/>
  <c r="D259" i="6"/>
  <c r="M381" i="5"/>
  <c r="F292"/>
  <c r="G156" i="4"/>
  <c r="O134" i="3"/>
  <c r="J298"/>
  <c r="J295" i="5"/>
  <c r="AI156" i="4"/>
  <c r="W134" i="3"/>
  <c r="T298"/>
  <c r="F324" i="5"/>
  <c r="E161" i="4"/>
  <c r="Q137" i="3"/>
  <c r="L302"/>
  <c r="J327" i="5"/>
  <c r="AG161" i="4"/>
  <c r="Y137" i="3"/>
  <c r="V302"/>
  <c r="N330" i="5"/>
  <c r="E162" i="4"/>
  <c r="G138" i="3"/>
  <c r="H303"/>
  <c r="J359" i="5"/>
  <c r="AG166" i="4"/>
  <c r="A141" i="3"/>
  <c r="Z306"/>
  <c r="Y389"/>
  <c r="N127"/>
  <c r="L14"/>
  <c r="S287"/>
  <c r="I213" i="4"/>
  <c r="E385" i="5"/>
  <c r="H147" i="3"/>
  <c r="M204"/>
  <c r="G56"/>
  <c r="Y15"/>
  <c r="R43" i="6"/>
  <c r="F344" i="4"/>
  <c r="Q298" i="3"/>
  <c r="AI254" i="4"/>
  <c r="E122" i="3"/>
  <c r="E448" i="17"/>
  <c r="H321" i="6"/>
  <c r="T250"/>
  <c r="H780" i="17"/>
  <c r="F455"/>
  <c r="T346" i="6"/>
  <c r="L276"/>
  <c r="D254"/>
  <c r="D220" i="7"/>
  <c r="K60" i="5"/>
  <c r="K64"/>
  <c r="G65"/>
  <c r="T125" i="3"/>
  <c r="D81"/>
  <c r="AD23" i="4"/>
  <c r="S255" i="6"/>
  <c r="D170"/>
  <c r="L200" i="5"/>
  <c r="L204"/>
  <c r="H205"/>
  <c r="Y366" i="3"/>
  <c r="D46" i="5"/>
  <c r="J8" i="4"/>
  <c r="C259" i="6"/>
  <c r="H173"/>
  <c r="A84"/>
  <c r="AJ187" i="4"/>
  <c r="G154" i="3"/>
  <c r="P324"/>
  <c r="E87" i="6"/>
  <c r="H188" i="4"/>
  <c r="O154" i="3"/>
  <c r="Z324"/>
  <c r="A116" i="6"/>
  <c r="AI192" i="4"/>
  <c r="I157" i="3"/>
  <c r="R328"/>
  <c r="E119" i="6"/>
  <c r="G193" i="4"/>
  <c r="Q157" i="3"/>
  <c r="D329"/>
  <c r="I122" i="6"/>
  <c r="AH193" i="4"/>
  <c r="Y157" i="3"/>
  <c r="N329"/>
  <c r="E151" i="6"/>
  <c r="C198" i="4"/>
  <c r="S160" i="3"/>
  <c r="F333"/>
  <c r="E214" i="4"/>
  <c r="Y323" i="3"/>
  <c r="D34"/>
  <c r="U392"/>
  <c r="C231" i="4"/>
  <c r="X21" i="3"/>
  <c r="Y243"/>
  <c r="M309"/>
  <c r="W119"/>
  <c r="A232"/>
  <c r="B223" i="6"/>
  <c r="H190" i="5"/>
  <c r="R245" i="3"/>
  <c r="R50" i="5"/>
  <c r="D267" i="3"/>
  <c r="C449" i="17"/>
  <c r="E260" i="7"/>
  <c r="E84"/>
  <c r="C784" i="17"/>
  <c r="D456"/>
  <c r="C12" i="9"/>
  <c r="E148" i="7"/>
  <c r="E92"/>
  <c r="B223"/>
  <c r="H253" i="4"/>
  <c r="G258"/>
  <c r="F259"/>
  <c r="C307" i="3"/>
  <c r="G247"/>
  <c r="O215" i="5"/>
  <c r="R281" i="6"/>
  <c r="M387"/>
  <c r="K12" i="5"/>
  <c r="K16"/>
  <c r="G17"/>
  <c r="D33" i="3"/>
  <c r="P21"/>
  <c r="B52" i="5"/>
  <c r="N294" i="6"/>
  <c r="A394"/>
  <c r="T61"/>
  <c r="F219" i="4"/>
  <c r="Y173" i="3"/>
  <c r="V350"/>
  <c r="D65" i="6"/>
  <c r="AH219" i="4"/>
  <c r="G174" i="3"/>
  <c r="H351"/>
  <c r="T93" i="6"/>
  <c r="E224" i="4"/>
  <c r="A177" i="3"/>
  <c r="Z354"/>
  <c r="D97" i="6"/>
  <c r="AG224" i="4"/>
  <c r="I177" i="3"/>
  <c r="J355"/>
  <c r="H100" i="6"/>
  <c r="E225" i="4"/>
  <c r="Q177" i="3"/>
  <c r="T355"/>
  <c r="D129" i="6"/>
  <c r="H230" i="4"/>
  <c r="K180" i="3"/>
  <c r="L359"/>
  <c r="I231" i="4"/>
  <c r="A83" i="3"/>
  <c r="O68"/>
  <c r="U20"/>
  <c r="AH230" i="4"/>
  <c r="I47" i="3"/>
  <c r="Y348"/>
  <c r="M414"/>
  <c r="Y211"/>
  <c r="S45"/>
  <c r="E10" i="6"/>
  <c r="J248" i="5"/>
  <c r="D344" i="3"/>
  <c r="C37" i="5"/>
  <c r="S60" i="3"/>
  <c r="A220" i="13"/>
  <c r="E99" i="17"/>
  <c r="S316" i="5"/>
  <c r="K298"/>
  <c r="J383"/>
  <c r="F388" i="4"/>
  <c r="C442" i="17"/>
  <c r="A163" i="6"/>
  <c r="F374" i="5"/>
  <c r="C377" i="4"/>
  <c r="E135" i="12"/>
  <c r="J288" i="5"/>
  <c r="J82" i="6"/>
  <c r="S77" i="5"/>
  <c r="B214" i="13"/>
  <c r="J282" i="5"/>
  <c r="J76" i="6"/>
  <c r="S71" i="5"/>
  <c r="L7" i="6"/>
  <c r="B211" i="4"/>
  <c r="S168" i="3"/>
  <c r="X343"/>
  <c r="D317" i="5"/>
  <c r="I33" i="4"/>
  <c r="J373" i="3"/>
  <c r="T196"/>
  <c r="H320" i="5"/>
  <c r="A34" i="4"/>
  <c r="R373" i="3"/>
  <c r="C197"/>
  <c r="D349" i="5"/>
  <c r="I38" i="4"/>
  <c r="L376" i="3"/>
  <c r="R200"/>
  <c r="H352" i="5"/>
  <c r="A39" i="4"/>
  <c r="T376" i="3"/>
  <c r="D201"/>
  <c r="L355" i="5"/>
  <c r="I39" i="4"/>
  <c r="B377" i="3"/>
  <c r="N201"/>
  <c r="H384" i="5"/>
  <c r="AJ43" i="4"/>
  <c r="V379" i="3"/>
  <c r="F205"/>
  <c r="Y280"/>
  <c r="P289" i="5"/>
  <c r="R82" i="3"/>
  <c r="J26"/>
  <c r="H179" i="4"/>
  <c r="C276"/>
  <c r="Q324" i="3"/>
  <c r="T10"/>
  <c r="U241"/>
  <c r="V26"/>
  <c r="B8" i="6"/>
  <c r="O177"/>
  <c r="N30" i="5"/>
  <c r="J143"/>
  <c r="N363" i="3"/>
  <c r="E368" i="5"/>
  <c r="V307" i="3"/>
  <c r="H52" i="6"/>
  <c r="H70" i="16"/>
  <c r="E25" i="13"/>
  <c r="Q154" i="6"/>
  <c r="I136"/>
  <c r="F284" i="5"/>
  <c r="AJ265" i="4"/>
  <c r="B26" i="16"/>
  <c r="Q63" i="6"/>
  <c r="B275" i="5"/>
  <c r="AE254" i="4"/>
  <c r="G117" i="12"/>
  <c r="F168" i="6"/>
  <c r="G396" i="5"/>
  <c r="I384" i="4"/>
  <c r="H40" i="13"/>
  <c r="F162" i="6"/>
  <c r="G390" i="5"/>
  <c r="D377" i="4"/>
  <c r="O262" i="5"/>
  <c r="J88" i="4"/>
  <c r="N407" i="3"/>
  <c r="D242"/>
  <c r="D339" i="4"/>
  <c r="J147"/>
  <c r="B297" i="3"/>
  <c r="N109"/>
  <c r="B343" i="4"/>
  <c r="B148"/>
  <c r="J297" i="3"/>
  <c r="W109"/>
  <c r="AD378" i="4"/>
  <c r="I152"/>
  <c r="D300" i="3"/>
  <c r="B113"/>
  <c r="I382" i="4"/>
  <c r="A153"/>
  <c r="L300" i="3"/>
  <c r="K113"/>
  <c r="G386" i="4"/>
  <c r="I153"/>
  <c r="T300" i="3"/>
  <c r="T113"/>
  <c r="B9" i="5"/>
  <c r="AJ157" i="4"/>
  <c r="N303" i="3"/>
  <c r="X116"/>
  <c r="G271"/>
  <c r="K120" i="5"/>
  <c r="M293" i="3"/>
  <c r="B130"/>
  <c r="R377"/>
  <c r="F266" i="4"/>
  <c r="M205" i="6"/>
  <c r="V72" i="3"/>
  <c r="T17"/>
  <c r="E4" i="14"/>
  <c r="B372" i="5"/>
  <c r="O206"/>
  <c r="W288" i="3"/>
  <c r="C245" i="4"/>
  <c r="Q214" i="3"/>
  <c r="I324" i="17"/>
  <c r="G519"/>
  <c r="T401" i="6"/>
  <c r="C91" i="17"/>
  <c r="C100"/>
  <c r="N108" i="6"/>
  <c r="F90"/>
  <c r="B409" i="5"/>
  <c r="J7"/>
  <c r="A443" i="17"/>
  <c r="M188" i="6"/>
  <c r="R399" i="5"/>
  <c r="AE408" i="4"/>
  <c r="D198" i="12"/>
  <c r="B314" i="5"/>
  <c r="B108" i="6"/>
  <c r="K103" i="5"/>
  <c r="C19" i="17"/>
  <c r="B308" i="5"/>
  <c r="B102" i="6"/>
  <c r="K97" i="5"/>
  <c r="H212" i="6"/>
  <c r="J247" i="4"/>
  <c r="K188" i="3"/>
  <c r="D370"/>
  <c r="K108" i="6"/>
  <c r="D65" i="4"/>
  <c r="B393" i="3"/>
  <c r="V222"/>
  <c r="O111" i="6"/>
  <c r="AF65" i="4"/>
  <c r="J393" i="3"/>
  <c r="H223"/>
  <c r="K140" i="6"/>
  <c r="D70" i="4"/>
  <c r="D396" i="3"/>
  <c r="Z226"/>
  <c r="O143" i="6"/>
  <c r="AF70" i="4"/>
  <c r="L396" i="3"/>
  <c r="J227"/>
  <c r="S146" i="6"/>
  <c r="D71" i="4"/>
  <c r="T396" i="3"/>
  <c r="T227"/>
  <c r="O175" i="6"/>
  <c r="AE75" i="4"/>
  <c r="N399" i="3"/>
  <c r="L231"/>
  <c r="D252"/>
  <c r="T301" i="6"/>
  <c r="O165" i="3"/>
  <c r="C51"/>
  <c r="I195" i="4"/>
  <c r="J353"/>
  <c r="G13" i="3"/>
  <c r="L30"/>
  <c r="U346"/>
  <c r="W355"/>
  <c r="J110" i="6"/>
  <c r="S283" i="5"/>
  <c r="N158"/>
  <c r="F131" i="6"/>
  <c r="O166" i="3"/>
  <c r="J247" i="5"/>
  <c r="W110" i="3"/>
  <c r="I71" i="6"/>
  <c r="A479" i="17"/>
  <c r="D85" i="13"/>
  <c r="P132" i="6"/>
  <c r="H114"/>
  <c r="R309" i="5"/>
  <c r="AH297" i="4"/>
  <c r="A96" i="16"/>
  <c r="I89" i="6"/>
  <c r="N300" i="5"/>
  <c r="G286" i="4"/>
  <c r="H103" i="12"/>
  <c r="R193" i="6"/>
  <c r="R8"/>
  <c r="A416" i="4"/>
  <c r="E4" i="16"/>
  <c r="R187" i="6"/>
  <c r="S415" i="5"/>
  <c r="AF408" i="4"/>
  <c r="J54" i="6"/>
  <c r="D120" i="4"/>
  <c r="C112" i="3"/>
  <c r="J268"/>
  <c r="N146" i="5"/>
  <c r="D179" i="4"/>
  <c r="T316" i="3"/>
  <c r="A132"/>
  <c r="R149" i="5"/>
  <c r="AE179" i="4"/>
  <c r="B317" i="3"/>
  <c r="J132"/>
  <c r="N178" i="5"/>
  <c r="B184" i="4"/>
  <c r="V319" i="3"/>
  <c r="O135"/>
  <c r="R181" i="5"/>
  <c r="J184" i="4"/>
  <c r="D320" i="3"/>
  <c r="X135"/>
  <c r="B185" i="5"/>
  <c r="B185" i="4"/>
  <c r="L320" i="3"/>
  <c r="G136"/>
  <c r="R213" i="5"/>
  <c r="I189" i="4"/>
  <c r="F323" i="3"/>
  <c r="K139"/>
  <c r="P89"/>
  <c r="AF327" i="4"/>
  <c r="M398" i="3"/>
  <c r="W223"/>
  <c r="C220"/>
  <c r="P87" i="5"/>
  <c r="Q410"/>
  <c r="R148" i="3"/>
  <c r="E38"/>
  <c r="M365" i="6"/>
  <c r="M112"/>
  <c r="S210"/>
  <c r="L63" i="3"/>
  <c r="H19" i="5"/>
  <c r="E372" i="3"/>
  <c r="G325" i="17"/>
  <c r="B642"/>
  <c r="A254" i="6"/>
  <c r="C90" i="17"/>
  <c r="E14" i="15"/>
  <c r="J334" i="5"/>
  <c r="B316"/>
  <c r="M21" i="6"/>
  <c r="B33" i="5"/>
  <c r="B944" i="17"/>
  <c r="E214" i="6"/>
  <c r="I12"/>
  <c r="R23" i="5"/>
  <c r="C199" i="12"/>
  <c r="N339" i="5"/>
  <c r="N133" i="6"/>
  <c r="C129" i="5"/>
  <c r="C79" i="12"/>
  <c r="N333" i="5"/>
  <c r="N127" i="6"/>
  <c r="C123" i="5"/>
  <c r="G8" i="6"/>
  <c r="AJ37" i="4"/>
  <c r="C208" i="3"/>
  <c r="J396"/>
  <c r="C317" i="5"/>
  <c r="AJ96" i="4"/>
  <c r="T412" i="3"/>
  <c r="D249"/>
  <c r="G320" i="5"/>
  <c r="H97" i="4"/>
  <c r="B413" i="3"/>
  <c r="N249"/>
  <c r="C349" i="5"/>
  <c r="AH101" i="4"/>
  <c r="V415" i="3"/>
  <c r="F253"/>
  <c r="G352" i="5"/>
  <c r="F102" i="4"/>
  <c r="D416" i="3"/>
  <c r="P253"/>
  <c r="K355" i="5"/>
  <c r="AH102" i="4"/>
  <c r="L416" i="3"/>
  <c r="B254"/>
  <c r="G384" i="5"/>
  <c r="F107" i="4"/>
  <c r="C104" i="3"/>
  <c r="T257"/>
  <c r="R409"/>
  <c r="V68"/>
  <c r="G265"/>
  <c r="B106"/>
  <c r="AF211" i="4"/>
  <c r="G414"/>
  <c r="S38" i="3"/>
  <c r="S58"/>
  <c r="E12"/>
  <c r="S235"/>
  <c r="N242" i="5"/>
  <c r="J24" i="6"/>
  <c r="F279" i="4"/>
  <c r="O110" i="6"/>
  <c r="S284" i="3"/>
  <c r="N18" i="6"/>
  <c r="S248" i="3"/>
  <c r="K412" i="6"/>
  <c r="C123" i="12"/>
  <c r="C148" i="13"/>
  <c r="H341" i="5"/>
  <c r="T322"/>
  <c r="J335"/>
  <c r="H329" i="4"/>
  <c r="A406" i="17"/>
  <c r="A115" i="6"/>
  <c r="F326" i="5"/>
  <c r="B318" i="4"/>
  <c r="G162" i="12"/>
  <c r="J219" i="6"/>
  <c r="J34"/>
  <c r="S29" i="5"/>
  <c r="H3" i="16"/>
  <c r="J213" i="6"/>
  <c r="J28"/>
  <c r="S23" i="5"/>
  <c r="J263"/>
  <c r="AJ151" i="4"/>
  <c r="U131" i="3"/>
  <c r="R294"/>
  <c r="C359" i="4"/>
  <c r="AE210"/>
  <c r="L336" i="3"/>
  <c r="N154"/>
  <c r="B363" i="4"/>
  <c r="C211"/>
  <c r="T336" i="3"/>
  <c r="X154"/>
  <c r="AE398" i="4"/>
  <c r="G215"/>
  <c r="N339" i="3"/>
  <c r="B158"/>
  <c r="AE402" i="4"/>
  <c r="AI215"/>
  <c r="V339" i="3"/>
  <c r="K158"/>
  <c r="J406" i="4"/>
  <c r="G216"/>
  <c r="D340" i="3"/>
  <c r="T158"/>
  <c r="I25" i="5"/>
  <c r="AI220" i="4"/>
  <c r="X342" i="3"/>
  <c r="X161"/>
  <c r="J279"/>
  <c r="E258" i="4"/>
  <c r="E22" i="3"/>
  <c r="W328"/>
  <c r="Q377"/>
  <c r="D287" i="4"/>
  <c r="T31" i="3"/>
  <c r="O245"/>
  <c r="L77"/>
  <c r="E88" i="17"/>
  <c r="M269" i="5"/>
  <c r="L398"/>
  <c r="U192" i="3"/>
  <c r="T172" i="5"/>
  <c r="D129" i="3"/>
  <c r="D623" i="17"/>
  <c r="F645"/>
  <c r="G106" i="12"/>
  <c r="B90" i="17"/>
  <c r="D14" i="15"/>
  <c r="E126" i="6"/>
  <c r="Q107"/>
  <c r="E47"/>
  <c r="N58" i="5"/>
  <c r="F35" i="20"/>
  <c r="E243" i="5"/>
  <c r="A38" i="6"/>
  <c r="J49" i="5"/>
  <c r="G82" i="16"/>
  <c r="F365" i="5"/>
  <c r="F159" i="6"/>
  <c r="O154" i="5"/>
  <c r="A8" i="14"/>
  <c r="F359" i="5"/>
  <c r="F153" i="6"/>
  <c r="O148" i="5"/>
  <c r="C213" i="6"/>
  <c r="AE69" i="4"/>
  <c r="U227" i="3"/>
  <c r="M39"/>
  <c r="R108" i="6"/>
  <c r="J128" i="4"/>
  <c r="I117" i="3"/>
  <c r="J275"/>
  <c r="B112" i="6"/>
  <c r="B129" i="4"/>
  <c r="Q117" i="3"/>
  <c r="T275"/>
  <c r="R140" i="6"/>
  <c r="J133" i="4"/>
  <c r="K120" i="3"/>
  <c r="L279"/>
  <c r="B144" i="6"/>
  <c r="B134" i="4"/>
  <c r="S120" i="3"/>
  <c r="X279"/>
  <c r="F147" i="6"/>
  <c r="J134" i="4"/>
  <c r="A121" i="3"/>
  <c r="H280"/>
  <c r="B176" i="6"/>
  <c r="B139" i="4"/>
  <c r="U123" i="3"/>
  <c r="Z283"/>
  <c r="C252"/>
  <c r="M106"/>
  <c r="I370"/>
  <c r="B196"/>
  <c r="AE228" i="4"/>
  <c r="T157" i="6"/>
  <c r="Q78" i="3"/>
  <c r="R124"/>
  <c r="W31"/>
  <c r="Y94"/>
  <c r="B345" i="5"/>
  <c r="R126" i="6"/>
  <c r="I21" i="5"/>
  <c r="E337"/>
  <c r="E383" i="3"/>
  <c r="S237" i="6"/>
  <c r="W366" i="3"/>
  <c r="B45"/>
  <c r="G6" i="16"/>
  <c r="B149" i="13"/>
  <c r="K133" i="6"/>
  <c r="C115"/>
  <c r="B361" i="5"/>
  <c r="AF360" i="4"/>
  <c r="C443" i="17"/>
  <c r="M140" i="6"/>
  <c r="R351" i="5"/>
  <c r="H349" i="4"/>
  <c r="F139" i="12"/>
  <c r="B266" i="5"/>
  <c r="B60" i="6"/>
  <c r="K55" i="5"/>
  <c r="A152" i="17"/>
  <c r="B260" i="5"/>
  <c r="B54" i="6"/>
  <c r="K49" i="5"/>
  <c r="E55" i="6"/>
  <c r="I183" i="4"/>
  <c r="M151" i="3"/>
  <c r="X320"/>
  <c r="A163" i="5"/>
  <c r="A247" i="4"/>
  <c r="D356" i="3"/>
  <c r="B177"/>
  <c r="E166" i="5"/>
  <c r="AF247" i="4"/>
  <c r="L356" i="3"/>
  <c r="K177"/>
  <c r="A195" i="5"/>
  <c r="AE10" i="4"/>
  <c r="F359" i="3"/>
  <c r="O180"/>
  <c r="E198" i="5"/>
  <c r="C11" i="4"/>
  <c r="N359" i="3"/>
  <c r="X180"/>
  <c r="I201" i="5"/>
  <c r="AE11" i="4"/>
  <c r="V359" i="3"/>
  <c r="G181"/>
  <c r="E230" i="5"/>
  <c r="C16" i="4"/>
  <c r="P362" i="3"/>
  <c r="L184"/>
  <c r="N111"/>
  <c r="P310" i="5"/>
  <c r="L44" i="3"/>
  <c r="D9"/>
  <c r="AE194" i="4"/>
  <c r="K104" i="5"/>
  <c r="V30" i="3"/>
  <c r="Q350"/>
  <c r="R156"/>
  <c r="F436" i="17"/>
  <c r="P35" i="6"/>
  <c r="E417" i="5"/>
  <c r="Q64" i="3"/>
  <c r="E329" i="4"/>
  <c r="H275" i="3"/>
  <c r="A15" i="19"/>
  <c r="H639" i="17"/>
  <c r="G9" i="15"/>
  <c r="I90" i="17"/>
  <c r="C14" i="15"/>
  <c r="I334" i="5"/>
  <c r="A316"/>
  <c r="Q72" i="6"/>
  <c r="F84" i="5"/>
  <c r="J34"/>
  <c r="Q268"/>
  <c r="M63" i="6"/>
  <c r="B75" i="5"/>
  <c r="F83" i="16"/>
  <c r="R390" i="5"/>
  <c r="R184" i="6"/>
  <c r="G180" i="5"/>
  <c r="H9" i="14"/>
  <c r="R384" i="5"/>
  <c r="R178" i="6"/>
  <c r="G174" i="5"/>
  <c r="B9" i="6"/>
  <c r="E101" i="4"/>
  <c r="M247" i="3"/>
  <c r="E59"/>
  <c r="R317" i="5"/>
  <c r="F160" i="4"/>
  <c r="A137" i="3"/>
  <c r="P301"/>
  <c r="B321" i="5"/>
  <c r="AG160" i="4"/>
  <c r="I137" i="3"/>
  <c r="B302"/>
  <c r="R349" i="5"/>
  <c r="E165" i="4"/>
  <c r="C140" i="3"/>
  <c r="T305"/>
  <c r="B353" i="5"/>
  <c r="AG165" i="4"/>
  <c r="K140" i="3"/>
  <c r="D306"/>
  <c r="F356" i="5"/>
  <c r="E166" i="4"/>
  <c r="S140" i="3"/>
  <c r="N306"/>
  <c r="B385" i="5"/>
  <c r="AF170" i="4"/>
  <c r="M143" i="3"/>
  <c r="F310"/>
  <c r="Q409"/>
  <c r="W220"/>
  <c r="X16"/>
  <c r="W300"/>
  <c r="AE8" i="4"/>
  <c r="T176" i="6"/>
  <c r="N158" i="3"/>
  <c r="O217"/>
  <c r="Q62"/>
  <c r="I23"/>
  <c r="A60" i="6"/>
  <c r="F229"/>
  <c r="I149" i="5"/>
  <c r="C151" i="12"/>
  <c r="AF108" i="4"/>
  <c r="M382" i="3"/>
  <c r="C114" i="4"/>
  <c r="R67" i="3"/>
  <c r="F7" i="16"/>
  <c r="D156" i="17"/>
  <c r="K342" i="5"/>
  <c r="C324"/>
  <c r="N386"/>
  <c r="F392" i="4"/>
  <c r="B499" i="17"/>
  <c r="E166" i="6"/>
  <c r="J377" i="5"/>
  <c r="A381" i="4"/>
  <c r="E199" i="12"/>
  <c r="N291" i="5"/>
  <c r="N85" i="6"/>
  <c r="C81" i="5"/>
  <c r="H33" i="17"/>
  <c r="N285" i="5"/>
  <c r="N79" i="6"/>
  <c r="C75" i="5"/>
  <c r="D33" i="6"/>
  <c r="AH214" i="4"/>
  <c r="E171" i="3"/>
  <c r="D347"/>
  <c r="P342" i="5"/>
  <c r="I37" i="4"/>
  <c r="V375" i="3"/>
  <c r="X199"/>
  <c r="T345" i="5"/>
  <c r="A38" i="4"/>
  <c r="D376" i="3"/>
  <c r="H200"/>
  <c r="P374" i="5"/>
  <c r="H42" i="4"/>
  <c r="X378" i="3"/>
  <c r="Z203"/>
  <c r="T377" i="5"/>
  <c r="AJ42" i="4"/>
  <c r="F379" i="3"/>
  <c r="J204"/>
  <c r="D381" i="5"/>
  <c r="H43" i="4"/>
  <c r="N379" i="3"/>
  <c r="V204"/>
  <c r="T409" i="5"/>
  <c r="AI47" i="4"/>
  <c r="H382" i="3"/>
  <c r="N208"/>
  <c r="G307"/>
  <c r="S81" i="6"/>
  <c r="E89" i="3"/>
  <c r="V28"/>
  <c r="AI210" i="4"/>
  <c r="AJ307"/>
  <c r="U337" i="3"/>
  <c r="F13"/>
  <c r="Y254"/>
  <c r="L40"/>
  <c r="L237" i="6"/>
  <c r="D236" i="17"/>
  <c r="C351" i="3"/>
  <c r="G87" i="5"/>
  <c r="A68" i="3"/>
  <c r="B297" i="6"/>
  <c r="D214" i="20"/>
  <c r="I243" i="17"/>
  <c r="A153"/>
  <c r="A54" i="16"/>
  <c r="D126" i="6"/>
  <c r="P107"/>
  <c r="I98"/>
  <c r="R109" i="5"/>
  <c r="B60"/>
  <c r="I294"/>
  <c r="E89" i="6"/>
  <c r="N100" i="5"/>
  <c r="E217" i="17"/>
  <c r="J416" i="5"/>
  <c r="J210" i="6"/>
  <c r="S205" i="5"/>
  <c r="A109" i="17"/>
  <c r="J410" i="5"/>
  <c r="J204" i="6"/>
  <c r="S199" i="5"/>
  <c r="R213" i="6"/>
  <c r="A133" i="4"/>
  <c r="E267" i="3"/>
  <c r="W78"/>
  <c r="M109" i="6"/>
  <c r="AI191" i="4"/>
  <c r="S156" i="3"/>
  <c r="X327"/>
  <c r="Q112" i="6"/>
  <c r="G192" i="4"/>
  <c r="A157" i="3"/>
  <c r="H328"/>
  <c r="M141" i="6"/>
  <c r="AE196" i="4"/>
  <c r="U159" i="3"/>
  <c r="Z331"/>
  <c r="Q144" i="6"/>
  <c r="C197" i="4"/>
  <c r="C160" i="3"/>
  <c r="J332"/>
  <c r="A148" i="6"/>
  <c r="AE197" i="4"/>
  <c r="K160" i="3"/>
  <c r="V332"/>
  <c r="Q176" i="6"/>
  <c r="B202" i="4"/>
  <c r="E163" i="3"/>
  <c r="N336"/>
  <c r="AJ8" i="4"/>
  <c r="F8" i="3"/>
  <c r="B37"/>
  <c r="W405"/>
  <c r="I25" i="4"/>
  <c r="Y43" i="3"/>
  <c r="C257"/>
  <c r="Q322"/>
  <c r="C131"/>
  <c r="O284"/>
  <c r="A188" i="6"/>
  <c r="B387" i="5"/>
  <c r="H252"/>
  <c r="J128"/>
  <c r="AI29" i="4"/>
  <c r="K262" i="3"/>
  <c r="A67" i="4"/>
  <c r="P197" i="3"/>
  <c r="B148" i="17"/>
  <c r="B157"/>
  <c r="F134" i="6"/>
  <c r="R115"/>
  <c r="F412" i="5"/>
  <c r="N10"/>
  <c r="I499" i="17"/>
  <c r="Q191" i="6"/>
  <c r="B403" i="5"/>
  <c r="J412" i="4"/>
  <c r="C6" i="13"/>
  <c r="F317" i="5"/>
  <c r="F111" i="6"/>
  <c r="O106" i="5"/>
  <c r="D142" i="12"/>
  <c r="F311" i="5"/>
  <c r="F105" i="6"/>
  <c r="O100" i="5"/>
  <c r="P241"/>
  <c r="B10" i="4"/>
  <c r="W190" i="3"/>
  <c r="L373"/>
  <c r="C134" i="6"/>
  <c r="D69" i="4"/>
  <c r="N395" i="3"/>
  <c r="D226"/>
  <c r="G137" i="6"/>
  <c r="AF69" i="4"/>
  <c r="V395" i="3"/>
  <c r="N226"/>
  <c r="C166" i="6"/>
  <c r="C74" i="4"/>
  <c r="P398" i="3"/>
  <c r="F230"/>
  <c r="G169" i="6"/>
  <c r="AE74" i="4"/>
  <c r="X398" i="3"/>
  <c r="R230"/>
  <c r="K172" i="6"/>
  <c r="C75" i="4"/>
  <c r="F399" i="3"/>
  <c r="B231"/>
  <c r="G201" i="6"/>
  <c r="AE79" i="4"/>
  <c r="Z401" i="3"/>
  <c r="T234"/>
  <c r="V271"/>
  <c r="S301" i="6"/>
  <c r="V176" i="3"/>
  <c r="C55"/>
  <c r="A227" i="4"/>
  <c r="I158" i="5"/>
  <c r="S15" i="3"/>
  <c r="X32"/>
  <c r="Y359"/>
  <c r="Q6"/>
  <c r="C263" i="6"/>
  <c r="R95" i="3"/>
  <c r="O186"/>
  <c r="R252" i="5"/>
  <c r="C198" i="3"/>
  <c r="I309" i="6"/>
  <c r="Q255"/>
  <c r="C401"/>
  <c r="D632" i="17"/>
  <c r="G368"/>
  <c r="T327" i="6"/>
  <c r="L309"/>
  <c r="A124"/>
  <c r="J135" i="5"/>
  <c r="N85"/>
  <c r="A320"/>
  <c r="Q114" i="6"/>
  <c r="F126" i="5"/>
  <c r="B216" i="17"/>
  <c r="A29" i="6"/>
  <c r="F240" i="5"/>
  <c r="K231"/>
  <c r="A108" i="17"/>
  <c r="A23" i="6"/>
  <c r="B230"/>
  <c r="K225" i="5"/>
  <c r="M26" i="6"/>
  <c r="AF164" i="4"/>
  <c r="W286" i="3"/>
  <c r="O98"/>
  <c r="L87" i="6"/>
  <c r="F223" i="4"/>
  <c r="K176" i="3"/>
  <c r="D354"/>
  <c r="P90" i="6"/>
  <c r="AG223" i="4"/>
  <c r="S176" i="3"/>
  <c r="N354"/>
  <c r="L119" i="6"/>
  <c r="H228" i="4"/>
  <c r="M179" i="3"/>
  <c r="F358"/>
  <c r="P122" i="6"/>
  <c r="C229" i="4"/>
  <c r="U179" i="3"/>
  <c r="R358"/>
  <c r="T125" i="6"/>
  <c r="AG229" i="4"/>
  <c r="C180" i="3"/>
  <c r="B359"/>
  <c r="P154" i="6"/>
  <c r="AF235" i="4"/>
  <c r="W182" i="3"/>
  <c r="T362"/>
  <c r="F25" i="4"/>
  <c r="U188" i="3"/>
  <c r="G75"/>
  <c r="G23"/>
  <c r="G262" i="4"/>
  <c r="P87" i="3"/>
  <c r="C362"/>
  <c r="U7"/>
  <c r="C225"/>
  <c r="D65"/>
  <c r="L63" i="6"/>
  <c r="I76"/>
  <c r="P354" i="5"/>
  <c r="E376"/>
  <c r="AE219" i="4"/>
  <c r="S103" i="3"/>
  <c r="AI19" i="4"/>
  <c r="D355" i="3"/>
  <c r="B147" i="17"/>
  <c r="D48" i="16"/>
  <c r="B360" i="5"/>
  <c r="N341"/>
  <c r="Q24" i="6"/>
  <c r="F36" i="5"/>
  <c r="F948" i="17"/>
  <c r="I217" i="6"/>
  <c r="M15"/>
  <c r="B27" i="5"/>
  <c r="B7" i="13"/>
  <c r="R342" i="5"/>
  <c r="R136" i="6"/>
  <c r="G132" i="5"/>
  <c r="C143" i="12"/>
  <c r="R336" i="5"/>
  <c r="R130" i="6"/>
  <c r="G126" i="5"/>
  <c r="S33" i="6"/>
  <c r="AI41" i="4"/>
  <c r="O210" i="3"/>
  <c r="R399"/>
  <c r="O342" i="5"/>
  <c r="AH100" i="4"/>
  <c r="F415" i="3"/>
  <c r="J252"/>
  <c r="S345" i="5"/>
  <c r="F101" i="4"/>
  <c r="N415" i="3"/>
  <c r="V252"/>
  <c r="O374" i="5"/>
  <c r="AH105" i="4"/>
  <c r="G6"/>
  <c r="N256" i="3"/>
  <c r="S377" i="5"/>
  <c r="F106" i="4"/>
  <c r="M103" i="3"/>
  <c r="X256"/>
  <c r="C381" i="5"/>
  <c r="AH106" i="4"/>
  <c r="U103" i="3"/>
  <c r="H257"/>
  <c r="S409" i="5"/>
  <c r="F111" i="4"/>
  <c r="O106" i="3"/>
  <c r="Z260"/>
  <c r="G114"/>
  <c r="R130"/>
  <c r="K278"/>
  <c r="H117"/>
  <c r="I248" i="4"/>
  <c r="Q207" i="5"/>
  <c r="A42" i="3"/>
  <c r="K65"/>
  <c r="Q14"/>
  <c r="M314"/>
  <c r="N324" i="6"/>
  <c r="Z234" i="3"/>
  <c r="AH93" i="4"/>
  <c r="AG412"/>
  <c r="Q355" i="3"/>
  <c r="P309" i="6"/>
  <c r="D256"/>
  <c r="C30" i="7"/>
  <c r="F781" i="17"/>
  <c r="I405"/>
  <c r="S327" i="6"/>
  <c r="K309"/>
  <c r="M149"/>
  <c r="B161" i="5"/>
  <c r="F111"/>
  <c r="M345"/>
  <c r="I140" i="6"/>
  <c r="R151" i="5"/>
  <c r="I215" i="17"/>
  <c r="M54" i="6"/>
  <c r="R265" i="5"/>
  <c r="I381"/>
  <c r="I107" i="17"/>
  <c r="M48" i="6"/>
  <c r="R259" i="5"/>
  <c r="I333"/>
  <c r="I235" i="6"/>
  <c r="C196" i="4"/>
  <c r="O306" i="3"/>
  <c r="J120"/>
  <c r="D296" i="5"/>
  <c r="J18" i="4"/>
  <c r="C196" i="3"/>
  <c r="J380"/>
  <c r="H299" i="5"/>
  <c r="B19" i="4"/>
  <c r="K196" i="3"/>
  <c r="V380"/>
  <c r="D328" i="5"/>
  <c r="J23" i="4"/>
  <c r="E199" i="3"/>
  <c r="N384"/>
  <c r="H331" i="5"/>
  <c r="A24" i="4"/>
  <c r="M199" i="3"/>
  <c r="X384"/>
  <c r="L334" i="5"/>
  <c r="I24" i="4"/>
  <c r="U199" i="3"/>
  <c r="H385"/>
  <c r="H363" i="5"/>
  <c r="A29" i="4"/>
  <c r="O202" i="3"/>
  <c r="Z388"/>
  <c r="AE41" i="4"/>
  <c r="G399" i="3"/>
  <c r="V152"/>
  <c r="C46"/>
  <c r="L84" i="5"/>
  <c r="N172" i="3"/>
  <c r="J15"/>
  <c r="Q27"/>
  <c r="C330"/>
  <c r="W387"/>
  <c r="T165" i="6"/>
  <c r="Q178"/>
  <c r="G69"/>
  <c r="G400" i="4"/>
  <c r="AJ172"/>
  <c r="P245" i="3"/>
  <c r="AH209" i="4"/>
  <c r="R168" i="3"/>
  <c r="A147" i="17"/>
  <c r="C48" i="16"/>
  <c r="Q151" i="6"/>
  <c r="I133"/>
  <c r="I50"/>
  <c r="R61" i="5"/>
  <c r="E37" i="20"/>
  <c r="I246" i="5"/>
  <c r="E41" i="6"/>
  <c r="N52" i="5"/>
  <c r="B30" i="17"/>
  <c r="J368" i="5"/>
  <c r="J162" i="6"/>
  <c r="S157" i="5"/>
  <c r="G26" i="16"/>
  <c r="J362" i="5"/>
  <c r="J156" i="6"/>
  <c r="S151" i="5"/>
  <c r="S242"/>
  <c r="J73" i="4"/>
  <c r="G230" i="3"/>
  <c r="Y41"/>
  <c r="J134" i="6"/>
  <c r="J132" i="4"/>
  <c r="U119" i="3"/>
  <c r="R278"/>
  <c r="N137" i="6"/>
  <c r="B133" i="4"/>
  <c r="C120" i="3"/>
  <c r="B279"/>
  <c r="J166" i="6"/>
  <c r="J137" i="4"/>
  <c r="W122" i="3"/>
  <c r="T282"/>
  <c r="N169" i="6"/>
  <c r="B138" i="4"/>
  <c r="E123" i="3"/>
  <c r="D283"/>
  <c r="R172" i="6"/>
  <c r="J138" i="4"/>
  <c r="M123" i="3"/>
  <c r="P283"/>
  <c r="N201" i="6"/>
  <c r="A143" i="4"/>
  <c r="G126" i="3"/>
  <c r="H287"/>
  <c r="U271"/>
  <c r="A174"/>
  <c r="K383"/>
  <c r="Y208"/>
  <c r="AE23" i="4"/>
  <c r="L366" i="5"/>
  <c r="D85" i="3"/>
  <c r="Y135"/>
  <c r="I34"/>
  <c r="T138"/>
  <c r="G11" i="8"/>
  <c r="N392" i="3"/>
  <c r="AE46" i="4"/>
  <c r="L225" i="5"/>
  <c r="T268" i="3"/>
  <c r="C310" i="6"/>
  <c r="K256"/>
  <c r="D32" i="7"/>
  <c r="D365" i="6"/>
  <c r="A156"/>
  <c r="J167" i="5"/>
  <c r="N117"/>
  <c r="A352"/>
  <c r="Q146" i="6"/>
  <c r="F158" i="5"/>
  <c r="D16" i="14"/>
  <c r="A61" i="6"/>
  <c r="F272" i="5"/>
  <c r="D251" i="4"/>
  <c r="E225" i="17"/>
  <c r="A55" i="6"/>
  <c r="F266" i="5"/>
  <c r="M384"/>
  <c r="A286"/>
  <c r="A204" i="4"/>
  <c r="M311" i="3"/>
  <c r="A126"/>
  <c r="H347" i="5"/>
  <c r="I26" i="4"/>
  <c r="A201" i="3"/>
  <c r="Z386"/>
  <c r="L350" i="5"/>
  <c r="A27" i="4"/>
  <c r="I201" i="3"/>
  <c r="J387"/>
  <c r="H379" i="5"/>
  <c r="H31" i="4"/>
  <c r="C204" i="3"/>
  <c r="B391"/>
  <c r="L382" i="5"/>
  <c r="AJ31" i="4"/>
  <c r="K204" i="3"/>
  <c r="L391"/>
  <c r="P385" i="5"/>
  <c r="H32" i="4"/>
  <c r="S204" i="3"/>
  <c r="X391"/>
  <c r="L414" i="5"/>
  <c r="AJ36" i="4"/>
  <c r="M207" i="3"/>
  <c r="P395"/>
  <c r="A105" i="4"/>
  <c r="E407" i="3"/>
  <c r="I175"/>
  <c r="A54"/>
  <c r="P135" i="5"/>
  <c r="E352" i="3"/>
  <c r="H20"/>
  <c r="O32"/>
  <c r="I356"/>
  <c r="W19"/>
  <c r="O38" i="6"/>
  <c r="N203"/>
  <c r="S141" i="5"/>
  <c r="Q159"/>
  <c r="E298" i="3"/>
  <c r="C38" i="6"/>
  <c r="F347" i="3"/>
  <c r="C262" i="5"/>
  <c r="F127" i="12"/>
  <c r="F176" i="13"/>
  <c r="F414" i="5"/>
  <c r="R395"/>
  <c r="B265"/>
  <c r="A375"/>
  <c r="H36" i="17"/>
  <c r="M44" i="6"/>
  <c r="R255" i="5"/>
  <c r="I301"/>
  <c r="B27" i="12"/>
  <c r="B149" i="6"/>
  <c r="C377" i="5"/>
  <c r="AG360" i="4"/>
  <c r="G100" i="12"/>
  <c r="B143" i="6"/>
  <c r="C371" i="5"/>
  <c r="H353" i="4"/>
  <c r="G105" i="6"/>
  <c r="AF64" i="4"/>
  <c r="T392" i="3"/>
  <c r="L222"/>
  <c r="C181" i="5"/>
  <c r="AF123" i="4"/>
  <c r="H282" i="3"/>
  <c r="Z93"/>
  <c r="G184" i="5"/>
  <c r="D124" i="4"/>
  <c r="P282" i="3"/>
  <c r="H94"/>
  <c r="C213" i="5"/>
  <c r="AE128" i="4"/>
  <c r="J285" i="3"/>
  <c r="B97"/>
  <c r="G216" i="5"/>
  <c r="C129" i="4"/>
  <c r="R285" i="3"/>
  <c r="J97"/>
  <c r="K219" i="5"/>
  <c r="AE129" i="4"/>
  <c r="Z285" i="3"/>
  <c r="R97"/>
  <c r="A311" i="5"/>
  <c r="C134" i="4"/>
  <c r="T288" i="3"/>
  <c r="L100"/>
  <c r="R125"/>
  <c r="AJ369" i="4"/>
  <c r="S214" i="3"/>
  <c r="A75"/>
  <c r="N259"/>
  <c r="AJ92" i="4"/>
  <c r="I233" i="5"/>
  <c r="K42" i="3"/>
  <c r="C401"/>
  <c r="R253" i="5"/>
  <c r="V388" i="3"/>
  <c r="E217"/>
  <c r="O265"/>
  <c r="J197"/>
  <c r="A390"/>
  <c r="Y16"/>
  <c r="V157"/>
  <c r="Y206"/>
  <c r="T53"/>
  <c r="G48" i="4"/>
  <c r="O132" i="5"/>
  <c r="C31" i="3"/>
  <c r="F311" i="6"/>
  <c r="M181"/>
  <c r="B193" i="5"/>
  <c r="F143"/>
  <c r="M377"/>
  <c r="I172" i="6"/>
  <c r="R183" i="5"/>
  <c r="A40" i="16"/>
  <c r="M86" i="6"/>
  <c r="R297" i="5"/>
  <c r="AI282" i="4"/>
  <c r="E226" i="17"/>
  <c r="M80" i="6"/>
  <c r="R291" i="5"/>
  <c r="G275" i="4"/>
  <c r="P77" i="6"/>
  <c r="F238" i="4"/>
  <c r="E331" i="3"/>
  <c r="N148"/>
  <c r="K139" i="6"/>
  <c r="F58" i="4"/>
  <c r="S220" i="3"/>
  <c r="F413"/>
  <c r="O142" i="6"/>
  <c r="AG58" i="4"/>
  <c r="A221" i="3"/>
  <c r="P413"/>
  <c r="K171" i="6"/>
  <c r="C63" i="4"/>
  <c r="U223" i="3"/>
  <c r="H417"/>
  <c r="O174" i="6"/>
  <c r="AE63" i="4"/>
  <c r="C224" i="3"/>
  <c r="T417"/>
  <c r="S177" i="6"/>
  <c r="C64" i="4"/>
  <c r="K224" i="3"/>
  <c r="I6" i="4"/>
  <c r="O206" i="6"/>
  <c r="AE68" i="4"/>
  <c r="E227" i="3"/>
  <c r="W38"/>
  <c r="AG121" i="4"/>
  <c r="J66" i="3"/>
  <c r="Q276"/>
  <c r="F114"/>
  <c r="E346" i="4"/>
  <c r="O53" i="3"/>
  <c r="O41"/>
  <c r="M64"/>
  <c r="Z13"/>
  <c r="N177"/>
  <c r="G192" i="6"/>
  <c r="F310" i="5"/>
  <c r="B259" i="4"/>
  <c r="F340" i="5"/>
  <c r="Z205" i="3"/>
  <c r="T221" i="6"/>
  <c r="Y169" i="3"/>
  <c r="D273" i="6"/>
  <c r="E187" i="12"/>
  <c r="E153" i="13"/>
  <c r="A206" i="6"/>
  <c r="M187"/>
  <c r="N290" i="5"/>
  <c r="AI273" i="4"/>
  <c r="F37" i="17"/>
  <c r="E70" i="6"/>
  <c r="J281" i="5"/>
  <c r="I262" i="4"/>
  <c r="A65" i="13"/>
  <c r="N174" i="6"/>
  <c r="O402" i="5"/>
  <c r="G392" i="4"/>
  <c r="B143" i="12"/>
  <c r="N168" i="6"/>
  <c r="O396" i="5"/>
  <c r="A385" i="4"/>
  <c r="S313" i="5"/>
  <c r="I96" i="4"/>
  <c r="L412" i="3"/>
  <c r="R248"/>
  <c r="D402" i="4"/>
  <c r="I155"/>
  <c r="Z301" i="3"/>
  <c r="D115"/>
  <c r="C406" i="4"/>
  <c r="AJ155"/>
  <c r="H302" i="3"/>
  <c r="N115"/>
  <c r="B25" i="5"/>
  <c r="G160" i="4"/>
  <c r="B305" i="3"/>
  <c r="R118"/>
  <c r="F28" i="5"/>
  <c r="AH160" i="4"/>
  <c r="J305" i="3"/>
  <c r="A119"/>
  <c r="J31" i="5"/>
  <c r="F161" i="4"/>
  <c r="R305" i="3"/>
  <c r="J119"/>
  <c r="F60" i="5"/>
  <c r="AH165" i="4"/>
  <c r="L308" i="3"/>
  <c r="N122"/>
  <c r="S323"/>
  <c r="O171" i="5"/>
  <c r="S319" i="3"/>
  <c r="O152"/>
  <c r="B417"/>
  <c r="AG329" i="4"/>
  <c r="D392" i="5"/>
  <c r="A86" i="3"/>
  <c r="R22"/>
  <c r="F153" i="5"/>
  <c r="I114" i="3"/>
  <c r="AH84" i="4"/>
  <c r="D14" i="3"/>
  <c r="A101" i="4"/>
  <c r="F38" i="3"/>
  <c r="W67"/>
  <c r="A21"/>
  <c r="C65" i="4"/>
  <c r="U190" i="3"/>
  <c r="D413" i="5"/>
  <c r="AJ301" i="4"/>
  <c r="D308" i="3"/>
  <c r="B53" i="12"/>
  <c r="E207" i="6"/>
  <c r="N218" i="5"/>
  <c r="R168"/>
  <c r="E403"/>
  <c r="A198" i="6"/>
  <c r="J209" i="5"/>
  <c r="C356" i="17"/>
  <c r="E112" i="6"/>
  <c r="J323" i="5"/>
  <c r="AD314" i="4"/>
  <c r="E686" i="17"/>
  <c r="E106" i="6"/>
  <c r="J317" i="5"/>
  <c r="D307" i="4"/>
  <c r="L279" i="6"/>
  <c r="B251" i="4"/>
  <c r="W350" i="3"/>
  <c r="A171"/>
  <c r="K348" i="5"/>
  <c r="AJ89" i="4"/>
  <c r="K240" i="3"/>
  <c r="C52"/>
  <c r="O351" i="5"/>
  <c r="H90" i="4"/>
  <c r="S240" i="3"/>
  <c r="K52"/>
  <c r="K380" i="5"/>
  <c r="AJ94" i="4"/>
  <c r="M243" i="3"/>
  <c r="E55"/>
  <c r="O383" i="5"/>
  <c r="H95" i="4"/>
  <c r="U243" i="3"/>
  <c r="M55"/>
  <c r="S386" i="5"/>
  <c r="AJ95" i="4"/>
  <c r="C244" i="3"/>
  <c r="U55"/>
  <c r="O415" i="5"/>
  <c r="E100" i="4"/>
  <c r="W246" i="3"/>
  <c r="O58"/>
  <c r="AE138" i="4"/>
  <c r="D15" i="3"/>
  <c r="S381"/>
  <c r="K205"/>
  <c r="K152" i="5"/>
  <c r="C371" i="3"/>
  <c r="F84"/>
  <c r="H134"/>
  <c r="R33"/>
  <c r="D24"/>
  <c r="S5" i="6"/>
  <c r="E25"/>
  <c r="AJ416" i="4"/>
  <c r="J111" i="6"/>
  <c r="D324" i="3"/>
  <c r="I244" i="5"/>
  <c r="C288" i="3"/>
  <c r="O295"/>
  <c r="D250" i="12"/>
  <c r="H217" i="13"/>
  <c r="T183" i="6"/>
  <c r="L165"/>
  <c r="F316" i="5"/>
  <c r="AG305" i="4"/>
  <c r="G99" i="17"/>
  <c r="Q95" i="6"/>
  <c r="B307" i="5"/>
  <c r="F294" i="4"/>
  <c r="H231" i="12"/>
  <c r="F200" i="6"/>
  <c r="F15"/>
  <c r="O10" i="5"/>
  <c r="H111" i="12"/>
  <c r="F194" i="6"/>
  <c r="F9"/>
  <c r="I416" i="4"/>
  <c r="N105" i="6"/>
  <c r="B128" i="4"/>
  <c r="A117" i="3"/>
  <c r="Z274"/>
  <c r="R197" i="5"/>
  <c r="A187" i="4"/>
  <c r="R321" i="3"/>
  <c r="R137"/>
  <c r="B201" i="5"/>
  <c r="I187" i="4"/>
  <c r="Z321" i="3"/>
  <c r="A138"/>
  <c r="R229" i="5"/>
  <c r="AJ191" i="4"/>
  <c r="T324" i="3"/>
  <c r="E141"/>
  <c r="B233" i="5"/>
  <c r="H192" i="4"/>
  <c r="B325" i="3"/>
  <c r="N141"/>
  <c r="F236" i="5"/>
  <c r="AJ192" i="4"/>
  <c r="J325" i="3"/>
  <c r="W141"/>
  <c r="AE252" i="4"/>
  <c r="D197"/>
  <c r="D328" i="3"/>
  <c r="B145"/>
  <c r="Q132"/>
  <c r="J390" i="4"/>
  <c r="G7" i="3"/>
  <c r="C250"/>
  <c r="M259"/>
  <c r="T138" i="5"/>
  <c r="D116" i="7"/>
  <c r="F171" i="3"/>
  <c r="E45"/>
  <c r="H118"/>
  <c r="F77" i="4"/>
  <c r="Y202" i="3"/>
  <c r="G60"/>
  <c r="K216" i="5"/>
  <c r="A144" i="3"/>
  <c r="O220"/>
  <c r="M274"/>
  <c r="Q40"/>
  <c r="Q384"/>
  <c r="N113"/>
  <c r="I116" i="5"/>
  <c r="R319" i="3"/>
  <c r="H8" i="17"/>
  <c r="A241" i="6"/>
  <c r="M278" i="5"/>
  <c r="J194"/>
  <c r="P15" i="6"/>
  <c r="M223"/>
  <c r="B235" i="5"/>
  <c r="E393" i="17"/>
  <c r="Q137" i="6"/>
  <c r="B349" i="5"/>
  <c r="AJ345" i="4"/>
  <c r="H286" i="17"/>
  <c r="Q131" i="6"/>
  <c r="B343" i="5"/>
  <c r="AF338" i="4"/>
  <c r="K279" i="6"/>
  <c r="AG282" i="4"/>
  <c r="O370" i="3"/>
  <c r="N193"/>
  <c r="F140" i="6"/>
  <c r="AD121" i="4"/>
  <c r="C260" i="3"/>
  <c r="U71"/>
  <c r="J143" i="6"/>
  <c r="B122" i="4"/>
  <c r="K260" i="3"/>
  <c r="C72"/>
  <c r="F172" i="6"/>
  <c r="J126" i="4"/>
  <c r="E263" i="3"/>
  <c r="W74"/>
  <c r="J175" i="6"/>
  <c r="B127" i="4"/>
  <c r="M263" i="3"/>
  <c r="E75"/>
  <c r="N178" i="6"/>
  <c r="J127" i="4"/>
  <c r="U263" i="3"/>
  <c r="M75"/>
  <c r="J207" i="6"/>
  <c r="A132" i="4"/>
  <c r="O266" i="3"/>
  <c r="G78"/>
  <c r="H155" i="4"/>
  <c r="V14" i="3"/>
  <c r="A19"/>
  <c r="K310"/>
  <c r="AI366" i="4"/>
  <c r="Y372" i="3"/>
  <c r="H168"/>
  <c r="U228"/>
  <c r="I67"/>
  <c r="D197"/>
  <c r="B170" i="7"/>
  <c r="M127" i="6"/>
  <c r="B133" i="5"/>
  <c r="T128" i="6"/>
  <c r="E127" i="3"/>
  <c r="G242" i="12"/>
  <c r="G406" i="3"/>
  <c r="M280"/>
  <c r="C251" i="12"/>
  <c r="A40" i="17"/>
  <c r="L392" i="5"/>
  <c r="D374"/>
  <c r="R341"/>
  <c r="E337" i="4"/>
  <c r="H519" i="17"/>
  <c r="I121" i="6"/>
  <c r="N332" i="5"/>
  <c r="A326" i="4"/>
  <c r="F34" i="13"/>
  <c r="R225" i="6"/>
  <c r="R40"/>
  <c r="G36" i="5"/>
  <c r="G170" i="12"/>
  <c r="R219" i="6"/>
  <c r="R34"/>
  <c r="G30" i="5"/>
  <c r="N314"/>
  <c r="AH159" i="4"/>
  <c r="S136" i="3"/>
  <c r="F301"/>
  <c r="I9" i="5"/>
  <c r="G218" i="4"/>
  <c r="J341" i="3"/>
  <c r="E160"/>
  <c r="M12" i="5"/>
  <c r="AI218" i="4"/>
  <c r="R341" i="3"/>
  <c r="N160"/>
  <c r="I41" i="5"/>
  <c r="G223" i="4"/>
  <c r="L344" i="3"/>
  <c r="R163"/>
  <c r="M44" i="5"/>
  <c r="AH223" i="4"/>
  <c r="T344" i="3"/>
  <c r="A164"/>
  <c r="Q47" i="5"/>
  <c r="F224" i="4"/>
  <c r="B345" i="3"/>
  <c r="J164"/>
  <c r="M76" i="5"/>
  <c r="D229" i="4"/>
  <c r="V347" i="3"/>
  <c r="O167"/>
  <c r="X331"/>
  <c r="AJ278" i="4"/>
  <c r="C27" i="3"/>
  <c r="C355"/>
  <c r="A417"/>
  <c r="E350" i="4"/>
  <c r="C137" i="3"/>
  <c r="W271"/>
  <c r="Y90"/>
  <c r="A69"/>
  <c r="G197" i="5"/>
  <c r="Y24" i="3"/>
  <c r="S205"/>
  <c r="T151"/>
  <c r="M328"/>
  <c r="S415"/>
  <c r="H28" i="4"/>
  <c r="C258" i="3"/>
  <c r="M36"/>
  <c r="S294"/>
  <c r="H116" i="5"/>
  <c r="W170" i="3"/>
  <c r="B371" i="17"/>
  <c r="L31" i="6"/>
  <c r="J258" i="4"/>
  <c r="B220" i="5"/>
  <c r="H41" i="6"/>
  <c r="H22"/>
  <c r="Q409" i="5"/>
  <c r="D449" i="17"/>
  <c r="I163" i="6"/>
  <c r="N374" i="5"/>
  <c r="AE377" i="4"/>
  <c r="G342" i="17"/>
  <c r="I157" i="6"/>
  <c r="N368" i="5"/>
  <c r="C370" i="4"/>
  <c r="I263" i="6"/>
  <c r="I314" i="4"/>
  <c r="G390" i="3"/>
  <c r="C219"/>
  <c r="B366" i="5"/>
  <c r="G153" i="4"/>
  <c r="U279" i="3"/>
  <c r="M91"/>
  <c r="F369" i="5"/>
  <c r="AI153" i="4"/>
  <c r="C280" i="3"/>
  <c r="U91"/>
  <c r="B398" i="5"/>
  <c r="F158" i="4"/>
  <c r="W282" i="3"/>
  <c r="O94"/>
  <c r="F401" i="5"/>
  <c r="AG158" i="4"/>
  <c r="E283" i="3"/>
  <c r="W94"/>
  <c r="J404" i="5"/>
  <c r="E159" i="4"/>
  <c r="M283" i="3"/>
  <c r="E95"/>
  <c r="E20" i="6"/>
  <c r="AF163" i="4"/>
  <c r="G286" i="3"/>
  <c r="Y97"/>
  <c r="C172" i="4"/>
  <c r="O34" i="3"/>
  <c r="W39"/>
  <c r="K415"/>
  <c r="P132" i="5"/>
  <c r="M42" i="3"/>
  <c r="M268"/>
  <c r="U333"/>
  <c r="L139"/>
  <c r="Z87"/>
  <c r="H87" i="12"/>
  <c r="A230" i="6"/>
  <c r="A413" i="5"/>
  <c r="B7" i="19"/>
  <c r="I245" i="3"/>
  <c r="E81"/>
  <c r="I177" i="4"/>
  <c r="C130" i="3"/>
  <c r="E19" i="17"/>
  <c r="C43"/>
  <c r="O184" i="6"/>
  <c r="G166"/>
  <c r="J367" i="5"/>
  <c r="AE368" i="4"/>
  <c r="C568" i="17"/>
  <c r="A147" i="6"/>
  <c r="F358" i="5"/>
  <c r="E357" i="4"/>
  <c r="E11" i="13"/>
  <c r="J272" i="5"/>
  <c r="J66" i="6"/>
  <c r="S61" i="5"/>
  <c r="F147" i="12"/>
  <c r="J266" i="5"/>
  <c r="J60" i="6"/>
  <c r="S55" i="5"/>
  <c r="I106" i="6"/>
  <c r="G191" i="4"/>
  <c r="K156" i="3"/>
  <c r="L327"/>
  <c r="E214" i="5"/>
  <c r="AE13" i="4"/>
  <c r="B361" i="3"/>
  <c r="R182"/>
  <c r="I217" i="5"/>
  <c r="C14" i="4"/>
  <c r="J361" i="3"/>
  <c r="A183"/>
  <c r="E294" i="5"/>
  <c r="AE18" i="4"/>
  <c r="D364" i="3"/>
  <c r="E186"/>
  <c r="Q319" i="5"/>
  <c r="C19" i="4"/>
  <c r="L364" i="3"/>
  <c r="N186"/>
  <c r="I345" i="5"/>
  <c r="AE19" i="4"/>
  <c r="T364" i="3"/>
  <c r="X186"/>
  <c r="H256" i="5"/>
  <c r="B24" i="4"/>
  <c r="N367" i="3"/>
  <c r="B190"/>
  <c r="N156"/>
  <c r="O310" i="5"/>
  <c r="G52" i="3"/>
  <c r="B14"/>
  <c r="AJ20" i="4"/>
  <c r="O155" i="5"/>
  <c r="S182" i="3"/>
  <c r="W376"/>
  <c r="F179"/>
  <c r="F98" i="13"/>
  <c r="C54" i="3"/>
  <c r="D89"/>
  <c r="A399"/>
  <c r="C339"/>
  <c r="E125"/>
  <c r="D44"/>
  <c r="AI380" i="4"/>
  <c r="I39" i="3"/>
  <c r="Q136"/>
  <c r="P19"/>
  <c r="B226" i="6"/>
  <c r="M50" i="3"/>
  <c r="R132" i="5"/>
  <c r="D57" i="6"/>
  <c r="F290" i="4"/>
  <c r="Q289" i="5"/>
  <c r="T66" i="6"/>
  <c r="T47"/>
  <c r="AH278" i="4"/>
  <c r="B450" i="17"/>
  <c r="A189" i="6"/>
  <c r="F400" i="5"/>
  <c r="C409" i="4"/>
  <c r="E343" i="17"/>
  <c r="A183" i="6"/>
  <c r="F394" i="5"/>
  <c r="AF401" i="4"/>
  <c r="F117" i="7"/>
  <c r="AH345" i="4"/>
  <c r="Y409" i="3"/>
  <c r="K245"/>
  <c r="Q157" i="6"/>
  <c r="AJ184" i="4"/>
  <c r="M299" i="3"/>
  <c r="H112"/>
  <c r="A161" i="6"/>
  <c r="H185" i="4"/>
  <c r="U299" i="3"/>
  <c r="Q112"/>
  <c r="Q189" i="6"/>
  <c r="AH189" i="4"/>
  <c r="O302" i="3"/>
  <c r="V115"/>
  <c r="A193" i="6"/>
  <c r="F190" i="4"/>
  <c r="W302" i="3"/>
  <c r="E116"/>
  <c r="E196" i="6"/>
  <c r="AH190" i="4"/>
  <c r="E303" i="3"/>
  <c r="N116"/>
  <c r="A225" i="6"/>
  <c r="D195" i="4"/>
  <c r="Y305" i="3"/>
  <c r="R119"/>
  <c r="I408" i="4"/>
  <c r="S69" i="3"/>
  <c r="V80"/>
  <c r="B25"/>
  <c r="G153" i="6"/>
  <c r="V10" i="3"/>
  <c r="M373"/>
  <c r="B10"/>
  <c r="U234"/>
  <c r="Z295"/>
  <c r="I394" i="4"/>
  <c r="P156" i="6"/>
  <c r="J405" i="4"/>
  <c r="B154" i="5"/>
  <c r="J61" i="4"/>
  <c r="H64" i="3"/>
  <c r="G130" i="4"/>
  <c r="J276" i="3"/>
  <c r="C20" i="17"/>
  <c r="A471"/>
  <c r="O393" i="5"/>
  <c r="G375"/>
  <c r="B393"/>
  <c r="D400" i="4"/>
  <c r="E791" i="17"/>
  <c r="M172" i="6"/>
  <c r="R383" i="5"/>
  <c r="AH388" i="4"/>
  <c r="D71" i="13"/>
  <c r="B298" i="5"/>
  <c r="B92" i="6"/>
  <c r="K87" i="5"/>
  <c r="E207" i="12"/>
  <c r="B292" i="5"/>
  <c r="B86" i="6"/>
  <c r="K81" i="5"/>
  <c r="H84" i="6"/>
  <c r="AH222" i="4"/>
  <c r="C176" i="3"/>
  <c r="T353"/>
  <c r="T393" i="5"/>
  <c r="H45" i="4"/>
  <c r="T380" i="3"/>
  <c r="L206"/>
  <c r="D397" i="5"/>
  <c r="AI45" i="4"/>
  <c r="B381" i="3"/>
  <c r="V206"/>
  <c r="K12" i="6"/>
  <c r="G50" i="4"/>
  <c r="V383" i="3"/>
  <c r="N210"/>
  <c r="O15" i="6"/>
  <c r="AI50" i="4"/>
  <c r="D384" i="3"/>
  <c r="Z210"/>
  <c r="S18" i="6"/>
  <c r="G51" i="4"/>
  <c r="L384" i="3"/>
  <c r="J211"/>
  <c r="O47" i="6"/>
  <c r="AI55" i="4"/>
  <c r="F387" i="3"/>
  <c r="B215"/>
  <c r="S359"/>
  <c r="N82" i="6"/>
  <c r="H109" i="3"/>
  <c r="T33"/>
  <c r="E37" i="4"/>
  <c r="AI370"/>
  <c r="E377" i="3"/>
  <c r="D18"/>
  <c r="E281"/>
  <c r="A82"/>
  <c r="S82"/>
  <c r="G263"/>
  <c r="F254"/>
  <c r="Y27"/>
  <c r="Z216"/>
  <c r="N325"/>
  <c r="G47" i="17"/>
  <c r="K43" i="3"/>
  <c r="D258"/>
  <c r="B74"/>
  <c r="S9" i="6"/>
  <c r="F343" i="5"/>
  <c r="B322" i="4"/>
  <c r="F187"/>
  <c r="A47" i="12"/>
  <c r="C397" i="5"/>
  <c r="I105" i="3"/>
  <c r="R12" i="6"/>
  <c r="A263" i="3"/>
  <c r="I367" i="4"/>
  <c r="Y171" i="3"/>
  <c r="C48" i="4"/>
  <c r="AF413"/>
  <c r="O303" i="3"/>
  <c r="C277"/>
  <c r="K273"/>
  <c r="U49"/>
  <c r="I136" i="4"/>
  <c r="S34" i="3"/>
  <c r="X18"/>
  <c r="AH107" i="4"/>
  <c r="T139" i="6"/>
  <c r="B313" i="5"/>
  <c r="AG301" i="4"/>
  <c r="H42" i="17"/>
  <c r="M92" i="6"/>
  <c r="R303" i="5"/>
  <c r="G290" i="4"/>
  <c r="H167" i="12"/>
  <c r="B197" i="6"/>
  <c r="B12"/>
  <c r="K7" i="5"/>
  <c r="C182" i="17"/>
  <c r="B191" i="6"/>
  <c r="B6"/>
  <c r="AD412" i="4"/>
  <c r="B80" i="6"/>
  <c r="C124" i="4"/>
  <c r="O114" i="3"/>
  <c r="R271"/>
  <c r="F172" i="5"/>
  <c r="B183" i="4"/>
  <c r="F319" i="3"/>
  <c r="V134"/>
  <c r="J175" i="5"/>
  <c r="J183" i="4"/>
  <c r="N319" i="3"/>
  <c r="F135"/>
  <c r="F204" i="5"/>
  <c r="A188" i="4"/>
  <c r="H322" i="3"/>
  <c r="J138"/>
  <c r="J207" i="5"/>
  <c r="I188" i="4"/>
  <c r="P322" i="3"/>
  <c r="S138"/>
  <c r="N210" i="5"/>
  <c r="A189" i="4"/>
  <c r="X322" i="3"/>
  <c r="B139"/>
  <c r="A247" i="5"/>
  <c r="H193" i="4"/>
  <c r="R325" i="3"/>
  <c r="F142"/>
  <c r="D110"/>
  <c r="AJ358" i="4"/>
  <c r="Q411" i="3"/>
  <c r="Y236"/>
  <c r="U239"/>
  <c r="H113" i="5"/>
  <c r="L202" i="6"/>
  <c r="Y159" i="3"/>
  <c r="L41"/>
  <c r="F4" i="14"/>
  <c r="F59" i="6"/>
  <c r="B139" i="5"/>
  <c r="N57"/>
  <c r="B22" i="4"/>
  <c r="T342" i="3"/>
  <c r="A181" i="4"/>
  <c r="H319" i="3"/>
  <c r="A203" i="4"/>
  <c r="A218" i="7"/>
  <c r="B285"/>
  <c r="AF405" i="4"/>
  <c r="A383"/>
  <c r="S417" i="5"/>
  <c r="D411" i="4"/>
  <c r="A185" i="13"/>
  <c r="N180" i="6"/>
  <c r="O408" i="5"/>
  <c r="AG399" i="4"/>
  <c r="E363" i="6"/>
  <c r="C306" i="5"/>
  <c r="G117" i="6"/>
  <c r="P96" i="5"/>
  <c r="P311" i="6"/>
  <c r="C300" i="5"/>
  <c r="G111" i="6"/>
  <c r="P90" i="5"/>
  <c r="Q84"/>
  <c r="AJ220" i="4"/>
  <c r="Y415" i="3"/>
  <c r="L355"/>
  <c r="AI371" i="4"/>
  <c r="J43"/>
  <c r="Q268" i="3"/>
  <c r="F208"/>
  <c r="G372" i="4"/>
  <c r="B44"/>
  <c r="C269" i="3"/>
  <c r="P208"/>
  <c r="AI376" i="4"/>
  <c r="I48"/>
  <c r="U272" i="3"/>
  <c r="H212"/>
  <c r="G377" i="4"/>
  <c r="A49"/>
  <c r="E273" i="3"/>
  <c r="R212"/>
  <c r="AI377" i="4"/>
  <c r="I49"/>
  <c r="O273" i="3"/>
  <c r="D213"/>
  <c r="E382" i="4"/>
  <c r="A54"/>
  <c r="G277" i="3"/>
  <c r="V216"/>
  <c r="C82"/>
  <c r="C412"/>
  <c r="S97"/>
  <c r="A280"/>
  <c r="D369"/>
  <c r="H242"/>
  <c r="I219" i="4"/>
  <c r="E322" i="3"/>
  <c r="E54"/>
  <c r="W102"/>
  <c r="V200"/>
  <c r="O329"/>
  <c r="O29"/>
  <c r="L49"/>
  <c r="E249"/>
  <c r="O120"/>
  <c r="Q231"/>
  <c r="J246"/>
  <c r="O18"/>
  <c r="S148"/>
  <c r="L234"/>
  <c r="V107"/>
  <c r="L348" i="5"/>
  <c r="N338"/>
  <c r="F333" i="4"/>
  <c r="I462" i="17"/>
  <c r="E118" i="6"/>
  <c r="J329" i="5"/>
  <c r="A322" i="4"/>
  <c r="I35" i="6"/>
  <c r="N246" i="5"/>
  <c r="R240"/>
  <c r="F225" i="17"/>
  <c r="I29" i="6"/>
  <c r="N240" i="5"/>
  <c r="S231"/>
  <c r="Q77" i="6"/>
  <c r="AE172" i="4"/>
  <c r="U291" i="3"/>
  <c r="N103"/>
  <c r="P138" i="6"/>
  <c r="H232" i="4"/>
  <c r="I181" i="3"/>
  <c r="R360"/>
  <c r="T141" i="6"/>
  <c r="B233" i="4"/>
  <c r="Q181" i="3"/>
  <c r="D361"/>
  <c r="P170" i="6"/>
  <c r="B239" i="4"/>
  <c r="K184" i="3"/>
  <c r="V364"/>
  <c r="T173" i="6"/>
  <c r="AF239" i="4"/>
  <c r="S184" i="3"/>
  <c r="F365"/>
  <c r="D177" i="6"/>
  <c r="G240" i="4"/>
  <c r="A185" i="3"/>
  <c r="P365"/>
  <c r="T205" i="6"/>
  <c r="E246" i="4"/>
  <c r="U187" i="3"/>
  <c r="H369"/>
  <c r="AH88" i="4"/>
  <c r="V11" i="3"/>
  <c r="G88"/>
  <c r="E28"/>
  <c r="AI325" i="4"/>
  <c r="Q222" i="3"/>
  <c r="I388"/>
  <c r="S258"/>
  <c r="Y83"/>
  <c r="B904" i="17"/>
  <c r="E22" i="6"/>
  <c r="E226" i="5"/>
  <c r="E17"/>
  <c r="F204" i="4"/>
  <c r="J324" i="3"/>
  <c r="D36" i="4"/>
  <c r="R242" i="3"/>
  <c r="C397" i="17"/>
  <c r="E56"/>
  <c r="F411" i="5"/>
  <c r="R392"/>
  <c r="J239"/>
  <c r="O230"/>
  <c r="I36" i="17"/>
  <c r="A19" i="6"/>
  <c r="E242" i="5"/>
  <c r="D450" i="17"/>
  <c r="F349" i="5"/>
  <c r="F143" i="6"/>
  <c r="O138" i="5"/>
  <c r="T134" i="6"/>
  <c r="AD362" i="4"/>
  <c r="AE238"/>
  <c r="J175" i="3"/>
  <c r="H165" i="5"/>
  <c r="O262" i="3"/>
  <c r="P165" i="5"/>
  <c r="R80" i="3"/>
  <c r="E80" i="4"/>
  <c r="H377" i="3"/>
  <c r="AI63" i="4"/>
  <c r="O14" i="5"/>
  <c r="H266" i="3"/>
  <c r="A136" i="4"/>
  <c r="B243" i="3"/>
  <c r="C243"/>
  <c r="T32"/>
  <c r="Y20"/>
  <c r="T50"/>
  <c r="G393"/>
  <c r="H402" i="4"/>
  <c r="P382" i="3"/>
  <c r="C33"/>
  <c r="W227"/>
  <c r="U43"/>
  <c r="E123" i="6"/>
  <c r="B105" i="23"/>
  <c r="E152" i="13"/>
  <c r="F234" i="12"/>
  <c r="I126" i="6"/>
  <c r="C2" i="28"/>
  <c r="E160" i="13"/>
  <c r="F242" i="12"/>
  <c r="M129" i="6"/>
  <c r="A982" i="17"/>
  <c r="E168" i="13"/>
  <c r="F250" i="12"/>
  <c r="Q132" i="6"/>
  <c r="F10" i="20"/>
  <c r="E176" i="13"/>
  <c r="E2"/>
  <c r="A136" i="6"/>
  <c r="G70" i="20"/>
  <c r="E120" i="13"/>
  <c r="E98" i="7"/>
  <c r="L256" i="6"/>
  <c r="H222" i="17"/>
  <c r="D133" i="12"/>
  <c r="E99" i="7"/>
  <c r="T256" i="6"/>
  <c r="P244"/>
  <c r="P228"/>
  <c r="Q73" i="5"/>
  <c r="I24"/>
  <c r="L235" i="6"/>
  <c r="L219"/>
  <c r="M64" i="5"/>
  <c r="E15"/>
  <c r="H229" i="6"/>
  <c r="H210"/>
  <c r="I55" i="5"/>
  <c r="A6"/>
  <c r="P229" i="6"/>
  <c r="A440" i="17"/>
  <c r="E31"/>
  <c r="I410" i="6"/>
  <c r="D395" i="17"/>
  <c r="C114" i="13"/>
  <c r="C24" i="9"/>
  <c r="P351" i="6"/>
  <c r="E346" i="17"/>
  <c r="C59" i="13"/>
  <c r="E281" i="7"/>
  <c r="P329" i="6"/>
  <c r="A231" i="17"/>
  <c r="D140" i="12"/>
  <c r="E106" i="7"/>
  <c r="P259" i="6"/>
  <c r="C232" i="17"/>
  <c r="D141" i="12"/>
  <c r="E107" i="7"/>
  <c r="D260" i="6"/>
  <c r="T247"/>
  <c r="N237"/>
  <c r="A77" i="5"/>
  <c r="M27"/>
  <c r="P238" i="6"/>
  <c r="P222"/>
  <c r="Q67" i="5"/>
  <c r="I18"/>
  <c r="B240" i="6"/>
  <c r="L213"/>
  <c r="M58" i="5"/>
  <c r="E9"/>
  <c r="N241" i="6"/>
  <c r="H121" i="24"/>
  <c r="H292" i="7"/>
  <c r="H118"/>
  <c r="E266" i="5"/>
  <c r="H220" i="6"/>
  <c r="I65" i="5"/>
  <c r="A16"/>
  <c r="J230" i="6"/>
  <c r="D211"/>
  <c r="E56" i="5"/>
  <c r="Q6"/>
  <c r="M355"/>
  <c r="I150" i="6"/>
  <c r="R161" i="5"/>
  <c r="B112"/>
  <c r="M349"/>
  <c r="I144" i="6"/>
  <c r="R155" i="5"/>
  <c r="B106"/>
  <c r="L110"/>
  <c r="C195" i="4"/>
  <c r="U412" i="3"/>
  <c r="F247" i="17"/>
  <c r="A370" i="4"/>
  <c r="I17"/>
  <c r="M265" i="3"/>
  <c r="G178" i="12"/>
  <c r="I370" i="4"/>
  <c r="A18"/>
  <c r="W265" i="3"/>
  <c r="F219" i="12"/>
  <c r="A375" i="4"/>
  <c r="I22"/>
  <c r="O269" i="3"/>
  <c r="E27" i="13"/>
  <c r="I375" i="4"/>
  <c r="A23"/>
  <c r="A270" i="3"/>
  <c r="E91" i="13"/>
  <c r="A376" i="4"/>
  <c r="I23"/>
  <c r="K270" i="3"/>
  <c r="H221" i="13"/>
  <c r="G380" i="4"/>
  <c r="AJ27"/>
  <c r="C274" i="3"/>
  <c r="D264" i="5"/>
  <c r="U81" i="3"/>
  <c r="Q94"/>
  <c r="T161"/>
  <c r="K378"/>
  <c r="T52"/>
  <c r="U397"/>
  <c r="I14"/>
  <c r="P142"/>
  <c r="G210"/>
  <c r="P200" i="5"/>
  <c r="J81" i="6"/>
  <c r="O354" i="5"/>
  <c r="P170"/>
  <c r="B81" i="4"/>
  <c r="I236" i="3"/>
  <c r="I371" i="4"/>
  <c r="C267" i="3"/>
  <c r="C553" i="17"/>
  <c r="H348"/>
  <c r="F61" i="7"/>
  <c r="G206"/>
  <c r="I194" i="6"/>
  <c r="R205" i="5"/>
  <c r="B156"/>
  <c r="I390"/>
  <c r="E185" i="6"/>
  <c r="N196" i="5"/>
  <c r="G163" i="17"/>
  <c r="I99" i="6"/>
  <c r="N310" i="5"/>
  <c r="AG298" i="4"/>
  <c r="A57" i="17"/>
  <c r="I93" i="6"/>
  <c r="N304" i="5"/>
  <c r="G291" i="4"/>
  <c r="D180" i="6"/>
  <c r="E235" i="4"/>
  <c r="A341" i="3"/>
  <c r="T159"/>
  <c r="C246" i="5"/>
  <c r="B74" i="4"/>
  <c r="O230" i="3"/>
  <c r="G42"/>
  <c r="G249" i="5"/>
  <c r="J74" i="4"/>
  <c r="W230" i="3"/>
  <c r="O42"/>
  <c r="C278" i="5"/>
  <c r="B79" i="4"/>
  <c r="Q233" i="3"/>
  <c r="I45"/>
  <c r="G281" i="5"/>
  <c r="J79" i="4"/>
  <c r="Y233" i="3"/>
  <c r="Q45"/>
  <c r="K284" i="5"/>
  <c r="B80" i="4"/>
  <c r="G234" i="3"/>
  <c r="Y45"/>
  <c r="G313" i="5"/>
  <c r="I84" i="4"/>
  <c r="A237" i="3"/>
  <c r="S48"/>
  <c r="AF11" i="4"/>
  <c r="U232" i="3"/>
  <c r="E329"/>
  <c r="G159"/>
  <c r="C50" i="5"/>
  <c r="K17" i="3"/>
  <c r="A58"/>
  <c r="A91"/>
  <c r="V23"/>
  <c r="A358"/>
  <c r="M191" i="5"/>
  <c r="C55" i="6"/>
  <c r="N278" i="5"/>
  <c r="B326" i="4"/>
  <c r="C66"/>
  <c r="D83" i="3"/>
  <c r="J308" i="4"/>
  <c r="V66" i="3"/>
  <c r="G780" i="17"/>
  <c r="G405"/>
  <c r="E60" i="7"/>
  <c r="F205"/>
  <c r="M197" i="6"/>
  <c r="B209" i="5"/>
  <c r="F159"/>
  <c r="M393"/>
  <c r="I188" i="6"/>
  <c r="R199" i="5"/>
  <c r="I223" i="17"/>
  <c r="M102" i="6"/>
  <c r="R313" i="5"/>
  <c r="AG302" i="4"/>
  <c r="I113" i="17"/>
  <c r="M96" i="6"/>
  <c r="R307" i="5"/>
  <c r="F295" i="4"/>
  <c r="P205" i="6"/>
  <c r="E239" i="4"/>
  <c r="M343" i="3"/>
  <c r="P162"/>
  <c r="E9" i="35"/>
  <c r="E934" i="17"/>
  <c r="D102"/>
  <c r="G970"/>
  <c r="D166"/>
  <c r="F321"/>
  <c r="A237"/>
  <c r="G328"/>
  <c r="E246"/>
  <c r="H335"/>
  <c r="F266"/>
  <c r="E32" i="7"/>
  <c r="D3" i="9"/>
  <c r="AF355" i="4"/>
  <c r="E333"/>
  <c r="E40" i="7"/>
  <c r="D11" i="9"/>
  <c r="AE359" i="4"/>
  <c r="D337"/>
  <c r="E48" i="7"/>
  <c r="D19" i="9"/>
  <c r="J363" i="4"/>
  <c r="B341"/>
  <c r="E56" i="7"/>
  <c r="D27" i="9"/>
  <c r="J367" i="4"/>
  <c r="AJ344"/>
  <c r="E64" i="7"/>
  <c r="D35" i="9"/>
  <c r="J371" i="4"/>
  <c r="AI348"/>
  <c r="E8" i="7"/>
  <c r="H27" i="12"/>
  <c r="Q294" i="6"/>
  <c r="E335" i="17"/>
  <c r="F82" i="16"/>
  <c r="H28" i="12"/>
  <c r="E295" i="6"/>
  <c r="C390"/>
  <c r="B51"/>
  <c r="C279" i="5"/>
  <c r="M362"/>
  <c r="G262" i="7"/>
  <c r="R41" i="6"/>
  <c r="S269" i="5"/>
  <c r="A289"/>
  <c r="G78" i="7"/>
  <c r="N32" i="6"/>
  <c r="O260" i="5"/>
  <c r="H236"/>
  <c r="G86" i="7"/>
  <c r="B33" i="6"/>
  <c r="E124" i="13"/>
  <c r="F238" i="12"/>
  <c r="B546" i="17"/>
  <c r="H183"/>
  <c r="A109" i="13"/>
  <c r="D23" i="7"/>
  <c r="C497" i="17"/>
  <c r="I134"/>
  <c r="A54" i="13"/>
  <c r="R379" i="6"/>
  <c r="G341" i="17"/>
  <c r="F89" i="16"/>
  <c r="H35" i="12"/>
  <c r="A298" i="6"/>
  <c r="F342" i="17"/>
  <c r="F90" i="16"/>
  <c r="H36" i="12"/>
  <c r="I298" i="6"/>
  <c r="O415"/>
  <c r="F54"/>
  <c r="G282" i="5"/>
  <c r="E388"/>
  <c r="E14" i="9"/>
  <c r="B45" i="6"/>
  <c r="C273" i="5"/>
  <c r="M314"/>
  <c r="G142" i="7"/>
  <c r="R35" i="6"/>
  <c r="S263" i="5"/>
  <c r="I247"/>
  <c r="G150" i="7"/>
  <c r="F36" i="6"/>
  <c r="F342"/>
  <c r="F250"/>
  <c r="B220" i="23"/>
  <c r="H1000" i="17"/>
  <c r="O270" i="5"/>
  <c r="I295"/>
  <c r="G94" i="7"/>
  <c r="J33" i="6"/>
  <c r="K261" i="5"/>
  <c r="Q237"/>
  <c r="D393" i="6"/>
  <c r="O154"/>
  <c r="L383" i="5"/>
  <c r="B348" i="4"/>
  <c r="D381" i="6"/>
  <c r="O148"/>
  <c r="L377" i="5"/>
  <c r="AG340" i="4"/>
  <c r="G367"/>
  <c r="C39"/>
  <c r="Y264" i="3"/>
  <c r="N204"/>
  <c r="C214" i="5"/>
  <c r="B98" i="4"/>
  <c r="C129" i="3"/>
  <c r="B406"/>
  <c r="K214" i="5"/>
  <c r="J98" i="4"/>
  <c r="L129" i="3"/>
  <c r="L406"/>
  <c r="C218" i="5"/>
  <c r="A103" i="4"/>
  <c r="P132" i="3"/>
  <c r="D410"/>
  <c r="K218" i="5"/>
  <c r="I103" i="4"/>
  <c r="Y132" i="3"/>
  <c r="N410"/>
  <c r="S218" i="5"/>
  <c r="A104" i="4"/>
  <c r="H133" i="3"/>
  <c r="Z410"/>
  <c r="K222" i="5"/>
  <c r="I108" i="4"/>
  <c r="M136" i="3"/>
  <c r="R414"/>
  <c r="K111"/>
  <c r="X308"/>
  <c r="S174" i="5"/>
  <c r="K321" i="3"/>
  <c r="B78"/>
  <c r="I93"/>
  <c r="H402"/>
  <c r="M234" i="6"/>
  <c r="S73" i="3"/>
  <c r="G90" i="12"/>
  <c r="M89" i="5"/>
  <c r="D415" i="6"/>
  <c r="S328" i="5"/>
  <c r="D116" i="3"/>
  <c r="AH260" i="4"/>
  <c r="C87" i="3"/>
  <c r="C298" i="4"/>
  <c r="T357" i="3"/>
  <c r="D31" i="16"/>
  <c r="C235" i="17"/>
  <c r="B274" i="5"/>
  <c r="F265"/>
  <c r="C14" i="6"/>
  <c r="F402" i="4"/>
  <c r="D153" i="7"/>
  <c r="K189" i="6"/>
  <c r="A5"/>
  <c r="AJ390" i="4"/>
  <c r="P326" i="6"/>
  <c r="L314" i="5"/>
  <c r="Q155"/>
  <c r="I106"/>
  <c r="P320" i="6"/>
  <c r="L308" i="5"/>
  <c r="Q149"/>
  <c r="I100"/>
  <c r="S104"/>
  <c r="AH199" i="4"/>
  <c r="X397" i="3"/>
  <c r="B294"/>
  <c r="AJ362" i="4"/>
  <c r="G22"/>
  <c r="R250" i="3"/>
  <c r="A154"/>
  <c r="H363" i="4"/>
  <c r="AI22"/>
  <c r="B251" i="3"/>
  <c r="J154"/>
  <c r="AJ367" i="4"/>
  <c r="F27"/>
  <c r="T254" i="3"/>
  <c r="N157"/>
  <c r="H368" i="4"/>
  <c r="AH27"/>
  <c r="D255" i="3"/>
  <c r="W157"/>
  <c r="AJ368" i="4"/>
  <c r="F28"/>
  <c r="P255" i="3"/>
  <c r="F158"/>
  <c r="H373" i="4"/>
  <c r="AG32"/>
  <c r="H259" i="3"/>
  <c r="K161"/>
  <c r="W351"/>
  <c r="P42"/>
  <c r="AF48" i="4"/>
  <c r="M270" i="3"/>
  <c r="M302"/>
  <c r="Y78"/>
  <c r="X236"/>
  <c r="AF208" i="4"/>
  <c r="T29" i="6"/>
  <c r="C115" i="17"/>
  <c r="B332" i="4"/>
  <c r="A129" i="13"/>
  <c r="R320" i="5"/>
  <c r="P312" i="3"/>
  <c r="G83" i="5"/>
  <c r="F353" i="3"/>
  <c r="G113" i="5"/>
  <c r="D111" i="3"/>
  <c r="D95" i="16"/>
  <c r="B729" i="17"/>
  <c r="N299" i="5"/>
  <c r="R290"/>
  <c r="G17" i="6"/>
  <c r="E406" i="4"/>
  <c r="B175" i="7"/>
  <c r="O192" i="6"/>
  <c r="C8"/>
  <c r="AI394" i="4"/>
  <c r="T329" i="6"/>
  <c r="P317" i="5"/>
  <c r="A159"/>
  <c r="M109"/>
  <c r="T323" i="6"/>
  <c r="P311" i="5"/>
  <c r="A153"/>
  <c r="M103"/>
  <c r="C108"/>
  <c r="AH203" i="4"/>
  <c r="F401" i="3"/>
  <c r="H297"/>
  <c r="A5" i="28"/>
  <c r="B270" i="6"/>
  <c r="C288" i="17"/>
  <c r="C217" i="12"/>
  <c r="B602" i="17"/>
  <c r="B33" i="13"/>
  <c r="F630" i="17"/>
  <c r="B41" i="13"/>
  <c r="G829" i="17"/>
  <c r="B49" i="13"/>
  <c r="C262" i="6"/>
  <c r="D176" i="7"/>
  <c r="H343" i="6"/>
  <c r="M101" i="5"/>
  <c r="G265" i="6"/>
  <c r="B198" i="7"/>
  <c r="L346" i="6"/>
  <c r="Q104" i="5"/>
  <c r="K268" i="6"/>
  <c r="C219" i="7"/>
  <c r="P349" i="6"/>
  <c r="A108" i="5"/>
  <c r="O271" i="6"/>
  <c r="D240" i="7"/>
  <c r="T352" i="6"/>
  <c r="E111" i="5"/>
  <c r="S274" i="6"/>
  <c r="B262" i="7"/>
  <c r="E356" i="6"/>
  <c r="I114" i="5"/>
  <c r="K252" i="6"/>
  <c r="D112" i="7"/>
  <c r="G228"/>
  <c r="B295" i="6"/>
  <c r="F474" i="17"/>
  <c r="F138" i="12"/>
  <c r="G229" i="7"/>
  <c r="J295" i="6"/>
  <c r="I302" i="5"/>
  <c r="E97" i="6"/>
  <c r="N108" i="5"/>
  <c r="R58"/>
  <c r="E293"/>
  <c r="A88" i="6"/>
  <c r="J99" i="5"/>
  <c r="N49"/>
  <c r="A284"/>
  <c r="Q78" i="6"/>
  <c r="F90" i="5"/>
  <c r="J40"/>
  <c r="I284"/>
  <c r="H130" i="20"/>
  <c r="B400" i="6"/>
  <c r="B236" i="7"/>
  <c r="I26" i="17"/>
  <c r="E119" i="13"/>
  <c r="C398" i="6"/>
  <c r="C25" i="7"/>
  <c r="B87" i="16"/>
  <c r="E64" i="13"/>
  <c r="C376" i="6"/>
  <c r="G380"/>
  <c r="D524" i="17"/>
  <c r="F145" i="12"/>
  <c r="G236" i="7"/>
  <c r="F298" i="6"/>
  <c r="E531" i="17"/>
  <c r="F146" i="12"/>
  <c r="G237" i="7"/>
  <c r="N298" i="6"/>
  <c r="M305" i="5"/>
  <c r="I100" i="6"/>
  <c r="R111" i="5"/>
  <c r="B62"/>
  <c r="I296"/>
  <c r="E91" i="6"/>
  <c r="N102" i="5"/>
  <c r="R52"/>
  <c r="E287"/>
  <c r="A82" i="6"/>
  <c r="J93" i="5"/>
  <c r="N43"/>
  <c r="M287"/>
  <c r="A92" i="16"/>
  <c r="I170" i="17"/>
  <c r="H49" i="6"/>
  <c r="T30"/>
  <c r="Q88"/>
  <c r="F100" i="5"/>
  <c r="J50"/>
  <c r="Q284"/>
  <c r="M79" i="6"/>
  <c r="B91" i="5"/>
  <c r="G377" i="17"/>
  <c r="R406" i="5"/>
  <c r="R200" i="6"/>
  <c r="G196" i="5"/>
  <c r="H151" i="17"/>
  <c r="R400" i="5"/>
  <c r="R194" i="6"/>
  <c r="G190" i="5"/>
  <c r="B137" i="6"/>
  <c r="C121" i="4"/>
  <c r="U259" i="3"/>
  <c r="M71"/>
  <c r="Q32" i="6"/>
  <c r="B180" i="4"/>
  <c r="I149" i="3"/>
  <c r="B318"/>
  <c r="A36" i="6"/>
  <c r="J180" i="4"/>
  <c r="Q149" i="3"/>
  <c r="L318"/>
  <c r="Q64" i="6"/>
  <c r="A185" i="4"/>
  <c r="K152" i="3"/>
  <c r="D322"/>
  <c r="A68" i="6"/>
  <c r="I185" i="4"/>
  <c r="S152" i="3"/>
  <c r="N322"/>
  <c r="E71" i="6"/>
  <c r="A186" i="4"/>
  <c r="A153" i="3"/>
  <c r="Z322"/>
  <c r="A100" i="6"/>
  <c r="G190" i="4"/>
  <c r="U155" i="3"/>
  <c r="R326"/>
  <c r="F151" i="4"/>
  <c r="P114" i="3"/>
  <c r="F29"/>
  <c r="M366"/>
  <c r="E167" i="4"/>
  <c r="H1" i="15"/>
  <c r="S217" i="3"/>
  <c r="G283"/>
  <c r="C98"/>
  <c r="V125"/>
  <c r="D400" i="5"/>
  <c r="O360"/>
  <c r="A353"/>
  <c r="C332" i="4"/>
  <c r="S245" i="3"/>
  <c r="A67" i="5"/>
  <c r="N327" i="3"/>
  <c r="F284" i="4"/>
  <c r="F86" i="13"/>
  <c r="F228" i="17"/>
  <c r="F286" i="5"/>
  <c r="R267"/>
  <c r="B249"/>
  <c r="J250"/>
  <c r="F207" i="17"/>
  <c r="M28" i="6"/>
  <c r="R239" i="5"/>
  <c r="C231"/>
  <c r="B64" i="12"/>
  <c r="B133" i="6"/>
  <c r="C361" i="5"/>
  <c r="D341" i="4"/>
  <c r="A158" i="12"/>
  <c r="B127" i="6"/>
  <c r="C355" i="5"/>
  <c r="AI333" i="4"/>
  <c r="P390" i="5"/>
  <c r="AJ44" i="4"/>
  <c r="L380" i="3"/>
  <c r="B206"/>
  <c r="C53" i="5"/>
  <c r="AI103" i="4"/>
  <c r="Z269" i="3"/>
  <c r="R81"/>
  <c r="G56" i="5"/>
  <c r="G104" i="4"/>
  <c r="H270" i="3"/>
  <c r="Z81"/>
  <c r="C85" i="5"/>
  <c r="AI108" i="4"/>
  <c r="B273" i="3"/>
  <c r="T84"/>
  <c r="G88" i="5"/>
  <c r="G109" i="4"/>
  <c r="J273" i="3"/>
  <c r="B85"/>
  <c r="K91" i="5"/>
  <c r="AI109" i="4"/>
  <c r="R273" i="3"/>
  <c r="J85"/>
  <c r="G120" i="5"/>
  <c r="F114" i="4"/>
  <c r="L276" i="3"/>
  <c r="D88"/>
  <c r="N402"/>
  <c r="P231" i="5"/>
  <c r="Z155" i="3"/>
  <c r="S47"/>
  <c r="O369"/>
  <c r="D171" i="4"/>
  <c r="D405"/>
  <c r="I28" i="3"/>
  <c r="K335"/>
  <c r="H25" i="7"/>
  <c r="S241" i="5"/>
  <c r="O49" i="6"/>
  <c r="C193" i="5"/>
  <c r="I110"/>
  <c r="R225" i="3"/>
  <c r="N50" i="5"/>
  <c r="D288" i="3"/>
  <c r="I74" i="6"/>
  <c r="F150" i="13"/>
  <c r="G176" i="12"/>
  <c r="R311" i="5"/>
  <c r="J293"/>
  <c r="F252"/>
  <c r="M272"/>
  <c r="G425" i="17"/>
  <c r="Q31" i="6"/>
  <c r="B243" i="5"/>
  <c r="G234"/>
  <c r="B233" i="12"/>
  <c r="F136" i="6"/>
  <c r="G364" i="5"/>
  <c r="B345" i="4"/>
  <c r="D4" i="12"/>
  <c r="F130" i="6"/>
  <c r="G358" i="5"/>
  <c r="AG337" i="4"/>
  <c r="H416" i="5"/>
  <c r="AI48" i="4"/>
  <c r="X382" i="3"/>
  <c r="H209"/>
  <c r="B100" i="25"/>
  <c r="C101"/>
  <c r="E85" i="16"/>
  <c r="G99"/>
  <c r="A3" i="14"/>
  <c r="D52" i="17"/>
  <c r="G29" i="16"/>
  <c r="E59" i="17"/>
  <c r="G37" i="16"/>
  <c r="F66" i="17"/>
  <c r="G45" i="16"/>
  <c r="J242" i="6"/>
  <c r="G343"/>
  <c r="H294" i="4"/>
  <c r="J271"/>
  <c r="N245" i="6"/>
  <c r="K346"/>
  <c r="H298" i="4"/>
  <c r="I275"/>
  <c r="R248" i="6"/>
  <c r="O349"/>
  <c r="G302" i="4"/>
  <c r="I279"/>
  <c r="B252" i="6"/>
  <c r="S352"/>
  <c r="G306" i="4"/>
  <c r="I283"/>
  <c r="F255" i="6"/>
  <c r="D356"/>
  <c r="F310" i="4"/>
  <c r="I287"/>
  <c r="D261" i="7"/>
  <c r="B173" i="20"/>
  <c r="C38" i="13"/>
  <c r="F258" i="17"/>
  <c r="B917"/>
  <c r="H585"/>
  <c r="C102" i="13"/>
  <c r="D182" i="12"/>
  <c r="D126"/>
  <c r="M358" i="6"/>
  <c r="E328" i="5"/>
  <c r="AH254" i="4"/>
  <c r="AG258"/>
  <c r="L90" i="3"/>
  <c r="S10"/>
  <c r="T249"/>
  <c r="G158" i="7"/>
  <c r="L387" i="6"/>
  <c r="G217" i="5"/>
  <c r="G221"/>
  <c r="C222"/>
  <c r="R122" i="3"/>
  <c r="F80"/>
  <c r="T174"/>
  <c r="G222" i="7"/>
  <c r="T393" i="6"/>
  <c r="L270" i="5"/>
  <c r="J14" i="4"/>
  <c r="Q193" i="3"/>
  <c r="D377"/>
  <c r="P273" i="5"/>
  <c r="B15" i="4"/>
  <c r="Y193" i="3"/>
  <c r="N377"/>
  <c r="L302" i="5"/>
  <c r="J19" i="4"/>
  <c r="S196" i="3"/>
  <c r="F381"/>
  <c r="P305" i="5"/>
  <c r="B20" i="4"/>
  <c r="A197" i="3"/>
  <c r="P381"/>
  <c r="T308" i="5"/>
  <c r="J20" i="4"/>
  <c r="I197" i="3"/>
  <c r="B382"/>
  <c r="P337" i="5"/>
  <c r="A25" i="4"/>
  <c r="C200" i="3"/>
  <c r="T385"/>
  <c r="AH9" i="4"/>
  <c r="B102" i="3"/>
  <c r="O141"/>
  <c r="F42"/>
  <c r="T58" i="5"/>
  <c r="R86" i="3"/>
  <c r="X12"/>
  <c r="E25"/>
  <c r="Y316"/>
  <c r="I335"/>
  <c r="Q163" i="6"/>
  <c r="A212"/>
  <c r="M127" i="3"/>
  <c r="G41" i="6"/>
  <c r="R189" i="3"/>
  <c r="F91" i="20"/>
  <c r="H327" i="17"/>
  <c r="D206"/>
  <c r="C51" i="20"/>
  <c r="F155"/>
  <c r="G384" i="17"/>
  <c r="I415"/>
  <c r="E214"/>
  <c r="H239" i="12"/>
  <c r="A317" i="5"/>
  <c r="F272" i="4"/>
  <c r="F280"/>
  <c r="R177" i="3"/>
  <c r="C53"/>
  <c r="G319"/>
  <c r="F67" i="12"/>
  <c r="B96" i="7"/>
  <c r="J58" i="5"/>
  <c r="J74"/>
  <c r="N77"/>
  <c r="E338" i="3"/>
  <c r="M245"/>
  <c r="M240"/>
  <c r="F131" i="12"/>
  <c r="D266" i="7"/>
  <c r="O62" i="6"/>
  <c r="F46" i="4"/>
  <c r="I213" i="3"/>
  <c r="J403"/>
  <c r="S65" i="6"/>
  <c r="AH46" i="4"/>
  <c r="Q213" i="3"/>
  <c r="T403"/>
  <c r="O94" i="6"/>
  <c r="F51" i="4"/>
  <c r="K216" i="3"/>
  <c r="L407"/>
  <c r="S97" i="6"/>
  <c r="AH51" i="4"/>
  <c r="S216" i="3"/>
  <c r="X407"/>
  <c r="C101" i="6"/>
  <c r="F52" i="4"/>
  <c r="A217" i="3"/>
  <c r="H408"/>
  <c r="S129" i="6"/>
  <c r="AH56" i="4"/>
  <c r="U219" i="3"/>
  <c r="Z411"/>
  <c r="AF26" i="4"/>
  <c r="J28" i="3"/>
  <c r="G237"/>
  <c r="M85"/>
  <c r="I251" i="4"/>
  <c r="K271" i="3"/>
  <c r="P32"/>
  <c r="E49"/>
  <c r="L6"/>
  <c r="N76"/>
  <c r="I346" i="5"/>
  <c r="A209" i="6"/>
  <c r="Q245" i="3"/>
  <c r="D225" i="6"/>
  <c r="W345" i="3"/>
  <c r="N320" i="6"/>
  <c r="J84" i="5"/>
  <c r="B66"/>
  <c r="B196" i="7"/>
  <c r="R323" i="6"/>
  <c r="N87" i="5"/>
  <c r="F69"/>
  <c r="B76"/>
  <c r="D42" i="16"/>
  <c r="P10" i="6"/>
  <c r="P42"/>
  <c r="D49"/>
  <c r="J167" i="4"/>
  <c r="J187" i="3"/>
  <c r="O130"/>
  <c r="E207" i="17"/>
  <c r="B132" i="12"/>
  <c r="Q387" i="5"/>
  <c r="AI283" i="4"/>
  <c r="AI291"/>
  <c r="E193" i="3"/>
  <c r="J10"/>
  <c r="H406"/>
  <c r="H424" i="17"/>
  <c r="A7" i="12"/>
  <c r="O271" i="5"/>
  <c r="B78" i="4"/>
  <c r="A233" i="3"/>
  <c r="S44"/>
  <c r="S274" i="5"/>
  <c r="J78" i="4"/>
  <c r="I233" i="3"/>
  <c r="A45"/>
  <c r="O303" i="5"/>
  <c r="A83" i="4"/>
  <c r="C236" i="3"/>
  <c r="U47"/>
  <c r="S306" i="5"/>
  <c r="I83" i="4"/>
  <c r="K236" i="3"/>
  <c r="C48"/>
  <c r="C310" i="5"/>
  <c r="A84" i="4"/>
  <c r="S236" i="3"/>
  <c r="K48"/>
  <c r="S338" i="5"/>
  <c r="I88" i="4"/>
  <c r="M239" i="3"/>
  <c r="E51"/>
  <c r="I43" i="4"/>
  <c r="I390" i="3"/>
  <c r="I342"/>
  <c r="M170"/>
  <c r="O75" i="5"/>
  <c r="O48" i="3"/>
  <c r="N64"/>
  <c r="W100"/>
  <c r="H26"/>
  <c r="K397"/>
  <c r="L112" i="6"/>
  <c r="D249" i="17"/>
  <c r="C344" i="3"/>
  <c r="M247" i="5"/>
  <c r="Q106" i="3"/>
  <c r="A333" i="6"/>
  <c r="B283" i="4"/>
  <c r="E260"/>
  <c r="C278" i="7"/>
  <c r="E336" i="6"/>
  <c r="B287" i="4"/>
  <c r="D264"/>
  <c r="J272"/>
  <c r="F594" i="17"/>
  <c r="P29" i="6"/>
  <c r="P61"/>
  <c r="D68"/>
  <c r="E271" i="4"/>
  <c r="W53" i="3"/>
  <c r="C148" i="4"/>
  <c r="B28" i="5"/>
  <c r="I207" i="17"/>
  <c r="N266" i="5"/>
  <c r="N298"/>
  <c r="B305"/>
  <c r="G370" i="3"/>
  <c r="A52"/>
  <c r="AF84" i="4"/>
  <c r="F31" i="5"/>
  <c r="D428" i="17"/>
  <c r="J63" i="6"/>
  <c r="AG109" i="4"/>
  <c r="S252" i="3"/>
  <c r="K64"/>
  <c r="N66" i="6"/>
  <c r="E110" i="4"/>
  <c r="A253" i="3"/>
  <c r="S64"/>
  <c r="J95" i="6"/>
  <c r="AF114" i="4"/>
  <c r="U255" i="3"/>
  <c r="M67"/>
  <c r="N98" i="6"/>
  <c r="D115" i="4"/>
  <c r="C256" i="3"/>
  <c r="U67"/>
  <c r="R101" i="6"/>
  <c r="AF115" i="4"/>
  <c r="K256" i="3"/>
  <c r="C68"/>
  <c r="N130" i="6"/>
  <c r="C120" i="4"/>
  <c r="E259" i="3"/>
  <c r="W70"/>
  <c r="E60" i="4"/>
  <c r="H7" i="3"/>
  <c r="Q11"/>
  <c r="A271"/>
  <c r="C272" i="4"/>
  <c r="R224" i="3"/>
  <c r="N134"/>
  <c r="N190"/>
  <c r="Z50"/>
  <c r="U96"/>
  <c r="T339" i="6"/>
  <c r="Z75" i="3"/>
  <c r="AG45" i="4"/>
  <c r="F50" i="13"/>
  <c r="Z248" i="3"/>
  <c r="H333" i="6"/>
  <c r="E101" i="5"/>
  <c r="Q82"/>
  <c r="D280" i="7"/>
  <c r="L336" i="6"/>
  <c r="I104" i="5"/>
  <c r="A86"/>
  <c r="Q92"/>
  <c r="R188"/>
  <c r="W337" i="3"/>
  <c r="Q395"/>
  <c r="A412"/>
  <c r="C8"/>
  <c r="K343"/>
  <c r="C36" i="5"/>
  <c r="R232"/>
  <c r="H620" i="17"/>
  <c r="I55" i="6"/>
  <c r="I87"/>
  <c r="Q93"/>
  <c r="E282" i="4"/>
  <c r="M184" i="3"/>
  <c r="C392" i="4"/>
  <c r="B236" i="5"/>
  <c r="D848" i="17"/>
  <c r="A81" i="6"/>
  <c r="H141" i="4"/>
  <c r="K272" i="3"/>
  <c r="C84"/>
  <c r="J292" i="5"/>
  <c r="AJ141" i="4"/>
  <c r="S272" i="3"/>
  <c r="K84"/>
  <c r="F321" i="5"/>
  <c r="H146" i="4"/>
  <c r="M275" i="3"/>
  <c r="E87"/>
  <c r="J324" i="5"/>
  <c r="AJ146" i="4"/>
  <c r="U275" i="3"/>
  <c r="M87"/>
  <c r="N327" i="5"/>
  <c r="H147" i="4"/>
  <c r="C276" i="3"/>
  <c r="U87"/>
  <c r="J356" i="5"/>
  <c r="AI151" i="4"/>
  <c r="W278" i="3"/>
  <c r="O90"/>
  <c r="B77" i="4"/>
  <c r="D27" i="3"/>
  <c r="I31"/>
  <c r="A376"/>
  <c r="D322" i="4"/>
  <c r="B16" i="3"/>
  <c r="C229"/>
  <c r="K294"/>
  <c r="S105"/>
  <c r="P79"/>
  <c r="S339" i="6"/>
  <c r="R208" i="3"/>
  <c r="AJ203" i="4"/>
  <c r="O88" i="3"/>
  <c r="N406"/>
  <c r="O333" i="6"/>
  <c r="I282" i="4"/>
  <c r="AF259"/>
  <c r="B283" i="7"/>
  <c r="S336" i="6"/>
  <c r="I286" i="4"/>
  <c r="AE263"/>
  <c r="A272"/>
  <c r="AG411"/>
  <c r="K187" i="3"/>
  <c r="T66"/>
  <c r="V69"/>
  <c r="X72"/>
  <c r="AF111" i="4"/>
  <c r="G397" i="3"/>
  <c r="Q44" i="5"/>
  <c r="R140"/>
  <c r="I234" i="17"/>
  <c r="A56" i="16"/>
  <c r="B64" i="17"/>
  <c r="G276" i="6"/>
  <c r="T369" i="3"/>
  <c r="C50" i="16"/>
  <c r="A48" i="5"/>
  <c r="B144"/>
  <c r="A236" i="17"/>
  <c r="C173" i="4"/>
  <c r="C292" i="3"/>
  <c r="W103"/>
  <c r="E84" i="6"/>
  <c r="AE173" i="4"/>
  <c r="K292" i="3"/>
  <c r="F104"/>
  <c r="A113" i="6"/>
  <c r="B178" i="4"/>
  <c r="E295" i="3"/>
  <c r="J107"/>
  <c r="E116" i="6"/>
  <c r="J178" i="4"/>
  <c r="M295" i="3"/>
  <c r="S107"/>
  <c r="I119" i="6"/>
  <c r="B179" i="4"/>
  <c r="U295" i="3"/>
  <c r="B108"/>
  <c r="E148" i="6"/>
  <c r="H183" i="4"/>
  <c r="O298" i="3"/>
  <c r="G111"/>
  <c r="A314" i="4"/>
  <c r="I52" i="3"/>
  <c r="D61"/>
  <c r="R17"/>
  <c r="AI382" i="4"/>
  <c r="Z193" i="3"/>
  <c r="C334"/>
  <c r="K399"/>
  <c r="S195"/>
  <c r="N408"/>
  <c r="H337" i="6"/>
  <c r="F366" i="3"/>
  <c r="D157" i="4"/>
  <c r="T86" i="3"/>
  <c r="N175"/>
  <c r="N345" i="6"/>
  <c r="D101" i="5"/>
  <c r="P82"/>
  <c r="I236" i="6"/>
  <c r="R348"/>
  <c r="H104" i="5"/>
  <c r="T85"/>
  <c r="P92"/>
  <c r="M205"/>
  <c r="T395" i="3"/>
  <c r="X248"/>
  <c r="Z252"/>
  <c r="D257"/>
  <c r="T42" i="5"/>
  <c r="D345" i="3"/>
  <c r="I321" i="5"/>
  <c r="AD352" i="4"/>
  <c r="F145" i="3"/>
  <c r="S393"/>
  <c r="C410"/>
  <c r="Z35"/>
  <c r="C188"/>
  <c r="B240"/>
  <c r="A347" i="5"/>
  <c r="H356" i="4"/>
  <c r="A148" i="3"/>
  <c r="I204" i="4"/>
  <c r="U311" i="3"/>
  <c r="J126"/>
  <c r="I292" i="5"/>
  <c r="A205" i="4"/>
  <c r="C312" i="3"/>
  <c r="S126"/>
  <c r="E321" i="5"/>
  <c r="I209" i="4"/>
  <c r="W314" i="3"/>
  <c r="W129"/>
  <c r="I324" i="5"/>
  <c r="A210" i="4"/>
  <c r="E315" i="3"/>
  <c r="F130"/>
  <c r="M327" i="5"/>
  <c r="I210" i="4"/>
  <c r="M315" i="3"/>
  <c r="P130"/>
  <c r="I356" i="5"/>
  <c r="AG214" i="4"/>
  <c r="G318" i="3"/>
  <c r="T133"/>
  <c r="D126" i="5"/>
  <c r="O109" i="3"/>
  <c r="Q128"/>
  <c r="B38"/>
  <c r="H132" i="6"/>
  <c r="U38" i="3"/>
  <c r="C10"/>
  <c r="J22"/>
  <c r="C325"/>
  <c r="L215"/>
  <c r="D8" i="8"/>
  <c r="E178" i="3"/>
  <c r="B110" i="4"/>
  <c r="B223" i="3"/>
  <c r="K329"/>
  <c r="A346" i="6"/>
  <c r="F303" i="4"/>
  <c r="H280"/>
  <c r="A18" i="7"/>
  <c r="E349" i="6"/>
  <c r="E307" i="4"/>
  <c r="H284"/>
  <c r="AI292"/>
  <c r="E411"/>
  <c r="Z256" i="3"/>
  <c r="Q122"/>
  <c r="D126"/>
  <c r="R129"/>
  <c r="B12"/>
  <c r="C381"/>
  <c r="P44" i="5"/>
  <c r="M157"/>
  <c r="N346" i="3"/>
  <c r="R199"/>
  <c r="T203"/>
  <c r="X207"/>
  <c r="AJ246" i="4"/>
  <c r="A276" i="3"/>
  <c r="T47" i="5"/>
  <c r="Q160"/>
  <c r="V349" i="3"/>
  <c r="AJ238" i="4"/>
  <c r="M331" i="3"/>
  <c r="W148"/>
  <c r="D84" i="6"/>
  <c r="AE239" i="4"/>
  <c r="U331" i="3"/>
  <c r="F149"/>
  <c r="T112" i="6"/>
  <c r="I245" i="4"/>
  <c r="O334" i="3"/>
  <c r="J152"/>
  <c r="D116" i="6"/>
  <c r="D246" i="4"/>
  <c r="W334" i="3"/>
  <c r="T152"/>
  <c r="H119" i="6"/>
  <c r="AH246" i="4"/>
  <c r="E335" i="3"/>
  <c r="C153"/>
  <c r="D148" i="6"/>
  <c r="F230" i="4"/>
  <c r="Y337" i="3"/>
  <c r="G156"/>
  <c r="AE334" i="4"/>
  <c r="Y199" i="3"/>
  <c r="E222"/>
  <c r="E77"/>
  <c r="H151" i="6"/>
  <c r="U401" i="3"/>
  <c r="U29"/>
  <c r="T44"/>
  <c r="W113"/>
  <c r="E294"/>
  <c r="C78" i="13"/>
  <c r="N332" i="3"/>
  <c r="AI62" i="4"/>
  <c r="P380" i="3"/>
  <c r="B249"/>
  <c r="I211" i="17"/>
  <c r="H461"/>
  <c r="O241" i="6"/>
  <c r="T298"/>
  <c r="E175"/>
  <c r="N186" i="5"/>
  <c r="R136"/>
  <c r="E371"/>
  <c r="A166" i="6"/>
  <c r="J177" i="5"/>
  <c r="A217" i="17"/>
  <c r="E80" i="6"/>
  <c r="J291" i="5"/>
  <c r="AI274" i="4"/>
  <c r="G108" i="17"/>
  <c r="E74" i="6"/>
  <c r="J285" i="5"/>
  <c r="H267" i="4"/>
  <c r="L26" i="6"/>
  <c r="AF227" i="4"/>
  <c r="G326" i="3"/>
  <c r="X142"/>
  <c r="G88" i="6"/>
  <c r="F50" i="4"/>
  <c r="U215" i="3"/>
  <c r="R406"/>
  <c r="K91" i="6"/>
  <c r="AH50" i="4"/>
  <c r="C216" i="3"/>
  <c r="B407"/>
  <c r="G120" i="6"/>
  <c r="F55" i="4"/>
  <c r="W218" i="3"/>
  <c r="T410"/>
  <c r="K123" i="6"/>
  <c r="AH55" i="4"/>
  <c r="E219" i="3"/>
  <c r="D411"/>
  <c r="O126" i="6"/>
  <c r="F56" i="4"/>
  <c r="M219" i="3"/>
  <c r="P411"/>
  <c r="K155" i="6"/>
  <c r="AF60" i="4"/>
  <c r="G222" i="3"/>
  <c r="H415"/>
  <c r="I58" i="4"/>
  <c r="F39" i="3"/>
  <c r="K250"/>
  <c r="E93"/>
  <c r="D283" i="4"/>
  <c r="M376" i="3"/>
  <c r="E35"/>
  <c r="D53"/>
  <c r="B9"/>
  <c r="A110"/>
  <c r="P297" i="5"/>
  <c r="T79" i="6"/>
  <c r="G197"/>
  <c r="M119" i="5"/>
  <c r="AH125" i="4"/>
  <c r="D403" i="3"/>
  <c r="AJ162" i="4"/>
  <c r="L321" i="3"/>
  <c r="H147" i="17"/>
  <c r="B48" i="16"/>
  <c r="A360" i="5"/>
  <c r="M341"/>
  <c r="A76" i="6"/>
  <c r="J87" i="5"/>
  <c r="N37"/>
  <c r="A272"/>
  <c r="Q66" i="6"/>
  <c r="F78" i="5"/>
  <c r="I30" i="17"/>
  <c r="B394" i="5"/>
  <c r="B188" i="6"/>
  <c r="K183" i="5"/>
  <c r="F27" i="16"/>
  <c r="B388" i="5"/>
  <c r="B182" i="6"/>
  <c r="K177" i="5"/>
  <c r="N34" i="6"/>
  <c r="E105" i="4"/>
  <c r="Y249" i="3"/>
  <c r="Q61"/>
  <c r="J343" i="5"/>
  <c r="E164" i="4"/>
  <c r="M139" i="3"/>
  <c r="X304"/>
  <c r="N346" i="5"/>
  <c r="AG164" i="4"/>
  <c r="U139" i="3"/>
  <c r="H305"/>
  <c r="J375" i="5"/>
  <c r="D169" i="4"/>
  <c r="O142" i="3"/>
  <c r="Z308"/>
  <c r="N378" i="5"/>
  <c r="AF169" i="4"/>
  <c r="W142" i="3"/>
  <c r="L309"/>
  <c r="R381" i="5"/>
  <c r="D170" i="4"/>
  <c r="E143" i="3"/>
  <c r="V309"/>
  <c r="N410" i="5"/>
  <c r="AF174" i="4"/>
  <c r="Y145" i="3"/>
  <c r="N313"/>
  <c r="H24" i="4"/>
  <c r="U312" i="3"/>
  <c r="J19"/>
  <c r="A314"/>
  <c r="I40" i="4"/>
  <c r="E401" i="6"/>
  <c r="U169" i="3"/>
  <c r="S230"/>
  <c r="D69"/>
  <c r="E33"/>
  <c r="H175" i="12"/>
  <c r="F201" i="3"/>
  <c r="G239" i="4"/>
  <c r="T249" i="5"/>
  <c r="P406" i="3"/>
  <c r="S415" i="6"/>
  <c r="J268"/>
  <c r="B35" i="7"/>
  <c r="H251" i="17"/>
  <c r="F462"/>
  <c r="A108" i="12"/>
  <c r="E204" i="7"/>
  <c r="Q200" i="6"/>
  <c r="F212" i="5"/>
  <c r="J162"/>
  <c r="Q396"/>
  <c r="M191" i="6"/>
  <c r="B203" i="5"/>
  <c r="G529" i="17"/>
  <c r="Q105" i="6"/>
  <c r="B317" i="5"/>
  <c r="AF306" i="4"/>
  <c r="H170" i="17"/>
  <c r="Q99" i="6"/>
  <c r="B311" i="5"/>
  <c r="E299" i="4"/>
  <c r="F235" i="6"/>
  <c r="C243" i="4"/>
  <c r="Y345" i="3"/>
  <c r="K165"/>
  <c r="G297" i="5"/>
  <c r="A82" i="4"/>
  <c r="M235" i="3"/>
  <c r="E47"/>
  <c r="K300" i="5"/>
  <c r="I82" i="4"/>
  <c r="U235" i="3"/>
  <c r="M47"/>
  <c r="G329" i="5"/>
  <c r="A87" i="4"/>
  <c r="O238" i="3"/>
  <c r="G50"/>
  <c r="K332" i="5"/>
  <c r="I87" i="4"/>
  <c r="W238" i="3"/>
  <c r="O50"/>
  <c r="O335" i="5"/>
  <c r="A88" i="4"/>
  <c r="E239" i="3"/>
  <c r="W50"/>
  <c r="K364" i="5"/>
  <c r="H92" i="4"/>
  <c r="Y241" i="3"/>
  <c r="Q53"/>
  <c r="D75" i="4"/>
  <c r="P7" i="3"/>
  <c r="K355"/>
  <c r="T181"/>
  <c r="G101" i="5"/>
  <c r="G121" i="3"/>
  <c r="A71"/>
  <c r="T111"/>
  <c r="T28"/>
  <c r="J9"/>
  <c r="C13" i="6"/>
  <c r="T207"/>
  <c r="K303" i="5"/>
  <c r="I305"/>
  <c r="E79" i="4"/>
  <c r="X211" i="3"/>
  <c r="G116" i="4"/>
  <c r="D100" i="3"/>
  <c r="I209" i="17"/>
  <c r="E5"/>
  <c r="P151" i="6"/>
  <c r="H133"/>
  <c r="M101"/>
  <c r="B113" i="5"/>
  <c r="F63"/>
  <c r="M297"/>
  <c r="I92" i="6"/>
  <c r="R103" i="5"/>
  <c r="F490" i="17"/>
  <c r="M6" i="6"/>
  <c r="N213"/>
  <c r="C209" i="5"/>
  <c r="I165" i="17"/>
  <c r="N413" i="5"/>
  <c r="N207" i="6"/>
  <c r="C203" i="5"/>
  <c r="J260"/>
  <c r="A137" i="4"/>
  <c r="Q269" i="3"/>
  <c r="I81"/>
  <c r="E135" i="6"/>
  <c r="AF195" i="4"/>
  <c r="E159" i="3"/>
  <c r="D331"/>
  <c r="I138" i="6"/>
  <c r="D196" i="4"/>
  <c r="M159" i="3"/>
  <c r="P331"/>
  <c r="E167" i="6"/>
  <c r="J200" i="4"/>
  <c r="G162" i="3"/>
  <c r="H335"/>
  <c r="I170" i="6"/>
  <c r="B201" i="4"/>
  <c r="O162" i="3"/>
  <c r="R335"/>
  <c r="M173" i="6"/>
  <c r="J201" i="4"/>
  <c r="W162" i="3"/>
  <c r="B336"/>
  <c r="I202" i="6"/>
  <c r="B206" i="4"/>
  <c r="Q165" i="3"/>
  <c r="T339"/>
  <c r="AH40" i="4"/>
  <c r="V32" i="3"/>
  <c r="I40"/>
  <c r="J6" i="4"/>
  <c r="F57"/>
  <c r="N88" i="3"/>
  <c r="E270"/>
  <c r="S335"/>
  <c r="J142"/>
  <c r="C337"/>
  <c r="I94" i="17"/>
  <c r="Z384" i="3"/>
  <c r="AD189" i="4"/>
  <c r="H20" i="6"/>
  <c r="Q209" i="3"/>
  <c r="A67" i="12"/>
  <c r="Q268" i="6"/>
  <c r="D114" i="7"/>
  <c r="A909" i="17"/>
  <c r="F635"/>
  <c r="C95" i="12"/>
  <c r="D238"/>
  <c r="I226" i="6"/>
  <c r="M240" i="5"/>
  <c r="B188"/>
  <c r="H9" i="6"/>
  <c r="E217"/>
  <c r="N228" i="5"/>
  <c r="G279" i="17"/>
  <c r="I131" i="6"/>
  <c r="N342" i="5"/>
  <c r="D338" i="4"/>
  <c r="E703" i="17"/>
  <c r="I125" i="6"/>
  <c r="N336" i="5"/>
  <c r="AI330" i="4"/>
  <c r="B7" i="9"/>
  <c r="AG274" i="4"/>
  <c r="Q365" i="3"/>
  <c r="X187"/>
  <c r="B89" i="6"/>
  <c r="AF113" i="4"/>
  <c r="E255" i="3"/>
  <c r="W66"/>
  <c r="F92" i="6"/>
  <c r="D114" i="4"/>
  <c r="M255" i="3"/>
  <c r="E67"/>
  <c r="B121" i="6"/>
  <c r="AE118" i="4"/>
  <c r="G258" i="3"/>
  <c r="Y69"/>
  <c r="F124" i="6"/>
  <c r="C119" i="4"/>
  <c r="O258" i="3"/>
  <c r="G70"/>
  <c r="J127" i="6"/>
  <c r="AE119" i="4"/>
  <c r="W258" i="3"/>
  <c r="O70"/>
  <c r="F156" i="6"/>
  <c r="B124" i="4"/>
  <c r="Q261" i="3"/>
  <c r="I73"/>
  <c r="A92" i="4"/>
  <c r="X9" i="3"/>
  <c r="C14"/>
  <c r="E284"/>
  <c r="A304" i="4"/>
  <c r="T269" i="3"/>
  <c r="U145"/>
  <c r="M202"/>
  <c r="Z54"/>
  <c r="W140"/>
  <c r="G401" i="5"/>
  <c r="D314"/>
  <c r="J18" i="6"/>
  <c r="E368" i="4"/>
  <c r="J32"/>
  <c r="D343" i="3"/>
  <c r="AG69" i="4"/>
  <c r="X240" i="3"/>
  <c r="I859" i="17"/>
  <c r="F425"/>
  <c r="L353" i="6"/>
  <c r="D335"/>
  <c r="E127"/>
  <c r="N138" i="5"/>
  <c r="R88"/>
  <c r="E323"/>
  <c r="A118" i="6"/>
  <c r="J129" i="5"/>
  <c r="F482" i="17"/>
  <c r="E32" i="6"/>
  <c r="J243" i="5"/>
  <c r="O234"/>
  <c r="I164" i="17"/>
  <c r="E26" i="6"/>
  <c r="J237" i="5"/>
  <c r="O228"/>
  <c r="E52" i="6"/>
  <c r="AE168" i="4"/>
  <c r="I289" i="3"/>
  <c r="A101"/>
  <c r="D113" i="6"/>
  <c r="E227" i="4"/>
  <c r="W178" i="3"/>
  <c r="L357"/>
  <c r="H116" i="6"/>
  <c r="AG227" i="4"/>
  <c r="E179" i="3"/>
  <c r="V357"/>
  <c r="D145" i="6"/>
  <c r="AF233" i="4"/>
  <c r="Y181" i="3"/>
  <c r="N361"/>
  <c r="H148" i="6"/>
  <c r="G234" i="4"/>
  <c r="G182" i="3"/>
  <c r="X361"/>
  <c r="L151" i="6"/>
  <c r="B235" i="4"/>
  <c r="O182" i="3"/>
  <c r="J362"/>
  <c r="H180" i="6"/>
  <c r="B241" i="4"/>
  <c r="I185" i="3"/>
  <c r="B366"/>
  <c r="C57" i="4"/>
  <c r="Q318" i="3"/>
  <c r="T81"/>
  <c r="S25"/>
  <c r="D294" i="4"/>
  <c r="N151" i="3"/>
  <c r="G375"/>
  <c r="K10"/>
  <c r="E238"/>
  <c r="V84"/>
  <c r="I592" i="17"/>
  <c r="R176" i="3"/>
  <c r="C143" i="4"/>
  <c r="I39" i="6"/>
  <c r="U327" i="3"/>
  <c r="A175" i="17"/>
  <c r="A99" i="7"/>
  <c r="B117"/>
  <c r="H113" i="25"/>
  <c r="F211" i="20"/>
  <c r="D760" i="17"/>
  <c r="A278"/>
  <c r="D25" i="6"/>
  <c r="AE250" i="4"/>
  <c r="N213" i="5"/>
  <c r="T34" i="6"/>
  <c r="T15"/>
  <c r="M358" i="5"/>
  <c r="F335" i="17"/>
  <c r="A157" i="6"/>
  <c r="F368" i="5"/>
  <c r="AE369" i="4"/>
  <c r="G852" i="17"/>
  <c r="A151" i="6"/>
  <c r="F362" i="5"/>
  <c r="D362" i="4"/>
  <c r="B38" i="9"/>
  <c r="AD306" i="4"/>
  <c r="I385" i="3"/>
  <c r="O212"/>
  <c r="R314" i="5"/>
  <c r="H145" i="4"/>
  <c r="W274" i="3"/>
  <c r="O86"/>
  <c r="B318" i="5"/>
  <c r="AJ145" i="4"/>
  <c r="E275" i="3"/>
  <c r="W86"/>
  <c r="R346" i="5"/>
  <c r="G150" i="4"/>
  <c r="Y277" i="3"/>
  <c r="Q89"/>
  <c r="B350" i="5"/>
  <c r="AI150" i="4"/>
  <c r="G278" i="3"/>
  <c r="Y89"/>
  <c r="F353" i="5"/>
  <c r="G151" i="4"/>
  <c r="O278" i="3"/>
  <c r="G90"/>
  <c r="B382" i="5"/>
  <c r="AH155" i="4"/>
  <c r="I281" i="3"/>
  <c r="A93"/>
  <c r="AG108" i="4"/>
  <c r="P29" i="3"/>
  <c r="U33"/>
  <c r="E389"/>
  <c r="Q132" i="5"/>
  <c r="L23" i="3"/>
  <c r="E242"/>
  <c r="O307"/>
  <c r="Y116"/>
  <c r="Q206"/>
  <c r="L210" i="6"/>
  <c r="L416" i="5"/>
  <c r="J146" i="6"/>
  <c r="T93" i="5"/>
  <c r="G222" i="4"/>
  <c r="I118" i="3"/>
  <c r="C23" i="4"/>
  <c r="A41" i="3"/>
  <c r="A268" i="17"/>
  <c r="H462"/>
  <c r="K353" i="6"/>
  <c r="C335"/>
  <c r="Q152"/>
  <c r="F164" i="5"/>
  <c r="J114"/>
  <c r="Q348"/>
  <c r="M143" i="6"/>
  <c r="B155" i="5"/>
  <c r="G481" i="17"/>
  <c r="Q57" i="6"/>
  <c r="B269" i="5"/>
  <c r="A407"/>
  <c r="H164" i="17"/>
  <c r="Q51" i="6"/>
  <c r="B263" i="5"/>
  <c r="A359"/>
  <c r="I260"/>
  <c r="A200" i="4"/>
  <c r="A309" i="3"/>
  <c r="F123"/>
  <c r="P321" i="5"/>
  <c r="J22" i="4"/>
  <c r="O198" i="3"/>
  <c r="R383"/>
  <c r="T324" i="5"/>
  <c r="B23" i="4"/>
  <c r="W198" i="3"/>
  <c r="B384"/>
  <c r="P353" i="5"/>
  <c r="I27" i="4"/>
  <c r="Q201" i="3"/>
  <c r="T387"/>
  <c r="T356" i="5"/>
  <c r="A28" i="4"/>
  <c r="Y201" i="3"/>
  <c r="F388"/>
  <c r="D360" i="5"/>
  <c r="I28" i="4"/>
  <c r="G202" i="3"/>
  <c r="P388"/>
  <c r="T388" i="5"/>
  <c r="AJ32" i="4"/>
  <c r="A205" i="3"/>
  <c r="H392"/>
  <c r="F73" i="4"/>
  <c r="F131" i="3"/>
  <c r="B164"/>
  <c r="B50"/>
  <c r="D110" i="5"/>
  <c r="G260" i="3"/>
  <c r="V17"/>
  <c r="C30"/>
  <c r="G343"/>
  <c r="M12"/>
  <c r="S236" i="5"/>
  <c r="T330" i="3"/>
  <c r="J96" i="4"/>
  <c r="P361" i="6"/>
  <c r="I19" i="4"/>
  <c r="D537" i="17"/>
  <c r="H100" i="7"/>
  <c r="A387" i="6"/>
  <c r="E258"/>
  <c r="D70" i="7"/>
  <c r="J327" i="6"/>
  <c r="N81" i="5"/>
  <c r="P50" i="6"/>
  <c r="F282" i="4"/>
  <c r="E246" i="5"/>
  <c r="L60" i="6"/>
  <c r="L41"/>
  <c r="AI270" i="4"/>
  <c r="D336" i="17"/>
  <c r="M182" i="6"/>
  <c r="R393" i="5"/>
  <c r="D401" i="4"/>
  <c r="G229" i="17"/>
  <c r="M176" i="6"/>
  <c r="R387" i="5"/>
  <c r="AH393" i="4"/>
  <c r="H119" i="7"/>
  <c r="B338" i="4"/>
  <c r="A405" i="3"/>
  <c r="U238"/>
  <c r="M106" i="6"/>
  <c r="B177" i="4"/>
  <c r="O294" i="3"/>
  <c r="R106"/>
  <c r="Q109" i="6"/>
  <c r="J177" i="4"/>
  <c r="W294" i="3"/>
  <c r="A107"/>
  <c r="M138" i="6"/>
  <c r="AJ181" i="4"/>
  <c r="Q297" i="3"/>
  <c r="E110"/>
  <c r="Q141" i="6"/>
  <c r="H182" i="4"/>
  <c r="Y297" i="3"/>
  <c r="N110"/>
  <c r="A145" i="6"/>
  <c r="AJ182" i="4"/>
  <c r="G298" i="3"/>
  <c r="X110"/>
  <c r="Q173" i="6"/>
  <c r="G187" i="4"/>
  <c r="A301" i="3"/>
  <c r="B114"/>
  <c r="G345" i="4"/>
  <c r="Q56" i="3"/>
  <c r="Q67"/>
  <c r="D20"/>
  <c r="E182" i="5"/>
  <c r="E272" i="3"/>
  <c r="G347"/>
  <c r="O412"/>
  <c r="O208"/>
  <c r="X146"/>
  <c r="H376" i="17"/>
  <c r="S131" i="6"/>
  <c r="B253" i="5"/>
  <c r="T221"/>
  <c r="D176" i="4"/>
  <c r="R262" i="3"/>
  <c r="AJ212" i="4"/>
  <c r="D167" i="3"/>
  <c r="H268" i="17"/>
  <c r="G518"/>
  <c r="N253" i="6"/>
  <c r="G299"/>
  <c r="I178"/>
  <c r="R189" i="5"/>
  <c r="B140"/>
  <c r="I374"/>
  <c r="E169" i="6"/>
  <c r="N180" i="5"/>
  <c r="I487" i="17"/>
  <c r="I83" i="6"/>
  <c r="N294" i="5"/>
  <c r="AI278" i="4"/>
  <c r="F165" i="17"/>
  <c r="I77" i="6"/>
  <c r="N288" i="5"/>
  <c r="H271" i="4"/>
  <c r="D52" i="6"/>
  <c r="AJ232" i="4"/>
  <c r="S328" i="3"/>
  <c r="S145"/>
  <c r="S113" i="6"/>
  <c r="F54" i="4"/>
  <c r="G218" i="3"/>
  <c r="X409"/>
  <c r="C117" i="6"/>
  <c r="AH54" i="4"/>
  <c r="O218" i="3"/>
  <c r="J410"/>
  <c r="S145" i="6"/>
  <c r="E59" i="4"/>
  <c r="I221" i="3"/>
  <c r="B414"/>
  <c r="C149" i="6"/>
  <c r="AF59" i="4"/>
  <c r="Q221" i="3"/>
  <c r="L414"/>
  <c r="G152" i="6"/>
  <c r="D60" i="4"/>
  <c r="Y221" i="3"/>
  <c r="V414"/>
  <c r="C181" i="6"/>
  <c r="AE64" i="4"/>
  <c r="S224" i="3"/>
  <c r="K36"/>
  <c r="C90" i="4"/>
  <c r="K46" i="3"/>
  <c r="O263"/>
  <c r="A103"/>
  <c r="AI314" i="4"/>
  <c r="Z22" i="3"/>
  <c r="H38"/>
  <c r="U57"/>
  <c r="N11"/>
  <c r="T143"/>
  <c r="I74" i="5"/>
  <c r="D109" i="3"/>
  <c r="J81" i="4"/>
  <c r="A44" i="3"/>
  <c r="H209" i="4"/>
  <c r="Q238" i="6"/>
  <c r="G99" i="7"/>
  <c r="T386" i="6"/>
  <c r="L258"/>
  <c r="B153" i="7"/>
  <c r="Q339" i="6"/>
  <c r="J279" i="4"/>
  <c r="H76" i="6"/>
  <c r="B314" i="4"/>
  <c r="AI252"/>
  <c r="D86" i="6"/>
  <c r="D67"/>
  <c r="AF302" i="4"/>
  <c r="B22" i="20"/>
  <c r="E208" i="6"/>
  <c r="I6"/>
  <c r="R17" i="5"/>
  <c r="F269" i="17"/>
  <c r="E202" i="6"/>
  <c r="J413" i="5"/>
  <c r="R11"/>
  <c r="H35" i="16"/>
  <c r="I369" i="4"/>
  <c r="A17"/>
  <c r="C265" i="3"/>
  <c r="Q314" i="5"/>
  <c r="I208" i="4"/>
  <c r="G314" i="3"/>
  <c r="E129"/>
  <c r="A318" i="5"/>
  <c r="A209" i="4"/>
  <c r="O314" i="3"/>
  <c r="N129"/>
  <c r="Q346" i="5"/>
  <c r="G213" i="4"/>
  <c r="I317" i="3"/>
  <c r="R132"/>
  <c r="A350" i="5"/>
  <c r="AH213" i="4"/>
  <c r="Q317" i="3"/>
  <c r="B133"/>
  <c r="E353" i="5"/>
  <c r="F214" i="4"/>
  <c r="Y317" i="3"/>
  <c r="K133"/>
  <c r="A382" i="5"/>
  <c r="AG218" i="4"/>
  <c r="S320" i="3"/>
  <c r="O136"/>
  <c r="P151" i="5"/>
  <c r="V120" i="3"/>
  <c r="X139"/>
  <c r="J41"/>
  <c r="T340" i="5"/>
  <c r="W49" i="3"/>
  <c r="O12"/>
  <c r="V24"/>
  <c r="O377"/>
  <c r="F294"/>
  <c r="AJ393" i="4"/>
  <c r="K238" i="5"/>
  <c r="N406"/>
  <c r="F357" i="4"/>
  <c r="I129"/>
  <c r="Q37" i="3"/>
  <c r="AF166" i="4"/>
  <c r="Q319" i="3"/>
  <c r="G532" i="17"/>
  <c r="E519"/>
  <c r="E102" i="12"/>
  <c r="C59"/>
  <c r="A204" i="6"/>
  <c r="J215" i="5"/>
  <c r="N165"/>
  <c r="A400"/>
  <c r="Q194" i="6"/>
  <c r="F206" i="5"/>
  <c r="D299" i="17"/>
  <c r="A109" i="6"/>
  <c r="F320" i="5"/>
  <c r="AF310" i="4"/>
  <c r="E233" i="17"/>
  <c r="A103" i="6"/>
  <c r="F314" i="5"/>
  <c r="E303" i="4"/>
  <c r="T253" i="6"/>
  <c r="C247" i="4"/>
  <c r="K348" i="3"/>
  <c r="F168"/>
  <c r="S322" i="5"/>
  <c r="A86" i="4"/>
  <c r="Y237" i="3"/>
  <c r="Q49"/>
  <c r="C326" i="5"/>
  <c r="I86" i="4"/>
  <c r="G238" i="3"/>
  <c r="Y49"/>
  <c r="S354" i="5"/>
  <c r="AJ90" i="4"/>
  <c r="A241" i="3"/>
  <c r="S52"/>
  <c r="C358" i="5"/>
  <c r="H91" i="4"/>
  <c r="I241" i="3"/>
  <c r="A53"/>
  <c r="G361" i="5"/>
  <c r="AJ91" i="4"/>
  <c r="Q241" i="3"/>
  <c r="I53"/>
  <c r="C390" i="5"/>
  <c r="H96" i="4"/>
  <c r="K244" i="3"/>
  <c r="C56"/>
  <c r="AI106" i="4"/>
  <c r="R12" i="3"/>
  <c r="O368"/>
  <c r="Z192"/>
  <c r="S126" i="5"/>
  <c r="W239" i="3"/>
  <c r="S77"/>
  <c r="A123"/>
  <c r="F31"/>
  <c r="T16"/>
  <c r="AH312" i="4"/>
  <c r="Y251" i="3"/>
  <c r="AJ34" i="4"/>
  <c r="B67" i="3"/>
  <c r="AI130" i="4"/>
  <c r="E50" i="12"/>
  <c r="F98" i="7"/>
  <c r="K386" i="6"/>
  <c r="S258"/>
  <c r="C155" i="7"/>
  <c r="D340" i="6"/>
  <c r="I98" i="5"/>
  <c r="T101" i="6"/>
  <c r="H345" i="4"/>
  <c r="J284"/>
  <c r="P111" i="6"/>
  <c r="P92"/>
  <c r="E334" i="4"/>
  <c r="H91" i="20"/>
  <c r="E237" i="5"/>
  <c r="A32" i="6"/>
  <c r="J43" i="5"/>
  <c r="I596" i="17"/>
  <c r="Q227" i="6"/>
  <c r="A26"/>
  <c r="J37" i="5"/>
  <c r="A172" i="17"/>
  <c r="B401" i="4"/>
  <c r="AG48"/>
  <c r="I291" i="3"/>
  <c r="L106" i="6"/>
  <c r="D244" i="4"/>
  <c r="Y333" i="3"/>
  <c r="R151"/>
  <c r="P109" i="6"/>
  <c r="AH244" i="4"/>
  <c r="G334" i="3"/>
  <c r="A152"/>
  <c r="L138" i="6"/>
  <c r="AH228" i="4"/>
  <c r="A337" i="3"/>
  <c r="F155"/>
  <c r="P141" i="6"/>
  <c r="F229" i="4"/>
  <c r="I337" i="3"/>
  <c r="O155"/>
  <c r="T144" i="6"/>
  <c r="AH229" i="4"/>
  <c r="Q337" i="3"/>
  <c r="X155"/>
  <c r="P173" i="6"/>
  <c r="E234" i="4"/>
  <c r="K340" i="3"/>
  <c r="B159"/>
  <c r="AJ365" i="4"/>
  <c r="C213" i="3"/>
  <c r="I235"/>
  <c r="W83"/>
  <c r="D353" i="6"/>
  <c r="A8" i="3"/>
  <c r="G32"/>
  <c r="Q48"/>
  <c r="X158"/>
  <c r="T47"/>
  <c r="N224" i="5"/>
  <c r="S340"/>
  <c r="A96" i="6"/>
  <c r="O84" i="5"/>
  <c r="C303" i="4"/>
  <c r="U185" i="3"/>
  <c r="B340" i="4"/>
  <c r="N86" i="3"/>
  <c r="H909" i="17"/>
  <c r="C637"/>
  <c r="H8" i="15"/>
  <c r="C239" i="12"/>
  <c r="M229" i="6"/>
  <c r="I253" i="5"/>
  <c r="F191"/>
  <c r="L12" i="6"/>
  <c r="I220"/>
  <c r="R231" i="5"/>
  <c r="F336" i="17"/>
  <c r="M134" i="6"/>
  <c r="R345" i="5"/>
  <c r="B342" i="4"/>
  <c r="H939" i="17"/>
  <c r="M128" i="6"/>
  <c r="R339" i="5"/>
  <c r="AH334" i="4"/>
  <c r="S253" i="6"/>
  <c r="AG278" i="4"/>
  <c r="C368" i="3"/>
  <c r="S190"/>
  <c r="N114" i="6"/>
  <c r="AE117" i="4"/>
  <c r="Q257" i="3"/>
  <c r="I69"/>
  <c r="R117" i="6"/>
  <c r="C118" i="4"/>
  <c r="Y257" i="3"/>
  <c r="Q69"/>
  <c r="N146" i="6"/>
  <c r="J122" i="4"/>
  <c r="S260" i="3"/>
  <c r="K72"/>
  <c r="R149" i="6"/>
  <c r="B123" i="4"/>
  <c r="A261" i="3"/>
  <c r="S72"/>
  <c r="B153" i="6"/>
  <c r="J123" i="4"/>
  <c r="I261" i="3"/>
  <c r="A73"/>
  <c r="R181" i="6"/>
  <c r="A128" i="4"/>
  <c r="C264" i="3"/>
  <c r="U75"/>
  <c r="AE123" i="4"/>
  <c r="J12" i="3"/>
  <c r="O16"/>
  <c r="G297"/>
  <c r="J335" i="4"/>
  <c r="N320" i="3"/>
  <c r="B157"/>
  <c r="Q215"/>
  <c r="V60"/>
  <c r="J163"/>
  <c r="P176" i="5"/>
  <c r="L55" i="3"/>
  <c r="AF224" i="4"/>
  <c r="X196" i="3"/>
  <c r="AH83" i="4"/>
  <c r="A218" i="13"/>
  <c r="E97" i="7"/>
  <c r="B386" i="6"/>
  <c r="R270"/>
  <c r="D157" i="7"/>
  <c r="K340" i="6"/>
  <c r="A279" i="4"/>
  <c r="L127" i="6"/>
  <c r="B377" i="4"/>
  <c r="E316"/>
  <c r="H137" i="6"/>
  <c r="H118"/>
  <c r="J365" i="4"/>
  <c r="AJ304"/>
  <c r="Q262" i="5"/>
  <c r="M57" i="6"/>
  <c r="B69" i="5"/>
  <c r="G112" i="23"/>
  <c r="Q256" i="5"/>
  <c r="M51" i="6"/>
  <c r="B63" i="5"/>
  <c r="A117" i="20"/>
  <c r="P17" i="5"/>
  <c r="I80" i="4"/>
  <c r="O317" i="3"/>
  <c r="H308" i="6"/>
  <c r="I255" i="4"/>
  <c r="Q353" i="3"/>
  <c r="E174"/>
  <c r="L311" i="6"/>
  <c r="A256" i="4"/>
  <c r="Y353" i="3"/>
  <c r="N174"/>
  <c r="H340" i="6"/>
  <c r="H260" i="4"/>
  <c r="S356" i="3"/>
  <c r="S177"/>
  <c r="L343" i="6"/>
  <c r="AI260" i="4"/>
  <c r="A357" i="3"/>
  <c r="B178"/>
  <c r="P346" i="6"/>
  <c r="G261" i="4"/>
  <c r="I357" i="3"/>
  <c r="K178"/>
  <c r="Q394" i="6"/>
  <c r="AH265" i="4"/>
  <c r="C360" i="3"/>
  <c r="O181"/>
  <c r="K168" i="5"/>
  <c r="C318" i="3"/>
  <c r="I340"/>
  <c r="P167"/>
  <c r="F34"/>
  <c r="D112"/>
  <c r="P63"/>
  <c r="O99"/>
  <c r="Z127"/>
  <c r="P328"/>
  <c r="J212" i="6"/>
  <c r="R55"/>
  <c r="I198"/>
  <c r="O212" i="5"/>
  <c r="D66"/>
  <c r="K341" i="3"/>
  <c r="D96" i="5"/>
  <c r="T222" i="3"/>
  <c r="J271" i="6"/>
  <c r="E213" i="20"/>
  <c r="F909" i="17"/>
  <c r="C315"/>
  <c r="H28" i="6"/>
  <c r="AD254" i="4"/>
  <c r="R216" i="5"/>
  <c r="D38" i="6"/>
  <c r="D19"/>
  <c r="E384" i="5"/>
  <c r="E392" i="17"/>
  <c r="E160" i="6"/>
  <c r="J371" i="5"/>
  <c r="AE373" i="4"/>
  <c r="H285" i="17"/>
  <c r="E154" i="6"/>
  <c r="J365" i="5"/>
  <c r="C366" i="4"/>
  <c r="N276" i="6"/>
  <c r="J310" i="4"/>
  <c r="U387" i="3"/>
  <c r="W215"/>
  <c r="J340" i="5"/>
  <c r="H149" i="4"/>
  <c r="I277" i="3"/>
  <c r="A89"/>
  <c r="N343" i="5"/>
  <c r="AI149" i="4"/>
  <c r="Q277" i="3"/>
  <c r="I89"/>
  <c r="J372" i="5"/>
  <c r="G154" i="4"/>
  <c r="K280" i="3"/>
  <c r="C92"/>
  <c r="N375" i="5"/>
  <c r="AI154" i="4"/>
  <c r="S280" i="3"/>
  <c r="K92"/>
  <c r="R378" i="5"/>
  <c r="G155" i="4"/>
  <c r="A281" i="3"/>
  <c r="S92"/>
  <c r="N407" i="5"/>
  <c r="AG159" i="4"/>
  <c r="U283" i="3"/>
  <c r="M95"/>
  <c r="I140" i="4"/>
  <c r="B32" i="3"/>
  <c r="O36"/>
  <c r="I402"/>
  <c r="AE321" i="4"/>
  <c r="Y35" i="3"/>
  <c r="I255"/>
  <c r="Q320"/>
  <c r="F128"/>
  <c r="P48"/>
  <c r="C65" i="5"/>
  <c r="Q183" i="3"/>
  <c r="H15" i="5"/>
  <c r="J354" i="3"/>
  <c r="AF36" i="4"/>
  <c r="F6" i="23"/>
  <c r="A235" i="12"/>
  <c r="H2" i="9"/>
  <c r="D342" i="4"/>
  <c r="T133" i="6"/>
  <c r="AI384" i="4"/>
  <c r="D324"/>
  <c r="P143" i="6"/>
  <c r="P124"/>
  <c r="J373" i="4"/>
  <c r="AI312"/>
  <c r="E269" i="5"/>
  <c r="A64" i="6"/>
  <c r="J75" i="5"/>
  <c r="N25"/>
  <c r="E263"/>
  <c r="A58" i="6"/>
  <c r="J69" i="5"/>
  <c r="N19"/>
  <c r="D24"/>
  <c r="H88" i="4"/>
  <c r="E324" i="3"/>
  <c r="Q362" i="6"/>
  <c r="G263" i="4"/>
  <c r="O358" i="3"/>
  <c r="V179"/>
  <c r="E369" i="6"/>
  <c r="AI263" i="4"/>
  <c r="W358" i="3"/>
  <c r="E180"/>
  <c r="C31" i="7"/>
  <c r="F268" i="4"/>
  <c r="Q361" i="3"/>
  <c r="I183"/>
  <c r="D52" i="7"/>
  <c r="AH268" i="4"/>
  <c r="Y361" i="3"/>
  <c r="R183"/>
  <c r="B74" i="7"/>
  <c r="F269" i="4"/>
  <c r="G362" i="3"/>
  <c r="A184"/>
  <c r="B266" i="7"/>
  <c r="AG273" i="4"/>
  <c r="A365" i="3"/>
  <c r="F187"/>
  <c r="O219" i="5"/>
  <c r="I344" i="3"/>
  <c r="Q366"/>
  <c r="C190"/>
  <c r="I75"/>
  <c r="Q179"/>
  <c r="U76"/>
  <c r="N121"/>
  <c r="Z172"/>
  <c r="D381"/>
  <c r="N7" i="6"/>
  <c r="O80"/>
  <c r="D329" i="5"/>
  <c r="Q170"/>
  <c r="J157" i="4"/>
  <c r="I142" i="3"/>
  <c r="AJ225" i="4"/>
  <c r="F400" i="3"/>
  <c r="D396" i="17"/>
  <c r="D56"/>
  <c r="A203" i="6"/>
  <c r="M184"/>
  <c r="Q56"/>
  <c r="F68" i="5"/>
  <c r="C147" i="20"/>
  <c r="Q252" i="5"/>
  <c r="M47" i="6"/>
  <c r="B59" i="5"/>
  <c r="I143" i="17"/>
  <c r="R374" i="5"/>
  <c r="R168" i="6"/>
  <c r="G164" i="5"/>
  <c r="C37" i="17"/>
  <c r="R368" i="5"/>
  <c r="R162" i="6"/>
  <c r="G158" i="5"/>
  <c r="C294"/>
  <c r="I81" i="4"/>
  <c r="E235" i="3"/>
  <c r="W46"/>
  <c r="N185" i="6"/>
  <c r="J140" i="4"/>
  <c r="S124" i="3"/>
  <c r="F285"/>
  <c r="R188" i="6"/>
  <c r="A141" i="4"/>
  <c r="A125" i="3"/>
  <c r="P285"/>
  <c r="N217" i="6"/>
  <c r="I145" i="4"/>
  <c r="U127" i="3"/>
  <c r="H289"/>
  <c r="R220" i="6"/>
  <c r="A146" i="4"/>
  <c r="C128" i="3"/>
  <c r="T289"/>
  <c r="B224" i="6"/>
  <c r="I146" i="4"/>
  <c r="K128" i="3"/>
  <c r="D290"/>
  <c r="B257" i="5"/>
  <c r="AJ150" i="4"/>
  <c r="E131" i="3"/>
  <c r="V293"/>
  <c r="E311"/>
  <c r="Q327"/>
  <c r="S409"/>
  <c r="G235"/>
  <c r="C87" i="4"/>
  <c r="O367" i="5"/>
  <c r="K102" i="3"/>
  <c r="L158"/>
  <c r="O40"/>
  <c r="A234"/>
  <c r="B54"/>
  <c r="V410"/>
  <c r="C66" i="5"/>
  <c r="D46" i="3"/>
  <c r="F25"/>
  <c r="AF262" i="4"/>
  <c r="E140" i="3"/>
  <c r="H151" i="4"/>
  <c r="K387" i="5"/>
  <c r="Y261" i="3"/>
  <c r="K414" i="5"/>
  <c r="X231" i="3"/>
  <c r="L149" i="5"/>
  <c r="L159" i="6"/>
  <c r="G416" i="4"/>
  <c r="H355"/>
  <c r="H169" i="6"/>
  <c r="H150"/>
  <c r="B405" i="4"/>
  <c r="E344"/>
  <c r="Q294" i="5"/>
  <c r="M89" i="6"/>
  <c r="B101" i="5"/>
  <c r="F51"/>
  <c r="Q288"/>
  <c r="M83" i="6"/>
  <c r="B95" i="5"/>
  <c r="F45"/>
  <c r="P49"/>
  <c r="B120" i="4"/>
  <c r="K350" i="3"/>
  <c r="P362" i="6"/>
  <c r="D295" i="4"/>
  <c r="G378" i="3"/>
  <c r="C203"/>
  <c r="D369" i="6"/>
  <c r="AF295" i="4"/>
  <c r="O378" i="3"/>
  <c r="O203"/>
  <c r="D33" i="7"/>
  <c r="C300" i="4"/>
  <c r="I381" i="3"/>
  <c r="G207"/>
  <c r="B55" i="7"/>
  <c r="AE300" i="4"/>
  <c r="Q381" i="3"/>
  <c r="Q207"/>
  <c r="C76" i="7"/>
  <c r="C301" i="4"/>
  <c r="Y381" i="3"/>
  <c r="A208"/>
  <c r="C268" i="7"/>
  <c r="AE305" i="4"/>
  <c r="S384" i="3"/>
  <c r="S211"/>
  <c r="B68" i="5"/>
  <c r="A12" i="3"/>
  <c r="F16"/>
  <c r="U298"/>
  <c r="A24"/>
  <c r="O373"/>
  <c r="J155"/>
  <c r="W213"/>
  <c r="Z378"/>
  <c r="E330"/>
  <c r="D191" i="6"/>
  <c r="O208"/>
  <c r="C18"/>
  <c r="I273" i="4"/>
  <c r="AJ110"/>
  <c r="R290" i="3"/>
  <c r="AF179" i="4"/>
  <c r="F167" i="3"/>
  <c r="F402" i="17"/>
  <c r="B57"/>
  <c r="E411" i="5"/>
  <c r="Q392"/>
  <c r="I82" i="6"/>
  <c r="R93" i="5"/>
  <c r="B44"/>
  <c r="I278"/>
  <c r="E73" i="6"/>
  <c r="N84" i="5"/>
  <c r="G144" i="17"/>
  <c r="J400" i="5"/>
  <c r="J194" i="6"/>
  <c r="S189" i="5"/>
  <c r="A38" i="17"/>
  <c r="J394" i="5"/>
  <c r="J188" i="6"/>
  <c r="S183" i="5"/>
  <c r="R85" i="6"/>
  <c r="E113" i="4"/>
  <c r="W254" i="3"/>
  <c r="O66"/>
  <c r="N394" i="5"/>
  <c r="D172" i="4"/>
  <c r="K144" i="3"/>
  <c r="L311"/>
  <c r="R397" i="5"/>
  <c r="AF172" i="4"/>
  <c r="S144" i="3"/>
  <c r="X311"/>
  <c r="M13" i="6"/>
  <c r="C177" i="4"/>
  <c r="M147" i="3"/>
  <c r="P315"/>
  <c r="Q16" i="6"/>
  <c r="AE177" i="4"/>
  <c r="U147" i="3"/>
  <c r="Z315"/>
  <c r="A20" i="6"/>
  <c r="C178" i="4"/>
  <c r="C148" i="3"/>
  <c r="J316"/>
  <c r="Q48" i="6"/>
  <c r="I182" i="4"/>
  <c r="W150" i="3"/>
  <c r="B320"/>
  <c r="AJ87" i="4"/>
  <c r="U25" i="3"/>
  <c r="H24"/>
  <c r="G340"/>
  <c r="AH103" i="4"/>
  <c r="Q250" i="6"/>
  <c r="H192" i="3"/>
  <c r="Y256"/>
  <c r="I82"/>
  <c r="O59"/>
  <c r="E190"/>
  <c r="J237"/>
  <c r="I25"/>
  <c r="A127"/>
  <c r="U89"/>
  <c r="M101"/>
  <c r="O325"/>
  <c r="F260" i="5"/>
  <c r="M387" i="3"/>
  <c r="J124" i="4"/>
  <c r="Q226" i="6"/>
  <c r="D239" i="4"/>
  <c r="AF362"/>
  <c r="D185" i="6"/>
  <c r="E30" i="5"/>
  <c r="B387" i="4"/>
  <c r="T194" i="6"/>
  <c r="T175"/>
  <c r="A21" i="5"/>
  <c r="AH375" i="4"/>
  <c r="I320" i="5"/>
  <c r="E115" i="6"/>
  <c r="N126" i="5"/>
  <c r="R76"/>
  <c r="I314"/>
  <c r="E109" i="6"/>
  <c r="N120" i="5"/>
  <c r="R70"/>
  <c r="H75"/>
  <c r="AH151" i="4"/>
  <c r="Q376" i="3"/>
  <c r="N301" i="6"/>
  <c r="AI326" i="4"/>
  <c r="Y397" i="3"/>
  <c r="K229"/>
  <c r="F327" i="6"/>
  <c r="G327" i="4"/>
  <c r="G398" i="3"/>
  <c r="U229"/>
  <c r="E353" i="6"/>
  <c r="AG331" i="4"/>
  <c r="A401" i="3"/>
  <c r="M233"/>
  <c r="J401" i="6"/>
  <c r="E332" i="4"/>
  <c r="I401" i="3"/>
  <c r="W233"/>
  <c r="D119" i="7"/>
  <c r="AF332" i="4"/>
  <c r="Q401" i="3"/>
  <c r="I234"/>
  <c r="A413" i="6"/>
  <c r="C337" i="4"/>
  <c r="K404" i="3"/>
  <c r="A238"/>
  <c r="AJ267" i="4"/>
  <c r="S31" i="3"/>
  <c r="D36"/>
  <c r="W92"/>
  <c r="H6"/>
  <c r="Z19"/>
  <c r="K253"/>
  <c r="Y318"/>
  <c r="F240"/>
  <c r="B289"/>
  <c r="N192" i="6"/>
  <c r="G315" i="5"/>
  <c r="O171" i="6"/>
  <c r="D17" i="5"/>
  <c r="E64" i="4"/>
  <c r="J57" i="3"/>
  <c r="C133" i="4"/>
  <c r="X345" i="3"/>
  <c r="G288" i="17"/>
  <c r="C119"/>
  <c r="T202" i="6"/>
  <c r="L184"/>
  <c r="A108"/>
  <c r="J119" i="5"/>
  <c r="N69"/>
  <c r="A304"/>
  <c r="Q98" i="6"/>
  <c r="F110" i="5"/>
  <c r="D34" i="16"/>
  <c r="A13" i="6"/>
  <c r="B220"/>
  <c r="K215" i="5"/>
  <c r="E547" i="17"/>
  <c r="A7" i="6"/>
  <c r="B214"/>
  <c r="K209" i="5"/>
  <c r="N311"/>
  <c r="AJ144" i="4"/>
  <c r="O274" i="3"/>
  <c r="G86"/>
  <c r="I186" i="6"/>
  <c r="J203" i="4"/>
  <c r="C164" i="3"/>
  <c r="T337"/>
  <c r="M189" i="6"/>
  <c r="B204" i="4"/>
  <c r="K164" i="3"/>
  <c r="D338"/>
  <c r="I218" i="6"/>
  <c r="J208" i="4"/>
  <c r="E167" i="3"/>
  <c r="V341"/>
  <c r="M221" i="6"/>
  <c r="B209" i="4"/>
  <c r="M167" i="3"/>
  <c r="F342"/>
  <c r="Q224" i="6"/>
  <c r="J209" i="4"/>
  <c r="U167" i="3"/>
  <c r="R342"/>
  <c r="P26" i="6"/>
  <c r="AI213" i="4"/>
  <c r="O170" i="3"/>
  <c r="J346"/>
  <c r="C104" i="4"/>
  <c r="J169" i="3"/>
  <c r="V47"/>
  <c r="Y10"/>
  <c r="AE120" i="4"/>
  <c r="U250" i="3"/>
  <c r="M296"/>
  <c r="A362"/>
  <c r="W164"/>
  <c r="R10"/>
  <c r="A59"/>
  <c r="H51" i="4"/>
  <c r="D90" i="3"/>
  <c r="F96" i="4"/>
  <c r="U264" i="3"/>
  <c r="G133"/>
  <c r="C25"/>
  <c r="W13"/>
  <c r="U48"/>
  <c r="J159" i="6"/>
  <c r="P204"/>
  <c r="A184" i="5"/>
  <c r="S165"/>
  <c r="P210" i="6"/>
  <c r="Q55" i="5"/>
  <c r="I6"/>
  <c r="L220" i="6"/>
  <c r="L201"/>
  <c r="M46" i="5"/>
  <c r="F407" i="4"/>
  <c r="A346" i="5"/>
  <c r="Q140" i="6"/>
  <c r="F152" i="5"/>
  <c r="J102"/>
  <c r="A340"/>
  <c r="Q134" i="6"/>
  <c r="F146" i="5"/>
  <c r="J96"/>
  <c r="T100"/>
  <c r="G183" i="4"/>
  <c r="Y402" i="3"/>
  <c r="C27" i="12"/>
  <c r="C358" i="4"/>
  <c r="Q417" i="3"/>
  <c r="Q255"/>
  <c r="E113" i="12"/>
  <c r="AD358" i="4"/>
  <c r="Y417" i="3"/>
  <c r="A256"/>
  <c r="A17" i="13"/>
  <c r="A363" i="4"/>
  <c r="I10"/>
  <c r="S259" i="3"/>
  <c r="A81" i="13"/>
  <c r="I363" i="4"/>
  <c r="A11"/>
  <c r="E260" i="3"/>
  <c r="A145" i="13"/>
  <c r="A364" i="4"/>
  <c r="I11"/>
  <c r="O260" i="3"/>
  <c r="G119" i="13"/>
  <c r="I368" i="4"/>
  <c r="A16"/>
  <c r="G264" i="3"/>
  <c r="R285" i="5"/>
  <c r="C62" i="3"/>
  <c r="K73"/>
  <c r="J95"/>
  <c r="S207"/>
  <c r="D41"/>
  <c r="K358"/>
  <c r="U6"/>
  <c r="P78"/>
  <c r="E151"/>
  <c r="D210" i="6"/>
  <c r="F30"/>
  <c r="S277" i="5"/>
  <c r="D145"/>
  <c r="AE17" i="4"/>
  <c r="V185" i="3"/>
  <c r="J86" i="4"/>
  <c r="C100" i="3"/>
  <c r="I325" i="17"/>
  <c r="D539"/>
  <c r="C119" i="7"/>
  <c r="I416" i="6"/>
  <c r="M133"/>
  <c r="B145" i="5"/>
  <c r="F95"/>
  <c r="M329"/>
  <c r="I124" i="6"/>
  <c r="R135" i="5"/>
  <c r="C34" i="16"/>
  <c r="M38" i="6"/>
  <c r="R249" i="5"/>
  <c r="N253"/>
  <c r="E539" i="17"/>
  <c r="M32" i="6"/>
  <c r="R243" i="5"/>
  <c r="C235"/>
  <c r="I103" i="6"/>
  <c r="AD176" i="4"/>
  <c r="G294" i="3"/>
  <c r="I106"/>
  <c r="H164" i="6"/>
  <c r="AF237" i="4"/>
  <c r="U183" i="3"/>
  <c r="Z363"/>
  <c r="L167" i="6"/>
  <c r="G238" i="4"/>
  <c r="C184" i="3"/>
  <c r="J364"/>
  <c r="H196" i="6"/>
  <c r="E244" i="4"/>
  <c r="W186" i="3"/>
  <c r="B368"/>
  <c r="L199" i="6"/>
  <c r="AJ244" i="4"/>
  <c r="E187" i="3"/>
  <c r="N368"/>
  <c r="P202" i="6"/>
  <c r="J245" i="4"/>
  <c r="M187" i="3"/>
  <c r="X368"/>
  <c r="B236" i="6"/>
  <c r="B9" i="4"/>
  <c r="G190" i="3"/>
  <c r="P372"/>
  <c r="H120" i="4"/>
  <c r="P43" i="3"/>
  <c r="K97"/>
  <c r="Q30"/>
  <c r="C357" i="4"/>
  <c r="K301" i="3"/>
  <c r="M401"/>
  <c r="I15"/>
  <c r="M264"/>
  <c r="C158"/>
  <c r="A350"/>
  <c r="D107" i="5"/>
  <c r="B280" i="3"/>
  <c r="D222" i="5"/>
  <c r="J13" i="3"/>
  <c r="P332"/>
  <c r="U88"/>
  <c r="P59"/>
  <c r="S187"/>
  <c r="W72"/>
  <c r="K205" i="6"/>
  <c r="O371" i="3"/>
  <c r="H383" i="4"/>
  <c r="D240" i="5"/>
  <c r="I81"/>
  <c r="A32"/>
  <c r="D243" i="6"/>
  <c r="D227"/>
  <c r="E72" i="5"/>
  <c r="Q22"/>
  <c r="M371"/>
  <c r="I166" i="6"/>
  <c r="R177" i="5"/>
  <c r="B128"/>
  <c r="M365"/>
  <c r="I160" i="6"/>
  <c r="R171" i="5"/>
  <c r="B122"/>
  <c r="L126"/>
  <c r="AF214" i="4"/>
  <c r="N50" i="3"/>
  <c r="G98" i="16"/>
  <c r="AF389" i="4"/>
  <c r="G37"/>
  <c r="W281" i="3"/>
  <c r="D44" i="17"/>
  <c r="D390" i="4"/>
  <c r="AI37"/>
  <c r="I282" i="3"/>
  <c r="A102" i="17"/>
  <c r="AE394" i="4"/>
  <c r="F42"/>
  <c r="A286" i="3"/>
  <c r="I158" i="17"/>
  <c r="C395" i="4"/>
  <c r="AH42"/>
  <c r="K286" i="3"/>
  <c r="F217" i="17"/>
  <c r="AE395" i="4"/>
  <c r="F43"/>
  <c r="U286" i="3"/>
  <c r="C58" i="17"/>
  <c r="B400" i="4"/>
  <c r="AG47"/>
  <c r="M290" i="3"/>
  <c r="M74" i="6"/>
  <c r="K130" i="3"/>
  <c r="R149"/>
  <c r="B287"/>
  <c r="E50"/>
  <c r="I83"/>
  <c r="R14"/>
  <c r="Q26"/>
  <c r="R264"/>
  <c r="S308"/>
  <c r="I319" i="17"/>
  <c r="F158" i="6"/>
  <c r="G380" i="5"/>
  <c r="J262" i="4"/>
  <c r="J207"/>
  <c r="L341" i="3"/>
  <c r="AJ39" i="4"/>
  <c r="W240" i="3"/>
  <c r="H381" i="17"/>
  <c r="E646"/>
  <c r="D121" i="7"/>
  <c r="H416" i="6"/>
  <c r="E159"/>
  <c r="N170" i="5"/>
  <c r="R120"/>
  <c r="E355"/>
  <c r="A150" i="6"/>
  <c r="J161" i="5"/>
  <c r="B34" i="16"/>
  <c r="E64" i="6"/>
  <c r="J275" i="5"/>
  <c r="C255" i="4"/>
  <c r="F538" i="17"/>
  <c r="E58" i="6"/>
  <c r="J269" i="5"/>
  <c r="E410"/>
  <c r="M311"/>
  <c r="A208" i="4"/>
  <c r="Y313" i="3"/>
  <c r="V128"/>
  <c r="T372" i="5"/>
  <c r="I30" i="4"/>
  <c r="M203" i="3"/>
  <c r="F390"/>
  <c r="D376" i="5"/>
  <c r="AJ30" i="4"/>
  <c r="U203" i="3"/>
  <c r="R390"/>
  <c r="T404" i="5"/>
  <c r="H35" i="4"/>
  <c r="O206" i="3"/>
  <c r="J394"/>
  <c r="D408" i="5"/>
  <c r="AJ35" i="4"/>
  <c r="W206" i="3"/>
  <c r="T394"/>
  <c r="H411" i="5"/>
  <c r="H36" i="4"/>
  <c r="E207" i="3"/>
  <c r="D395"/>
  <c r="K27" i="6"/>
  <c r="AJ40" i="4"/>
  <c r="Y209" i="3"/>
  <c r="V398"/>
  <c r="AG136" i="4"/>
  <c r="G54" i="7"/>
  <c r="P186" i="3"/>
  <c r="H59"/>
  <c r="H161" i="5"/>
  <c r="M13" i="3"/>
  <c r="T22"/>
  <c r="D35"/>
  <c r="M369"/>
  <c r="G27"/>
  <c r="J119" i="4"/>
  <c r="M410" i="3"/>
  <c r="J149"/>
  <c r="O21"/>
  <c r="J372"/>
  <c r="J194"/>
  <c r="F148"/>
  <c r="E204"/>
  <c r="G381"/>
  <c r="W99"/>
  <c r="D108" i="7"/>
  <c r="C385" i="3"/>
  <c r="N182" i="5"/>
  <c r="P265"/>
  <c r="A107"/>
  <c r="M57"/>
  <c r="P268" i="6"/>
  <c r="L256" i="5"/>
  <c r="Q97"/>
  <c r="I48"/>
  <c r="E397"/>
  <c r="A192" i="6"/>
  <c r="J203" i="5"/>
  <c r="N153"/>
  <c r="E391"/>
  <c r="A186" i="6"/>
  <c r="J197" i="5"/>
  <c r="N147"/>
  <c r="D152"/>
  <c r="H9" i="4"/>
  <c r="F70" i="3"/>
  <c r="H349" i="17"/>
  <c r="L8" i="5"/>
  <c r="B69" i="4"/>
  <c r="E308" i="3"/>
  <c r="G406" i="17"/>
  <c r="T8" i="5"/>
  <c r="J69" i="4"/>
  <c r="O308" i="3"/>
  <c r="D464" i="17"/>
  <c r="L12" i="5"/>
  <c r="A74" i="4"/>
  <c r="G312" i="3"/>
  <c r="C521" i="17"/>
  <c r="T12" i="5"/>
  <c r="I74" i="4"/>
  <c r="Q312" i="3"/>
  <c r="G652" i="17"/>
  <c r="H13" i="5"/>
  <c r="A75" i="4"/>
  <c r="C313" i="3"/>
  <c r="A653" i="17"/>
  <c r="T16" i="5"/>
  <c r="I79" i="4"/>
  <c r="U316" i="3"/>
  <c r="H115" i="17"/>
  <c r="G224" i="3"/>
  <c r="S246"/>
  <c r="I155"/>
  <c r="W415"/>
  <c r="X166"/>
  <c r="J34"/>
  <c r="O51"/>
  <c r="O78"/>
  <c r="H210" i="4"/>
  <c r="E405"/>
  <c r="N281" i="5"/>
  <c r="R120" i="6"/>
  <c r="S7" i="5"/>
  <c r="D161" i="4"/>
  <c r="S96" i="3"/>
  <c r="G230" i="4"/>
  <c r="K398" i="3"/>
  <c r="F382" i="17"/>
  <c r="G869"/>
  <c r="A62" i="7"/>
  <c r="M311" i="6"/>
  <c r="Q184"/>
  <c r="F196" i="5"/>
  <c r="J146"/>
  <c r="Q380"/>
  <c r="M175" i="6"/>
  <c r="B187" i="5"/>
  <c r="A104" i="16"/>
  <c r="Q89" i="6"/>
  <c r="B301" i="5"/>
  <c r="AI286" i="4"/>
  <c r="H544" i="17"/>
  <c r="Q83" i="6"/>
  <c r="B295" i="5"/>
  <c r="G279" i="4"/>
  <c r="H103" i="6"/>
  <c r="I243" i="4"/>
  <c r="Q333" i="3"/>
  <c r="I151"/>
  <c r="C165" i="6"/>
  <c r="D62" i="4"/>
  <c r="E223" i="3"/>
  <c r="N416"/>
  <c r="G168" i="6"/>
  <c r="AE62" i="4"/>
  <c r="M223" i="3"/>
  <c r="X416"/>
  <c r="C197" i="6"/>
  <c r="C67" i="4"/>
  <c r="G226" i="3"/>
  <c r="Y37"/>
  <c r="G200" i="6"/>
  <c r="AE67" i="4"/>
  <c r="O226" i="3"/>
  <c r="G38"/>
  <c r="K203" i="6"/>
  <c r="C68" i="4"/>
  <c r="W226" i="3"/>
  <c r="O38"/>
  <c r="A239" i="6"/>
  <c r="J72" i="4"/>
  <c r="Q229" i="3"/>
  <c r="I41"/>
  <c r="J153" i="4"/>
  <c r="B86" i="3"/>
  <c r="U289"/>
  <c r="M125"/>
  <c r="AJ377" i="4"/>
  <c r="I124" i="3"/>
  <c r="J45"/>
  <c r="Z70"/>
  <c r="L16"/>
  <c r="S226"/>
  <c r="H49" i="5"/>
  <c r="W9" i="3"/>
  <c r="J351"/>
  <c r="J105"/>
  <c r="Q100"/>
  <c r="X403"/>
  <c r="X330"/>
  <c r="I399"/>
  <c r="I35"/>
  <c r="Q18"/>
  <c r="H139" i="4"/>
  <c r="E343" i="5"/>
  <c r="J149"/>
  <c r="J219" i="4"/>
  <c r="L310" i="3"/>
  <c r="B175" i="12"/>
  <c r="A10" i="4"/>
  <c r="H183" i="12"/>
  <c r="D271" i="3"/>
  <c r="C388" i="4"/>
  <c r="Z238" i="3"/>
  <c r="D81" i="4"/>
  <c r="B48" i="6"/>
  <c r="M111" i="3"/>
  <c r="U68"/>
  <c r="D191"/>
  <c r="S33"/>
  <c r="V114"/>
  <c r="N359" i="5"/>
  <c r="A300" i="3"/>
  <c r="L180" i="5"/>
  <c r="T158" i="6"/>
  <c r="Q104"/>
  <c r="F116" i="5"/>
  <c r="J66"/>
  <c r="Q300"/>
  <c r="M95" i="6"/>
  <c r="B107" i="5"/>
  <c r="F16" i="14"/>
  <c r="Q9" i="6"/>
  <c r="R216"/>
  <c r="G212" i="5"/>
  <c r="I226" i="17"/>
  <c r="R416" i="5"/>
  <c r="R210" i="6"/>
  <c r="G206" i="5"/>
  <c r="B286"/>
  <c r="AJ140" i="4"/>
  <c r="C272" i="3"/>
  <c r="U83"/>
  <c r="Q160" i="6"/>
  <c r="AD199" i="4"/>
  <c r="Q161" i="3"/>
  <c r="L334"/>
  <c r="A164" i="6"/>
  <c r="B200" i="4"/>
  <c r="Y161" i="3"/>
  <c r="V334"/>
  <c r="Q192" i="6"/>
  <c r="J204" i="4"/>
  <c r="S164" i="3"/>
  <c r="N338"/>
  <c r="A196" i="6"/>
  <c r="B205" i="4"/>
  <c r="A165" i="3"/>
  <c r="Z338"/>
  <c r="E199" i="6"/>
  <c r="J205" i="4"/>
  <c r="I165" i="3"/>
  <c r="J339"/>
  <c r="A228" i="6"/>
  <c r="B210" i="4"/>
  <c r="C168" i="3"/>
  <c r="B343"/>
  <c r="H72" i="4"/>
  <c r="I78" i="3"/>
  <c r="W43"/>
  <c r="M8"/>
  <c r="A89" i="4"/>
  <c r="L164" i="3"/>
  <c r="I283"/>
  <c r="W348"/>
  <c r="P153"/>
  <c r="S402"/>
  <c r="L246" i="5"/>
  <c r="G386"/>
  <c r="A270" i="4"/>
  <c r="N95" i="5"/>
  <c r="J375" i="3"/>
  <c r="F151" i="5"/>
  <c r="S302" i="3"/>
  <c r="R85" i="5"/>
  <c r="H91" i="12"/>
  <c r="A207" i="13"/>
  <c r="K413" i="5"/>
  <c r="C395"/>
  <c r="N209" i="6"/>
  <c r="C205" i="5"/>
  <c r="H320" i="17"/>
  <c r="J406" i="5"/>
  <c r="J200" i="6"/>
  <c r="S195" i="5"/>
  <c r="B6" i="10"/>
  <c r="R97" i="6"/>
  <c r="S325" i="5"/>
  <c r="AI297" i="4"/>
  <c r="E236" i="7"/>
  <c r="R91" i="6"/>
  <c r="S319" i="5"/>
  <c r="H290" i="4"/>
  <c r="E134" i="5"/>
  <c r="C241" i="4"/>
  <c r="J353" i="3"/>
  <c r="W173"/>
  <c r="P164" i="5"/>
  <c r="F60" i="4"/>
  <c r="X242" i="3"/>
  <c r="A6" i="4"/>
  <c r="T167" i="5"/>
  <c r="AH60" i="4"/>
  <c r="F243" i="3"/>
  <c r="X54"/>
  <c r="P196" i="5"/>
  <c r="E65" i="4"/>
  <c r="Z245" i="3"/>
  <c r="R57"/>
  <c r="T199" i="5"/>
  <c r="AG65" i="4"/>
  <c r="H246" i="3"/>
  <c r="Z57"/>
  <c r="D203" i="5"/>
  <c r="E66" i="4"/>
  <c r="P246" i="3"/>
  <c r="H58"/>
  <c r="T231" i="5"/>
  <c r="AG70" i="4"/>
  <c r="J249" i="3"/>
  <c r="B61"/>
  <c r="S125"/>
  <c r="F349" i="4"/>
  <c r="K57" i="3"/>
  <c r="W16"/>
  <c r="E98"/>
  <c r="G59" i="4"/>
  <c r="AJ311"/>
  <c r="Y391" i="3"/>
  <c r="Y191"/>
  <c r="J76" i="4"/>
  <c r="Y272" i="3"/>
  <c r="G152" i="4"/>
  <c r="S97" i="5"/>
  <c r="C402" i="3"/>
  <c r="N39"/>
  <c r="J308" i="5"/>
  <c r="Y407" i="3"/>
  <c r="AE195" i="4"/>
  <c r="J31"/>
  <c r="X208" i="3"/>
  <c r="T313" i="5"/>
  <c r="J61" i="3"/>
  <c r="E365" i="6"/>
  <c r="I130"/>
  <c r="R141" i="5"/>
  <c r="B92"/>
  <c r="I326"/>
  <c r="E121" i="6"/>
  <c r="N132" i="5"/>
  <c r="M243"/>
  <c r="I38" i="6"/>
  <c r="R49" i="5"/>
  <c r="H155" i="20"/>
  <c r="M237" i="5"/>
  <c r="I32" i="6"/>
  <c r="R43" i="5"/>
  <c r="G172" i="17"/>
  <c r="A409" i="4"/>
  <c r="AG56"/>
  <c r="W297" i="3"/>
  <c r="P157" i="6"/>
  <c r="AH231" i="4"/>
  <c r="W338" i="3"/>
  <c r="H157"/>
  <c r="T160" i="6"/>
  <c r="F232" i="4"/>
  <c r="E339" i="3"/>
  <c r="R157"/>
  <c r="P189" i="6"/>
  <c r="AG236" i="4"/>
  <c r="Y341" i="3"/>
  <c r="V160"/>
  <c r="T192" i="6"/>
  <c r="E237" i="4"/>
  <c r="G342" i="3"/>
  <c r="E161"/>
  <c r="D196" i="6"/>
  <c r="AG237" i="4"/>
  <c r="O342" i="3"/>
  <c r="N161"/>
  <c r="T224" i="6"/>
  <c r="D242" i="4"/>
  <c r="I345" i="3"/>
  <c r="R164"/>
  <c r="S14" i="5"/>
  <c r="I239" i="3"/>
  <c r="O261"/>
  <c r="M100"/>
  <c r="J250" i="6"/>
  <c r="I20" i="3"/>
  <c r="U37"/>
  <c r="W12"/>
  <c r="I251"/>
  <c r="C113"/>
  <c r="E190" i="5"/>
  <c r="J355"/>
  <c r="J242"/>
  <c r="P91"/>
  <c r="T43" i="3"/>
  <c r="H147" i="5"/>
  <c r="N301" i="3"/>
  <c r="H19" i="19"/>
  <c r="H638" i="17"/>
  <c r="C123"/>
  <c r="F9"/>
  <c r="E31" i="6"/>
  <c r="N42" i="5"/>
  <c r="A960" i="17"/>
  <c r="Q223" i="6"/>
  <c r="Q49" i="5"/>
  <c r="F411" i="4"/>
  <c r="A141" i="6"/>
  <c r="F352" i="5"/>
  <c r="AJ349" i="4"/>
  <c r="O336" i="6"/>
  <c r="L345" i="5"/>
  <c r="A33" i="4"/>
  <c r="J196" i="3"/>
  <c r="AG382" i="4"/>
  <c r="AI25"/>
  <c r="K182" i="5"/>
  <c r="O101" i="3"/>
  <c r="H169" i="5"/>
  <c r="J77" i="3"/>
  <c r="I97" i="4"/>
  <c r="F204" i="6"/>
  <c r="G266" i="3"/>
  <c r="P173" i="5"/>
  <c r="S80" i="3"/>
  <c r="J72"/>
  <c r="U290"/>
  <c r="W241"/>
  <c r="L74" i="6"/>
  <c r="Y302" i="3"/>
  <c r="I328" i="5"/>
  <c r="M319"/>
  <c r="C56" i="17"/>
  <c r="C1" i="16"/>
  <c r="M331" i="5"/>
  <c r="Q322"/>
  <c r="D63" i="17"/>
  <c r="B9" i="16"/>
  <c r="Q334" i="5"/>
  <c r="A326"/>
  <c r="E70" i="17"/>
  <c r="B17" i="16"/>
  <c r="A338" i="5"/>
  <c r="E329"/>
  <c r="F77" i="17"/>
  <c r="B25" i="16"/>
  <c r="E341" i="5"/>
  <c r="I332"/>
  <c r="H27" i="17"/>
  <c r="A239" i="12"/>
  <c r="S256" i="6"/>
  <c r="A899" i="17"/>
  <c r="C134" i="12"/>
  <c r="A243"/>
  <c r="G257" i="6"/>
  <c r="O244"/>
  <c r="O24"/>
  <c r="L253" i="5"/>
  <c r="E229"/>
  <c r="K235" i="6"/>
  <c r="K15"/>
  <c r="H244" i="5"/>
  <c r="A220"/>
  <c r="B3" i="8"/>
  <c r="G6" i="6"/>
  <c r="E406" i="5"/>
  <c r="Q210"/>
  <c r="B7" i="8"/>
  <c r="F775" i="17"/>
  <c r="D9" i="19"/>
  <c r="D411" i="6"/>
  <c r="F432" i="17"/>
  <c r="B115" i="13"/>
  <c r="E13" i="12"/>
  <c r="C352" i="6"/>
  <c r="G383" i="17"/>
  <c r="B60" i="13"/>
  <c r="H29"/>
  <c r="C330" i="6"/>
  <c r="I923" i="17"/>
  <c r="C141" i="12"/>
  <c r="H30" i="13"/>
  <c r="C260" i="6"/>
  <c r="G930" i="17"/>
  <c r="C142" i="12"/>
  <c r="H38" i="13"/>
  <c r="K260" i="6"/>
  <c r="S247"/>
  <c r="S27"/>
  <c r="P256" i="5"/>
  <c r="I232"/>
  <c r="O238" i="6"/>
  <c r="O18"/>
  <c r="L247" i="5"/>
  <c r="E223"/>
  <c r="B31" i="9"/>
  <c r="K9" i="6"/>
  <c r="H238" i="5"/>
  <c r="A214"/>
  <c r="B39" i="9"/>
  <c r="H124" i="24"/>
  <c r="G223" i="12"/>
  <c r="H31" i="16"/>
  <c r="J251" i="5"/>
  <c r="G16" i="6"/>
  <c r="D245" i="5"/>
  <c r="Q220"/>
  <c r="B11" i="8"/>
  <c r="C7" i="6"/>
  <c r="M412" i="5"/>
  <c r="M211"/>
  <c r="H147" i="6"/>
  <c r="H128"/>
  <c r="B378" i="4"/>
  <c r="E317"/>
  <c r="H141" i="6"/>
  <c r="H122"/>
  <c r="J370" i="4"/>
  <c r="AI309"/>
  <c r="G315"/>
  <c r="G211"/>
  <c r="V210" i="3"/>
  <c r="X119"/>
  <c r="P171" i="5"/>
  <c r="AH33" i="4"/>
  <c r="H85" i="3"/>
  <c r="W273"/>
  <c r="D172" i="5"/>
  <c r="F34" i="4"/>
  <c r="P85" i="3"/>
  <c r="O275"/>
  <c r="P175" i="5"/>
  <c r="AH38" i="4"/>
  <c r="J88" i="3"/>
  <c r="I290"/>
  <c r="D176" i="5"/>
  <c r="F39" i="4"/>
  <c r="R88" i="3"/>
  <c r="Y291"/>
  <c r="L176" i="5"/>
  <c r="AH39" i="4"/>
  <c r="Z88" i="3"/>
  <c r="O293"/>
  <c r="D180" i="5"/>
  <c r="E44" i="4"/>
  <c r="T91" i="3"/>
  <c r="I308"/>
  <c r="U248"/>
  <c r="K269"/>
  <c r="R259"/>
  <c r="T329"/>
  <c r="G199"/>
  <c r="T39"/>
  <c r="Y59"/>
  <c r="Z325"/>
  <c r="J199" i="4"/>
  <c r="K21" i="5"/>
  <c r="P47" i="6"/>
  <c r="L282" i="5"/>
  <c r="I15"/>
  <c r="AI375" i="4"/>
  <c r="L324" i="3"/>
  <c r="N250" i="5"/>
  <c r="W130" i="3"/>
  <c r="E46" i="13"/>
  <c r="F386" i="6"/>
  <c r="M301"/>
  <c r="E340" i="5"/>
  <c r="H172" i="6"/>
  <c r="I17" i="5"/>
  <c r="F371" i="4"/>
  <c r="D182" i="6"/>
  <c r="D163"/>
  <c r="E8" i="5"/>
  <c r="AI359" i="4"/>
  <c r="M307" i="5"/>
  <c r="I102" i="6"/>
  <c r="R113" i="5"/>
  <c r="B64"/>
  <c r="M301"/>
  <c r="I96" i="6"/>
  <c r="R107" i="5"/>
  <c r="B58"/>
  <c r="L62"/>
  <c r="AJ135" i="4"/>
  <c r="O363" i="3"/>
  <c r="F286" i="6"/>
  <c r="B311" i="4"/>
  <c r="C388" i="3"/>
  <c r="G216"/>
  <c r="F302" i="6"/>
  <c r="J311" i="4"/>
  <c r="K388" i="3"/>
  <c r="Q216"/>
  <c r="E340" i="6"/>
  <c r="AJ315" i="4"/>
  <c r="E391" i="3"/>
  <c r="I220"/>
  <c r="J375" i="6"/>
  <c r="H316" i="4"/>
  <c r="M391" i="3"/>
  <c r="U220"/>
  <c r="B33" i="7"/>
  <c r="AJ316" i="4"/>
  <c r="U391" i="3"/>
  <c r="E221"/>
  <c r="B206" i="7"/>
  <c r="G321" i="4"/>
  <c r="O394" i="3"/>
  <c r="W224"/>
  <c r="A411" i="5"/>
  <c r="W21" i="3"/>
  <c r="B26"/>
  <c r="E23"/>
  <c r="Z128"/>
  <c r="N7"/>
  <c r="W200"/>
  <c r="K266"/>
  <c r="B144"/>
  <c r="H210"/>
  <c r="C217" i="5"/>
  <c r="A256"/>
  <c r="G228" i="6"/>
  <c r="M194" i="5"/>
  <c r="H392" i="4"/>
  <c r="W166" i="3"/>
  <c r="S249" i="5"/>
  <c r="S268" i="3"/>
  <c r="D106" i="13"/>
  <c r="B69" i="7"/>
  <c r="E327" i="6"/>
  <c r="A268" i="4"/>
  <c r="L175" i="6"/>
  <c r="M20" i="5"/>
  <c r="F375" i="4"/>
  <c r="H185" i="6"/>
  <c r="H166"/>
  <c r="I11" i="5"/>
  <c r="AH363" i="4"/>
  <c r="Q310" i="5"/>
  <c r="M105" i="6"/>
  <c r="B117" i="5"/>
  <c r="F67"/>
  <c r="Q304"/>
  <c r="M99" i="6"/>
  <c r="B111" i="5"/>
  <c r="F61"/>
  <c r="P65"/>
  <c r="AJ139" i="4"/>
  <c r="U366" i="3"/>
  <c r="A289" i="6"/>
  <c r="C33" i="23"/>
  <c r="F287" i="17"/>
  <c r="F435"/>
  <c r="D290" i="6"/>
  <c r="F499" i="17"/>
  <c r="T318" i="6"/>
  <c r="G506" i="17"/>
  <c r="D322" i="6"/>
  <c r="H513" i="17"/>
  <c r="H325" i="6"/>
  <c r="E86" i="16"/>
  <c r="D29" i="13"/>
  <c r="H110" i="6"/>
  <c r="T91"/>
  <c r="A5" i="17"/>
  <c r="D37" i="13"/>
  <c r="L113" i="6"/>
  <c r="D95"/>
  <c r="E33" i="17"/>
  <c r="D45" i="13"/>
  <c r="P116" i="6"/>
  <c r="H98"/>
  <c r="I61" i="17"/>
  <c r="D53" i="13"/>
  <c r="T119" i="6"/>
  <c r="L101"/>
  <c r="E100" i="17"/>
  <c r="D61" i="13"/>
  <c r="D123" i="6"/>
  <c r="P104"/>
  <c r="A25" i="15"/>
  <c r="D5" i="13"/>
  <c r="A164" i="7"/>
  <c r="I953" i="17"/>
  <c r="C216"/>
  <c r="C118"/>
  <c r="A165" i="7"/>
  <c r="E99" i="13"/>
  <c r="R276" i="5"/>
  <c r="R70" i="6"/>
  <c r="G66" i="5"/>
  <c r="F171" i="12"/>
  <c r="N267" i="5"/>
  <c r="N61" i="6"/>
  <c r="C57" i="5"/>
  <c r="E115" i="16"/>
  <c r="J258" i="5"/>
  <c r="J52" i="6"/>
  <c r="S47" i="5"/>
  <c r="H30" i="17"/>
  <c r="R258" i="5"/>
  <c r="D31" i="17"/>
  <c r="B5" i="16"/>
  <c r="F850" i="17"/>
  <c r="D78" i="16"/>
  <c r="G19" i="13"/>
  <c r="A373" i="6"/>
  <c r="I912" i="17"/>
  <c r="D23" i="16"/>
  <c r="H220" i="12"/>
  <c r="G35" i="9"/>
  <c r="E244" i="17"/>
  <c r="F224"/>
  <c r="A168"/>
  <c r="A172" i="7"/>
  <c r="F251" i="17"/>
  <c r="G225"/>
  <c r="B175"/>
  <c r="A173" i="7"/>
  <c r="E163" i="13"/>
  <c r="B280" i="5"/>
  <c r="B74" i="6"/>
  <c r="K69" i="5"/>
  <c r="F235" i="12"/>
  <c r="R270" i="5"/>
  <c r="R64" i="6"/>
  <c r="G60" i="5"/>
  <c r="F51" i="12"/>
  <c r="N261" i="5"/>
  <c r="N55" i="6"/>
  <c r="C51" i="5"/>
  <c r="F59" i="12"/>
  <c r="B262" i="5"/>
  <c r="E34" i="9"/>
  <c r="G116" i="7"/>
  <c r="R63" i="5"/>
  <c r="J45"/>
  <c r="J62" i="6"/>
  <c r="S57" i="5"/>
  <c r="C59" i="17"/>
  <c r="F259" i="5"/>
  <c r="F53" i="6"/>
  <c r="O48" i="5"/>
  <c r="C245" i="7"/>
  <c r="O363" i="5"/>
  <c r="S174" i="6"/>
  <c r="H154" i="5"/>
  <c r="G394" i="6"/>
  <c r="O357" i="5"/>
  <c r="S168" i="6"/>
  <c r="H148" i="5"/>
  <c r="T135"/>
  <c r="AJ55" i="4"/>
  <c r="D240" i="3"/>
  <c r="N414"/>
  <c r="N45" i="5"/>
  <c r="AI114" i="4"/>
  <c r="S327" i="3"/>
  <c r="H267"/>
  <c r="N47" i="5"/>
  <c r="G115" i="4"/>
  <c r="E328" i="3"/>
  <c r="R267"/>
  <c r="N61" i="5"/>
  <c r="AH119" i="4"/>
  <c r="W331" i="3"/>
  <c r="J271"/>
  <c r="N63" i="5"/>
  <c r="F120" i="4"/>
  <c r="G332" i="3"/>
  <c r="T271"/>
  <c r="R64" i="5"/>
  <c r="AH120" i="4"/>
  <c r="Q332" i="3"/>
  <c r="F272"/>
  <c r="N79" i="5"/>
  <c r="E125" i="4"/>
  <c r="I336" i="3"/>
  <c r="X275"/>
  <c r="G292"/>
  <c r="AG92" i="4"/>
  <c r="W20" i="3"/>
  <c r="P24"/>
  <c r="Q111"/>
  <c r="Q281"/>
  <c r="C80" i="4"/>
  <c r="Z8" i="3"/>
  <c r="I232"/>
  <c r="E196" i="12"/>
  <c r="A139" i="5"/>
  <c r="M131"/>
  <c r="D263" i="6"/>
  <c r="S296" i="3"/>
  <c r="D212" i="6"/>
  <c r="B244" i="4"/>
  <c r="F252" i="6"/>
  <c r="AH150" i="4"/>
  <c r="B60" i="20"/>
  <c r="E308" i="17"/>
  <c r="E43" i="13"/>
  <c r="F123" i="12"/>
  <c r="S218" i="6"/>
  <c r="H198" i="5"/>
  <c r="A158" i="7"/>
  <c r="K398" i="5"/>
  <c r="O209" i="6"/>
  <c r="D189" i="5"/>
  <c r="O326" i="6"/>
  <c r="O106"/>
  <c r="L335" i="5"/>
  <c r="A289" i="4"/>
  <c r="O320" i="6"/>
  <c r="O100"/>
  <c r="L329" i="5"/>
  <c r="I281" i="4"/>
  <c r="H308"/>
  <c r="A216"/>
  <c r="S215" i="3"/>
  <c r="H161"/>
  <c r="C166" i="5"/>
  <c r="AF38" i="4"/>
  <c r="Y88" i="3"/>
  <c r="V356"/>
  <c r="K166" i="5"/>
  <c r="D39" i="4"/>
  <c r="G89" i="3"/>
  <c r="F357"/>
  <c r="C170" i="5"/>
  <c r="AE43" i="4"/>
  <c r="A92" i="3"/>
  <c r="X360"/>
  <c r="K170" i="5"/>
  <c r="C44" i="4"/>
  <c r="I92" i="3"/>
  <c r="H361"/>
  <c r="S170" i="5"/>
  <c r="AE44" i="4"/>
  <c r="Q92" i="3"/>
  <c r="T361"/>
  <c r="K174" i="5"/>
  <c r="B49" i="4"/>
  <c r="K95" i="3"/>
  <c r="L365"/>
  <c r="A30"/>
  <c r="A327"/>
  <c r="P183" i="5"/>
  <c r="X134" i="3"/>
  <c r="L20"/>
  <c r="L114"/>
  <c r="K297"/>
  <c r="AE416" i="4"/>
  <c r="U18" i="3"/>
  <c r="A874" i="17"/>
  <c r="Q269" i="5"/>
  <c r="B383" i="4"/>
  <c r="D201" i="7"/>
  <c r="AI32" i="4"/>
  <c r="W18" i="3"/>
  <c r="AE113" i="4"/>
  <c r="N44" i="3"/>
  <c r="AJ71" i="4"/>
  <c r="B75" i="20"/>
  <c r="A641" i="17"/>
  <c r="D103" i="13"/>
  <c r="E183" i="12"/>
  <c r="C222" i="6"/>
  <c r="L201" i="5"/>
  <c r="A222" i="7"/>
  <c r="O401" i="5"/>
  <c r="S212" i="6"/>
  <c r="H192" i="5"/>
  <c r="S329" i="6"/>
  <c r="S109"/>
  <c r="P338" i="5"/>
  <c r="AJ292" i="4"/>
  <c r="S323" i="6"/>
  <c r="S103"/>
  <c r="P332" i="5"/>
  <c r="I285" i="4"/>
  <c r="H312"/>
  <c r="A220"/>
  <c r="A219" i="3"/>
  <c r="D164"/>
  <c r="F79" i="20"/>
  <c r="H158" i="23"/>
  <c r="F94"/>
  <c r="G295" i="17"/>
  <c r="D604"/>
  <c r="G359"/>
  <c r="C661"/>
  <c r="H366"/>
  <c r="B718"/>
  <c r="I373"/>
  <c r="H852"/>
  <c r="G4" i="12"/>
  <c r="C3" i="9"/>
  <c r="A151" i="5"/>
  <c r="C267" i="17"/>
  <c r="G12" i="12"/>
  <c r="C11" i="9"/>
  <c r="E154" i="5"/>
  <c r="B324" i="17"/>
  <c r="G20" i="12"/>
  <c r="C19" i="9"/>
  <c r="I157" i="5"/>
  <c r="A381" i="17"/>
  <c r="G28" i="12"/>
  <c r="C27" i="9"/>
  <c r="M160" i="5"/>
  <c r="I437" i="17"/>
  <c r="G36" i="12"/>
  <c r="C35" i="9"/>
  <c r="Q163" i="5"/>
  <c r="F457" i="17"/>
  <c r="H32" i="9"/>
  <c r="F227" i="7"/>
  <c r="I307" i="6"/>
  <c r="H480" i="17"/>
  <c r="E198" i="12"/>
  <c r="F228" i="7"/>
  <c r="Q307" i="6"/>
  <c r="D94"/>
  <c r="D75"/>
  <c r="AE312" i="4"/>
  <c r="G251"/>
  <c r="T84" i="6"/>
  <c r="T65"/>
  <c r="D301" i="4"/>
  <c r="E360" i="5"/>
  <c r="P75" i="6"/>
  <c r="P56"/>
  <c r="AH289" i="4"/>
  <c r="M286" i="5"/>
  <c r="D76" i="6"/>
  <c r="F245" i="23"/>
  <c r="D185" i="13"/>
  <c r="B36" i="9"/>
  <c r="A89" i="17"/>
  <c r="D179" i="13"/>
  <c r="N397" i="6"/>
  <c r="D107" i="7"/>
  <c r="B40" i="17"/>
  <c r="D124" i="13"/>
  <c r="N375" i="6"/>
  <c r="B405"/>
  <c r="F530" i="17"/>
  <c r="E205" i="12"/>
  <c r="F235" i="7"/>
  <c r="M310" i="6"/>
  <c r="G537" i="17"/>
  <c r="E206" i="12"/>
  <c r="F236" i="7"/>
  <c r="A311" i="6"/>
  <c r="H97"/>
  <c r="H78"/>
  <c r="I316" i="4"/>
  <c r="F255"/>
  <c r="D88" i="6"/>
  <c r="D69"/>
  <c r="D305" i="4"/>
  <c r="Q385" i="5"/>
  <c r="T78" i="6"/>
  <c r="T59"/>
  <c r="AG293" i="4"/>
  <c r="E312" i="5"/>
  <c r="H79" i="6"/>
  <c r="F416"/>
  <c r="M332"/>
  <c r="A263"/>
  <c r="N209" i="5"/>
  <c r="P66" i="6"/>
  <c r="D302" i="4"/>
  <c r="M366" i="5"/>
  <c r="L76" i="6"/>
  <c r="L57"/>
  <c r="AH290" i="4"/>
  <c r="D823" i="17"/>
  <c r="M198" i="6"/>
  <c r="R409" i="5"/>
  <c r="F8"/>
  <c r="B514" i="17"/>
  <c r="M192" i="6"/>
  <c r="R403" i="5"/>
  <c r="I413" i="4"/>
  <c r="H75" i="13"/>
  <c r="AE357" i="4"/>
  <c r="I417" i="3"/>
  <c r="G255"/>
  <c r="A238" i="5"/>
  <c r="AD196" i="4"/>
  <c r="W306" i="3"/>
  <c r="T120"/>
  <c r="E241" i="5"/>
  <c r="B197" i="4"/>
  <c r="E307" i="3"/>
  <c r="C121"/>
  <c r="A270" i="5"/>
  <c r="I201" i="4"/>
  <c r="Y309" i="3"/>
  <c r="G124"/>
  <c r="E273" i="5"/>
  <c r="A202" i="4"/>
  <c r="G310" i="3"/>
  <c r="P124"/>
  <c r="I276" i="5"/>
  <c r="I202" i="4"/>
  <c r="O310" i="3"/>
  <c r="Y124"/>
  <c r="E305" i="5"/>
  <c r="A207" i="4"/>
  <c r="I313" i="3"/>
  <c r="D128"/>
  <c r="T74" i="5"/>
  <c r="K89" i="3"/>
  <c r="D106"/>
  <c r="L32"/>
  <c r="N362" i="5"/>
  <c r="P25" i="3"/>
  <c r="W412"/>
  <c r="L17"/>
  <c r="E274"/>
  <c r="X122"/>
  <c r="C212" i="6"/>
  <c r="H237" i="5"/>
  <c r="M72"/>
  <c r="N179"/>
  <c r="AJ124" i="4"/>
  <c r="B98" i="3"/>
  <c r="I194" i="4"/>
  <c r="R123" i="3"/>
  <c r="C86" i="16"/>
  <c r="G232" i="17"/>
  <c r="A75" i="6"/>
  <c r="M56"/>
  <c r="Q40"/>
  <c r="F52" i="5"/>
  <c r="H27" i="20"/>
  <c r="Q236" i="5"/>
  <c r="M31" i="6"/>
  <c r="B43" i="5"/>
  <c r="B110" i="20"/>
  <c r="R358" i="5"/>
  <c r="R152" i="6"/>
  <c r="G148" i="5"/>
  <c r="B207" i="13"/>
  <c r="R352" i="5"/>
  <c r="R146" i="6"/>
  <c r="G142" i="5"/>
  <c r="S161" i="6"/>
  <c r="AF61" i="4"/>
  <c r="W222" i="3"/>
  <c r="B416"/>
  <c r="N57" i="6"/>
  <c r="AF120" i="4"/>
  <c r="K112" i="3"/>
  <c r="V268"/>
  <c r="R60" i="6"/>
  <c r="D121" i="4"/>
  <c r="S112" i="3"/>
  <c r="F269"/>
  <c r="N89" i="6"/>
  <c r="AE125" i="4"/>
  <c r="M115" i="3"/>
  <c r="X272"/>
  <c r="R92" i="6"/>
  <c r="C126" i="4"/>
  <c r="U115" i="3"/>
  <c r="H273"/>
  <c r="B96" i="6"/>
  <c r="AE126" i="4"/>
  <c r="C116" i="3"/>
  <c r="T273"/>
  <c r="R124" i="6"/>
  <c r="B131" i="4"/>
  <c r="W118" i="3"/>
  <c r="L277"/>
  <c r="S212"/>
  <c r="K31"/>
  <c r="A344"/>
  <c r="O173"/>
  <c r="G165" i="4"/>
  <c r="F388" i="5"/>
  <c r="L65" i="3"/>
  <c r="I102"/>
  <c r="Y26"/>
  <c r="U46"/>
  <c r="H140" i="6"/>
  <c r="Q50"/>
  <c r="H380" i="5"/>
  <c r="AH368" i="4"/>
  <c r="J109"/>
  <c r="X316" i="3"/>
  <c r="E131" i="4"/>
  <c r="D295" i="3"/>
  <c r="C33" i="17"/>
  <c r="G668"/>
  <c r="M100" i="6"/>
  <c r="E82"/>
  <c r="A44"/>
  <c r="J55" i="5"/>
  <c r="G31" i="20"/>
  <c r="A240" i="5"/>
  <c r="Q34" i="6"/>
  <c r="F46" i="5"/>
  <c r="G18" i="16"/>
  <c r="B362" i="5"/>
  <c r="B156" i="6"/>
  <c r="K151" i="5"/>
  <c r="I21" i="17"/>
  <c r="B356" i="5"/>
  <c r="B150" i="6"/>
  <c r="K145" i="5"/>
  <c r="K187" i="6"/>
  <c r="AE65" i="4"/>
  <c r="I225" i="3"/>
  <c r="A37"/>
  <c r="C236" i="20"/>
  <c r="E932" i="17"/>
  <c r="I578"/>
  <c r="G350"/>
  <c r="I834"/>
  <c r="G414"/>
  <c r="E288"/>
  <c r="H421"/>
  <c r="F295"/>
  <c r="I428"/>
  <c r="G302"/>
  <c r="A59" i="12"/>
  <c r="G10" i="10"/>
  <c r="T339" i="5"/>
  <c r="L321"/>
  <c r="E70" i="12"/>
  <c r="F4" i="11"/>
  <c r="D343" i="5"/>
  <c r="P324"/>
  <c r="D83" i="12"/>
  <c r="E7"/>
  <c r="H346" i="5"/>
  <c r="T327"/>
  <c r="B96" i="12"/>
  <c r="E15"/>
  <c r="L349" i="5"/>
  <c r="D331"/>
  <c r="A109" i="12"/>
  <c r="E23"/>
  <c r="P352" i="5"/>
  <c r="H334"/>
  <c r="D32" i="12"/>
  <c r="A292" i="7"/>
  <c r="K117" i="5"/>
  <c r="C99"/>
  <c r="H19" i="7"/>
  <c r="H8" i="8"/>
  <c r="O120" i="5"/>
  <c r="G102"/>
  <c r="C109"/>
  <c r="L205"/>
  <c r="F91" i="3"/>
  <c r="F320"/>
  <c r="H324"/>
  <c r="J328"/>
  <c r="U54"/>
  <c r="I114" i="4"/>
  <c r="A321" i="5"/>
  <c r="B352" i="4"/>
  <c r="T207" i="3"/>
  <c r="T409"/>
  <c r="V413"/>
  <c r="X417"/>
  <c r="D209" i="6"/>
  <c r="G19" i="4"/>
  <c r="M346" i="5"/>
  <c r="AI355" i="4"/>
  <c r="B211" i="3"/>
  <c r="J251" i="4"/>
  <c r="E351" i="3"/>
  <c r="J171"/>
  <c r="T285" i="6"/>
  <c r="B252" i="4"/>
  <c r="M351" i="3"/>
  <c r="S171"/>
  <c r="P314" i="6"/>
  <c r="I256" i="4"/>
  <c r="G354" i="3"/>
  <c r="X174"/>
  <c r="T317" i="6"/>
  <c r="A257" i="4"/>
  <c r="O354" i="3"/>
  <c r="G175"/>
  <c r="D321" i="6"/>
  <c r="I257" i="4"/>
  <c r="W354" i="3"/>
  <c r="P175"/>
  <c r="T349" i="6"/>
  <c r="AI261" i="4"/>
  <c r="Q357" i="3"/>
  <c r="T178"/>
  <c r="S142" i="5"/>
  <c r="Y304" i="3"/>
  <c r="G327"/>
  <c r="I156"/>
  <c r="L19"/>
  <c r="T77"/>
  <c r="C57"/>
  <c r="T89"/>
  <c r="M105"/>
  <c r="J302"/>
  <c r="D363" i="17"/>
  <c r="R131" i="3"/>
  <c r="E16" i="4"/>
  <c r="M190" i="3"/>
  <c r="X386"/>
  <c r="H1" i="8"/>
  <c r="A324" i="4"/>
  <c r="E301"/>
  <c r="G18" i="7"/>
  <c r="G9" i="8"/>
  <c r="AJ327" i="4"/>
  <c r="E305"/>
  <c r="AE313"/>
  <c r="C17" i="5"/>
  <c r="N281" i="3"/>
  <c r="Q143"/>
  <c r="D147"/>
  <c r="R150"/>
  <c r="S193"/>
  <c r="T18" i="5"/>
  <c r="C61"/>
  <c r="L157"/>
  <c r="V417" i="3"/>
  <c r="Z270"/>
  <c r="B275"/>
  <c r="D279"/>
  <c r="L11"/>
  <c r="J339" i="4"/>
  <c r="G64" i="5"/>
  <c r="P160"/>
  <c r="T56" i="3"/>
  <c r="E283" i="4"/>
  <c r="W370" i="3"/>
  <c r="W193"/>
  <c r="S285" i="6"/>
  <c r="AG283" i="4"/>
  <c r="E371" i="3"/>
  <c r="F194"/>
  <c r="O314" i="6"/>
  <c r="E288" i="4"/>
  <c r="Y373" i="3"/>
  <c r="K197"/>
  <c r="S317" i="6"/>
  <c r="AG288" i="4"/>
  <c r="G374" i="3"/>
  <c r="U197"/>
  <c r="C321" i="6"/>
  <c r="E289" i="4"/>
  <c r="O374" i="3"/>
  <c r="E198"/>
  <c r="S349" i="6"/>
  <c r="AF293" i="4"/>
  <c r="I377" i="3"/>
  <c r="W201"/>
  <c r="A355" i="4"/>
  <c r="A410" i="3"/>
  <c r="V8"/>
  <c r="M254"/>
  <c r="S342"/>
  <c r="C321"/>
  <c r="P121"/>
  <c r="U177"/>
  <c r="F300"/>
  <c r="E225"/>
  <c r="R108" i="5"/>
  <c r="N304" i="3"/>
  <c r="D206" i="4"/>
  <c r="V346" i="3"/>
  <c r="Y189"/>
  <c r="G292" i="7"/>
  <c r="F134" i="5"/>
  <c r="R115"/>
  <c r="F17" i="7"/>
  <c r="F8" i="8"/>
  <c r="J137" i="5"/>
  <c r="B119"/>
  <c r="R125"/>
  <c r="S221"/>
  <c r="E91" i="3"/>
  <c r="R344"/>
  <c r="V348"/>
  <c r="X352"/>
  <c r="G388"/>
  <c r="E39" i="6"/>
  <c r="D254" i="4"/>
  <c r="AF372"/>
  <c r="H232" i="3"/>
  <c r="R101"/>
  <c r="Y104"/>
  <c r="M108"/>
  <c r="H54"/>
  <c r="J38" i="6"/>
  <c r="C258" i="4"/>
  <c r="AF376"/>
  <c r="P235" i="3"/>
  <c r="AJ314" i="4"/>
  <c r="O390" i="3"/>
  <c r="O219"/>
  <c r="M314" i="6"/>
  <c r="H315" i="4"/>
  <c r="W390" i="3"/>
  <c r="Y219"/>
  <c r="L340" i="6"/>
  <c r="AI319" i="4"/>
  <c r="Q393" i="3"/>
  <c r="Q223"/>
  <c r="A376" i="6"/>
  <c r="G320" i="4"/>
  <c r="Y393" i="3"/>
  <c r="A224"/>
  <c r="C35" i="7"/>
  <c r="AI320" i="4"/>
  <c r="G394" i="3"/>
  <c r="M224"/>
  <c r="C208" i="7"/>
  <c r="G325" i="4"/>
  <c r="A397" i="3"/>
  <c r="E228"/>
  <c r="T55" i="5"/>
  <c r="I24" i="3"/>
  <c r="N28"/>
  <c r="A33"/>
  <c r="G185"/>
  <c r="D10"/>
  <c r="A214"/>
  <c r="O279"/>
  <c r="P166"/>
  <c r="Z229"/>
  <c r="F376" i="4"/>
  <c r="S88" i="3"/>
  <c r="H191" i="4"/>
  <c r="Z143" i="3"/>
  <c r="C308"/>
  <c r="F291" i="7"/>
  <c r="A344" i="4"/>
  <c r="H321"/>
  <c r="E16" i="7"/>
  <c r="E7" i="8"/>
  <c r="AI347" i="4"/>
  <c r="H325"/>
  <c r="AG333"/>
  <c r="R33" i="5"/>
  <c r="M281" i="3"/>
  <c r="P143"/>
  <c r="C147"/>
  <c r="Q150"/>
  <c r="T37"/>
  <c r="D238"/>
  <c r="R77" i="5"/>
  <c r="S173"/>
  <c r="G54" i="3"/>
  <c r="L295"/>
  <c r="P299"/>
  <c r="R303"/>
  <c r="F192"/>
  <c r="T96"/>
  <c r="B81" i="5"/>
  <c r="C177"/>
  <c r="S56" i="3"/>
  <c r="F346" i="4"/>
  <c r="G410" i="3"/>
  <c r="U245"/>
  <c r="F245" i="7"/>
  <c r="AH346" i="4"/>
  <c r="O410" i="3"/>
  <c r="E246"/>
  <c r="D16" i="8"/>
  <c r="F351" i="4"/>
  <c r="I413" i="3"/>
  <c r="W249"/>
  <c r="A6" i="9"/>
  <c r="AH351" i="4"/>
  <c r="Q413" i="3"/>
  <c r="I250"/>
  <c r="H3" i="9"/>
  <c r="F352" i="4"/>
  <c r="Y413" i="3"/>
  <c r="S250"/>
  <c r="D12" i="12"/>
  <c r="AE356" i="4"/>
  <c r="S416" i="3"/>
  <c r="K254"/>
  <c r="K76" i="6"/>
  <c r="W47" i="3"/>
  <c r="P54"/>
  <c r="H36"/>
  <c r="M73"/>
  <c r="H32"/>
  <c r="A319"/>
  <c r="O384"/>
  <c r="L371"/>
  <c r="N387"/>
  <c r="I202" i="5"/>
  <c r="S225" i="3"/>
  <c r="A145" i="4"/>
  <c r="P292" i="3"/>
  <c r="AE114" i="4"/>
  <c r="E290" i="7"/>
  <c r="M150" i="5"/>
  <c r="E132"/>
  <c r="E44" i="12"/>
  <c r="D6" i="8"/>
  <c r="Q153" i="5"/>
  <c r="I135"/>
  <c r="E142"/>
  <c r="Q243"/>
  <c r="H97" i="3"/>
  <c r="Q344"/>
  <c r="U348"/>
  <c r="W352"/>
  <c r="Y140"/>
  <c r="Z296"/>
  <c r="F274" i="4"/>
  <c r="F393"/>
  <c r="G232" i="3"/>
  <c r="Q101"/>
  <c r="X104"/>
  <c r="L108"/>
  <c r="I386"/>
  <c r="Q126"/>
  <c r="F278" i="4"/>
  <c r="E397"/>
  <c r="O235" i="3"/>
  <c r="A378" i="4"/>
  <c r="H25"/>
  <c r="A272" i="3"/>
  <c r="E215" i="12"/>
  <c r="I378" i="4"/>
  <c r="AJ25"/>
  <c r="M272" i="3"/>
  <c r="C86" i="13"/>
  <c r="AH382" i="4"/>
  <c r="H30"/>
  <c r="E276" i="3"/>
  <c r="C150" i="13"/>
  <c r="F383" i="4"/>
  <c r="AI30"/>
  <c r="O276" i="3"/>
  <c r="D219" i="13"/>
  <c r="AH383" i="4"/>
  <c r="G31"/>
  <c r="Y276" i="3"/>
  <c r="D50" i="17"/>
  <c r="D388" i="4"/>
  <c r="AI35"/>
  <c r="Q280" i="3"/>
  <c r="G265" i="5"/>
  <c r="M97" i="3"/>
  <c r="X115"/>
  <c r="H208"/>
  <c r="K18"/>
  <c r="Q63"/>
  <c r="D7"/>
  <c r="G19"/>
  <c r="P187"/>
  <c r="Q249"/>
  <c r="P48" i="5"/>
  <c r="G383" i="3"/>
  <c r="F98" i="4"/>
  <c r="C60" i="3"/>
  <c r="G20" i="4"/>
  <c r="H101" i="13"/>
  <c r="H330" i="5"/>
  <c r="T311"/>
  <c r="G40" i="12"/>
  <c r="H165" i="13"/>
  <c r="L333" i="5"/>
  <c r="D315"/>
  <c r="T321"/>
  <c r="E50"/>
  <c r="P289" i="3"/>
  <c r="P150"/>
  <c r="C154"/>
  <c r="P157"/>
  <c r="C6"/>
  <c r="K324"/>
  <c r="E94" i="5"/>
  <c r="N190"/>
  <c r="J60" i="3"/>
  <c r="K295"/>
  <c r="O299"/>
  <c r="Q303"/>
  <c r="W36"/>
  <c r="D109" i="4"/>
  <c r="I97" i="5"/>
  <c r="R193"/>
  <c r="V62" i="3"/>
  <c r="I409" i="4"/>
  <c r="E57"/>
  <c r="I298" i="3"/>
  <c r="I746" i="17"/>
  <c r="A410" i="4"/>
  <c r="AG57"/>
  <c r="S298" i="3"/>
  <c r="E370" i="17"/>
  <c r="F414" i="4"/>
  <c r="C62"/>
  <c r="K302" i="3"/>
  <c r="D427" i="17"/>
  <c r="AH414" i="4"/>
  <c r="AD62"/>
  <c r="U302" i="3"/>
  <c r="C484" i="17"/>
  <c r="F415" i="4"/>
  <c r="B63"/>
  <c r="G303" i="3"/>
  <c r="F653" i="17"/>
  <c r="H7" i="5"/>
  <c r="J67" i="4"/>
  <c r="Y306" i="3"/>
  <c r="B292" i="7"/>
  <c r="R186" i="3"/>
  <c r="I207"/>
  <c r="C6" i="4"/>
  <c r="I258" i="3"/>
  <c r="D133"/>
  <c r="Z26"/>
  <c r="E40"/>
  <c r="Z395"/>
  <c r="AE115" i="4"/>
  <c r="G333"/>
  <c r="Q138" i="3"/>
  <c r="AG271" i="4"/>
  <c r="Y188" i="3"/>
  <c r="AG21" i="4"/>
  <c r="H50" i="13"/>
  <c r="O121" i="6"/>
  <c r="G103"/>
  <c r="G43" i="12"/>
  <c r="H114" i="13"/>
  <c r="S124" i="6"/>
  <c r="K106"/>
  <c r="G113"/>
  <c r="M364" i="5"/>
  <c r="H120" i="3"/>
  <c r="V352"/>
  <c r="X356"/>
  <c r="Z360"/>
  <c r="C235"/>
  <c r="C128" i="4"/>
  <c r="T273" i="5"/>
  <c r="H413" i="4"/>
  <c r="J240" i="3"/>
  <c r="J108"/>
  <c r="X111"/>
  <c r="K115"/>
  <c r="B138"/>
  <c r="AE176" i="4"/>
  <c r="D277" i="5"/>
  <c r="G417" i="4"/>
  <c r="R243" i="3"/>
  <c r="L24" i="5"/>
  <c r="AJ88" i="4"/>
  <c r="O324" i="3"/>
  <c r="G315"/>
  <c r="T24" i="5"/>
  <c r="H89" i="4"/>
  <c r="Y324" i="3"/>
  <c r="W316"/>
  <c r="L28" i="5"/>
  <c r="AI93" i="4"/>
  <c r="Q328" i="3"/>
  <c r="Q331"/>
  <c r="T28" i="5"/>
  <c r="G94" i="4"/>
  <c r="C329" i="3"/>
  <c r="G333"/>
  <c r="H29" i="5"/>
  <c r="AI94" i="4"/>
  <c r="M329" i="3"/>
  <c r="Y334"/>
  <c r="T32" i="5"/>
  <c r="D99" i="4"/>
  <c r="E333" i="3"/>
  <c r="S349"/>
  <c r="W289"/>
  <c r="I312"/>
  <c r="P279"/>
  <c r="R49"/>
  <c r="K227"/>
  <c r="D52"/>
  <c r="L81"/>
  <c r="O187"/>
  <c r="AI131" i="4"/>
  <c r="O218" i="5"/>
  <c r="J286" i="3"/>
  <c r="L66" i="5"/>
  <c r="C345" i="3"/>
  <c r="B87" i="4"/>
  <c r="H207" i="13"/>
  <c r="G330" i="5"/>
  <c r="S311"/>
  <c r="B29" i="15"/>
  <c r="A7" i="13"/>
  <c r="K333" i="5"/>
  <c r="C315"/>
  <c r="S321"/>
  <c r="G21" i="6"/>
  <c r="M317" i="3"/>
  <c r="L174"/>
  <c r="Z177"/>
  <c r="M181"/>
  <c r="G402"/>
  <c r="O185" i="5"/>
  <c r="G65" i="6"/>
  <c r="A207" i="5"/>
  <c r="G81" i="3"/>
  <c r="P303"/>
  <c r="R307"/>
  <c r="T311"/>
  <c r="L261"/>
  <c r="AI407" i="4"/>
  <c r="K68" i="6"/>
  <c r="E210" i="5"/>
  <c r="S83" i="3"/>
  <c r="D50" i="5"/>
  <c r="J120" i="4"/>
  <c r="U350" i="3"/>
  <c r="K6"/>
  <c r="L50" i="5"/>
  <c r="B121" i="4"/>
  <c r="G351" i="3"/>
  <c r="S6"/>
  <c r="D54" i="5"/>
  <c r="I125" i="4"/>
  <c r="Y354" i="3"/>
  <c r="Q9"/>
  <c r="L54" i="5"/>
  <c r="A126" i="4"/>
  <c r="I355" i="3"/>
  <c r="Y9"/>
  <c r="T54" i="5"/>
  <c r="I126" i="4"/>
  <c r="S355" i="3"/>
  <c r="G10"/>
  <c r="L58" i="5"/>
  <c r="AJ130" i="4"/>
  <c r="K359" i="3"/>
  <c r="A13"/>
  <c r="Y394"/>
  <c r="K417"/>
  <c r="V108"/>
  <c r="O361"/>
  <c r="O345"/>
  <c r="W108"/>
  <c r="L163"/>
  <c r="Y395"/>
  <c r="AH179" i="4"/>
  <c r="R81" i="5"/>
  <c r="I76" i="3"/>
  <c r="D220" i="5"/>
  <c r="X105" i="3"/>
  <c r="T70" i="5"/>
  <c r="A25" i="9"/>
  <c r="C237" i="7"/>
  <c r="J352" i="6"/>
  <c r="H98" i="5"/>
  <c r="D153" i="6"/>
  <c r="J408" i="4"/>
  <c r="AE347"/>
  <c r="T162" i="6"/>
  <c r="T143"/>
  <c r="D397" i="4"/>
  <c r="H336"/>
  <c r="I288" i="5"/>
  <c r="E83" i="6"/>
  <c r="N94" i="5"/>
  <c r="R44"/>
  <c r="I282"/>
  <c r="E77" i="6"/>
  <c r="N88" i="5"/>
  <c r="R38"/>
  <c r="H43"/>
  <c r="D112" i="4"/>
  <c r="W343" i="3"/>
  <c r="G308" i="6"/>
  <c r="E287" i="4"/>
  <c r="I373" i="3"/>
  <c r="R196"/>
  <c r="K311" i="6"/>
  <c r="AG287" i="4"/>
  <c r="Q373" i="3"/>
  <c r="B197"/>
  <c r="G340" i="6"/>
  <c r="E292" i="4"/>
  <c r="K376" i="3"/>
  <c r="Q200"/>
  <c r="K343" i="6"/>
  <c r="AF292" i="4"/>
  <c r="S376" i="3"/>
  <c r="C201"/>
  <c r="O346" i="6"/>
  <c r="D293" i="4"/>
  <c r="A377" i="3"/>
  <c r="M201"/>
  <c r="P394" i="6"/>
  <c r="AF297" i="4"/>
  <c r="U379" i="3"/>
  <c r="E205"/>
  <c r="AE386" i="4"/>
  <c r="Y6" i="3"/>
  <c r="H11"/>
  <c r="Q267"/>
  <c r="I408"/>
  <c r="E334"/>
  <c r="W132"/>
  <c r="B189"/>
  <c r="L326"/>
  <c r="K251"/>
  <c r="S191" i="6"/>
  <c r="R183"/>
  <c r="D125"/>
  <c r="H346" i="4"/>
  <c r="P219" i="5"/>
  <c r="V102" i="3"/>
  <c r="M322" i="5"/>
  <c r="H380" i="3"/>
  <c r="Q283" i="6"/>
  <c r="C241" i="7"/>
  <c r="B353" i="6"/>
  <c r="F107" i="5"/>
  <c r="T53" i="6"/>
  <c r="F286" i="4"/>
  <c r="E264" i="5"/>
  <c r="P63" i="6"/>
  <c r="P44"/>
  <c r="AH274" i="4"/>
  <c r="C393" i="17"/>
  <c r="Q185" i="6"/>
  <c r="B397" i="5"/>
  <c r="C405" i="4"/>
  <c r="F286" i="17"/>
  <c r="Q179" i="6"/>
  <c r="B391" i="5"/>
  <c r="AG397" i="4"/>
  <c r="G118" i="7"/>
  <c r="AJ341" i="4"/>
  <c r="M407" i="3"/>
  <c r="C242"/>
  <c r="E132" i="6"/>
  <c r="AJ180" i="4"/>
  <c r="A297" i="3"/>
  <c r="M109"/>
  <c r="I135" i="6"/>
  <c r="H181" i="4"/>
  <c r="I297" i="3"/>
  <c r="V109"/>
  <c r="E164" i="6"/>
  <c r="AJ185" i="4"/>
  <c r="C300" i="3"/>
  <c r="Z112"/>
  <c r="I167" i="6"/>
  <c r="H186" i="4"/>
  <c r="K300" i="3"/>
  <c r="J113"/>
  <c r="M170" i="6"/>
  <c r="AI186" i="4"/>
  <c r="S300" i="3"/>
  <c r="S113"/>
  <c r="I199" i="6"/>
  <c r="F191" i="4"/>
  <c r="M303" i="3"/>
  <c r="W116"/>
  <c r="A377" i="4"/>
  <c r="A63" i="3"/>
  <c r="I74"/>
  <c r="P22"/>
  <c r="T361" i="5"/>
  <c r="E18" i="3"/>
  <c r="I360"/>
  <c r="L7"/>
  <c r="S221"/>
  <c r="F217"/>
  <c r="AH353" i="4"/>
  <c r="V338" i="3"/>
  <c r="L194" i="5"/>
  <c r="Z167" i="3"/>
  <c r="AJ194" i="4"/>
  <c r="I238" i="6"/>
  <c r="B221" i="12"/>
  <c r="A186"/>
  <c r="C169" i="13"/>
  <c r="D239" i="7"/>
  <c r="Q352" i="6"/>
  <c r="AH299" i="4"/>
  <c r="P178" i="6"/>
  <c r="Q23" i="5"/>
  <c r="E379" i="4"/>
  <c r="L188" i="6"/>
  <c r="L169"/>
  <c r="M14" i="5"/>
  <c r="AH367" i="4"/>
  <c r="A314" i="5"/>
  <c r="Q108" i="6"/>
  <c r="F120" i="5"/>
  <c r="J70"/>
  <c r="A308"/>
  <c r="Q102" i="6"/>
  <c r="F114" i="5"/>
  <c r="J64"/>
  <c r="T68"/>
  <c r="AI143" i="4"/>
  <c r="C370" i="3"/>
  <c r="H289" i="6"/>
  <c r="AI318" i="4"/>
  <c r="A393" i="3"/>
  <c r="U222"/>
  <c r="T314" i="6"/>
  <c r="G319" i="4"/>
  <c r="I393" i="3"/>
  <c r="G223"/>
  <c r="S340" i="6"/>
  <c r="AI323" i="4"/>
  <c r="C396" i="3"/>
  <c r="Y226"/>
  <c r="P376" i="6"/>
  <c r="G324" i="4"/>
  <c r="K396" i="3"/>
  <c r="I227"/>
  <c r="D37" i="7"/>
  <c r="AI324" i="4"/>
  <c r="S396" i="3"/>
  <c r="S227"/>
  <c r="B288" i="7"/>
  <c r="F329" i="4"/>
  <c r="M399" i="3"/>
  <c r="K231"/>
  <c r="M410" i="5"/>
  <c r="U26" i="3"/>
  <c r="Z30"/>
  <c r="A46"/>
  <c r="A262"/>
  <c r="B15"/>
  <c r="C227"/>
  <c r="Q292"/>
  <c r="C189"/>
  <c r="R249"/>
  <c r="E210" i="6"/>
  <c r="R332" i="5"/>
  <c r="L227" i="6"/>
  <c r="R75" i="5"/>
  <c r="AF386" i="4"/>
  <c r="N244" i="3"/>
  <c r="K10" i="5"/>
  <c r="Z152" i="3"/>
  <c r="D284" i="6"/>
  <c r="L230"/>
  <c r="N374"/>
  <c r="G311" i="4"/>
  <c r="L79" i="6"/>
  <c r="A318" i="4"/>
  <c r="AH256"/>
  <c r="H89" i="6"/>
  <c r="H70"/>
  <c r="AE306" i="4"/>
  <c r="B47" i="20"/>
  <c r="I211" i="6"/>
  <c r="M9"/>
  <c r="B21" i="5"/>
  <c r="I257" i="17"/>
  <c r="I205" i="6"/>
  <c r="N416" i="5"/>
  <c r="B15"/>
  <c r="I208" i="17"/>
  <c r="I373" i="4"/>
  <c r="A21"/>
  <c r="I268" i="3"/>
  <c r="I340" i="5"/>
  <c r="H212" i="4"/>
  <c r="S316" i="3"/>
  <c r="Z131"/>
  <c r="M343" i="5"/>
  <c r="AI212" i="4"/>
  <c r="A317" i="3"/>
  <c r="I132"/>
  <c r="I372" i="5"/>
  <c r="E217" i="4"/>
  <c r="U319" i="3"/>
  <c r="N135"/>
  <c r="M375" i="5"/>
  <c r="AG217" i="4"/>
  <c r="C320" i="3"/>
  <c r="W135"/>
  <c r="Q378" i="5"/>
  <c r="E218" i="4"/>
  <c r="K320" i="3"/>
  <c r="F136"/>
  <c r="M407" i="5"/>
  <c r="AG222" i="4"/>
  <c r="E323" i="3"/>
  <c r="J139"/>
  <c r="H177" i="5"/>
  <c r="B132" i="3"/>
  <c r="D151"/>
  <c r="C45"/>
  <c r="C133" i="6"/>
  <c r="R78" i="3"/>
  <c r="A15"/>
  <c r="H27"/>
  <c r="K8"/>
  <c r="Z372"/>
  <c r="J235" i="5"/>
  <c r="M117" i="3"/>
  <c r="J355" i="4"/>
  <c r="P320" i="3"/>
  <c r="AE148" i="4"/>
  <c r="D49" i="12"/>
  <c r="A232"/>
  <c r="B160"/>
  <c r="C444" i="17"/>
  <c r="I405" i="6"/>
  <c r="H17" i="8"/>
  <c r="O114" i="5"/>
  <c r="H204" i="6"/>
  <c r="I49" i="5"/>
  <c r="AH410" i="4"/>
  <c r="D214" i="6"/>
  <c r="D195"/>
  <c r="E40" i="5"/>
  <c r="G399" i="4"/>
  <c r="M339" i="5"/>
  <c r="I134" i="6"/>
  <c r="R145" i="5"/>
  <c r="B96"/>
  <c r="M333"/>
  <c r="I128" i="6"/>
  <c r="R139" i="5"/>
  <c r="B90"/>
  <c r="L94"/>
  <c r="J175" i="4"/>
  <c r="I396" i="3"/>
  <c r="E180" i="7"/>
  <c r="F350" i="4"/>
  <c r="S412" i="3"/>
  <c r="C249"/>
  <c r="E244" i="7"/>
  <c r="AH350" i="4"/>
  <c r="A413" i="3"/>
  <c r="M249"/>
  <c r="G4" i="10"/>
  <c r="C355" i="4"/>
  <c r="U415" i="3"/>
  <c r="E253"/>
  <c r="B51" i="12"/>
  <c r="AE355" i="4"/>
  <c r="C416" i="3"/>
  <c r="O253"/>
  <c r="A190" i="12"/>
  <c r="C356" i="4"/>
  <c r="K416" i="3"/>
  <c r="A254"/>
  <c r="A15" i="12"/>
  <c r="J360" i="4"/>
  <c r="A8"/>
  <c r="S257" i="3"/>
  <c r="C285" i="5"/>
  <c r="V51" i="3"/>
  <c r="F60"/>
  <c r="Z55"/>
  <c r="Z104"/>
  <c r="V34"/>
  <c r="E332"/>
  <c r="S397"/>
  <c r="T397"/>
  <c r="U111"/>
  <c r="A206" i="7"/>
  <c r="Q47" i="6"/>
  <c r="H359" i="5"/>
  <c r="J229"/>
  <c r="C134"/>
  <c r="T375" i="3"/>
  <c r="C164" i="5"/>
  <c r="C303" i="3"/>
  <c r="K284" i="6"/>
  <c r="S230"/>
  <c r="E375"/>
  <c r="A124" i="5"/>
  <c r="D105" i="6"/>
  <c r="G349" i="4"/>
  <c r="J288"/>
  <c r="T114" i="6"/>
  <c r="T95"/>
  <c r="C338" i="4"/>
  <c r="G95" i="20"/>
  <c r="I240" i="5"/>
  <c r="E35" i="6"/>
  <c r="N46" i="5"/>
  <c r="A53" i="20"/>
  <c r="Q233" i="6"/>
  <c r="E29"/>
  <c r="N40" i="5"/>
  <c r="I171" i="17"/>
  <c r="A405" i="4"/>
  <c r="AG52"/>
  <c r="Q294" i="3"/>
  <c r="D132" i="6"/>
  <c r="AH227" i="4"/>
  <c r="K336" i="3"/>
  <c r="M154"/>
  <c r="H135" i="6"/>
  <c r="F228" i="4"/>
  <c r="S336" i="3"/>
  <c r="V154"/>
  <c r="D164" i="6"/>
  <c r="AG232" i="4"/>
  <c r="M339" i="3"/>
  <c r="A158"/>
  <c r="H167" i="6"/>
  <c r="E233" i="4"/>
  <c r="U339" i="3"/>
  <c r="J158"/>
  <c r="L170" i="6"/>
  <c r="AG233" i="4"/>
  <c r="C340" i="3"/>
  <c r="S158"/>
  <c r="H199" i="6"/>
  <c r="E238" i="4"/>
  <c r="W342" i="3"/>
  <c r="W161"/>
  <c r="J397" i="4"/>
  <c r="E226" i="3"/>
  <c r="M248"/>
  <c r="Q90"/>
  <c r="C353" i="6"/>
  <c r="Y12" i="3"/>
  <c r="U34"/>
  <c r="O52"/>
  <c r="Y204"/>
  <c r="I107"/>
  <c r="Q123" i="5"/>
  <c r="S261" i="3"/>
  <c r="S108" i="5"/>
  <c r="N99" i="3"/>
  <c r="E70" i="4"/>
  <c r="A217" i="13"/>
  <c r="A5" i="15"/>
  <c r="A144" i="13"/>
  <c r="B9" i="8"/>
  <c r="H405" i="6"/>
  <c r="G18" i="8"/>
  <c r="I320" i="4"/>
  <c r="T229" i="6"/>
  <c r="A75" i="5"/>
  <c r="M25"/>
  <c r="P236" i="6"/>
  <c r="P220"/>
  <c r="Q65" i="5"/>
  <c r="I16"/>
  <c r="E365"/>
  <c r="A160" i="6"/>
  <c r="J171" i="5"/>
  <c r="N121"/>
  <c r="E359"/>
  <c r="A154" i="6"/>
  <c r="J165" i="5"/>
  <c r="N115"/>
  <c r="D120"/>
  <c r="AJ206" i="4"/>
  <c r="P45" i="3"/>
  <c r="D214" i="12"/>
  <c r="AI381" i="4"/>
  <c r="H29"/>
  <c r="I275" i="3"/>
  <c r="C22" i="13"/>
  <c r="G382" i="4"/>
  <c r="AJ29"/>
  <c r="S275" i="3"/>
  <c r="B87" i="13"/>
  <c r="AG386" i="4"/>
  <c r="G34"/>
  <c r="K279" i="3"/>
  <c r="B151" i="13"/>
  <c r="E387" i="4"/>
  <c r="AI34"/>
  <c r="W279" i="3"/>
  <c r="C221" i="13"/>
  <c r="AF387" i="4"/>
  <c r="G35"/>
  <c r="G280" i="3"/>
  <c r="C485" i="17"/>
  <c r="D392" i="4"/>
  <c r="AI39"/>
  <c r="Y283" i="3"/>
  <c r="B57" i="6"/>
  <c r="X107" i="3"/>
  <c r="D127"/>
  <c r="N234"/>
  <c r="G28"/>
  <c r="I70"/>
  <c r="T9"/>
  <c r="S21"/>
  <c r="F212"/>
  <c r="I269"/>
  <c r="B184" i="5"/>
  <c r="Q175" i="6"/>
  <c r="O74"/>
  <c r="J366" i="4"/>
  <c r="C281"/>
  <c r="D149" i="3"/>
  <c r="F318" i="4"/>
  <c r="J229" i="3"/>
  <c r="J296" i="6"/>
  <c r="R242"/>
  <c r="T375"/>
  <c r="AH310" i="4"/>
  <c r="P130" i="6"/>
  <c r="AJ380" i="4"/>
  <c r="D320"/>
  <c r="L140" i="6"/>
  <c r="L121"/>
  <c r="J369" i="4"/>
  <c r="AI308"/>
  <c r="A266" i="5"/>
  <c r="Q60" i="6"/>
  <c r="F72" i="5"/>
  <c r="J22"/>
  <c r="A260"/>
  <c r="Q54" i="6"/>
  <c r="F66" i="5"/>
  <c r="J16"/>
  <c r="T20"/>
  <c r="H84" i="4"/>
  <c r="W320" i="3"/>
  <c r="T333" i="6"/>
  <c r="H259" i="4"/>
  <c r="C356" i="3"/>
  <c r="Z176"/>
  <c r="D337" i="6"/>
  <c r="AJ259" i="4"/>
  <c r="K356" i="3"/>
  <c r="J177"/>
  <c r="M375" i="6"/>
  <c r="G264" i="4"/>
  <c r="E359" i="3"/>
  <c r="N180"/>
  <c r="A382" i="6"/>
  <c r="AI264" i="4"/>
  <c r="M359" i="3"/>
  <c r="W180"/>
  <c r="I388" i="6"/>
  <c r="G265" i="4"/>
  <c r="U359" i="3"/>
  <c r="F181"/>
  <c r="C95" i="7"/>
  <c r="AH269" i="4"/>
  <c r="O362" i="3"/>
  <c r="J184"/>
  <c r="C194" i="5"/>
  <c r="G331" i="3"/>
  <c r="M353"/>
  <c r="V178"/>
  <c r="W51"/>
  <c r="W145"/>
  <c r="C70"/>
  <c r="H110"/>
  <c r="M150"/>
  <c r="V354"/>
  <c r="O43" i="6"/>
  <c r="Z217" i="3"/>
  <c r="A250" i="4"/>
  <c r="J266" i="3"/>
  <c r="I228" i="4"/>
  <c r="B287" i="20"/>
  <c r="F4" i="15"/>
  <c r="G54" i="13"/>
  <c r="D51" i="12"/>
  <c r="S404" i="6"/>
  <c r="F17" i="8"/>
  <c r="J131" i="5"/>
  <c r="H259"/>
  <c r="M100"/>
  <c r="E51"/>
  <c r="H262" i="6"/>
  <c r="D250" i="5"/>
  <c r="I91"/>
  <c r="A42"/>
  <c r="Q390"/>
  <c r="M185" i="6"/>
  <c r="B197" i="5"/>
  <c r="F147"/>
  <c r="Q384"/>
  <c r="M179" i="6"/>
  <c r="B191" i="5"/>
  <c r="F141"/>
  <c r="P145"/>
  <c r="C242" i="4"/>
  <c r="H65" i="3"/>
  <c r="A914" i="17"/>
  <c r="G413" i="4"/>
  <c r="C61"/>
  <c r="O301" i="3"/>
  <c r="F313" i="17"/>
  <c r="AH413" i="4"/>
  <c r="AE61"/>
  <c r="A302" i="3"/>
  <c r="G407" i="17"/>
  <c r="D6" i="5"/>
  <c r="B66" i="4"/>
  <c r="S305" i="3"/>
  <c r="F464" i="17"/>
  <c r="L6" i="5"/>
  <c r="J66" i="4"/>
  <c r="C306" i="3"/>
  <c r="E521" i="17"/>
  <c r="T6" i="5"/>
  <c r="B67" i="4"/>
  <c r="M306" i="3"/>
  <c r="H876" i="17"/>
  <c r="L10" i="5"/>
  <c r="J71" i="4"/>
  <c r="E310" i="3"/>
  <c r="F53" i="7"/>
  <c r="A198" i="3"/>
  <c r="M220"/>
  <c r="I110"/>
  <c r="U310"/>
  <c r="J144"/>
  <c r="L29"/>
  <c r="Q43"/>
  <c r="E39"/>
  <c r="G147" i="4"/>
  <c r="G12" i="5"/>
  <c r="Q332"/>
  <c r="C177" i="6"/>
  <c r="E92" i="5"/>
  <c r="F135"/>
  <c r="I272" i="3"/>
  <c r="Q20" i="5"/>
  <c r="F367" i="3"/>
  <c r="B77" i="12"/>
  <c r="E243" i="6"/>
  <c r="S399"/>
  <c r="T123" i="5"/>
  <c r="H156" i="6"/>
  <c r="I412" i="4"/>
  <c r="AE351"/>
  <c r="D166" i="6"/>
  <c r="D147"/>
  <c r="C401" i="4"/>
  <c r="G340"/>
  <c r="M291" i="5"/>
  <c r="I86" i="6"/>
  <c r="R97" i="5"/>
  <c r="B48"/>
  <c r="M285"/>
  <c r="I80" i="6"/>
  <c r="R91" i="5"/>
  <c r="B42"/>
  <c r="L46"/>
  <c r="C116" i="4"/>
  <c r="C347" i="3"/>
  <c r="S333" i="6"/>
  <c r="E291" i="4"/>
  <c r="U375" i="3"/>
  <c r="W199"/>
  <c r="C337" i="6"/>
  <c r="AG291" i="4"/>
  <c r="C376" i="3"/>
  <c r="G200"/>
  <c r="L375" i="6"/>
  <c r="D296" i="4"/>
  <c r="W378" i="3"/>
  <c r="Y203"/>
  <c r="T381" i="6"/>
  <c r="AF296" i="4"/>
  <c r="E379" i="3"/>
  <c r="I204"/>
  <c r="H388" i="6"/>
  <c r="D297" i="4"/>
  <c r="M379" i="3"/>
  <c r="U204"/>
  <c r="D97" i="7"/>
  <c r="AE301" i="4"/>
  <c r="G382" i="3"/>
  <c r="M208"/>
  <c r="B6" i="5"/>
  <c r="O9" i="3"/>
  <c r="T13"/>
  <c r="U280"/>
  <c r="S11"/>
  <c r="M360"/>
  <c r="D144"/>
  <c r="U200"/>
  <c r="R352"/>
  <c r="Y303"/>
  <c r="S405" i="5"/>
  <c r="D336" i="3"/>
  <c r="R34" i="5"/>
  <c r="K40" i="3"/>
  <c r="A182" i="4"/>
  <c r="C629" i="17"/>
  <c r="A77"/>
  <c r="F113" i="13"/>
  <c r="B358" i="17"/>
  <c r="J404" i="6"/>
  <c r="E16" i="8"/>
  <c r="AD340" i="4"/>
  <c r="T284" i="5"/>
  <c r="E126"/>
  <c r="Q76"/>
  <c r="T287" i="6"/>
  <c r="P275" i="5"/>
  <c r="A117"/>
  <c r="M67"/>
  <c r="I416"/>
  <c r="E211" i="6"/>
  <c r="N222" i="5"/>
  <c r="R172"/>
  <c r="I410"/>
  <c r="E205" i="6"/>
  <c r="N216" i="5"/>
  <c r="R166"/>
  <c r="H171"/>
  <c r="F33" i="4"/>
  <c r="Z84" i="3"/>
  <c r="G272"/>
  <c r="P27" i="5"/>
  <c r="AI92" i="4"/>
  <c r="W327" i="3"/>
  <c r="I328"/>
  <c r="D28" i="5"/>
  <c r="G93" i="4"/>
  <c r="G328" i="3"/>
  <c r="A330"/>
  <c r="P31" i="5"/>
  <c r="AG97" i="4"/>
  <c r="Y331" i="3"/>
  <c r="U344"/>
  <c r="D32" i="5"/>
  <c r="E98" i="4"/>
  <c r="I332" i="3"/>
  <c r="K346"/>
  <c r="L32" i="5"/>
  <c r="AF98" i="4"/>
  <c r="U332" i="3"/>
  <c r="A348"/>
  <c r="D36" i="5"/>
  <c r="D103" i="4"/>
  <c r="M336" i="3"/>
  <c r="U362"/>
  <c r="A303"/>
  <c r="M325"/>
  <c r="V305"/>
  <c r="Q71"/>
  <c r="S253"/>
  <c r="I56"/>
  <c r="Y87"/>
  <c r="E212"/>
  <c r="J163" i="4"/>
  <c r="I45" i="5"/>
  <c r="H73" i="6"/>
  <c r="G309" i="5"/>
  <c r="E220"/>
  <c r="B413" i="4"/>
  <c r="H206" i="3"/>
  <c r="R53" i="5"/>
  <c r="G170" i="3"/>
  <c r="B170" i="13"/>
  <c r="A35" i="7"/>
  <c r="N400" i="6"/>
  <c r="H331" i="4"/>
  <c r="T181" i="6"/>
  <c r="A27" i="5"/>
  <c r="C383" i="4"/>
  <c r="P191" i="6"/>
  <c r="P172"/>
  <c r="Q17" i="5"/>
  <c r="AH371" i="4"/>
  <c r="E317" i="5"/>
  <c r="A112" i="6"/>
  <c r="J123" i="5"/>
  <c r="N73"/>
  <c r="E311"/>
  <c r="A106" i="6"/>
  <c r="J117" i="5"/>
  <c r="N67"/>
  <c r="D72"/>
  <c r="AI147" i="4"/>
  <c r="K373" i="3"/>
  <c r="O289" i="6"/>
  <c r="AI322" i="4"/>
  <c r="M395" i="3"/>
  <c r="C226"/>
  <c r="G315" i="6"/>
  <c r="G323" i="4"/>
  <c r="U395" i="3"/>
  <c r="M226"/>
  <c r="R352" i="6"/>
  <c r="AH327" i="4"/>
  <c r="O398" i="3"/>
  <c r="E230"/>
  <c r="O400" i="6"/>
  <c r="F328" i="4"/>
  <c r="W398" i="3"/>
  <c r="Q230"/>
  <c r="C117" i="7"/>
  <c r="AH328" i="4"/>
  <c r="E399" i="3"/>
  <c r="A231"/>
  <c r="C290" i="7"/>
  <c r="D333" i="4"/>
  <c r="Y401" i="3"/>
  <c r="S234"/>
  <c r="G72" i="5"/>
  <c r="G29" i="3"/>
  <c r="L33"/>
  <c r="S65"/>
  <c r="U340"/>
  <c r="N17"/>
  <c r="G240"/>
  <c r="U305"/>
  <c r="X213"/>
  <c r="J269"/>
  <c r="R329" i="5"/>
  <c r="E139" i="3"/>
  <c r="L193" i="5"/>
  <c r="L166" i="3"/>
  <c r="AG103" i="4"/>
  <c r="E204" i="20"/>
  <c r="H106" i="16"/>
  <c r="E90" i="13"/>
  <c r="C625" i="17"/>
  <c r="B5" i="11"/>
  <c r="D15" i="8"/>
  <c r="Q147" i="5"/>
  <c r="L310"/>
  <c r="Q151"/>
  <c r="I102"/>
  <c r="L313" i="6"/>
  <c r="H301" i="5"/>
  <c r="M142"/>
  <c r="E93"/>
  <c r="T28" i="6"/>
  <c r="T9"/>
  <c r="M310" i="5"/>
  <c r="J198"/>
  <c r="T22" i="6"/>
  <c r="A233"/>
  <c r="M262" i="5"/>
  <c r="J192"/>
  <c r="T196"/>
  <c r="A65" i="4"/>
  <c r="W104" i="3"/>
  <c r="G377"/>
  <c r="H53" i="5"/>
  <c r="I124" i="4"/>
  <c r="C354" i="3"/>
  <c r="A9"/>
  <c r="P53" i="5"/>
  <c r="A125" i="4"/>
  <c r="M354" i="3"/>
  <c r="I9"/>
  <c r="H57" i="5"/>
  <c r="H129" i="4"/>
  <c r="E358" i="3"/>
  <c r="C12"/>
  <c r="P57" i="5"/>
  <c r="AJ129" i="4"/>
  <c r="Q358" i="3"/>
  <c r="K12"/>
  <c r="D58" i="5"/>
  <c r="H130" i="4"/>
  <c r="A359" i="3"/>
  <c r="S12"/>
  <c r="P61" i="5"/>
  <c r="AJ134" i="4"/>
  <c r="S362" i="3"/>
  <c r="M15"/>
  <c r="A408"/>
  <c r="E8"/>
  <c r="I131"/>
  <c r="C414"/>
  <c r="S358"/>
  <c r="D120"/>
  <c r="S174"/>
  <c r="H45"/>
  <c r="F211" i="4"/>
  <c r="R16" i="6"/>
  <c r="T226"/>
  <c r="F24"/>
  <c r="P348" i="5"/>
  <c r="C6" i="6"/>
  <c r="T304" i="3"/>
  <c r="N41" i="6"/>
  <c r="K288" i="3"/>
  <c r="E481" i="17"/>
  <c r="H36" i="7"/>
  <c r="I361" i="6"/>
  <c r="G140" i="5"/>
  <c r="L207" i="6"/>
  <c r="M52" i="5"/>
  <c r="AE414" i="4"/>
  <c r="H217" i="6"/>
  <c r="H198"/>
  <c r="I43" i="5"/>
  <c r="G403" i="4"/>
  <c r="Q342" i="5"/>
  <c r="M137" i="6"/>
  <c r="B149" i="5"/>
  <c r="F99"/>
  <c r="Q336"/>
  <c r="M131" i="6"/>
  <c r="B143" i="5"/>
  <c r="F93"/>
  <c r="P97"/>
  <c r="I179" i="4"/>
  <c r="Q399" i="3"/>
  <c r="F32" i="12"/>
  <c r="D354" i="4"/>
  <c r="E415" i="3"/>
  <c r="I252"/>
  <c r="A123" i="12"/>
  <c r="AE354" i="4"/>
  <c r="M415" i="3"/>
  <c r="U252"/>
  <c r="H194" i="13"/>
  <c r="B359" i="4"/>
  <c r="F6"/>
  <c r="M256" i="3"/>
  <c r="H43" i="12"/>
  <c r="J359" i="4"/>
  <c r="AG6"/>
  <c r="W256" i="3"/>
  <c r="B164" i="12"/>
  <c r="B360" i="4"/>
  <c r="E7"/>
  <c r="G257" i="3"/>
  <c r="B209" i="13"/>
  <c r="I364" i="4"/>
  <c r="A12"/>
  <c r="Y260" i="3"/>
  <c r="R76" i="6"/>
  <c r="Y55" i="3"/>
  <c r="S66"/>
  <c r="R75"/>
  <c r="A150"/>
  <c r="W37"/>
  <c r="G345"/>
  <c r="U410"/>
  <c r="X58"/>
  <c r="M131"/>
  <c r="A224" i="6"/>
  <c r="I257" i="3"/>
  <c r="M268" i="5"/>
  <c r="U318" i="3"/>
  <c r="AE245" i="4"/>
  <c r="E104" i="24"/>
  <c r="D131" i="12"/>
  <c r="D150" i="13"/>
  <c r="B5" i="8"/>
  <c r="G4" i="14"/>
  <c r="G3" i="10"/>
  <c r="L327" i="5"/>
  <c r="D336"/>
  <c r="I177"/>
  <c r="A128"/>
  <c r="D339" i="6"/>
  <c r="T326" i="5"/>
  <c r="E168"/>
  <c r="Q118"/>
  <c r="L54" i="6"/>
  <c r="L35"/>
  <c r="H263" i="4"/>
  <c r="B224" i="5"/>
  <c r="L48" i="6"/>
  <c r="L29"/>
  <c r="B256" i="4"/>
  <c r="B218" i="5"/>
  <c r="L222"/>
  <c r="AG96" i="4"/>
  <c r="J127" i="3"/>
  <c r="L46"/>
  <c r="T78" i="5"/>
  <c r="E156" i="4"/>
  <c r="I380" i="3"/>
  <c r="S28"/>
  <c r="H79" i="5"/>
  <c r="AG156" i="4"/>
  <c r="U380" i="3"/>
  <c r="A29"/>
  <c r="T82" i="5"/>
  <c r="C161" i="4"/>
  <c r="M384" i="3"/>
  <c r="U31"/>
  <c r="H83" i="5"/>
  <c r="AE161" i="4"/>
  <c r="W384" i="3"/>
  <c r="C32"/>
  <c r="P83" i="5"/>
  <c r="C162" i="4"/>
  <c r="G385" i="3"/>
  <c r="K32"/>
  <c r="H87" i="5"/>
  <c r="AE166" i="4"/>
  <c r="Y388" i="3"/>
  <c r="H35"/>
  <c r="Z23"/>
  <c r="W27"/>
  <c r="J330"/>
  <c r="N132"/>
  <c r="S14"/>
  <c r="G212"/>
  <c r="Y275"/>
  <c r="H220"/>
  <c r="H227" i="4"/>
  <c r="H200" i="6"/>
  <c r="T351"/>
  <c r="B101"/>
  <c r="G63"/>
  <c r="T189"/>
  <c r="F403" i="3"/>
  <c r="S225" i="6"/>
  <c r="O406" i="3"/>
  <c r="C8" i="8"/>
  <c r="G35" i="7"/>
  <c r="H361" i="6"/>
  <c r="AJ351" i="4"/>
  <c r="T236" i="5"/>
  <c r="E78"/>
  <c r="Q28"/>
  <c r="T239" i="6"/>
  <c r="T223"/>
  <c r="A69" i="5"/>
  <c r="M19"/>
  <c r="I368"/>
  <c r="E163" i="6"/>
  <c r="N174" i="5"/>
  <c r="R124"/>
  <c r="I362"/>
  <c r="E157" i="6"/>
  <c r="N168" i="5"/>
  <c r="R118"/>
  <c r="H123"/>
  <c r="AJ210" i="4"/>
  <c r="B48" i="3"/>
  <c r="C215" i="12"/>
  <c r="AG385" i="4"/>
  <c r="G33"/>
  <c r="Q278" i="3"/>
  <c r="B23" i="13"/>
  <c r="E386" i="4"/>
  <c r="AI33"/>
  <c r="A279" i="3"/>
  <c r="C101" i="17"/>
  <c r="AF390" i="4"/>
  <c r="G38"/>
  <c r="S282" i="3"/>
  <c r="B158" i="17"/>
  <c r="D391" i="4"/>
  <c r="AI38"/>
  <c r="C283" i="3"/>
  <c r="F216" i="17"/>
  <c r="AF391" i="4"/>
  <c r="G39"/>
  <c r="O283" i="3"/>
  <c r="E491" i="17"/>
  <c r="C396" i="4"/>
  <c r="AH43"/>
  <c r="G287" i="3"/>
  <c r="R282" i="5"/>
  <c r="D119" i="3"/>
  <c r="K138"/>
  <c r="V260"/>
  <c r="A39"/>
  <c r="V76"/>
  <c r="F12"/>
  <c r="E24"/>
  <c r="L238"/>
  <c r="A289"/>
  <c r="D308" i="5"/>
  <c r="M375" i="3"/>
  <c r="E215" i="6"/>
  <c r="X85" i="3"/>
  <c r="P19" i="5"/>
  <c r="E437" i="17"/>
  <c r="C132" i="12"/>
  <c r="D217" i="13"/>
  <c r="P378" i="5"/>
  <c r="L342"/>
  <c r="Q183"/>
  <c r="I134"/>
  <c r="L345" i="6"/>
  <c r="H333" i="5"/>
  <c r="M174"/>
  <c r="E125"/>
  <c r="T60" i="6"/>
  <c r="T41"/>
  <c r="G271" i="4"/>
  <c r="J230" i="5"/>
  <c r="T54" i="6"/>
  <c r="T35"/>
  <c r="AJ263" i="4"/>
  <c r="J224" i="5"/>
  <c r="T228"/>
  <c r="AE104" i="4"/>
  <c r="Z132" i="3"/>
  <c r="J51"/>
  <c r="H85" i="5"/>
  <c r="C164" i="4"/>
  <c r="Y386" i="3"/>
  <c r="Q33"/>
  <c r="P85" i="5"/>
  <c r="AE164" i="4"/>
  <c r="I387" i="3"/>
  <c r="Y33"/>
  <c r="H89" i="5"/>
  <c r="B169" i="4"/>
  <c r="A391" i="3"/>
  <c r="E37"/>
  <c r="P89" i="5"/>
  <c r="J169" i="4"/>
  <c r="K391" i="3"/>
  <c r="P37"/>
  <c r="D90" i="5"/>
  <c r="B170" i="4"/>
  <c r="W391" i="3"/>
  <c r="A38"/>
  <c r="P93" i="5"/>
  <c r="J174" i="4"/>
  <c r="O395" i="3"/>
  <c r="S41"/>
  <c r="X28"/>
  <c r="U32"/>
  <c r="V382"/>
  <c r="M200"/>
  <c r="Q19"/>
  <c r="M238"/>
  <c r="E302"/>
  <c r="V272"/>
  <c r="I54" i="4"/>
  <c r="N221" i="6"/>
  <c r="M124"/>
  <c r="I70"/>
  <c r="C378" i="4"/>
  <c r="I287" i="5"/>
  <c r="H170" i="3"/>
  <c r="AE297" i="4"/>
  <c r="S87" i="3"/>
  <c r="N322" i="6"/>
  <c r="G45" i="25"/>
  <c r="F333" i="17"/>
  <c r="I371"/>
  <c r="P34" i="6"/>
  <c r="H262" i="4"/>
  <c r="F223" i="5"/>
  <c r="L44" i="6"/>
  <c r="L25"/>
  <c r="C251" i="4"/>
  <c r="C506" i="17"/>
  <c r="M166" i="6"/>
  <c r="R377" i="5"/>
  <c r="I381" i="4"/>
  <c r="F399" i="17"/>
  <c r="M160" i="6"/>
  <c r="R371" i="5"/>
  <c r="C374" i="4"/>
  <c r="P263" i="6"/>
  <c r="H318" i="4"/>
  <c r="S392" i="3"/>
  <c r="K222"/>
  <c r="N391" i="5"/>
  <c r="F157" i="4"/>
  <c r="G282" i="3"/>
  <c r="Y93"/>
  <c r="R394" i="5"/>
  <c r="AH157" i="4"/>
  <c r="O282" i="3"/>
  <c r="G94"/>
  <c r="M10" i="6"/>
  <c r="D162" i="4"/>
  <c r="I285" i="3"/>
  <c r="A97"/>
  <c r="Q13" i="6"/>
  <c r="AF162" i="4"/>
  <c r="Q285" i="3"/>
  <c r="I97"/>
  <c r="A17" i="6"/>
  <c r="D163" i="4"/>
  <c r="Y285" i="3"/>
  <c r="Q97"/>
  <c r="Q45" i="6"/>
  <c r="AE167" i="4"/>
  <c r="S288" i="3"/>
  <c r="K100"/>
  <c r="I203" i="4"/>
  <c r="O37" i="3"/>
  <c r="H43"/>
  <c r="R7"/>
  <c r="C342" i="4"/>
  <c r="I54" i="3"/>
  <c r="O281"/>
  <c r="Y346"/>
  <c r="S150"/>
  <c r="U130"/>
  <c r="P227"/>
  <c r="A378"/>
  <c r="I170"/>
  <c r="B70"/>
  <c r="V35"/>
  <c r="I218"/>
  <c r="G191"/>
  <c r="E353"/>
  <c r="AJ101" i="4"/>
  <c r="F279" i="3"/>
  <c r="T348" i="5"/>
  <c r="Q304" i="3"/>
  <c r="C170" i="6"/>
  <c r="D368" i="5"/>
  <c r="I209"/>
  <c r="A160"/>
  <c r="A386" i="6"/>
  <c r="T358" i="5"/>
  <c r="E200"/>
  <c r="Q150"/>
  <c r="L86" i="6"/>
  <c r="L67"/>
  <c r="D303" i="4"/>
  <c r="A373" i="5"/>
  <c r="L80" i="6"/>
  <c r="L61"/>
  <c r="AG295" i="4"/>
  <c r="A325" i="5"/>
  <c r="A361"/>
  <c r="G136" i="4"/>
  <c r="N155" i="3"/>
  <c r="B71"/>
  <c r="T110" i="5"/>
  <c r="AD195" i="4"/>
  <c r="E413" i="3"/>
  <c r="H67"/>
  <c r="H111" i="5"/>
  <c r="B196" i="4"/>
  <c r="O413" i="3"/>
  <c r="E68"/>
  <c r="T114" i="5"/>
  <c r="H200" i="4"/>
  <c r="G417" i="3"/>
  <c r="O75"/>
  <c r="H115" i="5"/>
  <c r="AJ200" i="4"/>
  <c r="S417" i="3"/>
  <c r="G76"/>
  <c r="P115" i="5"/>
  <c r="H201" i="4"/>
  <c r="H6"/>
  <c r="D77" i="3"/>
  <c r="H119" i="5"/>
  <c r="AJ205" i="4"/>
  <c r="Z44" i="3"/>
  <c r="N84"/>
  <c r="H55"/>
  <c r="C65"/>
  <c r="H176"/>
  <c r="B29"/>
  <c r="R40"/>
  <c r="O343"/>
  <c r="G407"/>
  <c r="W105"/>
  <c r="E71" i="4"/>
  <c r="T408" i="5"/>
  <c r="A227" i="6"/>
  <c r="Q172"/>
  <c r="B127" i="5"/>
  <c r="C6"/>
  <c r="H323" i="3"/>
  <c r="O61" i="5"/>
  <c r="I224" i="3"/>
  <c r="A335" i="6"/>
  <c r="I281"/>
  <c r="D118" i="7"/>
  <c r="J158" i="5"/>
  <c r="H60" i="6"/>
  <c r="E294" i="4"/>
  <c r="I315" i="5"/>
  <c r="D70" i="6"/>
  <c r="D51"/>
  <c r="AH282" i="4"/>
  <c r="A507" i="17"/>
  <c r="E192" i="6"/>
  <c r="J403" i="5"/>
  <c r="A413" i="4"/>
  <c r="D400" i="17"/>
  <c r="E186" i="6"/>
  <c r="J397" i="5"/>
  <c r="AE405" i="4"/>
  <c r="E116" i="7"/>
  <c r="AH349" i="4"/>
  <c r="K412" i="3"/>
  <c r="Q248"/>
  <c r="I183" i="6"/>
  <c r="AI188" i="4"/>
  <c r="Y301" i="3"/>
  <c r="C115"/>
  <c r="M186" i="6"/>
  <c r="G189" i="4"/>
  <c r="G302" i="3"/>
  <c r="L115"/>
  <c r="I215" i="6"/>
  <c r="AG193" i="4"/>
  <c r="A305" i="3"/>
  <c r="Q118"/>
  <c r="M218" i="6"/>
  <c r="E194" i="4"/>
  <c r="I305" i="3"/>
  <c r="Z118"/>
  <c r="Q221" i="6"/>
  <c r="AF194" i="4"/>
  <c r="Q305" i="3"/>
  <c r="I119"/>
  <c r="A254" i="5"/>
  <c r="B199" i="4"/>
  <c r="K308" i="3"/>
  <c r="M122"/>
  <c r="P23" i="5"/>
  <c r="F76" i="3"/>
  <c r="I87"/>
  <c r="N27"/>
  <c r="S361" i="5"/>
  <c r="T15" i="3"/>
  <c r="Q386"/>
  <c r="N12"/>
  <c r="Y247"/>
  <c r="T374"/>
  <c r="I104"/>
  <c r="Q34"/>
  <c r="W375"/>
  <c r="K223"/>
  <c r="O24"/>
  <c r="X49"/>
  <c r="T155"/>
  <c r="AE145" i="4"/>
  <c r="B16" i="5"/>
  <c r="AG118" i="4"/>
  <c r="H795" i="17"/>
  <c r="V139" i="3"/>
  <c r="O378" i="5"/>
  <c r="P393"/>
  <c r="A235"/>
  <c r="M185"/>
  <c r="B66" i="7"/>
  <c r="L384" i="5"/>
  <c r="Q225"/>
  <c r="I176"/>
  <c r="D112" i="6"/>
  <c r="D93"/>
  <c r="AG334" i="4"/>
  <c r="J273"/>
  <c r="D106" i="6"/>
  <c r="D87"/>
  <c r="H327" i="4"/>
  <c r="C266"/>
  <c r="AF271"/>
  <c r="A168"/>
  <c r="A178" i="3"/>
  <c r="T90"/>
  <c r="L136" i="5"/>
  <c r="C227" i="4"/>
  <c r="F58" i="3"/>
  <c r="F139"/>
  <c r="T136" i="5"/>
  <c r="AE227" i="4"/>
  <c r="N58" i="3"/>
  <c r="P140"/>
  <c r="L140" i="5"/>
  <c r="J233" i="4"/>
  <c r="H61" i="3"/>
  <c r="G153"/>
  <c r="T140" i="5"/>
  <c r="D234" i="4"/>
  <c r="P61" i="3"/>
  <c r="R154"/>
  <c r="H141" i="5"/>
  <c r="AI234" i="4"/>
  <c r="X61" i="3"/>
  <c r="B156"/>
  <c r="T144" i="5"/>
  <c r="AI240" i="4"/>
  <c r="R64" i="3"/>
  <c r="T168"/>
  <c r="R117"/>
  <c r="I135"/>
  <c r="U382"/>
  <c r="I223"/>
  <c r="K82"/>
  <c r="O11"/>
  <c r="N23"/>
  <c r="Q300"/>
  <c r="B88" i="4"/>
  <c r="I219" i="6"/>
  <c r="E307" i="5"/>
  <c r="L99" i="6"/>
  <c r="A365" i="5"/>
  <c r="O159"/>
  <c r="D104" i="3"/>
  <c r="G215" i="5"/>
  <c r="W381" i="3"/>
  <c r="H335" i="6"/>
  <c r="P281"/>
  <c r="B201" i="7"/>
  <c r="F374" i="4"/>
  <c r="T85" i="6"/>
  <c r="AJ325" i="4"/>
  <c r="AF264"/>
  <c r="P95" i="6"/>
  <c r="P76"/>
  <c r="J314" i="4"/>
  <c r="B252" i="20"/>
  <c r="Q217" i="6"/>
  <c r="A16"/>
  <c r="J27" i="5"/>
  <c r="C591" i="17"/>
  <c r="Q211" i="6"/>
  <c r="A10"/>
  <c r="J21" i="5"/>
  <c r="D150" i="12"/>
  <c r="G381" i="4"/>
  <c r="AJ28"/>
  <c r="Y274" i="3"/>
  <c r="M391" i="5"/>
  <c r="E220" i="4"/>
  <c r="Q321" i="3"/>
  <c r="P137"/>
  <c r="Q394" i="5"/>
  <c r="AG220" i="4"/>
  <c r="Y321" i="3"/>
  <c r="Z137"/>
  <c r="L10" i="6"/>
  <c r="D225" i="4"/>
  <c r="S324" i="3"/>
  <c r="D141"/>
  <c r="P13" i="6"/>
  <c r="AF225" i="4"/>
  <c r="A325" i="3"/>
  <c r="M141"/>
  <c r="T16" i="6"/>
  <c r="D226" i="4"/>
  <c r="I325" i="3"/>
  <c r="V141"/>
  <c r="P45" i="6"/>
  <c r="AF231" i="4"/>
  <c r="C328" i="3"/>
  <c r="Z144"/>
  <c r="L228" i="5"/>
  <c r="P154" i="3"/>
  <c r="R173"/>
  <c r="Y52"/>
  <c r="R133" i="6"/>
  <c r="H181" i="3"/>
  <c r="Y19"/>
  <c r="F32"/>
  <c r="C28"/>
  <c r="S100"/>
  <c r="V298"/>
  <c r="B250"/>
  <c r="T85"/>
  <c r="B149"/>
  <c r="E88"/>
  <c r="V138"/>
  <c r="V358"/>
  <c r="R144" i="5"/>
  <c r="W325" i="3"/>
  <c r="C149" i="5"/>
  <c r="D257" i="4"/>
  <c r="T116" i="3"/>
  <c r="J170" i="6"/>
  <c r="O6"/>
  <c r="I409" i="5"/>
  <c r="E211"/>
  <c r="D236" i="7"/>
  <c r="D410" i="5"/>
  <c r="Q335"/>
  <c r="A202"/>
  <c r="P137" i="6"/>
  <c r="P118"/>
  <c r="B366" i="4"/>
  <c r="H305"/>
  <c r="P131" i="6"/>
  <c r="P112"/>
  <c r="AE358" i="4"/>
  <c r="A298"/>
  <c r="J303"/>
  <c r="H199"/>
  <c r="Z200" i="3"/>
  <c r="L111"/>
  <c r="D162" i="5"/>
  <c r="AJ21" i="4"/>
  <c r="X77" i="3"/>
  <c r="M234"/>
  <c r="L162" i="5"/>
  <c r="H22" i="4"/>
  <c r="F78" i="3"/>
  <c r="E236"/>
  <c r="D166" i="5"/>
  <c r="AI26" i="4"/>
  <c r="Z80" i="3"/>
  <c r="Y250"/>
  <c r="L166" i="5"/>
  <c r="G27" i="4"/>
  <c r="H81" i="3"/>
  <c r="O252"/>
  <c r="T166" i="5"/>
  <c r="AI27" i="4"/>
  <c r="P81" i="3"/>
  <c r="E254"/>
  <c r="L170" i="5"/>
  <c r="F32" i="4"/>
  <c r="J84" i="3"/>
  <c r="Y268"/>
  <c r="K209"/>
  <c r="A230"/>
  <c r="H183"/>
  <c r="H108"/>
  <c r="F165"/>
  <c r="G31"/>
  <c r="P46"/>
  <c r="X266"/>
  <c r="AG104" i="4"/>
  <c r="E368" i="6"/>
  <c r="M409" i="5"/>
  <c r="T201" i="6"/>
  <c r="D398" i="4"/>
  <c r="AJ312"/>
  <c r="W219" i="3"/>
  <c r="E381" i="4"/>
  <c r="L288" i="3"/>
  <c r="O335" i="6"/>
  <c r="C282"/>
  <c r="C203" i="7"/>
  <c r="E175" i="5"/>
  <c r="L111" i="6"/>
  <c r="D357" i="4"/>
  <c r="I296"/>
  <c r="H121" i="6"/>
  <c r="H102"/>
  <c r="AI345" i="4"/>
  <c r="E101" i="20"/>
  <c r="Q246" i="5"/>
  <c r="M41" i="6"/>
  <c r="B53" i="5"/>
  <c r="G159" i="20"/>
  <c r="Q240" i="5"/>
  <c r="M35" i="6"/>
  <c r="B47" i="5"/>
  <c r="I242" i="17"/>
  <c r="AI412" i="4"/>
  <c r="AE60"/>
  <c r="E301" i="3"/>
  <c r="H183" i="6"/>
  <c r="AG235" i="4"/>
  <c r="I341" i="3"/>
  <c r="D160"/>
  <c r="L186" i="6"/>
  <c r="E236" i="4"/>
  <c r="Q341" i="3"/>
  <c r="M160"/>
  <c r="H215" i="6"/>
  <c r="AG240" i="4"/>
  <c r="K344" i="3"/>
  <c r="Q163"/>
  <c r="L218" i="6"/>
  <c r="E241" i="4"/>
  <c r="S344" i="3"/>
  <c r="Z163"/>
  <c r="P221" i="6"/>
  <c r="AF241" i="4"/>
  <c r="A345" i="3"/>
  <c r="I164"/>
  <c r="L247" i="6"/>
  <c r="C246" i="4"/>
  <c r="U347" i="3"/>
  <c r="N167"/>
  <c r="K40" i="5"/>
  <c r="M252" i="3"/>
  <c r="S274"/>
  <c r="I111"/>
  <c r="G89" i="12"/>
  <c r="G25" i="3"/>
  <c r="C41"/>
  <c r="O63"/>
  <c r="Q375"/>
  <c r="V174"/>
  <c r="J125"/>
  <c r="M310"/>
  <c r="T36"/>
  <c r="V42"/>
  <c r="O259"/>
  <c r="K119"/>
  <c r="B220"/>
  <c r="A10"/>
  <c r="Z250"/>
  <c r="I103"/>
  <c r="F187" i="6"/>
  <c r="A311" i="4"/>
  <c r="J379" i="5"/>
  <c r="G32" i="6"/>
  <c r="D261" i="5"/>
  <c r="R236"/>
  <c r="C243" i="6"/>
  <c r="C23"/>
  <c r="T251" i="5"/>
  <c r="M227"/>
  <c r="H163" i="6"/>
  <c r="H144"/>
  <c r="AF397" i="4"/>
  <c r="AJ336"/>
  <c r="H157" i="6"/>
  <c r="H138"/>
  <c r="E390" i="4"/>
  <c r="AD329"/>
  <c r="C335"/>
  <c r="D232"/>
  <c r="H227" i="3"/>
  <c r="Z133"/>
  <c r="P187" i="5"/>
  <c r="AF53" i="4"/>
  <c r="P97" i="3"/>
  <c r="O339"/>
  <c r="D188" i="5"/>
  <c r="D54" i="4"/>
  <c r="X97" i="3"/>
  <c r="E341"/>
  <c r="P191" i="5"/>
  <c r="AE58" i="4"/>
  <c r="R100" i="3"/>
  <c r="Y355"/>
  <c r="D192" i="5"/>
  <c r="C59" i="4"/>
  <c r="Z100" i="3"/>
  <c r="O357"/>
  <c r="L192" i="5"/>
  <c r="AD59" i="4"/>
  <c r="H101" i="3"/>
  <c r="G359"/>
  <c r="D196" i="5"/>
  <c r="A64" i="4"/>
  <c r="E104" i="3"/>
  <c r="A374"/>
  <c r="K314"/>
  <c r="A335"/>
  <c r="Z390"/>
  <c r="F322"/>
  <c r="W264"/>
  <c r="W60"/>
  <c r="I94"/>
  <c r="I109"/>
  <c r="I341" i="4"/>
  <c r="F193" i="5"/>
  <c r="T98" i="6"/>
  <c r="P333" i="5"/>
  <c r="Q117"/>
  <c r="A393" i="4"/>
  <c r="K377" i="3"/>
  <c r="P20" i="5"/>
  <c r="E111" i="3"/>
  <c r="N416" i="6"/>
  <c r="B294"/>
  <c r="D205" i="7"/>
  <c r="AG373" i="4"/>
  <c r="D137" i="6"/>
  <c r="AG388" i="4"/>
  <c r="C328"/>
  <c r="T146" i="6"/>
  <c r="T127"/>
  <c r="J377" i="4"/>
  <c r="AG316"/>
  <c r="I272" i="5"/>
  <c r="E67" i="6"/>
  <c r="N78" i="5"/>
  <c r="R28"/>
  <c r="I266"/>
  <c r="E61" i="6"/>
  <c r="N72" i="5"/>
  <c r="R22"/>
  <c r="H27"/>
  <c r="G92" i="4"/>
  <c r="K327" i="3"/>
  <c r="A414" i="6"/>
  <c r="F267" i="4"/>
  <c r="A361" i="3"/>
  <c r="Q182"/>
  <c r="B10" i="7"/>
  <c r="AH267" i="4"/>
  <c r="I361" i="3"/>
  <c r="Z182"/>
  <c r="B202" i="7"/>
  <c r="E272" i="4"/>
  <c r="C364" i="3"/>
  <c r="D186"/>
  <c r="C223" i="7"/>
  <c r="AG272" i="4"/>
  <c r="K364" i="3"/>
  <c r="M186"/>
  <c r="D244" i="7"/>
  <c r="E273" i="4"/>
  <c r="S364" i="3"/>
  <c r="V186"/>
  <c r="K247" i="6"/>
  <c r="AG277" i="4"/>
  <c r="M367" i="3"/>
  <c r="A190"/>
  <c r="A287" i="5"/>
  <c r="M357" i="3"/>
  <c r="S379"/>
  <c r="A202"/>
  <c r="E108"/>
  <c r="A216"/>
  <c r="H83"/>
  <c r="U132"/>
  <c r="N195"/>
  <c r="J407"/>
  <c r="J323"/>
  <c r="C94" i="4"/>
  <c r="C266" i="3"/>
  <c r="H202" i="4"/>
  <c r="G336" i="3"/>
  <c r="S382"/>
  <c r="N63"/>
  <c r="C405"/>
  <c r="O375"/>
  <c r="B81"/>
  <c r="M99" i="5"/>
  <c r="C282" i="3"/>
  <c r="E171" i="6"/>
  <c r="S57"/>
  <c r="P286" i="5"/>
  <c r="J228" i="4"/>
  <c r="O268" i="6"/>
  <c r="O48"/>
  <c r="L277" i="5"/>
  <c r="E350"/>
  <c r="T188" i="6"/>
  <c r="T169"/>
  <c r="A15" i="5"/>
  <c r="F368" i="4"/>
  <c r="T182" i="6"/>
  <c r="T163"/>
  <c r="A9" i="5"/>
  <c r="AI360" i="4"/>
  <c r="H366"/>
  <c r="AH25"/>
  <c r="N253" i="3"/>
  <c r="M156"/>
  <c r="H213" i="5"/>
  <c r="G85" i="4"/>
  <c r="H119" i="3"/>
  <c r="J39"/>
  <c r="P213" i="5"/>
  <c r="AI85" i="4"/>
  <c r="Q119" i="3"/>
  <c r="R39"/>
  <c r="H217" i="5"/>
  <c r="F90" i="4"/>
  <c r="U122" i="3"/>
  <c r="L42"/>
  <c r="P217" i="5"/>
  <c r="AH90" i="4"/>
  <c r="D123" i="3"/>
  <c r="T42"/>
  <c r="D218" i="5"/>
  <c r="F91" i="4"/>
  <c r="N123" i="3"/>
  <c r="B43"/>
  <c r="P221" i="5"/>
  <c r="AH95" i="4"/>
  <c r="R126" i="3"/>
  <c r="V45"/>
  <c r="G6"/>
  <c r="Z9"/>
  <c r="U208"/>
  <c r="A81"/>
  <c r="W369"/>
  <c r="H128"/>
  <c r="B183"/>
  <c r="W266"/>
  <c r="L148" i="5"/>
  <c r="T209"/>
  <c r="H201" i="6"/>
  <c r="C49"/>
  <c r="A291" i="5"/>
  <c r="N18"/>
  <c r="J265" i="3"/>
  <c r="E70" i="5"/>
  <c r="I229" i="3"/>
  <c r="A100" i="13"/>
  <c r="I294" i="6"/>
  <c r="C285" i="7"/>
  <c r="D175" i="5"/>
  <c r="P162" i="6"/>
  <c r="Q7" i="5"/>
  <c r="G359" i="4"/>
  <c r="L172" i="6"/>
  <c r="L153"/>
  <c r="B409" i="4"/>
  <c r="C348"/>
  <c r="A298" i="5"/>
  <c r="Q92" i="6"/>
  <c r="F104" i="5"/>
  <c r="J54"/>
  <c r="A292"/>
  <c r="Q86" i="6"/>
  <c r="F98" i="5"/>
  <c r="J48"/>
  <c r="T52"/>
  <c r="A124" i="4"/>
  <c r="S353" i="3"/>
  <c r="T413" i="6"/>
  <c r="C299" i="4"/>
  <c r="S380" i="3"/>
  <c r="K206"/>
  <c r="C12" i="7"/>
  <c r="AE299" i="4"/>
  <c r="A381" i="3"/>
  <c r="U206"/>
  <c r="C204" i="7"/>
  <c r="C304" i="4"/>
  <c r="U383" i="3"/>
  <c r="M210"/>
  <c r="D225" i="7"/>
  <c r="AE304" i="4"/>
  <c r="C384" i="3"/>
  <c r="Y210"/>
  <c r="B247" i="7"/>
  <c r="C305" i="4"/>
  <c r="K384" i="3"/>
  <c r="I211"/>
  <c r="J259" i="6"/>
  <c r="J309" i="4"/>
  <c r="E387" i="3"/>
  <c r="A215"/>
  <c r="J170" i="5"/>
  <c r="M14" i="3"/>
  <c r="R18"/>
  <c r="I351"/>
  <c r="W33"/>
  <c r="S386"/>
  <c r="Q166"/>
  <c r="A227"/>
  <c r="F405"/>
  <c r="M356"/>
  <c r="H125"/>
  <c r="F9" i="5"/>
  <c r="AE134" i="4"/>
  <c r="L116" i="5"/>
  <c r="Z96" i="3"/>
  <c r="T30"/>
  <c r="P244"/>
  <c r="Z41"/>
  <c r="G203"/>
  <c r="E30"/>
  <c r="I280" i="4"/>
  <c r="P336" i="6"/>
  <c r="Q165" i="5"/>
  <c r="D16" i="4"/>
  <c r="T381" i="3"/>
  <c r="B168"/>
  <c r="AF42" i="4"/>
  <c r="L168" i="3"/>
  <c r="A299"/>
  <c r="AI408" i="4"/>
  <c r="L263" i="3"/>
  <c r="AG114" i="4"/>
  <c r="I267" i="3"/>
  <c r="A20" i="4"/>
  <c r="M417" i="3"/>
  <c r="O323"/>
  <c r="V399"/>
  <c r="O19"/>
  <c r="V165"/>
  <c r="W245"/>
  <c r="C270"/>
  <c r="AG342" i="4"/>
  <c r="P82" i="6"/>
  <c r="AJ321" i="4"/>
  <c r="AF260"/>
  <c r="L92" i="6"/>
  <c r="L73"/>
  <c r="AE310" i="4"/>
  <c r="B237" i="20"/>
  <c r="M214" i="6"/>
  <c r="Q12"/>
  <c r="F24" i="5"/>
  <c r="G258" i="17"/>
  <c r="M208" i="6"/>
  <c r="Q6"/>
  <c r="F18" i="5"/>
  <c r="C62" i="17"/>
  <c r="I377" i="4"/>
  <c r="AJ24"/>
  <c r="Q271" i="3"/>
  <c r="A366" i="5"/>
  <c r="E216" i="4"/>
  <c r="E319" i="3"/>
  <c r="U134"/>
  <c r="E369" i="5"/>
  <c r="AG216" i="4"/>
  <c r="M319" i="3"/>
  <c r="D135"/>
  <c r="A398" i="5"/>
  <c r="E221" i="4"/>
  <c r="G322" i="3"/>
  <c r="I138"/>
  <c r="E401" i="5"/>
  <c r="AG221" i="4"/>
  <c r="O322" i="3"/>
  <c r="R138"/>
  <c r="I404" i="5"/>
  <c r="E222" i="4"/>
  <c r="W322" i="3"/>
  <c r="A139"/>
  <c r="D20" i="6"/>
  <c r="AF226" i="4"/>
  <c r="Q325" i="3"/>
  <c r="E142"/>
  <c r="T202" i="5"/>
  <c r="I143" i="3"/>
  <c r="K162"/>
  <c r="B49"/>
  <c r="C342" i="5"/>
  <c r="B125" i="3"/>
  <c r="M17"/>
  <c r="T29"/>
  <c r="G18"/>
  <c r="I61"/>
  <c r="I414" i="4"/>
  <c r="T262" i="5"/>
  <c r="E98"/>
  <c r="B274" i="4"/>
  <c r="G14"/>
  <c r="G171" i="3"/>
  <c r="F83" i="4"/>
  <c r="L101" i="3"/>
  <c r="C405" i="17"/>
  <c r="C477"/>
  <c r="J185" i="6"/>
  <c r="B167"/>
  <c r="O5"/>
  <c r="B17" i="5"/>
  <c r="I794" i="17"/>
  <c r="E198" i="6"/>
  <c r="J409" i="5"/>
  <c r="R7"/>
  <c r="C134" i="13"/>
  <c r="N323" i="5"/>
  <c r="N117" i="6"/>
  <c r="C113" i="5"/>
  <c r="C14" i="13"/>
  <c r="N317" i="5"/>
  <c r="N111" i="6"/>
  <c r="C107" i="5"/>
  <c r="T292"/>
  <c r="B18" i="4"/>
  <c r="U195" i="3"/>
  <c r="Z379"/>
  <c r="G185" i="6"/>
  <c r="C77" i="4"/>
  <c r="L400" i="3"/>
  <c r="R232"/>
  <c r="K188" i="6"/>
  <c r="AE77" i="4"/>
  <c r="T400" i="3"/>
  <c r="D233"/>
  <c r="G217" i="6"/>
  <c r="B82" i="4"/>
  <c r="N403" i="3"/>
  <c r="V236"/>
  <c r="K220" i="6"/>
  <c r="J82" i="4"/>
  <c r="V403" i="3"/>
  <c r="F237"/>
  <c r="O223" i="6"/>
  <c r="B83" i="4"/>
  <c r="D404" i="3"/>
  <c r="P237"/>
  <c r="G256" i="5"/>
  <c r="J87" i="4"/>
  <c r="X406" i="3"/>
  <c r="H241"/>
  <c r="F311"/>
  <c r="E52" i="7"/>
  <c r="Q199" i="3"/>
  <c r="P67"/>
  <c r="J53" i="4"/>
  <c r="H158" i="5"/>
  <c r="O25" i="3"/>
  <c r="R38"/>
  <c r="E386"/>
  <c r="Y28"/>
  <c r="M250"/>
  <c r="K13"/>
  <c r="D358"/>
  <c r="U100"/>
  <c r="AE218" i="4"/>
  <c r="A386" i="3"/>
  <c r="N22"/>
  <c r="D40"/>
  <c r="K104"/>
  <c r="O231"/>
  <c r="F21" i="6"/>
  <c r="K9" i="3"/>
  <c r="M149" i="5"/>
  <c r="H108" i="6"/>
  <c r="F353" i="4"/>
  <c r="J292"/>
  <c r="D118" i="6"/>
  <c r="D99"/>
  <c r="A342" i="4"/>
  <c r="H35" i="6"/>
  <c r="H16"/>
  <c r="Q361" i="5"/>
  <c r="R204"/>
  <c r="H29" i="6"/>
  <c r="H10"/>
  <c r="Q313" i="5"/>
  <c r="R198"/>
  <c r="H203"/>
  <c r="AJ72" i="4"/>
  <c r="M110" i="3"/>
  <c r="O403"/>
  <c r="P59" i="5"/>
  <c r="H132" i="4"/>
  <c r="Q360" i="3"/>
  <c r="Y13"/>
  <c r="D60" i="5"/>
  <c r="AJ132" i="4"/>
  <c r="C361" i="3"/>
  <c r="G14"/>
  <c r="P63" i="5"/>
  <c r="H137" i="4"/>
  <c r="U364" i="3"/>
  <c r="A17"/>
  <c r="D64" i="5"/>
  <c r="AJ137" i="4"/>
  <c r="E365" i="3"/>
  <c r="I17"/>
  <c r="L64" i="5"/>
  <c r="H138" i="4"/>
  <c r="O365" i="3"/>
  <c r="Q17"/>
  <c r="D68" i="5"/>
  <c r="AI142" i="4"/>
  <c r="G369" i="3"/>
  <c r="K20"/>
  <c r="F9"/>
  <c r="C13"/>
  <c r="I176"/>
  <c r="I22"/>
  <c r="Y384"/>
  <c r="Q142"/>
  <c r="Y56"/>
  <c r="Q270"/>
  <c r="I152"/>
  <c r="E36" i="5"/>
  <c r="O283"/>
  <c r="O37" i="6"/>
  <c r="O190"/>
  <c r="E147" i="3"/>
  <c r="N226" i="6"/>
  <c r="E51" i="4"/>
  <c r="B538" i="17"/>
  <c r="H164" i="7"/>
  <c r="M412" i="6"/>
  <c r="K191" i="5"/>
  <c r="D9" i="6"/>
  <c r="E304" i="5"/>
  <c r="N197"/>
  <c r="T18" i="6"/>
  <c r="I361" i="5"/>
  <c r="E205"/>
  <c r="E349"/>
  <c r="A144" i="6"/>
  <c r="J155" i="5"/>
  <c r="D109" i="12"/>
  <c r="K345" i="5"/>
  <c r="AG286" i="4"/>
  <c r="I196" i="3"/>
  <c r="C182" i="5"/>
  <c r="D42" i="4"/>
  <c r="I385"/>
  <c r="X262" i="3"/>
  <c r="G8" i="5"/>
  <c r="I77" i="3"/>
  <c r="A131" i="4"/>
  <c r="S265" i="3"/>
  <c r="AH31" i="4"/>
  <c r="K190" i="5"/>
  <c r="R275" i="3"/>
  <c r="T154" i="5"/>
  <c r="I398" i="4"/>
  <c r="J205" i="3"/>
  <c r="M236"/>
  <c r="X375"/>
  <c r="J384" i="4"/>
  <c r="B94" i="5"/>
  <c r="N75"/>
  <c r="B260" i="7"/>
  <c r="J333" i="6"/>
  <c r="F97" i="5"/>
  <c r="R78"/>
  <c r="C281" i="7"/>
  <c r="N336" i="6"/>
  <c r="J100" i="5"/>
  <c r="B82"/>
  <c r="B14" i="8"/>
  <c r="R339" i="6"/>
  <c r="N103" i="5"/>
  <c r="F85"/>
  <c r="M242" i="6"/>
  <c r="B343"/>
  <c r="R106" i="5"/>
  <c r="J88"/>
  <c r="D174" i="7"/>
  <c r="B225" i="12"/>
  <c r="R268" i="6"/>
  <c r="H277" i="17"/>
  <c r="G17" i="16"/>
  <c r="B229" i="12"/>
  <c r="F269" i="6"/>
  <c r="B253"/>
  <c r="K229"/>
  <c r="S44"/>
  <c r="H24" i="5"/>
  <c r="J239" i="6"/>
  <c r="G220"/>
  <c r="O35"/>
  <c r="D15" i="5"/>
  <c r="C10" i="8"/>
  <c r="C211" i="6"/>
  <c r="K26"/>
  <c r="J417" i="4"/>
  <c r="C14" i="8"/>
  <c r="K211" i="6"/>
  <c r="L400"/>
  <c r="F18" i="9"/>
  <c r="E488" i="17"/>
  <c r="B126"/>
  <c r="B7" i="12"/>
  <c r="S371" i="6"/>
  <c r="F439" i="17"/>
  <c r="C77"/>
  <c r="A249" i="12"/>
  <c r="B342" i="6"/>
  <c r="A284" i="17"/>
  <c r="G24" i="16"/>
  <c r="B1" i="13"/>
  <c r="B272" i="6"/>
  <c r="I284" i="17"/>
  <c r="G25" i="16"/>
  <c r="H3" i="13"/>
  <c r="J272" i="6"/>
  <c r="N260"/>
  <c r="M240"/>
  <c r="C48"/>
  <c r="L27" i="5"/>
  <c r="J243" i="6"/>
  <c r="K223"/>
  <c r="S38"/>
  <c r="H18" i="5"/>
  <c r="J231" i="6"/>
  <c r="G214"/>
  <c r="O29"/>
  <c r="D9" i="5"/>
  <c r="R231" i="6"/>
  <c r="O214"/>
  <c r="E13" i="14"/>
  <c r="B171" i="17"/>
  <c r="E40" i="6"/>
  <c r="I31"/>
  <c r="K36"/>
  <c r="T15" i="5"/>
  <c r="B6" i="9"/>
  <c r="S211" i="6"/>
  <c r="G27"/>
  <c r="P6" i="5"/>
  <c r="D349" i="6"/>
  <c r="T336" i="5"/>
  <c r="E178"/>
  <c r="Q128"/>
  <c r="D343" i="6"/>
  <c r="T330" i="5"/>
  <c r="E172"/>
  <c r="Q122"/>
  <c r="G127"/>
  <c r="I227" i="4"/>
  <c r="C59" i="3"/>
  <c r="Z316"/>
  <c r="AE390" i="4"/>
  <c r="C50"/>
  <c r="P273" i="3"/>
  <c r="S173"/>
  <c r="C391" i="4"/>
  <c r="AE50"/>
  <c r="B274" i="3"/>
  <c r="B174"/>
  <c r="J395" i="4"/>
  <c r="C55"/>
  <c r="T277" i="3"/>
  <c r="F177"/>
  <c r="B396" i="4"/>
  <c r="AE55"/>
  <c r="D278" i="3"/>
  <c r="O177"/>
  <c r="J396" i="4"/>
  <c r="C56"/>
  <c r="N278" i="3"/>
  <c r="X177"/>
  <c r="A401" i="4"/>
  <c r="I60"/>
  <c r="F282" i="3"/>
  <c r="C181"/>
  <c r="Z10"/>
  <c r="A415"/>
  <c r="E33" i="4"/>
  <c r="Q388" i="3"/>
  <c r="K394"/>
  <c r="X147"/>
  <c r="L56"/>
  <c r="AI193" i="4"/>
  <c r="E257" i="5"/>
  <c r="H54" i="7"/>
  <c r="H31"/>
  <c r="I67" i="6"/>
  <c r="N191"/>
  <c r="L287" i="3"/>
  <c r="D31" i="4"/>
  <c r="B268" i="3"/>
  <c r="H226" i="4"/>
  <c r="E188" i="13"/>
  <c r="A62"/>
  <c r="H45" i="12"/>
  <c r="G276" i="5"/>
  <c r="T380"/>
  <c r="E222"/>
  <c r="Q172"/>
  <c r="M411" i="6"/>
  <c r="P371" i="5"/>
  <c r="A213"/>
  <c r="M163"/>
  <c r="H99" i="6"/>
  <c r="H80"/>
  <c r="AJ318" i="4"/>
  <c r="AH257"/>
  <c r="H93" i="6"/>
  <c r="H74"/>
  <c r="AE311" i="4"/>
  <c r="H250"/>
  <c r="AJ255"/>
  <c r="E152"/>
  <c r="T166" i="3"/>
  <c r="X80"/>
  <c r="P123" i="5"/>
  <c r="H211" i="4"/>
  <c r="J48" i="3"/>
  <c r="I95"/>
  <c r="D124" i="5"/>
  <c r="AI211" i="4"/>
  <c r="R48" i="3"/>
  <c r="O96"/>
  <c r="P127" i="5"/>
  <c r="D216" i="4"/>
  <c r="L51" i="3"/>
  <c r="G108"/>
  <c r="D128" i="5"/>
  <c r="AF216" i="4"/>
  <c r="T51" i="3"/>
  <c r="R109"/>
  <c r="L128" i="5"/>
  <c r="D217" i="4"/>
  <c r="B52" i="3"/>
  <c r="B111"/>
  <c r="D132" i="5"/>
  <c r="AF221" i="4"/>
  <c r="V54" i="3"/>
  <c r="S123"/>
  <c r="W80"/>
  <c r="Y91"/>
  <c r="U277"/>
  <c r="X87"/>
  <c r="M56"/>
  <c r="A396"/>
  <c r="R13"/>
  <c r="X195"/>
  <c r="AF197" i="4"/>
  <c r="O25" i="6"/>
  <c r="A30" i="7"/>
  <c r="I352" i="5"/>
  <c r="E13" i="6"/>
  <c r="E133" i="3"/>
  <c r="AG79" i="4"/>
  <c r="P215" i="3"/>
  <c r="AE211" i="4"/>
  <c r="E42" i="16"/>
  <c r="A126" i="13"/>
  <c r="B171" i="12"/>
  <c r="S301" i="5"/>
  <c r="D384"/>
  <c r="I225"/>
  <c r="A176"/>
  <c r="B2" i="7"/>
  <c r="T374" i="5"/>
  <c r="E216"/>
  <c r="Q166"/>
  <c r="L102" i="6"/>
  <c r="L83"/>
  <c r="AJ322" i="4"/>
  <c r="AF261"/>
  <c r="L96" i="6"/>
  <c r="L77"/>
  <c r="I315" i="4"/>
  <c r="G254"/>
  <c r="AI259"/>
  <c r="D156"/>
  <c r="O169" i="3"/>
  <c r="J83"/>
  <c r="B141" i="20"/>
  <c r="G42"/>
  <c r="F217" i="23"/>
  <c r="E182" i="7"/>
  <c r="C957" i="17"/>
  <c r="E254" i="7"/>
  <c r="D964" i="17"/>
  <c r="E262" i="7"/>
  <c r="E971" i="17"/>
  <c r="E270" i="7"/>
  <c r="B160" i="17"/>
  <c r="A62" i="16"/>
  <c r="H129" i="6"/>
  <c r="T110"/>
  <c r="C167" i="17"/>
  <c r="A70" i="16"/>
  <c r="L132" i="6"/>
  <c r="D114"/>
  <c r="D174" i="17"/>
  <c r="A78" i="16"/>
  <c r="P135" i="6"/>
  <c r="H117"/>
  <c r="E181" i="17"/>
  <c r="A86" i="16"/>
  <c r="T138" i="6"/>
  <c r="L120"/>
  <c r="F188" i="17"/>
  <c r="A94" i="16"/>
  <c r="D142" i="6"/>
  <c r="P123"/>
  <c r="H138" i="17"/>
  <c r="A38" i="16"/>
  <c r="H165" i="7"/>
  <c r="H83" i="20"/>
  <c r="I214" i="17"/>
  <c r="D117"/>
  <c r="H166" i="7"/>
  <c r="B9" i="17"/>
  <c r="M68" i="6"/>
  <c r="R279" i="5"/>
  <c r="J260" i="4"/>
  <c r="E215" i="13"/>
  <c r="I59" i="6"/>
  <c r="N270" i="5"/>
  <c r="E249" i="4"/>
  <c r="D136" i="17"/>
  <c r="E50" i="6"/>
  <c r="J261" i="5"/>
  <c r="E346"/>
  <c r="E143" i="17"/>
  <c r="M50" i="6"/>
  <c r="B992" i="17"/>
  <c r="C41" i="7"/>
  <c r="B979" i="17"/>
  <c r="C78" i="16"/>
  <c r="F78" i="13"/>
  <c r="T372" i="6"/>
  <c r="E13" i="20"/>
  <c r="C23" i="16"/>
  <c r="F23" i="13"/>
  <c r="F36" i="9"/>
  <c r="H139" i="20"/>
  <c r="C223" i="17"/>
  <c r="B167"/>
  <c r="H173" i="7"/>
  <c r="H147" i="20"/>
  <c r="E224" i="17"/>
  <c r="C174"/>
  <c r="H174" i="7"/>
  <c r="A66" i="17"/>
  <c r="Q71" i="6"/>
  <c r="B283" i="5"/>
  <c r="I264" i="4"/>
  <c r="B2" i="16"/>
  <c r="M62" i="6"/>
  <c r="R273" i="5"/>
  <c r="D253" i="4"/>
  <c r="C193" i="17"/>
  <c r="I53" i="6"/>
  <c r="N264" i="5"/>
  <c r="Q371"/>
  <c r="D200" i="17"/>
  <c r="Q53" i="6"/>
  <c r="F255" i="12"/>
  <c r="G194" i="17"/>
  <c r="I52" i="6"/>
  <c r="A34"/>
  <c r="J271" i="5"/>
  <c r="E250" i="4"/>
  <c r="F150" i="17"/>
  <c r="A51" i="6"/>
  <c r="F262" i="5"/>
  <c r="M352"/>
  <c r="H201" i="13"/>
  <c r="J155" i="6"/>
  <c r="K383" i="5"/>
  <c r="AF368" i="4"/>
  <c r="B35" i="12"/>
  <c r="J149" i="6"/>
  <c r="K377" i="5"/>
  <c r="E361" i="4"/>
  <c r="K156" i="6"/>
  <c r="AE72" i="4"/>
  <c r="R397" i="3"/>
  <c r="Z228"/>
  <c r="G232" i="5"/>
  <c r="AE131" i="4"/>
  <c r="F287" i="3"/>
  <c r="X98"/>
  <c r="K235" i="5"/>
  <c r="C132" i="4"/>
  <c r="N287" i="3"/>
  <c r="F99"/>
  <c r="D252" i="4"/>
  <c r="AE136"/>
  <c r="H290" i="3"/>
  <c r="Z101"/>
  <c r="C256" i="4"/>
  <c r="C137"/>
  <c r="P290" i="3"/>
  <c r="H102"/>
  <c r="B260" i="4"/>
  <c r="AE137"/>
  <c r="X290" i="3"/>
  <c r="P102"/>
  <c r="AH295" i="4"/>
  <c r="B142"/>
  <c r="R293" i="3"/>
  <c r="R105"/>
  <c r="R170"/>
  <c r="C18" i="5"/>
  <c r="Y240" i="3"/>
  <c r="F88"/>
  <c r="X298"/>
  <c r="F156" i="4"/>
  <c r="K204" i="6"/>
  <c r="I50" i="3"/>
  <c r="T7"/>
  <c r="A28" i="16"/>
  <c r="R84" i="6"/>
  <c r="AH392" i="4"/>
  <c r="F400" i="17"/>
  <c r="B147" i="4"/>
  <c r="L96" i="3"/>
  <c r="C71" i="4"/>
  <c r="S40" i="3"/>
  <c r="B13" i="4"/>
  <c r="E376" i="6"/>
  <c r="A180" i="7"/>
  <c r="O72" i="5"/>
  <c r="G54"/>
  <c r="J14" i="6"/>
  <c r="S9" i="5"/>
  <c r="D74" i="17"/>
  <c r="F190" i="6"/>
  <c r="H5"/>
  <c r="AE411" i="4"/>
  <c r="C232" i="6"/>
  <c r="O315" i="5"/>
  <c r="S126" i="6"/>
  <c r="H106" i="5"/>
  <c r="B14" i="7"/>
  <c r="O309" i="5"/>
  <c r="S120" i="6"/>
  <c r="H100" i="5"/>
  <c r="M161"/>
  <c r="J234" i="4"/>
  <c r="F203" i="3"/>
  <c r="H365"/>
  <c r="AF383" i="4"/>
  <c r="I55"/>
  <c r="M278" i="3"/>
  <c r="B218"/>
  <c r="D384" i="4"/>
  <c r="A56"/>
  <c r="Y278" i="3"/>
  <c r="L218"/>
  <c r="J388" i="4"/>
  <c r="G60"/>
  <c r="Q282" i="3"/>
  <c r="D222"/>
  <c r="B389" i="4"/>
  <c r="AI60"/>
  <c r="A283" i="3"/>
  <c r="N222"/>
  <c r="J389" i="4"/>
  <c r="G61"/>
  <c r="K283" i="3"/>
  <c r="Z222"/>
  <c r="B394" i="4"/>
  <c r="AH65"/>
  <c r="C287" i="3"/>
  <c r="R226"/>
  <c r="N108"/>
  <c r="AI91" i="4"/>
  <c r="C382" i="3"/>
  <c r="K319"/>
  <c r="D113"/>
  <c r="J301"/>
  <c r="E78" i="4"/>
  <c r="I99" i="3"/>
  <c r="U72"/>
  <c r="A329" i="6"/>
  <c r="J71" i="5"/>
  <c r="D361" i="4"/>
  <c r="AJ249"/>
  <c r="B132"/>
  <c r="N288" i="3"/>
  <c r="I212" i="4"/>
  <c r="N345" i="3"/>
  <c r="C250" i="4"/>
  <c r="Q401" i="6"/>
  <c r="A244" i="7"/>
  <c r="G98" i="5"/>
  <c r="S79"/>
  <c r="N17" i="6"/>
  <c r="C13" i="5"/>
  <c r="H95" i="12"/>
  <c r="J193" i="6"/>
  <c r="J8"/>
  <c r="I415" i="4"/>
  <c r="O257" i="6"/>
  <c r="S318" i="5"/>
  <c r="C130" i="6"/>
  <c r="L109" i="5"/>
  <c r="D184" i="7"/>
  <c r="S312" i="5"/>
  <c r="C124" i="6"/>
  <c r="L103" i="5"/>
  <c r="E187"/>
  <c r="AI239" i="4"/>
  <c r="R205" i="3"/>
  <c r="P368"/>
  <c r="A104" i="25"/>
  <c r="B26" i="9"/>
  <c r="G31" i="28"/>
  <c r="C290" i="6"/>
  <c r="C223" i="20"/>
  <c r="S318" i="6"/>
  <c r="C287" i="20"/>
  <c r="C322" i="6"/>
  <c r="B199" i="23"/>
  <c r="G325" i="6"/>
  <c r="B439" i="17"/>
  <c r="A8"/>
  <c r="C93" i="13"/>
  <c r="P309" i="5"/>
  <c r="G771" i="17"/>
  <c r="E36"/>
  <c r="C101" i="13"/>
  <c r="T312" i="5"/>
  <c r="D773" i="17"/>
  <c r="I64"/>
  <c r="C109" i="13"/>
  <c r="D316" i="5"/>
  <c r="A775" i="17"/>
  <c r="G106"/>
  <c r="C117" i="13"/>
  <c r="H319" i="5"/>
  <c r="F777" i="17"/>
  <c r="F163"/>
  <c r="C125" i="13"/>
  <c r="L322" i="5"/>
  <c r="C90" i="23"/>
  <c r="H25" i="16"/>
  <c r="E226" i="7"/>
  <c r="P307" i="6"/>
  <c r="E298" i="17"/>
  <c r="C5" i="13"/>
  <c r="E227" i="7"/>
  <c r="D308" i="6"/>
  <c r="T295"/>
  <c r="P283" i="5"/>
  <c r="A125"/>
  <c r="M75"/>
  <c r="P286" i="6"/>
  <c r="L274" i="5"/>
  <c r="Q115"/>
  <c r="I66"/>
  <c r="L277" i="6"/>
  <c r="H265" i="5"/>
  <c r="M106"/>
  <c r="E57"/>
  <c r="T277" i="6"/>
  <c r="F237" i="23"/>
  <c r="D94" i="17"/>
  <c r="C230" i="6"/>
  <c r="B509" i="17"/>
  <c r="H21" i="16"/>
  <c r="H31" i="9"/>
  <c r="B110" i="7"/>
  <c r="C460" i="17"/>
  <c r="C187" i="13"/>
  <c r="F5" i="10"/>
  <c r="M405" i="6"/>
  <c r="G304" i="17"/>
  <c r="C12" i="13"/>
  <c r="E234" i="7"/>
  <c r="T310" i="6"/>
  <c r="F305" i="17"/>
  <c r="C13" i="13"/>
  <c r="E235" i="7"/>
  <c r="H311" i="6"/>
  <c r="D299"/>
  <c r="T286" i="5"/>
  <c r="E128"/>
  <c r="Q78"/>
  <c r="T289" i="6"/>
  <c r="P277" i="5"/>
  <c r="A119"/>
  <c r="M69"/>
  <c r="P280" i="6"/>
  <c r="L268" i="5"/>
  <c r="Q109"/>
  <c r="I60"/>
  <c r="D281" i="6"/>
  <c r="C216" i="13"/>
  <c r="F290" i="7"/>
  <c r="F116"/>
  <c r="E400" i="5"/>
  <c r="H275"/>
  <c r="M116"/>
  <c r="E67"/>
  <c r="H278" i="6"/>
  <c r="D266" i="5"/>
  <c r="I107"/>
  <c r="A58"/>
  <c r="Q406"/>
  <c r="M201" i="6"/>
  <c r="B213" i="5"/>
  <c r="F163"/>
  <c r="Q400"/>
  <c r="M195" i="6"/>
  <c r="B207" i="5"/>
  <c r="F157"/>
  <c r="P161"/>
  <c r="H21" i="4"/>
  <c r="P77" i="3"/>
  <c r="H219" i="20"/>
  <c r="D18" i="5"/>
  <c r="AJ80" i="4"/>
  <c r="A318" i="3"/>
  <c r="G223" i="20"/>
  <c r="L18" i="5"/>
  <c r="H81" i="4"/>
  <c r="K318" i="3"/>
  <c r="Q290"/>
  <c r="D22" i="5"/>
  <c r="AJ85" i="4"/>
  <c r="C322" i="3"/>
  <c r="K305"/>
  <c r="L22" i="5"/>
  <c r="H86" i="4"/>
  <c r="M322" i="3"/>
  <c r="A307"/>
  <c r="T22" i="5"/>
  <c r="AJ86" i="4"/>
  <c r="Y322" i="3"/>
  <c r="Q308"/>
  <c r="L26" i="5"/>
  <c r="G91" i="4"/>
  <c r="Q326" i="3"/>
  <c r="K323"/>
  <c r="Q263"/>
  <c r="C286"/>
  <c r="B227"/>
  <c r="J30"/>
  <c r="E201"/>
  <c r="F44"/>
  <c r="G68"/>
  <c r="N142"/>
  <c r="I68" i="4"/>
  <c r="G221" i="6"/>
  <c r="F307" i="5"/>
  <c r="N197" i="6"/>
  <c r="K33" i="5"/>
  <c r="D224" i="4"/>
  <c r="T147" i="3"/>
  <c r="AG265" i="4"/>
  <c r="D174" i="3"/>
  <c r="D6" i="20"/>
  <c r="H203"/>
  <c r="I122" i="17"/>
  <c r="A311"/>
  <c r="P18" i="6"/>
  <c r="A381" i="5"/>
  <c r="F207"/>
  <c r="L28" i="6"/>
  <c r="L9"/>
  <c r="I307" i="5"/>
  <c r="C824" i="17"/>
  <c r="M150" i="6"/>
  <c r="R361" i="5"/>
  <c r="AF361" i="4"/>
  <c r="D514" i="17"/>
  <c r="M144" i="6"/>
  <c r="R355" i="5"/>
  <c r="F354" i="4"/>
  <c r="L407" i="6"/>
  <c r="AE298" i="4"/>
  <c r="K380" i="3"/>
  <c r="A206"/>
  <c r="N263" i="5"/>
  <c r="I137" i="4"/>
  <c r="Y269" i="3"/>
  <c r="Q81"/>
  <c r="R266" i="5"/>
  <c r="A138" i="4"/>
  <c r="G270" i="3"/>
  <c r="Y81"/>
  <c r="N295" i="5"/>
  <c r="H142" i="4"/>
  <c r="A273" i="3"/>
  <c r="S84"/>
  <c r="R298" i="5"/>
  <c r="AJ142" i="4"/>
  <c r="I273" i="3"/>
  <c r="A85"/>
  <c r="B302" i="5"/>
  <c r="H143" i="4"/>
  <c r="Q273" i="3"/>
  <c r="I85"/>
  <c r="R330" i="5"/>
  <c r="AJ147" i="4"/>
  <c r="K276" i="3"/>
  <c r="C88"/>
  <c r="G45" i="4"/>
  <c r="R24" i="3"/>
  <c r="W28"/>
  <c r="Y362"/>
  <c r="R208" i="5"/>
  <c r="D11" i="3"/>
  <c r="Y215"/>
  <c r="G281"/>
  <c r="O95"/>
  <c r="K28"/>
  <c r="G7" i="6"/>
  <c r="O289" i="5"/>
  <c r="M121" i="6"/>
  <c r="C187" i="5"/>
  <c r="T14"/>
  <c r="N349" i="3"/>
  <c r="D224" i="5"/>
  <c r="B354" i="3"/>
  <c r="C19" i="20"/>
  <c r="G207"/>
  <c r="A185" i="17"/>
  <c r="C317"/>
  <c r="T21" i="6"/>
  <c r="M406" i="5"/>
  <c r="J210"/>
  <c r="P31" i="6"/>
  <c r="P12"/>
  <c r="A333" i="5"/>
  <c r="G278" i="17"/>
  <c r="Q153" i="6"/>
  <c r="B365" i="5"/>
  <c r="AE365" i="4"/>
  <c r="B625" i="17"/>
  <c r="Q147" i="6"/>
  <c r="B359" i="5"/>
  <c r="E358" i="4"/>
  <c r="C140" i="7"/>
  <c r="AE302" i="4"/>
  <c r="W382" i="3"/>
  <c r="G209"/>
  <c r="F289" i="5"/>
  <c r="C37" i="25"/>
  <c r="H19" i="13"/>
  <c r="H769" i="17"/>
  <c r="J302" i="6"/>
  <c r="H833" i="17"/>
  <c r="F331" i="6"/>
  <c r="I840" i="17"/>
  <c r="J334" i="6"/>
  <c r="A848" i="17"/>
  <c r="N337" i="6"/>
  <c r="A882" i="17"/>
  <c r="B93" i="13"/>
  <c r="C111" i="6"/>
  <c r="O92"/>
  <c r="A4" i="14"/>
  <c r="B101" i="13"/>
  <c r="G114" i="6"/>
  <c r="S95"/>
  <c r="A12" i="14"/>
  <c r="B109" i="13"/>
  <c r="K117" i="6"/>
  <c r="C99"/>
  <c r="H4" i="15"/>
  <c r="B117" i="13"/>
  <c r="O120" i="6"/>
  <c r="G102"/>
  <c r="H12" i="15"/>
  <c r="B125" i="13"/>
  <c r="S123" i="6"/>
  <c r="K105"/>
  <c r="G162" i="17"/>
  <c r="B69" i="13"/>
  <c r="B122" i="6"/>
  <c r="N103"/>
  <c r="G147" i="13"/>
  <c r="H173" i="12"/>
  <c r="F125" i="6"/>
  <c r="R106"/>
  <c r="N113"/>
  <c r="C226"/>
  <c r="N279" i="3"/>
  <c r="Q380"/>
  <c r="U384"/>
  <c r="W388"/>
  <c r="AF333" i="4"/>
  <c r="U260" i="3"/>
  <c r="S273" i="5"/>
  <c r="P386"/>
  <c r="G268" i="3"/>
  <c r="G132"/>
  <c r="T135"/>
  <c r="H139"/>
  <c r="W106"/>
  <c r="X170"/>
  <c r="C277" i="5"/>
  <c r="T389"/>
  <c r="O271" i="3"/>
  <c r="P75" i="5"/>
  <c r="F152" i="4"/>
  <c r="C377" i="3"/>
  <c r="G26"/>
  <c r="D76" i="5"/>
  <c r="AH152" i="4"/>
  <c r="M377" i="3"/>
  <c r="O26"/>
  <c r="P79" i="5"/>
  <c r="E157" i="4"/>
  <c r="E381" i="3"/>
  <c r="I29"/>
  <c r="D80" i="5"/>
  <c r="AG157" i="4"/>
  <c r="O381" i="3"/>
  <c r="Q29"/>
  <c r="L80" i="5"/>
  <c r="E158" i="4"/>
  <c r="A382" i="3"/>
  <c r="Y29"/>
  <c r="D84" i="5"/>
  <c r="AE162" i="4"/>
  <c r="S385" i="3"/>
  <c r="S32"/>
  <c r="N21"/>
  <c r="K25"/>
  <c r="B304"/>
  <c r="S89"/>
  <c r="G12"/>
  <c r="C199"/>
  <c r="U262"/>
  <c r="N194"/>
  <c r="AI195" i="4"/>
  <c r="B374"/>
  <c r="E209" i="3"/>
  <c r="D387" i="4"/>
  <c r="F248" i="3"/>
  <c r="L224" i="5"/>
  <c r="C50" i="12"/>
  <c r="B331" i="5"/>
  <c r="N312"/>
  <c r="F206" i="13"/>
  <c r="G232" i="12"/>
  <c r="F334" i="5"/>
  <c r="R315"/>
  <c r="N322"/>
  <c r="N21" i="6"/>
  <c r="Y121" i="3"/>
  <c r="X326"/>
  <c r="Z329"/>
  <c r="B333"/>
  <c r="A54" i="7"/>
  <c r="H367" i="3"/>
  <c r="N65" i="6"/>
  <c r="C178"/>
  <c r="P242" i="3"/>
  <c r="K331"/>
  <c r="O335"/>
  <c r="Q339"/>
  <c r="AH111" i="4"/>
  <c r="L185" i="3"/>
  <c r="R68" i="6"/>
  <c r="G181"/>
  <c r="B245" i="3"/>
  <c r="H101" i="5"/>
  <c r="AI183" i="4"/>
  <c r="I403" i="3"/>
  <c r="Y50"/>
  <c r="P101" i="5"/>
  <c r="G184" i="4"/>
  <c r="S403" i="3"/>
  <c r="K51"/>
  <c r="H105" i="5"/>
  <c r="AH188" i="4"/>
  <c r="K407" i="3"/>
  <c r="E56"/>
  <c r="P105" i="5"/>
  <c r="F189" i="4"/>
  <c r="W407" i="3"/>
  <c r="U56"/>
  <c r="D106" i="5"/>
  <c r="AG189" i="4"/>
  <c r="G408" i="3"/>
  <c r="L57"/>
  <c r="P109" i="5"/>
  <c r="D194" i="4"/>
  <c r="Y411" i="3"/>
  <c r="V64"/>
  <c r="I43"/>
  <c r="O49"/>
  <c r="U108"/>
  <c r="T6"/>
  <c r="Y31"/>
  <c r="E304"/>
  <c r="W367"/>
  <c r="B404"/>
  <c r="AD212" i="4"/>
  <c r="A339" i="5"/>
  <c r="Y392" i="3"/>
  <c r="K134" i="5"/>
  <c r="T405" i="3"/>
  <c r="AE392" i="4"/>
  <c r="C301" i="17"/>
  <c r="Q122" i="6"/>
  <c r="I104"/>
  <c r="E183" i="13"/>
  <c r="F209" i="12"/>
  <c r="A126" i="6"/>
  <c r="M107"/>
  <c r="I114"/>
  <c r="J226"/>
  <c r="M279" i="3"/>
  <c r="I169"/>
  <c r="K172"/>
  <c r="M175"/>
  <c r="S322"/>
  <c r="G403"/>
  <c r="N274" i="5"/>
  <c r="O386"/>
  <c r="D400" i="3"/>
  <c r="Z289"/>
  <c r="B293"/>
  <c r="D296"/>
  <c r="C413" i="5"/>
  <c r="V343" i="3"/>
  <c r="R277" i="5"/>
  <c r="S389"/>
  <c r="P402" i="3"/>
  <c r="T126" i="5"/>
  <c r="D215" i="4"/>
  <c r="V50" i="3"/>
  <c r="L105"/>
  <c r="H127" i="5"/>
  <c r="AF215" i="4"/>
  <c r="D51" i="3"/>
  <c r="V106"/>
  <c r="T130" i="5"/>
  <c r="D220" i="4"/>
  <c r="X53" i="3"/>
  <c r="N119"/>
  <c r="H131" i="5"/>
  <c r="AF220" i="4"/>
  <c r="F54" i="3"/>
  <c r="X120"/>
  <c r="P131" i="5"/>
  <c r="D221" i="4"/>
  <c r="N54" i="3"/>
  <c r="I122"/>
  <c r="H135" i="5"/>
  <c r="AE225" i="4"/>
  <c r="H57" i="3"/>
  <c r="Z134"/>
  <c r="O87"/>
  <c r="U101"/>
  <c r="A304"/>
  <c r="J118"/>
  <c r="S62"/>
  <c r="E409"/>
  <c r="D16"/>
  <c r="W221"/>
  <c r="AI229" i="4"/>
  <c r="C146" i="6"/>
  <c r="L316" i="3"/>
  <c r="AE281" i="4"/>
  <c r="U174" i="3"/>
  <c r="S138" i="5"/>
  <c r="G621" i="17"/>
  <c r="P100" i="6"/>
  <c r="H82"/>
  <c r="E22" i="16"/>
  <c r="D13" i="13"/>
  <c r="T103" i="6"/>
  <c r="L85"/>
  <c r="H92"/>
  <c r="I22"/>
  <c r="AI36" i="4"/>
  <c r="W326" i="3"/>
  <c r="Y329"/>
  <c r="A333"/>
  <c r="W24"/>
  <c r="AI77" i="4"/>
  <c r="I66" i="6"/>
  <c r="J178"/>
  <c r="O242" i="3"/>
  <c r="K132"/>
  <c r="M135"/>
  <c r="O138"/>
  <c r="A136"/>
  <c r="H62" i="4"/>
  <c r="M69" i="6"/>
  <c r="N181"/>
  <c r="A245" i="3"/>
  <c r="L152" i="5"/>
  <c r="AJ9" i="4"/>
  <c r="N70" i="3"/>
  <c r="L195"/>
  <c r="T152" i="5"/>
  <c r="H10" i="4"/>
  <c r="V70" i="3"/>
  <c r="W196"/>
  <c r="L156" i="5"/>
  <c r="AJ14" i="4"/>
  <c r="P73" i="3"/>
  <c r="O211"/>
  <c r="T156" i="5"/>
  <c r="H15" i="4"/>
  <c r="X73" i="3"/>
  <c r="E213"/>
  <c r="H157" i="5"/>
  <c r="AJ15" i="4"/>
  <c r="F74" i="3"/>
  <c r="U214"/>
  <c r="T160" i="5"/>
  <c r="H20" i="4"/>
  <c r="Z76" i="3"/>
  <c r="O229"/>
  <c r="X173"/>
  <c r="P191"/>
  <c r="T115"/>
  <c r="H115"/>
  <c r="L131"/>
  <c r="W23"/>
  <c r="B36"/>
  <c r="V207"/>
  <c r="J9" i="4"/>
  <c r="B44" i="6"/>
  <c r="M119" i="3"/>
  <c r="F137" i="5"/>
  <c r="O328" i="3"/>
  <c r="C287" i="4"/>
  <c r="I625" i="17"/>
  <c r="H309" i="5"/>
  <c r="T290"/>
  <c r="D214" i="17"/>
  <c r="C76" i="13"/>
  <c r="L312" i="5"/>
  <c r="D294"/>
  <c r="T300"/>
  <c r="E227" i="6"/>
  <c r="D53" i="4"/>
  <c r="D113"/>
  <c r="B118"/>
  <c r="A123"/>
  <c r="W88" i="3"/>
  <c r="AE397" i="4"/>
  <c r="H44" i="6"/>
  <c r="J387" i="5"/>
  <c r="C400" i="3"/>
  <c r="Y289"/>
  <c r="A293"/>
  <c r="C296"/>
  <c r="Y320"/>
  <c r="L168" i="5"/>
  <c r="L47" i="6"/>
  <c r="N390" i="5"/>
  <c r="O402" i="3"/>
  <c r="D178" i="5"/>
  <c r="AG41" i="4"/>
  <c r="F90" i="3"/>
  <c r="E300"/>
  <c r="L178" i="5"/>
  <c r="E42" i="4"/>
  <c r="N90" i="3"/>
  <c r="U301"/>
  <c r="D182" i="5"/>
  <c r="AF46" i="4"/>
  <c r="H93" i="3"/>
  <c r="O316"/>
  <c r="L182" i="5"/>
  <c r="D47" i="4"/>
  <c r="P93" i="3"/>
  <c r="E318"/>
  <c r="T182" i="5"/>
  <c r="AF47" i="4"/>
  <c r="X93" i="3"/>
  <c r="W319"/>
  <c r="L186" i="5"/>
  <c r="D52" i="4"/>
  <c r="R96" i="3"/>
  <c r="Q334"/>
  <c r="A275"/>
  <c r="Q295"/>
  <c r="F312"/>
  <c r="J124"/>
  <c r="M225"/>
  <c r="C47"/>
  <c r="D73"/>
  <c r="J365"/>
  <c r="AE246" i="4"/>
  <c r="B381" i="5"/>
  <c r="Q237" i="3"/>
  <c r="A417" i="4"/>
  <c r="D268" i="3"/>
  <c r="J154" i="5"/>
  <c r="G198" i="20"/>
  <c r="K101" i="6"/>
  <c r="C83"/>
  <c r="G222" i="17"/>
  <c r="B77" i="13"/>
  <c r="O104" i="6"/>
  <c r="G86"/>
  <c r="C93"/>
  <c r="D205"/>
  <c r="H69" i="4"/>
  <c r="G129"/>
  <c r="G134"/>
  <c r="G139"/>
  <c r="E261" i="3"/>
  <c r="F211" i="6"/>
  <c r="T252" i="5"/>
  <c r="E179" i="6"/>
  <c r="AE231" i="4"/>
  <c r="AG53"/>
  <c r="AF58"/>
  <c r="J63"/>
  <c r="N24" i="3"/>
  <c r="J191" i="6"/>
  <c r="D256" i="5"/>
  <c r="I182" i="6"/>
  <c r="AI236" i="4"/>
  <c r="P203" i="5"/>
  <c r="H73" i="4"/>
  <c r="V110" i="3"/>
  <c r="E405"/>
  <c r="D204" i="5"/>
  <c r="AJ73" i="4"/>
  <c r="F111" i="3"/>
  <c r="U406"/>
  <c r="P207" i="5"/>
  <c r="H78" i="4"/>
  <c r="J114" i="3"/>
  <c r="B35"/>
  <c r="D208" i="5"/>
  <c r="AJ78" i="4"/>
  <c r="S114" i="3"/>
  <c r="J35"/>
  <c r="L208" i="5"/>
  <c r="H79" i="4"/>
  <c r="B115" i="3"/>
  <c r="R35"/>
  <c r="D212" i="5"/>
  <c r="AI83" i="4"/>
  <c r="F118" i="3"/>
  <c r="L38"/>
  <c r="A380"/>
  <c r="Q400"/>
  <c r="Q139"/>
  <c r="Z267"/>
  <c r="M330"/>
  <c r="Q95"/>
  <c r="H149"/>
  <c r="U207"/>
  <c r="P71" i="5"/>
  <c r="T73" i="6"/>
  <c r="U355" i="3"/>
  <c r="G9" i="6"/>
  <c r="H386" i="3"/>
  <c r="G40" i="5"/>
  <c r="E50" i="23"/>
  <c r="K310" i="5"/>
  <c r="C292"/>
  <c r="A212" i="13"/>
  <c r="D92" i="17"/>
  <c r="O313" i="5"/>
  <c r="G295"/>
  <c r="D233" i="6"/>
  <c r="P413" i="5"/>
  <c r="AG85" i="4"/>
  <c r="AG145"/>
  <c r="AF150"/>
  <c r="AE155"/>
  <c r="K349" i="3"/>
  <c r="H411"/>
  <c r="C45" i="6"/>
  <c r="D157"/>
  <c r="AI9" i="4"/>
  <c r="A70"/>
  <c r="AJ74"/>
  <c r="AJ79"/>
  <c r="G87" i="3"/>
  <c r="L199"/>
  <c r="G48" i="6"/>
  <c r="H160"/>
  <c r="AI13" i="4"/>
  <c r="H229" i="5"/>
  <c r="C105" i="4"/>
  <c r="J133" i="3"/>
  <c r="R51"/>
  <c r="P229" i="5"/>
  <c r="AE105" i="4"/>
  <c r="S133" i="3"/>
  <c r="Z51"/>
  <c r="H233" i="5"/>
  <c r="C110" i="4"/>
  <c r="W136" i="3"/>
  <c r="T54"/>
  <c r="P233" i="5"/>
  <c r="AE110" i="4"/>
  <c r="F137" i="3"/>
  <c r="B55"/>
  <c r="D234" i="5"/>
  <c r="C111" i="4"/>
  <c r="O137" i="3"/>
  <c r="J55"/>
  <c r="E240" i="5"/>
  <c r="J115" i="4"/>
  <c r="T140" i="3"/>
  <c r="D58"/>
  <c r="S18"/>
  <c r="H22"/>
  <c r="A340"/>
  <c r="S346"/>
  <c r="L9"/>
  <c r="O184"/>
  <c r="I246"/>
  <c r="I365"/>
  <c r="E267" i="4"/>
  <c r="T384" i="5"/>
  <c r="G96" i="4"/>
  <c r="D193" i="6"/>
  <c r="I189" i="3"/>
  <c r="K44" i="6"/>
  <c r="D438" i="17"/>
  <c r="F102" i="6"/>
  <c r="R83"/>
  <c r="B84" i="17"/>
  <c r="B93"/>
  <c r="J105" i="6"/>
  <c r="B87"/>
  <c r="I12" i="5"/>
  <c r="S205" i="6"/>
  <c r="H102" i="4"/>
  <c r="AJ161"/>
  <c r="AJ166"/>
  <c r="AI171"/>
  <c r="L99" i="3"/>
  <c r="P417"/>
  <c r="E265" i="5"/>
  <c r="P365"/>
  <c r="E26" i="4"/>
  <c r="F86"/>
  <c r="E91"/>
  <c r="E96"/>
  <c r="U257" i="3"/>
  <c r="K235"/>
  <c r="Q290" i="5"/>
  <c r="T368"/>
  <c r="E30" i="4"/>
  <c r="E364" i="5"/>
  <c r="AI136" i="4"/>
  <c r="W155" i="3"/>
  <c r="J71"/>
  <c r="I367" i="5"/>
  <c r="G137" i="4"/>
  <c r="F156" i="3"/>
  <c r="R71"/>
  <c r="E396" i="5"/>
  <c r="AH141" i="4"/>
  <c r="J159" i="3"/>
  <c r="L74"/>
  <c r="I399" i="5"/>
  <c r="F142" i="4"/>
  <c r="S159" i="3"/>
  <c r="T74"/>
  <c r="M402" i="5"/>
  <c r="AH142" i="4"/>
  <c r="B160" i="3"/>
  <c r="B75"/>
  <c r="A251" i="4"/>
  <c r="F147"/>
  <c r="G163" i="3"/>
  <c r="V77"/>
  <c r="L39"/>
  <c r="O44"/>
  <c r="L296"/>
  <c r="X25"/>
  <c r="D29"/>
  <c r="K287"/>
  <c r="Y25"/>
  <c r="B175" i="4"/>
  <c r="K88" i="5"/>
  <c r="S334"/>
  <c r="D49" i="4"/>
  <c r="E212" i="6"/>
  <c r="M307" i="3"/>
  <c r="G24" i="6"/>
  <c r="G172" i="24"/>
  <c r="H177" i="13"/>
  <c r="H186"/>
  <c r="S118" i="6"/>
  <c r="P361" i="5"/>
  <c r="A203"/>
  <c r="M153"/>
  <c r="E373" i="6"/>
  <c r="L352" i="5"/>
  <c r="Q193"/>
  <c r="I144"/>
  <c r="D80" i="6"/>
  <c r="D61"/>
  <c r="E295" i="4"/>
  <c r="Q321" i="5"/>
  <c r="D74" i="6"/>
  <c r="D55"/>
  <c r="AH287" i="4"/>
  <c r="Q273" i="5"/>
  <c r="Q309"/>
  <c r="G128" i="4"/>
  <c r="W149" i="3"/>
  <c r="D66"/>
  <c r="L104" i="5"/>
  <c r="AH187" i="4"/>
  <c r="Q406" i="3"/>
  <c r="Y54"/>
  <c r="T104" i="5"/>
  <c r="F188" i="4"/>
  <c r="A407" i="3"/>
  <c r="O55"/>
  <c r="L108" i="5"/>
  <c r="AG192" i="4"/>
  <c r="S410" i="3"/>
  <c r="J62"/>
  <c r="T108" i="5"/>
  <c r="E193" i="4"/>
  <c r="C411" i="3"/>
  <c r="G63"/>
  <c r="H109" i="5"/>
  <c r="AF193" i="4"/>
  <c r="O411" i="3"/>
  <c r="Y63"/>
  <c r="T112" i="5"/>
  <c r="A198" i="4"/>
  <c r="G415" i="3"/>
  <c r="I71"/>
  <c r="H47"/>
  <c r="M53"/>
  <c r="H131"/>
  <c r="H14"/>
  <c r="K34"/>
  <c r="G317"/>
  <c r="Y380"/>
  <c r="E66"/>
  <c r="H7" i="4"/>
  <c r="M14" i="6"/>
  <c r="K249"/>
  <c r="B229"/>
  <c r="S216"/>
  <c r="F417" i="5"/>
  <c r="G206" i="3"/>
  <c r="D241" i="6"/>
  <c r="A178" i="4"/>
  <c r="E47" i="12"/>
  <c r="F34" i="7"/>
  <c r="S360" i="6"/>
  <c r="B157" i="5"/>
  <c r="L262"/>
  <c r="Q103"/>
  <c r="I54"/>
  <c r="L265" i="6"/>
  <c r="H253" i="5"/>
  <c r="M94"/>
  <c r="E45"/>
  <c r="A394"/>
  <c r="Q188" i="6"/>
  <c r="F200" i="5"/>
  <c r="J150"/>
  <c r="A388"/>
  <c r="Q182" i="6"/>
  <c r="F194" i="5"/>
  <c r="J144"/>
  <c r="T148"/>
  <c r="H247" i="4"/>
  <c r="T67" i="3"/>
  <c r="I293" i="17"/>
  <c r="F417" i="4"/>
  <c r="B65"/>
  <c r="W304" i="3"/>
  <c r="H350" i="17"/>
  <c r="AG417" i="4"/>
  <c r="J65"/>
  <c r="G305" i="3"/>
  <c r="F463" i="17"/>
  <c r="H9" i="5"/>
  <c r="B70" i="4"/>
  <c r="Y308" i="3"/>
  <c r="E520" i="17"/>
  <c r="P9" i="5"/>
  <c r="J70" i="4"/>
  <c r="K309" i="3"/>
  <c r="C649" i="17"/>
  <c r="D10" i="5"/>
  <c r="B71" i="4"/>
  <c r="U309" i="3"/>
  <c r="C880" i="17"/>
  <c r="P13" i="5"/>
  <c r="I75" i="4"/>
  <c r="M313" i="3"/>
  <c r="B230" i="13"/>
  <c r="C211" i="3"/>
  <c r="O233"/>
  <c r="V132"/>
  <c r="I363"/>
  <c r="Q155"/>
  <c r="X31"/>
  <c r="P47"/>
  <c r="W58"/>
  <c r="A179" i="4"/>
  <c r="O202" i="6"/>
  <c r="AJ127" i="4"/>
  <c r="I7" i="6"/>
  <c r="X221" i="3"/>
  <c r="H173" i="5"/>
  <c r="H132" i="3"/>
  <c r="G15" i="16"/>
  <c r="C219" i="13"/>
  <c r="S149" i="6"/>
  <c r="A190" i="13"/>
  <c r="A16"/>
  <c r="K327" i="5"/>
  <c r="H387"/>
  <c r="M228"/>
  <c r="E179"/>
  <c r="C23" i="7"/>
  <c r="D378" i="5"/>
  <c r="I219"/>
  <c r="A170"/>
  <c r="P105" i="6"/>
  <c r="P86"/>
  <c r="AJ326" i="4"/>
  <c r="AE265"/>
  <c r="P99" i="6"/>
  <c r="P80"/>
  <c r="H319" i="4"/>
  <c r="F258"/>
  <c r="AH263"/>
  <c r="C160"/>
  <c r="J172" i="3"/>
  <c r="V85"/>
  <c r="D130" i="5"/>
  <c r="D219" i="4"/>
  <c r="H53" i="3"/>
  <c r="R116"/>
  <c r="L130" i="5"/>
  <c r="AF219" i="4"/>
  <c r="P53" i="3"/>
  <c r="C118"/>
  <c r="D134" i="5"/>
  <c r="C224" i="4"/>
  <c r="J56" i="3"/>
  <c r="T130"/>
  <c r="L134" i="5"/>
  <c r="AE224" i="4"/>
  <c r="R56" i="3"/>
  <c r="E132"/>
  <c r="T134" i="5"/>
  <c r="C225" i="4"/>
  <c r="Z56" i="3"/>
  <c r="O133"/>
  <c r="L138" i="5"/>
  <c r="E230" i="4"/>
  <c r="T59" i="3"/>
  <c r="F146"/>
  <c r="E96"/>
  <c r="V112"/>
  <c r="I330"/>
  <c r="D152"/>
  <c r="K69"/>
  <c r="M6"/>
  <c r="P18"/>
  <c r="E248"/>
  <c r="J24" i="4"/>
  <c r="D228" i="7"/>
  <c r="S351" i="6"/>
  <c r="J352" i="5"/>
  <c r="G374"/>
  <c r="A182" i="7"/>
  <c r="S304" i="3"/>
  <c r="E229" i="20"/>
  <c r="C99" i="4"/>
  <c r="I407" i="17"/>
  <c r="E33" i="7"/>
  <c r="J360" i="6"/>
  <c r="B372" i="4"/>
  <c r="D288" i="5"/>
  <c r="I129"/>
  <c r="A80"/>
  <c r="D291" i="6"/>
  <c r="T278" i="5"/>
  <c r="E120"/>
  <c r="Q70"/>
  <c r="L6" i="6"/>
  <c r="I214"/>
  <c r="R225" i="5"/>
  <c r="B176"/>
  <c r="M413"/>
  <c r="I208" i="6"/>
  <c r="R219" i="5"/>
  <c r="B170"/>
  <c r="L174"/>
  <c r="F37" i="4"/>
  <c r="L87" i="3"/>
  <c r="K285"/>
  <c r="T30" i="5"/>
  <c r="AH96" i="4"/>
  <c r="C331" i="3"/>
  <c r="M341"/>
  <c r="H31" i="5"/>
  <c r="F97" i="4"/>
  <c r="O331" i="3"/>
  <c r="C343"/>
  <c r="T34" i="5"/>
  <c r="AF101" i="4"/>
  <c r="G335" i="3"/>
  <c r="W357"/>
  <c r="H35" i="5"/>
  <c r="D102" i="4"/>
  <c r="Q335" i="3"/>
  <c r="O359"/>
  <c r="P35" i="5"/>
  <c r="AF102" i="4"/>
  <c r="A336" i="3"/>
  <c r="E361"/>
  <c r="H39" i="5"/>
  <c r="D107" i="4"/>
  <c r="S339" i="3"/>
  <c r="Y375"/>
  <c r="E316"/>
  <c r="Q338"/>
  <c r="B332"/>
  <c r="A102"/>
  <c r="U266"/>
  <c r="R62"/>
  <c r="W96"/>
  <c r="K238"/>
  <c r="B195" i="4"/>
  <c r="R177" i="6"/>
  <c r="AI80" i="4"/>
  <c r="A246" i="7"/>
  <c r="L379" i="3"/>
  <c r="AF329" i="4"/>
  <c r="Z278" i="3"/>
  <c r="F16" i="16"/>
  <c r="D215" i="17"/>
  <c r="S358" i="5"/>
  <c r="G100" i="13"/>
  <c r="H182" i="12"/>
  <c r="F119" i="6"/>
  <c r="T412" i="5"/>
  <c r="E358"/>
  <c r="Q204"/>
  <c r="B194" i="7"/>
  <c r="P403" i="5"/>
  <c r="M284"/>
  <c r="M195"/>
  <c r="H131" i="6"/>
  <c r="H112"/>
  <c r="D358" i="4"/>
  <c r="I297"/>
  <c r="H125" i="6"/>
  <c r="H106"/>
  <c r="AI350" i="4"/>
  <c r="B290"/>
  <c r="AE295"/>
  <c r="AF191"/>
  <c r="X194" i="3"/>
  <c r="V105"/>
  <c r="P155" i="5"/>
  <c r="AJ13" i="4"/>
  <c r="Z72" i="3"/>
  <c r="G208"/>
  <c r="D156" i="5"/>
  <c r="H14" i="4"/>
  <c r="H73" i="3"/>
  <c r="W209"/>
  <c r="P159" i="5"/>
  <c r="AJ18" i="4"/>
  <c r="B76" i="3"/>
  <c r="Q224"/>
  <c r="D160" i="5"/>
  <c r="H19" i="4"/>
  <c r="J76" i="3"/>
  <c r="I226"/>
  <c r="L160" i="5"/>
  <c r="AJ19" i="4"/>
  <c r="R76" i="3"/>
  <c r="Y227"/>
  <c r="D164" i="5"/>
  <c r="G24" i="4"/>
  <c r="L79" i="3"/>
  <c r="S242"/>
  <c r="E185"/>
  <c r="S203"/>
  <c r="H138"/>
  <c r="U388"/>
  <c r="S142"/>
  <c r="I26"/>
  <c r="H39"/>
  <c r="N227"/>
  <c r="H41" i="4"/>
  <c r="C765" i="17"/>
  <c r="B228" i="7"/>
  <c r="Q41" i="6"/>
  <c r="F89"/>
  <c r="H56" i="3"/>
  <c r="E403"/>
  <c r="E277"/>
  <c r="C52" i="4"/>
  <c r="E774" i="17"/>
  <c r="G64" i="12"/>
  <c r="A5" i="9"/>
  <c r="I173" i="5"/>
  <c r="P313"/>
  <c r="A155"/>
  <c r="M105"/>
  <c r="P316" i="6"/>
  <c r="L304" i="5"/>
  <c r="Q145"/>
  <c r="I96"/>
  <c r="D32" i="6"/>
  <c r="D13"/>
  <c r="E336" i="5"/>
  <c r="N201"/>
  <c r="D26" i="6"/>
  <c r="D7"/>
  <c r="E288" i="5"/>
  <c r="N195"/>
  <c r="D200"/>
  <c r="A69" i="4"/>
  <c r="R107" i="3"/>
  <c r="K390"/>
  <c r="L56" i="5"/>
  <c r="H128" i="4"/>
  <c r="K357" i="3"/>
  <c r="M11"/>
  <c r="T56" i="5"/>
  <c r="AJ128" i="4"/>
  <c r="U357" i="3"/>
  <c r="U11"/>
  <c r="L60" i="5"/>
  <c r="H133" i="4"/>
  <c r="M361" i="3"/>
  <c r="O14"/>
  <c r="T60" i="5"/>
  <c r="AJ133" i="4"/>
  <c r="W361" i="3"/>
  <c r="W14"/>
  <c r="H61" i="5"/>
  <c r="H134" i="4"/>
  <c r="I362" i="3"/>
  <c r="E15"/>
  <c r="T64" i="5"/>
  <c r="AJ138" i="4"/>
  <c r="A366" i="3"/>
  <c r="Y17"/>
  <c r="P6"/>
  <c r="Q10"/>
  <c r="V153"/>
  <c r="Y14"/>
  <c r="W371"/>
  <c r="J131"/>
  <c r="Z185"/>
  <c r="Z64"/>
  <c r="AJ247" i="4"/>
  <c r="Q169" i="6"/>
  <c r="AG33" i="4"/>
  <c r="Q39" i="3"/>
  <c r="H152"/>
  <c r="O87" i="5"/>
  <c r="U70" i="3"/>
  <c r="B156" i="17"/>
  <c r="E216"/>
  <c r="N150" i="6"/>
  <c r="F159" i="13"/>
  <c r="G241" i="12"/>
  <c r="F328" i="5"/>
  <c r="S25" i="6"/>
  <c r="P254" i="5"/>
  <c r="I230"/>
  <c r="O236" i="6"/>
  <c r="O16"/>
  <c r="L245" i="5"/>
  <c r="E221"/>
  <c r="T156" i="6"/>
  <c r="T137"/>
  <c r="AG389" i="4"/>
  <c r="C329"/>
  <c r="T150" i="6"/>
  <c r="T131"/>
  <c r="H382" i="4"/>
  <c r="AF321"/>
  <c r="F327"/>
  <c r="C223"/>
  <c r="R220" i="3"/>
  <c r="I128"/>
  <c r="H181" i="5"/>
  <c r="AF45" i="4"/>
  <c r="R92" i="3"/>
  <c r="G313"/>
  <c r="P181" i="5"/>
  <c r="D46" i="4"/>
  <c r="Z92" i="3"/>
  <c r="Y314"/>
  <c r="H185" i="5"/>
  <c r="AF50" i="4"/>
  <c r="T95" i="3"/>
  <c r="S329"/>
  <c r="P185" i="5"/>
  <c r="D51" i="4"/>
  <c r="B96" i="3"/>
  <c r="I331"/>
  <c r="D186" i="5"/>
  <c r="AF51" i="4"/>
  <c r="J96" i="3"/>
  <c r="Y332"/>
  <c r="P189" i="5"/>
  <c r="D56" i="4"/>
  <c r="D99" i="3"/>
  <c r="S347"/>
  <c r="E288"/>
  <c r="U308"/>
  <c r="L338"/>
  <c r="K169"/>
  <c r="Q238"/>
  <c r="A51"/>
  <c r="Q79"/>
  <c r="B385"/>
  <c r="E278" i="4"/>
  <c r="J416"/>
  <c r="E241" i="6"/>
  <c r="E144"/>
  <c r="F217"/>
  <c r="P184" i="3"/>
  <c r="AI140" i="4"/>
  <c r="K129" i="3"/>
  <c r="F210" i="4"/>
  <c r="C4" i="8"/>
  <c r="B60" i="12"/>
  <c r="A50"/>
  <c r="D353" i="5"/>
  <c r="H339"/>
  <c r="M180"/>
  <c r="E131"/>
  <c r="H342" i="6"/>
  <c r="D330" i="5"/>
  <c r="I171"/>
  <c r="A122"/>
  <c r="P57" i="6"/>
  <c r="P38"/>
  <c r="G267" i="4"/>
  <c r="F227" i="5"/>
  <c r="P51" i="6"/>
  <c r="P32"/>
  <c r="A260" i="4"/>
  <c r="F221" i="5"/>
  <c r="P225"/>
  <c r="AE100" i="4"/>
  <c r="E130" i="3"/>
  <c r="X48"/>
  <c r="D82" i="5"/>
  <c r="D160" i="4"/>
  <c r="Q383" i="3"/>
  <c r="E31"/>
  <c r="L82" i="5"/>
  <c r="AE160" i="4"/>
  <c r="A384" i="3"/>
  <c r="M31"/>
  <c r="D86" i="5"/>
  <c r="C165" i="4"/>
  <c r="S387" i="3"/>
  <c r="G34"/>
  <c r="L86" i="5"/>
  <c r="AE165" i="4"/>
  <c r="E388" i="3"/>
  <c r="P34"/>
  <c r="T86" i="5"/>
  <c r="C166" i="4"/>
  <c r="O388" i="3"/>
  <c r="Y34"/>
  <c r="L90" i="5"/>
  <c r="J170" i="4"/>
  <c r="G392" i="3"/>
  <c r="K38"/>
  <c r="L26"/>
  <c r="I30"/>
  <c r="P356"/>
  <c r="H166"/>
  <c r="E17"/>
  <c r="K225"/>
  <c r="C289"/>
  <c r="N246"/>
  <c r="AG22" i="4"/>
  <c r="T92" i="6"/>
  <c r="J223" i="4"/>
  <c r="Z63" i="3"/>
  <c r="I302"/>
  <c r="A255" i="5"/>
  <c r="U201" i="3"/>
  <c r="B155" i="17"/>
  <c r="D113" i="16"/>
  <c r="J376" i="5"/>
  <c r="E136" i="13"/>
  <c r="F218" i="12"/>
  <c r="A120" i="6"/>
  <c r="K51"/>
  <c r="H280" i="5"/>
  <c r="M372"/>
  <c r="G262" i="6"/>
  <c r="G42"/>
  <c r="D271" i="5"/>
  <c r="A299"/>
  <c r="L182" i="6"/>
  <c r="L163"/>
  <c r="M8" i="5"/>
  <c r="G360" i="4"/>
  <c r="L176" i="6"/>
  <c r="L157"/>
  <c r="AI413" i="4"/>
  <c r="B353"/>
  <c r="J358"/>
  <c r="AI17"/>
  <c r="Z246" i="3"/>
  <c r="V150"/>
  <c r="T206" i="5"/>
  <c r="H77" i="4"/>
  <c r="R113" i="3"/>
  <c r="L34"/>
  <c r="H207" i="5"/>
  <c r="AJ77" i="4"/>
  <c r="A114" i="3"/>
  <c r="T34"/>
  <c r="T210" i="5"/>
  <c r="G82" i="4"/>
  <c r="E117" i="3"/>
  <c r="N37"/>
  <c r="H211" i="5"/>
  <c r="AI82" i="4"/>
  <c r="N117" i="3"/>
  <c r="V37"/>
  <c r="P211" i="5"/>
  <c r="G83" i="4"/>
  <c r="W117" i="3"/>
  <c r="D38"/>
  <c r="H215" i="5"/>
  <c r="AI87" i="4"/>
  <c r="B121" i="3"/>
  <c r="X40"/>
  <c r="E393"/>
  <c r="U413"/>
  <c r="D162"/>
  <c r="T346"/>
  <c r="Q343"/>
  <c r="U105"/>
  <c r="O160"/>
  <c r="M227"/>
  <c r="H97" i="5"/>
  <c r="A269"/>
  <c r="F29" i="7"/>
  <c r="M275" i="5"/>
  <c r="B375"/>
  <c r="Z339" i="3"/>
  <c r="B62" i="4"/>
  <c r="P275" i="3"/>
  <c r="AG131" i="4"/>
  <c r="D46" i="12"/>
  <c r="E63"/>
  <c r="G42"/>
  <c r="K144" i="6"/>
  <c r="T364" i="5"/>
  <c r="E206"/>
  <c r="Q156"/>
  <c r="M379" i="6"/>
  <c r="P355" i="5"/>
  <c r="A197"/>
  <c r="M147"/>
  <c r="H83" i="6"/>
  <c r="H64"/>
  <c r="D299" i="4"/>
  <c r="I347" i="5"/>
  <c r="H77" i="6"/>
  <c r="H58"/>
  <c r="AH291" i="4"/>
  <c r="I299" i="5"/>
  <c r="I335"/>
  <c r="G132" i="4"/>
  <c r="R152" i="3"/>
  <c r="P68"/>
  <c r="P107" i="5"/>
  <c r="AG191" i="4"/>
  <c r="W409" i="3"/>
  <c r="U60"/>
  <c r="D108" i="5"/>
  <c r="E192" i="4"/>
  <c r="I410" i="3"/>
  <c r="M61"/>
  <c r="P111" i="5"/>
  <c r="J196" i="4"/>
  <c r="A414" i="3"/>
  <c r="W68"/>
  <c r="D112" i="5"/>
  <c r="A197" i="4"/>
  <c r="K414" i="3"/>
  <c r="T69"/>
  <c r="L112" i="5"/>
  <c r="I197" i="4"/>
  <c r="U414" i="3"/>
  <c r="Q70"/>
  <c r="D116" i="5"/>
  <c r="AJ201" i="4"/>
  <c r="N42" i="3"/>
  <c r="A78"/>
  <c r="G51"/>
  <c r="K58"/>
  <c r="U153"/>
  <c r="R21"/>
  <c r="K37"/>
  <c r="K330"/>
  <c r="C394"/>
  <c r="W85"/>
  <c r="J39" i="4"/>
  <c r="S345" i="6"/>
  <c r="AH176" i="4"/>
  <c r="K193" i="3"/>
  <c r="T228"/>
  <c r="E413" i="4"/>
  <c r="O385" i="3"/>
  <c r="A155" i="17"/>
  <c r="C113" i="16"/>
  <c r="E168" i="6"/>
  <c r="D196" i="13"/>
  <c r="D22"/>
  <c r="T97" i="6"/>
  <c r="C77"/>
  <c r="T305" i="5"/>
  <c r="F252" i="4"/>
  <c r="S287" i="6"/>
  <c r="S67"/>
  <c r="P296" i="5"/>
  <c r="A241" i="4"/>
  <c r="D208" i="6"/>
  <c r="D189"/>
  <c r="E34" i="5"/>
  <c r="A392" i="4"/>
  <c r="D202" i="6"/>
  <c r="D183"/>
  <c r="E28" i="5"/>
  <c r="AE384" i="4"/>
  <c r="C390"/>
  <c r="AE49"/>
  <c r="F273" i="3"/>
  <c r="J173"/>
  <c r="L232" i="5"/>
  <c r="C109" i="4"/>
  <c r="E136" i="3"/>
  <c r="D54"/>
  <c r="T232" i="5"/>
  <c r="AE109" i="4"/>
  <c r="N136" i="3"/>
  <c r="L54"/>
  <c r="L236" i="5"/>
  <c r="B114" i="4"/>
  <c r="R139" i="3"/>
  <c r="F57"/>
  <c r="B237" i="5"/>
  <c r="J114" i="4"/>
  <c r="A140" i="3"/>
  <c r="N57"/>
  <c r="M238" i="5"/>
  <c r="B115" i="4"/>
  <c r="J140" i="3"/>
  <c r="V57"/>
  <c r="A253" i="5"/>
  <c r="I119" i="4"/>
  <c r="O143" i="3"/>
  <c r="P60"/>
  <c r="E21"/>
  <c r="T24"/>
  <c r="I366"/>
  <c r="D87"/>
  <c r="X11"/>
  <c r="V195"/>
  <c r="K259"/>
  <c r="A385"/>
  <c r="B299" i="4"/>
  <c r="B26" i="6"/>
  <c r="H48" i="16"/>
  <c r="M403" i="5"/>
  <c r="A90" i="6"/>
  <c r="R155" i="3"/>
  <c r="AI14" i="4"/>
  <c r="V100" i="3"/>
  <c r="D85" i="4"/>
  <c r="A351" i="17"/>
  <c r="H68" i="16"/>
  <c r="A80" i="13"/>
  <c r="C353" i="5"/>
  <c r="L390"/>
  <c r="Q231"/>
  <c r="I182"/>
  <c r="D44" i="7"/>
  <c r="H381" i="5"/>
  <c r="M222"/>
  <c r="E173"/>
  <c r="T108" i="6"/>
  <c r="T89"/>
  <c r="AH330" i="4"/>
  <c r="AE269"/>
  <c r="T102" i="6"/>
  <c r="T83"/>
  <c r="H323" i="4"/>
  <c r="D262"/>
  <c r="AG267"/>
  <c r="B164"/>
  <c r="F175" i="3"/>
  <c r="H88"/>
  <c r="H133" i="5"/>
  <c r="D223" i="4"/>
  <c r="T55" i="3"/>
  <c r="Y127"/>
  <c r="P133" i="5"/>
  <c r="AE223" i="4"/>
  <c r="B56" i="3"/>
  <c r="J129"/>
  <c r="H137" i="5"/>
  <c r="E228" i="4"/>
  <c r="V58" i="3"/>
  <c r="A142"/>
  <c r="P137" i="5"/>
  <c r="AJ228" i="4"/>
  <c r="D59" i="3"/>
  <c r="K143"/>
  <c r="D138" i="5"/>
  <c r="AE229" i="4"/>
  <c r="L59" i="3"/>
  <c r="V144"/>
  <c r="P141" i="5"/>
  <c r="J235" i="4"/>
  <c r="F62" i="3"/>
  <c r="M157"/>
  <c r="K106"/>
  <c r="B124"/>
  <c r="O356"/>
  <c r="W185"/>
  <c r="X75"/>
  <c r="C9"/>
  <c r="B21"/>
  <c r="K274"/>
  <c r="G56" i="4"/>
  <c r="A126" i="12"/>
  <c r="D130" i="4"/>
  <c r="F350" i="3"/>
  <c r="X346"/>
  <c r="T23" i="5"/>
  <c r="F291" i="3"/>
  <c r="H155" i="17"/>
  <c r="B113" i="16"/>
  <c r="I376" i="5"/>
  <c r="H89" i="16"/>
  <c r="C85" i="13"/>
  <c r="L306" i="5"/>
  <c r="O102" i="6"/>
  <c r="L331" i="5"/>
  <c r="A284" i="4"/>
  <c r="K313" i="6"/>
  <c r="K93"/>
  <c r="H322" i="5"/>
  <c r="I272" i="4"/>
  <c r="P230" i="6"/>
  <c r="P214"/>
  <c r="Q59" i="5"/>
  <c r="I10"/>
  <c r="P227" i="6"/>
  <c r="P208"/>
  <c r="Q53" i="5"/>
  <c r="C416" i="4"/>
  <c r="S8" i="5"/>
  <c r="F81" i="4"/>
  <c r="L299" i="3"/>
  <c r="W195"/>
  <c r="Q389" i="5"/>
  <c r="AH140" i="4"/>
  <c r="R158" i="3"/>
  <c r="V73"/>
  <c r="A393" i="5"/>
  <c r="F141" i="4"/>
  <c r="A159" i="3"/>
  <c r="D74"/>
  <c r="J249" i="4"/>
  <c r="AH145"/>
  <c r="E162" i="3"/>
  <c r="X76"/>
  <c r="B250" i="4"/>
  <c r="F146"/>
  <c r="N162" i="3"/>
  <c r="F77"/>
  <c r="J250" i="4"/>
  <c r="AH146"/>
  <c r="X162" i="3"/>
  <c r="N77"/>
  <c r="AJ254" i="4"/>
  <c r="E151"/>
  <c r="B166" i="3"/>
  <c r="H80"/>
  <c r="U42"/>
  <c r="N48"/>
  <c r="D316"/>
  <c r="W59"/>
  <c r="P31"/>
  <c r="O300"/>
  <c r="A36"/>
  <c r="H206" i="4"/>
  <c r="C114" i="5"/>
  <c r="G210" i="6"/>
  <c r="E70" i="16"/>
  <c r="L118" i="6"/>
  <c r="A218"/>
  <c r="F306" i="3"/>
  <c r="AH204" i="4"/>
  <c r="V241" i="3"/>
  <c r="H248" i="4"/>
  <c r="I770" i="17"/>
  <c r="G164" i="13"/>
  <c r="H246" i="12"/>
  <c r="R144" i="6"/>
  <c r="D416" i="5"/>
  <c r="Q383"/>
  <c r="A208"/>
  <c r="C215" i="7"/>
  <c r="T406" i="5"/>
  <c r="E310"/>
  <c r="Q198"/>
  <c r="L134" i="6"/>
  <c r="L115"/>
  <c r="C362" i="4"/>
  <c r="H301"/>
  <c r="L128" i="6"/>
  <c r="L109"/>
  <c r="AF354" i="4"/>
  <c r="A294"/>
  <c r="J299"/>
  <c r="J195"/>
  <c r="T197" i="3"/>
  <c r="Q108"/>
  <c r="T158" i="5"/>
  <c r="AJ17" i="4"/>
  <c r="L75" i="3"/>
  <c r="K221"/>
  <c r="H159" i="5"/>
  <c r="H18" i="4"/>
  <c r="T75" i="3"/>
  <c r="A223"/>
  <c r="T162" i="5"/>
  <c r="AJ22" i="4"/>
  <c r="N78" i="3"/>
  <c r="U237"/>
  <c r="H163" i="5"/>
  <c r="H23" i="4"/>
  <c r="V78" i="3"/>
  <c r="K239"/>
  <c r="P163" i="5"/>
  <c r="AI23" i="4"/>
  <c r="D79" i="3"/>
  <c r="C241"/>
  <c r="H167" i="5"/>
  <c r="G28" i="4"/>
  <c r="X81" i="3"/>
  <c r="W255"/>
  <c r="L196"/>
  <c r="W216"/>
  <c r="U160"/>
  <c r="H68"/>
  <c r="Z153"/>
  <c r="U28"/>
  <c r="Q42"/>
  <c r="F247"/>
  <c r="B73" i="4"/>
  <c r="C507" i="17"/>
  <c r="AE83" i="4"/>
  <c r="Z141" i="3"/>
  <c r="Y149"/>
  <c r="I73" i="5"/>
  <c r="J409" i="3"/>
  <c r="D220" i="17"/>
  <c r="C63"/>
  <c r="D168" i="6"/>
  <c r="E93" i="16"/>
  <c r="B86" i="13"/>
  <c r="O98" i="6"/>
  <c r="G128"/>
  <c r="D357" i="5"/>
  <c r="AF315" i="4"/>
  <c r="C339" i="6"/>
  <c r="C119"/>
  <c r="T347" i="5"/>
  <c r="G304" i="4"/>
  <c r="H256" i="6"/>
  <c r="D244" i="5"/>
  <c r="I85"/>
  <c r="A36"/>
  <c r="H250" i="6"/>
  <c r="D238" i="5"/>
  <c r="I79"/>
  <c r="A30"/>
  <c r="K34"/>
  <c r="B113" i="4"/>
  <c r="T325" i="3"/>
  <c r="V221"/>
  <c r="D276" i="4"/>
  <c r="I172"/>
  <c r="E181" i="3"/>
  <c r="N93"/>
  <c r="AF276" i="4"/>
  <c r="A173"/>
  <c r="N181" i="3"/>
  <c r="V93"/>
  <c r="D281" i="4"/>
  <c r="H177"/>
  <c r="R184" i="3"/>
  <c r="P96"/>
  <c r="AF281" i="4"/>
  <c r="AJ177"/>
  <c r="B185" i="3"/>
  <c r="X96"/>
  <c r="D282" i="4"/>
  <c r="H178"/>
  <c r="K185" i="3"/>
  <c r="F97"/>
  <c r="AF286" i="4"/>
  <c r="AH182"/>
  <c r="O188" i="3"/>
  <c r="Z99"/>
  <c r="Q86"/>
  <c r="G99"/>
  <c r="O158"/>
  <c r="B28"/>
  <c r="U61"/>
  <c r="O405"/>
  <c r="R43"/>
  <c r="AE222" i="4"/>
  <c r="AG319"/>
  <c r="P23" i="6"/>
  <c r="A224" i="13"/>
  <c r="T220" i="6"/>
  <c r="P144"/>
  <c r="T88" i="3"/>
  <c r="B158" i="4"/>
  <c r="J399" i="3"/>
  <c r="F165" i="4"/>
  <c r="F627" i="17"/>
  <c r="C9" i="14"/>
  <c r="F49" i="13"/>
  <c r="R353" i="5"/>
  <c r="C29" i="6"/>
  <c r="T257" i="5"/>
  <c r="M233"/>
  <c r="S239" i="6"/>
  <c r="S19"/>
  <c r="P248" i="5"/>
  <c r="I224"/>
  <c r="D160" i="6"/>
  <c r="D141"/>
  <c r="AG393" i="4"/>
  <c r="A333"/>
  <c r="D154" i="6"/>
  <c r="D135"/>
  <c r="F386" i="4"/>
  <c r="AF325"/>
  <c r="D331"/>
  <c r="B227"/>
  <c r="Z223" i="3"/>
  <c r="D131"/>
  <c r="L184" i="5"/>
  <c r="AF49" i="4"/>
  <c r="D95" i="3"/>
  <c r="K326"/>
  <c r="T184" i="5"/>
  <c r="D50" i="4"/>
  <c r="L95" i="3"/>
  <c r="A328"/>
  <c r="L188" i="5"/>
  <c r="AF54" i="4"/>
  <c r="F98" i="3"/>
  <c r="U342"/>
  <c r="T188" i="5"/>
  <c r="D55" i="4"/>
  <c r="N98" i="3"/>
  <c r="M344"/>
  <c r="H189" i="5"/>
  <c r="AF55" i="4"/>
  <c r="V98" i="3"/>
  <c r="C346"/>
  <c r="T192" i="5"/>
  <c r="B60" i="4"/>
  <c r="P101" i="3"/>
  <c r="W360"/>
  <c r="G301"/>
  <c r="W321"/>
  <c r="R364"/>
  <c r="L243"/>
  <c r="S251"/>
  <c r="A55"/>
  <c r="I86"/>
  <c r="T404"/>
  <c r="B310" i="4"/>
  <c r="I208" i="5"/>
  <c r="A37" i="4"/>
  <c r="Z263" i="3"/>
  <c r="C268"/>
  <c r="L23" i="6"/>
  <c r="K212" i="3"/>
  <c r="I891" i="17"/>
  <c r="D483"/>
  <c r="M383" i="6"/>
  <c r="C141"/>
  <c r="L363" i="5"/>
  <c r="AE323" i="4"/>
  <c r="K345" i="6"/>
  <c r="K125"/>
  <c r="H354" i="5"/>
  <c r="F312" i="4"/>
  <c r="P262" i="6"/>
  <c r="L250" i="5"/>
  <c r="Q91"/>
  <c r="I42"/>
  <c r="P256" i="6"/>
  <c r="L244" i="5"/>
  <c r="Q85"/>
  <c r="I36"/>
  <c r="S40"/>
  <c r="AJ120" i="4"/>
  <c r="H332" i="3"/>
  <c r="J228"/>
  <c r="D284" i="4"/>
  <c r="G180"/>
  <c r="U186" i="3"/>
  <c r="L98"/>
  <c r="AF284" i="4"/>
  <c r="AH180"/>
  <c r="D187" i="3"/>
  <c r="T98"/>
  <c r="D289" i="4"/>
  <c r="F185"/>
  <c r="I190" i="3"/>
  <c r="N101"/>
  <c r="AF289" i="4"/>
  <c r="AH185"/>
  <c r="R190" i="3"/>
  <c r="V101"/>
  <c r="D290" i="4"/>
  <c r="F186"/>
  <c r="A191" i="3"/>
  <c r="D102"/>
  <c r="AE294" i="4"/>
  <c r="AF190"/>
  <c r="E194" i="3"/>
  <c r="D105"/>
  <c r="T104"/>
  <c r="E121"/>
  <c r="Y197"/>
  <c r="P35"/>
  <c r="Z74"/>
  <c r="L8"/>
  <c r="B83"/>
  <c r="C49" i="4"/>
  <c r="AF382"/>
  <c r="E236" i="6"/>
  <c r="O300"/>
  <c r="O411" i="5"/>
  <c r="O165" i="6"/>
  <c r="T208"/>
  <c r="I265" i="3"/>
  <c r="N246" i="6"/>
  <c r="H245" i="4"/>
  <c r="A24" i="7"/>
  <c r="G163"/>
  <c r="L412" i="6"/>
  <c r="AJ414" i="4"/>
  <c r="H243" i="5"/>
  <c r="M84"/>
  <c r="E35"/>
  <c r="H246" i="6"/>
  <c r="F231"/>
  <c r="I75" i="5"/>
  <c r="A26"/>
  <c r="Q374"/>
  <c r="M169" i="6"/>
  <c r="B181" i="5"/>
  <c r="F131"/>
  <c r="Q368"/>
  <c r="M163" i="6"/>
  <c r="B175" i="5"/>
  <c r="F125"/>
  <c r="P129"/>
  <c r="AF218" i="4"/>
  <c r="Z52" i="3"/>
  <c r="F99" i="16"/>
  <c r="AF393" i="4"/>
  <c r="G41"/>
  <c r="E285" i="3"/>
  <c r="B45" i="17"/>
  <c r="D394" i="4"/>
  <c r="AH41"/>
  <c r="O285" i="3"/>
  <c r="E16" i="15"/>
  <c r="AD398" i="4"/>
  <c r="E46"/>
  <c r="G289" i="3"/>
  <c r="D50" i="16"/>
  <c r="B399" i="4"/>
  <c r="AG46"/>
  <c r="S289" i="3"/>
  <c r="D114" i="16"/>
  <c r="J399" i="4"/>
  <c r="E47"/>
  <c r="C290" i="3"/>
  <c r="B58" i="17"/>
  <c r="B404" i="4"/>
  <c r="AG51"/>
  <c r="U293" i="3"/>
  <c r="Q282" i="5"/>
  <c r="R141" i="3"/>
  <c r="X160"/>
  <c r="H313"/>
  <c r="O72"/>
  <c r="A90"/>
  <c r="D17"/>
  <c r="C29"/>
  <c r="Z290"/>
  <c r="K328"/>
  <c r="D25"/>
  <c r="O355"/>
  <c r="C53" i="4"/>
  <c r="U44" i="3"/>
  <c r="E153"/>
  <c r="X150"/>
  <c r="A228"/>
  <c r="L28"/>
  <c r="B151"/>
  <c r="S81"/>
  <c r="G3" i="8"/>
  <c r="I108" i="3"/>
  <c r="D22"/>
  <c r="C350" i="5"/>
  <c r="D389"/>
  <c r="AI354" i="4"/>
  <c r="T385" i="6"/>
  <c r="C151"/>
  <c r="T379" i="5"/>
  <c r="AF343" i="4"/>
  <c r="H288" i="6"/>
  <c r="D276" i="5"/>
  <c r="I117"/>
  <c r="A68"/>
  <c r="H282" i="6"/>
  <c r="D270" i="5"/>
  <c r="I111"/>
  <c r="A62"/>
  <c r="K66"/>
  <c r="AF152" i="4"/>
  <c r="N358" i="3"/>
  <c r="R254"/>
  <c r="AI315" i="4"/>
  <c r="AH211"/>
  <c r="H211" i="3"/>
  <c r="G120"/>
  <c r="G316" i="4"/>
  <c r="F212"/>
  <c r="R211" i="3"/>
  <c r="P120"/>
  <c r="AH320" i="4"/>
  <c r="AE216"/>
  <c r="J215" i="3"/>
  <c r="T123"/>
  <c r="F321" i="4"/>
  <c r="C217"/>
  <c r="T215" i="3"/>
  <c r="D124"/>
  <c r="AH321" i="4"/>
  <c r="AE217"/>
  <c r="F216" i="3"/>
  <c r="M124"/>
  <c r="F326" i="4"/>
  <c r="C222"/>
  <c r="X219" i="3"/>
  <c r="Q127"/>
  <c r="T194"/>
  <c r="M213"/>
  <c r="M355"/>
  <c r="U92"/>
  <c r="M152"/>
  <c r="D28"/>
  <c r="R270"/>
  <c r="G65" i="4"/>
  <c r="D235" i="5"/>
  <c r="F6" i="6"/>
  <c r="D281" i="7"/>
  <c r="N126" i="6"/>
  <c r="S271" i="5"/>
  <c r="F315" i="17"/>
  <c r="U363" i="3"/>
  <c r="Y21"/>
  <c r="J162" i="4"/>
  <c r="H24" i="16"/>
  <c r="F162" i="7"/>
  <c r="C412" i="6"/>
  <c r="F208" i="5"/>
  <c r="T268"/>
  <c r="E110"/>
  <c r="Q60"/>
  <c r="T271" i="6"/>
  <c r="P259" i="5"/>
  <c r="A101"/>
  <c r="M51"/>
  <c r="I400"/>
  <c r="E195" i="6"/>
  <c r="N206" i="5"/>
  <c r="R156"/>
  <c r="I394"/>
  <c r="E189" i="6"/>
  <c r="N200" i="5"/>
  <c r="R150"/>
  <c r="H155"/>
  <c r="H13" i="4"/>
  <c r="R72" i="3"/>
  <c r="F350" i="17"/>
  <c r="P11" i="5"/>
  <c r="A73" i="4"/>
  <c r="K311" i="3"/>
  <c r="E407" i="17"/>
  <c r="D12" i="5"/>
  <c r="I73" i="4"/>
  <c r="W311" i="3"/>
  <c r="H649" i="17"/>
  <c r="P15" i="5"/>
  <c r="A78" i="4"/>
  <c r="O315" i="3"/>
  <c r="E651" i="17"/>
  <c r="D16" i="5"/>
  <c r="I78" i="4"/>
  <c r="Y315" i="3"/>
  <c r="A654" i="17"/>
  <c r="L16" i="5"/>
  <c r="A79" i="4"/>
  <c r="I316" i="3"/>
  <c r="D18" i="23"/>
  <c r="D20" i="5"/>
  <c r="H83" i="4"/>
  <c r="A320" i="3"/>
  <c r="E297"/>
  <c r="K237"/>
  <c r="W259"/>
  <c r="V177"/>
  <c r="D13"/>
  <c r="D178"/>
  <c r="J37"/>
  <c r="Q55"/>
  <c r="G98"/>
  <c r="AG246" i="4"/>
  <c r="G306" i="3"/>
  <c r="A31"/>
  <c r="O11" i="5"/>
  <c r="D165" i="3"/>
  <c r="I292"/>
  <c r="I148"/>
  <c r="E354"/>
  <c r="H186"/>
  <c r="Q336"/>
  <c r="H10"/>
  <c r="F99" i="20"/>
  <c r="V381" i="3"/>
  <c r="J404" i="4"/>
  <c r="R141" i="6"/>
  <c r="P414" i="5"/>
  <c r="I386" i="4"/>
  <c r="C68" i="7"/>
  <c r="O176" i="6"/>
  <c r="L405" i="5"/>
  <c r="E375" i="4"/>
  <c r="T313" i="6"/>
  <c r="P301" i="5"/>
  <c r="A143"/>
  <c r="M93"/>
  <c r="T307" i="6"/>
  <c r="P295" i="5"/>
  <c r="A137"/>
  <c r="M87"/>
  <c r="C92"/>
  <c r="E184" i="4"/>
  <c r="V384" i="3"/>
  <c r="X280"/>
  <c r="E347" i="4"/>
  <c r="AF248"/>
  <c r="N237" i="3"/>
  <c r="T142"/>
  <c r="AG347" i="4"/>
  <c r="AE6"/>
  <c r="X237" i="3"/>
  <c r="C143"/>
  <c r="E352" i="4"/>
  <c r="G11"/>
  <c r="P241" i="3"/>
  <c r="H146"/>
  <c r="AF352" i="4"/>
  <c r="AI11"/>
  <c r="B242" i="3"/>
  <c r="Q146"/>
  <c r="D353" i="4"/>
  <c r="G12"/>
  <c r="L242" i="3"/>
  <c r="Z146"/>
  <c r="J357" i="4"/>
  <c r="AI16"/>
  <c r="D246" i="3"/>
  <c r="D150"/>
  <c r="I299"/>
  <c r="I392"/>
  <c r="D159" i="4"/>
  <c r="W204" i="3"/>
  <c r="A250"/>
  <c r="Z53"/>
  <c r="G141"/>
  <c r="D82" i="4"/>
  <c r="K259" i="5"/>
  <c r="M228" i="6"/>
  <c r="B18" i="9"/>
  <c r="F301" i="5"/>
  <c r="S399"/>
  <c r="C117" i="3"/>
  <c r="I77" i="4"/>
  <c r="J47" i="3"/>
  <c r="I115" i="4"/>
  <c r="E89" i="17"/>
  <c r="E161" i="7"/>
  <c r="N411" i="6"/>
  <c r="Q19" i="5"/>
  <c r="L294"/>
  <c r="Q135"/>
  <c r="I86"/>
  <c r="L297" i="6"/>
  <c r="H285" i="5"/>
  <c r="M126"/>
  <c r="E77"/>
  <c r="T12" i="6"/>
  <c r="Q220"/>
  <c r="F232" i="5"/>
  <c r="J182"/>
  <c r="T6" i="6"/>
  <c r="Q214"/>
  <c r="F226" i="5"/>
  <c r="J176"/>
  <c r="T180"/>
  <c r="E45" i="4"/>
  <c r="J92" i="3"/>
  <c r="Q311"/>
  <c r="H37" i="5"/>
  <c r="AF104" i="4"/>
  <c r="S337" i="3"/>
  <c r="S367"/>
  <c r="P37" i="5"/>
  <c r="D105" i="4"/>
  <c r="C338" i="3"/>
  <c r="K369"/>
  <c r="H41" i="5"/>
  <c r="AF109" i="4"/>
  <c r="U341" i="3"/>
  <c r="E384"/>
  <c r="P41" i="5"/>
  <c r="D110" i="4"/>
  <c r="E342" i="3"/>
  <c r="U385"/>
  <c r="D42" i="5"/>
  <c r="AF110" i="4"/>
  <c r="Q342" i="3"/>
  <c r="K387"/>
  <c r="P45" i="5"/>
  <c r="C115" i="4"/>
  <c r="I346" i="3"/>
  <c r="E402"/>
  <c r="K342"/>
  <c r="W364"/>
  <c r="P384"/>
  <c r="P180"/>
  <c r="C293"/>
  <c r="W75"/>
  <c r="L118"/>
  <c r="Y290"/>
  <c r="G21" i="4"/>
  <c r="F26" i="3"/>
  <c r="M114"/>
  <c r="Q74"/>
  <c r="C353"/>
  <c r="T27"/>
  <c r="M77"/>
  <c r="R244" i="5"/>
  <c r="W244" i="3"/>
  <c r="G139"/>
  <c r="P339"/>
  <c r="E16" i="14"/>
  <c r="T80" i="3"/>
  <c r="C179" i="4"/>
  <c r="N367" i="5"/>
  <c r="S26" i="6"/>
  <c r="H6" i="5"/>
  <c r="B239" i="7"/>
  <c r="G202" i="6"/>
  <c r="O17"/>
  <c r="AG406" i="4"/>
  <c r="L339" i="6"/>
  <c r="H327" i="5"/>
  <c r="M168"/>
  <c r="E119"/>
  <c r="L333" i="6"/>
  <c r="H321" i="5"/>
  <c r="M162"/>
  <c r="E113"/>
  <c r="O117"/>
  <c r="J215" i="4"/>
  <c r="B411" i="3"/>
  <c r="D307"/>
  <c r="AI378" i="4"/>
  <c r="E38"/>
  <c r="T263" i="3"/>
  <c r="G165"/>
  <c r="G379" i="4"/>
  <c r="AG38"/>
  <c r="F264" i="3"/>
  <c r="P165"/>
  <c r="AG383" i="4"/>
  <c r="D43"/>
  <c r="X267" i="3"/>
  <c r="U168"/>
  <c r="E384" i="4"/>
  <c r="AF43"/>
  <c r="H268" i="3"/>
  <c r="D169"/>
  <c r="AG384" i="4"/>
  <c r="D44"/>
  <c r="R268" i="3"/>
  <c r="M169"/>
  <c r="C389" i="4"/>
  <c r="AE48"/>
  <c r="J272" i="3"/>
  <c r="Q172"/>
  <c r="I404"/>
  <c r="O171"/>
  <c r="I175" i="4"/>
  <c r="E336" i="3"/>
  <c r="A355"/>
  <c r="D114"/>
  <c r="X341"/>
  <c r="AI98" i="4"/>
  <c r="J31" i="6"/>
  <c r="B290" i="7"/>
  <c r="G30"/>
  <c r="E16" i="6"/>
  <c r="J140"/>
  <c r="F261" i="3"/>
  <c r="D238" i="4"/>
  <c r="K174" i="3"/>
  <c r="J246" i="4"/>
  <c r="A250" i="17"/>
  <c r="F13" i="12"/>
  <c r="G14"/>
  <c r="M224" i="5"/>
  <c r="D320"/>
  <c r="I161"/>
  <c r="A112"/>
  <c r="D323" i="6"/>
  <c r="T310" i="5"/>
  <c r="E152"/>
  <c r="Q102"/>
  <c r="L38" i="6"/>
  <c r="L19"/>
  <c r="I387" i="5"/>
  <c r="B208"/>
  <c r="L32" i="6"/>
  <c r="L13"/>
  <c r="I339" i="5"/>
  <c r="B202"/>
  <c r="L206"/>
  <c r="AJ76" i="4"/>
  <c r="H113" i="3"/>
  <c r="Q416"/>
  <c r="T62" i="5"/>
  <c r="H136" i="4"/>
  <c r="Y363" i="3"/>
  <c r="K16"/>
  <c r="H63" i="5"/>
  <c r="AJ136" i="4"/>
  <c r="I364" i="3"/>
  <c r="S16"/>
  <c r="T66" i="5"/>
  <c r="G141" i="4"/>
  <c r="A368" i="3"/>
  <c r="M19"/>
  <c r="H67" i="5"/>
  <c r="AI141" i="4"/>
  <c r="M368" i="3"/>
  <c r="U19"/>
  <c r="P67" i="5"/>
  <c r="G142" i="4"/>
  <c r="W368" i="3"/>
  <c r="C20"/>
  <c r="H71" i="5"/>
  <c r="AI146" i="4"/>
  <c r="O372" i="3"/>
  <c r="W22"/>
  <c r="R11"/>
  <c r="O15"/>
  <c r="B199"/>
  <c r="S29"/>
  <c r="C398"/>
  <c r="W153"/>
  <c r="I210"/>
  <c r="N104"/>
  <c r="G69" i="4"/>
  <c r="T61" i="3"/>
  <c r="A294"/>
  <c r="C234"/>
  <c r="J167"/>
  <c r="Y99"/>
  <c r="S63"/>
  <c r="T8"/>
  <c r="AG14" i="4"/>
  <c r="L233" i="3"/>
  <c r="A76"/>
  <c r="G226" i="12"/>
  <c r="O267" i="3"/>
  <c r="X90"/>
  <c r="I159" i="6"/>
  <c r="K52"/>
  <c r="T31" i="5"/>
  <c r="R249" i="6"/>
  <c r="S227"/>
  <c r="G43"/>
  <c r="P22" i="5"/>
  <c r="A374" i="6"/>
  <c r="T352" i="5"/>
  <c r="E194"/>
  <c r="Q144"/>
  <c r="A362" i="6"/>
  <c r="T346" i="5"/>
  <c r="E188"/>
  <c r="Q138"/>
  <c r="G143"/>
  <c r="F10" i="4"/>
  <c r="K71" i="3"/>
  <c r="L333"/>
  <c r="H410" i="4"/>
  <c r="AJ69"/>
  <c r="B290" i="3"/>
  <c r="T187"/>
  <c r="AJ410" i="4"/>
  <c r="H70"/>
  <c r="L290" i="3"/>
  <c r="D188"/>
  <c r="E415" i="4"/>
  <c r="AI74"/>
  <c r="D294" i="3"/>
  <c r="H191"/>
  <c r="AG415" i="4"/>
  <c r="G75"/>
  <c r="N294" i="3"/>
  <c r="Q191"/>
  <c r="E416" i="4"/>
  <c r="AI75"/>
  <c r="Z294" i="3"/>
  <c r="Z191"/>
  <c r="C8" i="5"/>
  <c r="G80" i="4"/>
  <c r="R298" i="3"/>
  <c r="D195"/>
  <c r="H23"/>
  <c r="L136"/>
  <c r="AE191" i="4"/>
  <c r="U22" i="3"/>
  <c r="S13"/>
  <c r="G205"/>
  <c r="H162"/>
  <c r="AG115" i="4"/>
  <c r="T11" i="3"/>
  <c r="C122" i="17"/>
  <c r="D57" i="12"/>
  <c r="M118" i="6"/>
  <c r="N272" i="5"/>
  <c r="B90" i="3"/>
  <c r="AG188" i="4"/>
  <c r="B328" i="3"/>
  <c r="H163" i="4"/>
  <c r="A23" i="7"/>
  <c r="C8" i="12"/>
  <c r="D11"/>
  <c r="H404" i="5"/>
  <c r="P345"/>
  <c r="A187"/>
  <c r="M137"/>
  <c r="P348" i="6"/>
  <c r="L336" i="5"/>
  <c r="Q177"/>
  <c r="I128"/>
  <c r="D64" i="6"/>
  <c r="D45"/>
  <c r="F275" i="4"/>
  <c r="N233" i="5"/>
  <c r="D58" i="6"/>
  <c r="D39"/>
  <c r="AI267" i="4"/>
  <c r="N227" i="5"/>
  <c r="D232"/>
  <c r="AE108" i="4"/>
  <c r="V135" i="3"/>
  <c r="V53"/>
  <c r="L88" i="5"/>
  <c r="B168" i="4"/>
  <c r="E390" i="3"/>
  <c r="J36"/>
  <c r="T88" i="5"/>
  <c r="J168" i="4"/>
  <c r="Q390" i="3"/>
  <c r="U36"/>
  <c r="L92" i="5"/>
  <c r="B173" i="4"/>
  <c r="I394" i="3"/>
  <c r="M40"/>
  <c r="T92" i="5"/>
  <c r="J173" i="4"/>
  <c r="S394" i="3"/>
  <c r="W40"/>
  <c r="H93" i="5"/>
  <c r="B174" i="4"/>
  <c r="C395" i="3"/>
  <c r="H41"/>
  <c r="T96" i="5"/>
  <c r="I178" i="4"/>
  <c r="U398" i="3"/>
  <c r="M45"/>
  <c r="J31"/>
  <c r="K35"/>
  <c r="D409"/>
  <c r="Y252"/>
  <c r="C22"/>
  <c r="Q251"/>
  <c r="I315"/>
  <c r="B299"/>
  <c r="D86" i="4"/>
  <c r="A225" i="3"/>
  <c r="T70"/>
  <c r="G8"/>
  <c r="F266"/>
  <c r="I278"/>
  <c r="E74" i="4"/>
  <c r="K403" i="3"/>
  <c r="F343" i="4"/>
  <c r="B242"/>
  <c r="AH17"/>
  <c r="P199" i="5"/>
  <c r="H172" i="3"/>
  <c r="K23"/>
  <c r="M367" i="5"/>
  <c r="C78" i="6"/>
  <c r="L57" i="5"/>
  <c r="O382" i="6"/>
  <c r="O257" i="5"/>
  <c r="S68" i="6"/>
  <c r="H48" i="5"/>
  <c r="B26" i="7"/>
  <c r="L378" i="5"/>
  <c r="Q219"/>
  <c r="I170"/>
  <c r="E413" i="6"/>
  <c r="L372" i="5"/>
  <c r="Q213"/>
  <c r="I164"/>
  <c r="S168"/>
  <c r="C42" i="4"/>
  <c r="C91" i="3"/>
  <c r="R359"/>
  <c r="G25" i="5"/>
  <c r="J101" i="4"/>
  <c r="H316" i="3"/>
  <c r="J212"/>
  <c r="O25" i="5"/>
  <c r="B102" i="4"/>
  <c r="R316" i="3"/>
  <c r="V212"/>
  <c r="G29" i="5"/>
  <c r="J106" i="4"/>
  <c r="J320" i="3"/>
  <c r="N216"/>
  <c r="O29" i="5"/>
  <c r="B107" i="4"/>
  <c r="V320" i="3"/>
  <c r="X216"/>
  <c r="C30" i="5"/>
  <c r="J107" i="4"/>
  <c r="F321" i="3"/>
  <c r="H217"/>
  <c r="O33" i="5"/>
  <c r="B112" i="4"/>
  <c r="X324" i="3"/>
  <c r="Z220"/>
  <c r="E46"/>
  <c r="H336"/>
  <c r="AG207" i="4"/>
  <c r="O64" i="3"/>
  <c r="K33"/>
  <c r="M364"/>
  <c r="L366"/>
  <c r="I132" i="4"/>
  <c r="L31" i="3"/>
  <c r="C238" i="6"/>
  <c r="C63" i="12"/>
  <c r="A250" i="5"/>
  <c r="N400"/>
  <c r="L227" i="3"/>
  <c r="AG141" i="4"/>
  <c r="M145" i="3"/>
  <c r="AH116" i="4"/>
  <c r="H20" i="16"/>
  <c r="H26" i="12"/>
  <c r="A14"/>
  <c r="O195" i="6"/>
  <c r="H371" i="5"/>
  <c r="M212"/>
  <c r="E163"/>
  <c r="I392" i="6"/>
  <c r="D362" i="5"/>
  <c r="I203"/>
  <c r="A154"/>
  <c r="P89" i="6"/>
  <c r="P70"/>
  <c r="C307" i="4"/>
  <c r="M398" i="5"/>
  <c r="P83" i="6"/>
  <c r="P64"/>
  <c r="AF299" i="4"/>
  <c r="M350" i="5"/>
  <c r="M386"/>
  <c r="G140" i="4"/>
  <c r="I158" i="3"/>
  <c r="N73"/>
  <c r="D114" i="5"/>
  <c r="I199" i="4"/>
  <c r="M416" i="3"/>
  <c r="U73"/>
  <c r="L114" i="5"/>
  <c r="AJ199" i="4"/>
  <c r="W416" i="3"/>
  <c r="R74"/>
  <c r="D118" i="5"/>
  <c r="H204" i="4"/>
  <c r="B44" i="3"/>
  <c r="B82"/>
  <c r="L118" i="5"/>
  <c r="AJ204" i="4"/>
  <c r="J44" i="3"/>
  <c r="Y82"/>
  <c r="T118" i="5"/>
  <c r="H205" i="4"/>
  <c r="R44" i="3"/>
  <c r="Q83"/>
  <c r="L122" i="5"/>
  <c r="AJ209" i="4"/>
  <c r="L47" i="3"/>
  <c r="Q91"/>
  <c r="E61"/>
  <c r="P71"/>
  <c r="A199"/>
  <c r="V36"/>
  <c r="G44"/>
  <c r="Q356"/>
  <c r="D6"/>
  <c r="J128"/>
  <c r="AI102" i="4"/>
  <c r="S399" i="3"/>
  <c r="D155"/>
  <c r="D49"/>
  <c r="E41" i="4"/>
  <c r="N16" i="3"/>
  <c r="J112" i="4"/>
  <c r="U369" i="3"/>
  <c r="A28"/>
  <c r="G342" i="4"/>
  <c r="G149" i="5"/>
  <c r="G324" i="3"/>
  <c r="C312" i="6"/>
  <c r="S136"/>
  <c r="AH49" i="4"/>
  <c r="F406" i="3"/>
  <c r="Z258"/>
  <c r="AG75" i="4"/>
  <c r="V234" i="3"/>
  <c r="C108"/>
  <c r="B16" i="6"/>
  <c r="V104" i="3"/>
  <c r="A368" i="4"/>
  <c r="Z77" i="3"/>
  <c r="AE52" i="4"/>
  <c r="U164" i="3"/>
  <c r="AI206" i="4"/>
  <c r="S178" i="6"/>
  <c r="H98" i="3"/>
  <c r="V147"/>
  <c r="N38"/>
  <c r="E345"/>
  <c r="AE403" i="4"/>
  <c r="H291" i="5"/>
  <c r="M132"/>
  <c r="E83"/>
  <c r="H294" i="6"/>
  <c r="D282" i="5"/>
  <c r="I123"/>
  <c r="A74"/>
  <c r="P9" i="6"/>
  <c r="M217"/>
  <c r="B229" i="5"/>
  <c r="F179"/>
  <c r="Q416"/>
  <c r="M211" i="6"/>
  <c r="B223" i="5"/>
  <c r="F173"/>
  <c r="P177"/>
  <c r="F41" i="4"/>
  <c r="X89" i="3"/>
  <c r="M298"/>
  <c r="D34" i="5"/>
  <c r="AF100" i="4"/>
  <c r="K334" i="3"/>
  <c r="Q354"/>
  <c r="L34" i="5"/>
  <c r="D101" i="4"/>
  <c r="U334" i="3"/>
  <c r="G356"/>
  <c r="D38" i="5"/>
  <c r="AF105" i="4"/>
  <c r="M338" i="3"/>
  <c r="A371"/>
  <c r="L38" i="5"/>
  <c r="D106" i="4"/>
  <c r="Y338" i="3"/>
  <c r="Q372"/>
  <c r="T38" i="5"/>
  <c r="AF106" i="4"/>
  <c r="I339" i="3"/>
  <c r="I374"/>
  <c r="L42" i="5"/>
  <c r="D111" i="4"/>
  <c r="A343" i="3"/>
  <c r="C389"/>
  <c r="G329"/>
  <c r="S351"/>
  <c r="J358"/>
  <c r="V146"/>
  <c r="Y279"/>
  <c r="E69"/>
  <c r="F107"/>
  <c r="Q264"/>
  <c r="J226" i="4"/>
  <c r="B29" i="5"/>
  <c r="J358"/>
  <c r="F223" i="6"/>
  <c r="G110" i="5"/>
  <c r="AF334" i="4"/>
  <c r="Q262" i="3"/>
  <c r="B403" i="4"/>
  <c r="Q151" i="3"/>
  <c r="B626" i="17"/>
  <c r="B873"/>
  <c r="I56"/>
  <c r="D79" i="12"/>
  <c r="I210" i="6"/>
  <c r="R221" i="5"/>
  <c r="B172"/>
  <c r="I406"/>
  <c r="E201" i="6"/>
  <c r="N212" i="5"/>
  <c r="B413" i="17"/>
  <c r="I115" i="6"/>
  <c r="N326" i="5"/>
  <c r="J318" i="4"/>
  <c r="E306" i="17"/>
  <c r="I109" i="6"/>
  <c r="N320" i="5"/>
  <c r="D311" i="4"/>
  <c r="D305" i="6"/>
  <c r="A255" i="4"/>
  <c r="I353" i="3"/>
  <c r="V173"/>
  <c r="C374" i="5"/>
  <c r="AJ93" i="4"/>
  <c r="W242" i="3"/>
  <c r="O54"/>
  <c r="G377" i="5"/>
  <c r="H94" i="4"/>
  <c r="E243" i="3"/>
  <c r="W54"/>
  <c r="C406" i="5"/>
  <c r="AG98" i="4"/>
  <c r="Y245" i="3"/>
  <c r="Q57"/>
  <c r="G409" i="5"/>
  <c r="E99" i="4"/>
  <c r="G246" i="3"/>
  <c r="Y57"/>
  <c r="K412" i="5"/>
  <c r="AG99" i="4"/>
  <c r="O246" i="3"/>
  <c r="G58"/>
  <c r="F28" i="6"/>
  <c r="E104" i="4"/>
  <c r="I249" i="3"/>
  <c r="A61"/>
  <c r="E170" i="4"/>
  <c r="B20" i="3"/>
  <c r="U394"/>
  <c r="M218"/>
  <c r="C178" i="5"/>
  <c r="P26" i="3"/>
  <c r="G91"/>
  <c r="N145"/>
  <c r="L36"/>
  <c r="N31"/>
  <c r="I310"/>
  <c r="S51"/>
  <c r="J170"/>
  <c r="Y284"/>
  <c r="J57" i="4"/>
  <c r="J218" i="3"/>
  <c r="AE201" i="4"/>
  <c r="S39" i="3"/>
  <c r="P256"/>
  <c r="O71"/>
  <c r="T390" i="5"/>
  <c r="G349" i="3"/>
  <c r="A199" i="5"/>
  <c r="T316"/>
  <c r="E158"/>
  <c r="Q108"/>
  <c r="T319" i="6"/>
  <c r="P307" i="5"/>
  <c r="A149"/>
  <c r="D237" i="6"/>
  <c r="D221"/>
  <c r="E66" i="5"/>
  <c r="Q16"/>
  <c r="D231" i="6"/>
  <c r="D215"/>
  <c r="E60" i="5"/>
  <c r="Q10"/>
  <c r="G15"/>
  <c r="F89" i="4"/>
  <c r="B306" i="3"/>
  <c r="D202"/>
  <c r="I252" i="4"/>
  <c r="AH148"/>
  <c r="H164" i="3"/>
  <c r="T78"/>
  <c r="A253" i="4"/>
  <c r="F149"/>
  <c r="Q164" i="3"/>
  <c r="B79"/>
  <c r="H257" i="4"/>
  <c r="AG153"/>
  <c r="V167" i="3"/>
  <c r="V81"/>
  <c r="AJ257" i="4"/>
  <c r="E154"/>
  <c r="E168" i="3"/>
  <c r="D82"/>
  <c r="H258" i="4"/>
  <c r="AG154"/>
  <c r="N168" i="3"/>
  <c r="L82"/>
  <c r="AH262" i="4"/>
  <c r="C159"/>
  <c r="R171" i="3"/>
  <c r="F85"/>
  <c r="R50"/>
  <c r="V56"/>
  <c r="N355"/>
  <c r="Q219"/>
  <c r="Y36"/>
  <c r="U326"/>
  <c r="F197"/>
  <c r="R84"/>
  <c r="AF37" i="4"/>
  <c r="K16" i="6"/>
  <c r="H67"/>
  <c r="H42"/>
  <c r="E109" i="3"/>
  <c r="A48" i="4"/>
  <c r="V79" i="3"/>
  <c r="AF196" i="4"/>
  <c r="F230" i="23"/>
  <c r="B103" i="17"/>
  <c r="G118" i="13"/>
  <c r="B196" i="6"/>
  <c r="T213"/>
  <c r="A59" i="5"/>
  <c r="M9"/>
  <c r="P223" i="6"/>
  <c r="S20"/>
  <c r="AG410" i="4"/>
  <c r="P342" i="6"/>
  <c r="T121"/>
  <c r="B370" i="4"/>
  <c r="G343" i="17"/>
  <c r="F346" i="5"/>
  <c r="I307" i="4"/>
  <c r="H204" i="3"/>
  <c r="H403" i="4"/>
  <c r="E75"/>
  <c r="B169" i="6"/>
  <c r="W262" i="3"/>
  <c r="R197" i="6"/>
  <c r="L83" i="3"/>
  <c r="P169" i="5"/>
  <c r="T377" i="3"/>
  <c r="G64" i="4"/>
  <c r="K43" i="5"/>
  <c r="B269" i="3"/>
  <c r="H17"/>
  <c r="V175"/>
  <c r="O179"/>
  <c r="F257" i="5"/>
  <c r="K22" i="3"/>
  <c r="I242"/>
  <c r="R143" i="5"/>
  <c r="J125"/>
  <c r="F41" i="7"/>
  <c r="E12" i="9"/>
  <c r="B147" i="5"/>
  <c r="N128"/>
  <c r="F49" i="7"/>
  <c r="E20" i="9"/>
  <c r="F150" i="5"/>
  <c r="R131"/>
  <c r="F57" i="7"/>
  <c r="E28" i="9"/>
  <c r="J153" i="5"/>
  <c r="B135"/>
  <c r="F65" i="7"/>
  <c r="E36" i="9"/>
  <c r="N156" i="5"/>
  <c r="F138"/>
  <c r="F9" i="7"/>
  <c r="A236" i="12"/>
  <c r="E269" i="6"/>
  <c r="F278" i="17"/>
  <c r="F18" i="16"/>
  <c r="A240" i="12"/>
  <c r="M269" i="6"/>
  <c r="L390"/>
  <c r="J25"/>
  <c r="K253" i="5"/>
  <c r="D229"/>
  <c r="H263" i="7"/>
  <c r="F16" i="6"/>
  <c r="G244" i="5"/>
  <c r="T219"/>
  <c r="H79" i="7"/>
  <c r="B7" i="6"/>
  <c r="A235"/>
  <c r="P210" i="5"/>
  <c r="H87" i="7"/>
  <c r="J7" i="6"/>
  <c r="F147" i="13"/>
  <c r="F5"/>
  <c r="C489" i="17"/>
  <c r="I126"/>
  <c r="A45" i="13"/>
  <c r="N372" i="6"/>
  <c r="D440" i="17"/>
  <c r="A78"/>
  <c r="H135" i="13"/>
  <c r="I342" i="6"/>
  <c r="H284" i="17"/>
  <c r="F25" i="16"/>
  <c r="H24" i="13"/>
  <c r="I272" i="6"/>
  <c r="G285" i="17"/>
  <c r="F26" i="16"/>
  <c r="H32" i="13"/>
  <c r="Q272" i="6"/>
  <c r="D416"/>
  <c r="N28"/>
  <c r="O256" i="5"/>
  <c r="H232"/>
  <c r="F15" i="9"/>
  <c r="J19" i="6"/>
  <c r="K247" i="5"/>
  <c r="D223"/>
  <c r="H143" i="7"/>
  <c r="F10" i="6"/>
  <c r="G238" i="5"/>
  <c r="T213"/>
  <c r="H151" i="7"/>
  <c r="N10" i="6"/>
  <c r="F75" i="20"/>
  <c r="A109"/>
  <c r="C66" i="16"/>
  <c r="H368" i="17"/>
  <c r="C245" i="5"/>
  <c r="P220"/>
  <c r="H95" i="7"/>
  <c r="R7" i="6"/>
  <c r="E238"/>
  <c r="L211" i="5"/>
  <c r="C349" i="6"/>
  <c r="C129"/>
  <c r="T357" i="5"/>
  <c r="AF316" i="4"/>
  <c r="C343" i="6"/>
  <c r="C123"/>
  <c r="T351" i="5"/>
  <c r="F309" i="4"/>
  <c r="A336"/>
  <c r="A7"/>
  <c r="S238" i="3"/>
  <c r="Z180"/>
  <c r="K188" i="5"/>
  <c r="G66" i="4"/>
  <c r="P106" i="3"/>
  <c r="T379"/>
  <c r="S188" i="5"/>
  <c r="AI66" i="4"/>
  <c r="Y106" i="3"/>
  <c r="F380"/>
  <c r="K192" i="5"/>
  <c r="G71" i="4"/>
  <c r="C110" i="3"/>
  <c r="X383"/>
  <c r="S192" i="5"/>
  <c r="AH71" i="4"/>
  <c r="L110" i="3"/>
  <c r="H384"/>
  <c r="G193" i="5"/>
  <c r="F72" i="4"/>
  <c r="U110" i="3"/>
  <c r="R384"/>
  <c r="S196" i="5"/>
  <c r="AH76" i="4"/>
  <c r="Z113" i="3"/>
  <c r="J388"/>
  <c r="B53"/>
  <c r="Y112"/>
  <c r="AJ373" i="4"/>
  <c r="I216" i="3"/>
  <c r="M38"/>
  <c r="J284"/>
  <c r="T244"/>
  <c r="Q265" i="5"/>
  <c r="G36" i="3"/>
  <c r="F51" i="7"/>
  <c r="AJ394" i="4"/>
  <c r="D241" i="7"/>
  <c r="O196" i="6"/>
  <c r="Y356" i="3"/>
  <c r="P117" i="5"/>
  <c r="R300" i="3"/>
  <c r="P147" i="5"/>
  <c r="F200" i="3"/>
  <c r="A142" i="17"/>
  <c r="F98" i="16"/>
  <c r="F48" i="6"/>
  <c r="J39"/>
  <c r="T401" i="5"/>
  <c r="AG370" i="4"/>
  <c r="L411" i="6"/>
  <c r="S163"/>
  <c r="P392" i="5"/>
  <c r="F359" i="4"/>
  <c r="D301" i="6"/>
  <c r="T288" i="5"/>
  <c r="E130"/>
  <c r="Q80"/>
  <c r="D295" i="6"/>
  <c r="T282" i="5"/>
  <c r="E124"/>
  <c r="Q74"/>
  <c r="G79"/>
  <c r="H168" i="4"/>
  <c r="R371" i="3"/>
  <c r="T267"/>
  <c r="AF331" i="4"/>
  <c r="J227"/>
  <c r="J224" i="3"/>
  <c r="N131"/>
  <c r="D332" i="4"/>
  <c r="D228"/>
  <c r="V224" i="3"/>
  <c r="W131"/>
  <c r="J336" i="4"/>
  <c r="C234"/>
  <c r="N228" i="3"/>
  <c r="A135"/>
  <c r="B337" i="4"/>
  <c r="AH234"/>
  <c r="X228" i="3"/>
  <c r="J135"/>
  <c r="J337" i="4"/>
  <c r="H235"/>
  <c r="H229" i="3"/>
  <c r="S135"/>
  <c r="AI341" i="4"/>
  <c r="H241"/>
  <c r="Z232" i="3"/>
  <c r="X138"/>
  <c r="U246"/>
  <c r="A266"/>
  <c r="G32" i="4"/>
  <c r="O147" i="3"/>
  <c r="M197"/>
  <c r="X38"/>
  <c r="R375"/>
  <c r="B192" i="4"/>
  <c r="J256"/>
  <c r="B44" i="17"/>
  <c r="J226" i="5"/>
  <c r="K380" i="6"/>
  <c r="F146"/>
  <c r="D161" i="3"/>
  <c r="F324" i="4"/>
  <c r="Y195" i="3"/>
  <c r="A361" i="4"/>
  <c r="L331" i="3"/>
  <c r="I198" i="17"/>
  <c r="C44"/>
  <c r="R73" i="6"/>
  <c r="B65"/>
  <c r="D405" i="5"/>
  <c r="AG374" i="4"/>
  <c r="C4" i="7"/>
  <c r="C167" i="6"/>
  <c r="T395" i="5"/>
  <c r="E363" i="4"/>
  <c r="H304" i="6"/>
  <c r="D292" i="5"/>
  <c r="I133"/>
  <c r="A84"/>
  <c r="H298" i="6"/>
  <c r="D286" i="5"/>
  <c r="I127"/>
  <c r="A78"/>
  <c r="K82"/>
  <c r="H172" i="4"/>
  <c r="Z374" i="3"/>
  <c r="B271"/>
  <c r="C89" i="23"/>
  <c r="E280" i="17"/>
  <c r="F241" i="20"/>
  <c r="D216" i="12"/>
  <c r="E43" i="20"/>
  <c r="C32" i="13"/>
  <c r="E51" i="20"/>
  <c r="C40" i="13"/>
  <c r="E107" i="20"/>
  <c r="C48" i="13"/>
  <c r="P261" i="6"/>
  <c r="C174" i="7"/>
  <c r="A343" i="6"/>
  <c r="J283" i="4"/>
  <c r="T264" i="6"/>
  <c r="D195" i="7"/>
  <c r="E346" i="6"/>
  <c r="J287" i="4"/>
  <c r="D268" i="6"/>
  <c r="B217" i="7"/>
  <c r="I349" i="6"/>
  <c r="J291" i="4"/>
  <c r="H271" i="6"/>
  <c r="C238" i="7"/>
  <c r="M352" i="6"/>
  <c r="I295" i="4"/>
  <c r="L274" i="6"/>
  <c r="D259" i="7"/>
  <c r="Q355" i="6"/>
  <c r="H299" i="4"/>
  <c r="D252" i="6"/>
  <c r="C110" i="7"/>
  <c r="G164"/>
  <c r="J269" i="6"/>
  <c r="H214" i="17"/>
  <c r="F74" i="12"/>
  <c r="G165" i="7"/>
  <c r="R269" i="6"/>
  <c r="Q276" i="5"/>
  <c r="M71" i="6"/>
  <c r="B83" i="5"/>
  <c r="F33"/>
  <c r="M267"/>
  <c r="I62" i="6"/>
  <c r="R73" i="5"/>
  <c r="B24"/>
  <c r="I258"/>
  <c r="E53" i="6"/>
  <c r="N64" i="5"/>
  <c r="R14"/>
  <c r="Q258"/>
  <c r="A28" i="20"/>
  <c r="K400" i="6"/>
  <c r="C65" i="7"/>
  <c r="B78" i="16"/>
  <c r="E55" i="13"/>
  <c r="K372" i="6"/>
  <c r="C373"/>
  <c r="B23" i="16"/>
  <c r="F256" i="12"/>
  <c r="E35" i="9"/>
  <c r="N342" i="6"/>
  <c r="A223" i="17"/>
  <c r="F81" i="12"/>
  <c r="G172" i="7"/>
  <c r="N272" i="6"/>
  <c r="C224" i="17"/>
  <c r="F82" i="12"/>
  <c r="G173" i="7"/>
  <c r="B273" i="6"/>
  <c r="A280" i="5"/>
  <c r="Q74" i="6"/>
  <c r="F86" i="5"/>
  <c r="J36"/>
  <c r="Q270"/>
  <c r="M65" i="6"/>
  <c r="B77" i="5"/>
  <c r="F27"/>
  <c r="M261"/>
  <c r="I56" i="6"/>
  <c r="R67" i="5"/>
  <c r="B18"/>
  <c r="A262"/>
  <c r="B22" i="16"/>
  <c r="B170" i="17"/>
  <c r="M257" i="5"/>
  <c r="E239"/>
  <c r="E63" i="6"/>
  <c r="N74" i="5"/>
  <c r="R24"/>
  <c r="E259"/>
  <c r="A54" i="6"/>
  <c r="J65" i="5"/>
  <c r="E371" i="17"/>
  <c r="F381" i="5"/>
  <c r="F175" i="6"/>
  <c r="O170" i="5"/>
  <c r="A151" i="17"/>
  <c r="F375" i="5"/>
  <c r="F169" i="6"/>
  <c r="O164" i="5"/>
  <c r="G345"/>
  <c r="I89" i="4"/>
  <c r="C240" i="3"/>
  <c r="U51"/>
  <c r="B241" i="5"/>
  <c r="I148" i="4"/>
  <c r="Q129" i="3"/>
  <c r="T291"/>
  <c r="F244" i="5"/>
  <c r="A149" i="4"/>
  <c r="Y129" i="3"/>
  <c r="F292"/>
  <c r="B273" i="5"/>
  <c r="H153" i="4"/>
  <c r="S132" i="3"/>
  <c r="X295"/>
  <c r="F276" i="5"/>
  <c r="AJ153" i="4"/>
  <c r="A133" i="3"/>
  <c r="H296"/>
  <c r="J279" i="5"/>
  <c r="H154" i="4"/>
  <c r="I133" i="3"/>
  <c r="R296"/>
  <c r="F308" i="5"/>
  <c r="AH158" i="4"/>
  <c r="C136" i="3"/>
  <c r="J300"/>
  <c r="O350"/>
  <c r="B31"/>
  <c r="N9"/>
  <c r="M261"/>
  <c r="I150" i="4"/>
  <c r="F385" i="5"/>
  <c r="U124" i="3"/>
  <c r="Y180"/>
  <c r="D48"/>
  <c r="G365"/>
  <c r="H323" i="5"/>
  <c r="S228" i="6"/>
  <c r="L125" i="5"/>
  <c r="G175"/>
  <c r="T103" i="3"/>
  <c r="L17" i="5"/>
  <c r="J209" i="3"/>
  <c r="I385" i="5"/>
  <c r="G27" i="13"/>
  <c r="H229" i="17"/>
  <c r="F77" i="6"/>
  <c r="R58"/>
  <c r="F219"/>
  <c r="O214" i="5"/>
  <c r="F208" i="17"/>
  <c r="B416" i="5"/>
  <c r="B210" i="6"/>
  <c r="K205" i="5"/>
  <c r="E69" i="12"/>
  <c r="J107" i="6"/>
  <c r="K335" i="5"/>
  <c r="AG309" i="4"/>
  <c r="A15" i="8"/>
  <c r="J101" i="6"/>
  <c r="K329" i="5"/>
  <c r="F302" i="4"/>
  <c r="A211" i="5"/>
  <c r="C13" i="4"/>
  <c r="T360" i="3"/>
  <c r="I182"/>
  <c r="A257" i="5"/>
  <c r="D72" i="4"/>
  <c r="H250" i="3"/>
  <c r="Z61"/>
  <c r="M282" i="5"/>
  <c r="AF72" i="4"/>
  <c r="P250" i="3"/>
  <c r="H62"/>
  <c r="B263" i="4"/>
  <c r="D77"/>
  <c r="J253" i="3"/>
  <c r="B65"/>
  <c r="A267" i="4"/>
  <c r="AF77"/>
  <c r="R253" i="3"/>
  <c r="J65"/>
  <c r="A271" i="4"/>
  <c r="D78"/>
  <c r="Z253" i="3"/>
  <c r="R65"/>
  <c r="AG306" i="4"/>
  <c r="AE82"/>
  <c r="T256" i="3"/>
  <c r="L68"/>
  <c r="F193"/>
  <c r="T26" i="5"/>
  <c r="C77" i="3"/>
  <c r="G24"/>
  <c r="Y164"/>
  <c r="I154" i="4"/>
  <c r="G406"/>
  <c r="Q8" i="3"/>
  <c r="K230"/>
  <c r="I369" i="6"/>
  <c r="C110"/>
  <c r="P360" i="5"/>
  <c r="O90"/>
  <c r="G363" i="4"/>
  <c r="M324" i="3"/>
  <c r="M17" i="5"/>
  <c r="M381" i="3"/>
  <c r="E102" i="5"/>
  <c r="G91" i="13"/>
  <c r="H117" i="12"/>
  <c r="R102" i="6"/>
  <c r="J84"/>
  <c r="J222"/>
  <c r="S217" i="5"/>
  <c r="G433" i="17"/>
  <c r="E6" i="6"/>
  <c r="F213"/>
  <c r="O208" i="5"/>
  <c r="A247" i="12"/>
  <c r="N110" i="6"/>
  <c r="O338" i="5"/>
  <c r="AF313" i="4"/>
  <c r="G7" i="12"/>
  <c r="N104" i="6"/>
  <c r="O332" i="5"/>
  <c r="F306" i="4"/>
  <c r="M236" i="5"/>
  <c r="C17" i="4"/>
  <c r="F363" i="3"/>
  <c r="D185"/>
  <c r="F71" i="20"/>
  <c r="F11" i="22"/>
  <c r="C11" i="10"/>
  <c r="F33" i="12"/>
  <c r="D74"/>
  <c r="B158"/>
  <c r="H70" i="13"/>
  <c r="B190" i="12"/>
  <c r="H134" i="13"/>
  <c r="B222" i="12"/>
  <c r="H198" i="13"/>
  <c r="D531" i="17"/>
  <c r="G376"/>
  <c r="T321" i="6"/>
  <c r="D313"/>
  <c r="E538" i="17"/>
  <c r="H383"/>
  <c r="D325" i="6"/>
  <c r="H316"/>
  <c r="F545" i="17"/>
  <c r="I390"/>
  <c r="H328" i="6"/>
  <c r="L319"/>
  <c r="G552" i="17"/>
  <c r="A398"/>
  <c r="L331" i="6"/>
  <c r="P322"/>
  <c r="A579" i="17"/>
  <c r="B405"/>
  <c r="P334" i="6"/>
  <c r="T325"/>
  <c r="A510" i="17"/>
  <c r="D93" i="12"/>
  <c r="C308" i="6"/>
  <c r="G335" i="17"/>
  <c r="B6" i="13"/>
  <c r="A95" i="12"/>
  <c r="K308" i="6"/>
  <c r="S295"/>
  <c r="S75"/>
  <c r="P304" i="5"/>
  <c r="AH250" i="4"/>
  <c r="O286" i="6"/>
  <c r="O66"/>
  <c r="L295" i="5"/>
  <c r="I239" i="4"/>
  <c r="K277" i="6"/>
  <c r="K57"/>
  <c r="H286" i="5"/>
  <c r="B228" i="4"/>
  <c r="S277" i="6"/>
  <c r="F1" i="38"/>
  <c r="B121" i="7"/>
  <c r="B242" i="6"/>
  <c r="D546" i="17"/>
  <c r="E25" i="16"/>
  <c r="H92" i="13"/>
  <c r="C112" i="7"/>
  <c r="E497" i="17"/>
  <c r="B188" i="13"/>
  <c r="A106" i="12"/>
  <c r="H406" i="6"/>
  <c r="I341" i="17"/>
  <c r="B13" i="13"/>
  <c r="B106" i="12"/>
  <c r="G311" i="6"/>
  <c r="H342" i="17"/>
  <c r="B14" i="13"/>
  <c r="G107" i="12"/>
  <c r="O311" i="6"/>
  <c r="C299"/>
  <c r="C79"/>
  <c r="T307" i="5"/>
  <c r="AG254" i="4"/>
  <c r="S289" i="6"/>
  <c r="S69"/>
  <c r="P298" i="5"/>
  <c r="G243" i="4"/>
  <c r="O280" i="6"/>
  <c r="O60"/>
  <c r="L289" i="5"/>
  <c r="B232" i="4"/>
  <c r="C281" i="6"/>
  <c r="F98" i="23"/>
  <c r="D4" i="13"/>
  <c r="G58" i="17"/>
  <c r="D21" i="6"/>
  <c r="K67"/>
  <c r="H296" i="5"/>
  <c r="I240" i="4"/>
  <c r="G278" i="6"/>
  <c r="G58"/>
  <c r="D287" i="5"/>
  <c r="B229" i="4"/>
  <c r="L198" i="6"/>
  <c r="L179"/>
  <c r="M24" i="5"/>
  <c r="D380" i="4"/>
  <c r="L192" i="6"/>
  <c r="L173"/>
  <c r="M18" i="5"/>
  <c r="AH372" i="4"/>
  <c r="H378"/>
  <c r="AG37"/>
  <c r="J263" i="3"/>
  <c r="X164"/>
  <c r="T222" i="5"/>
  <c r="E97" i="4"/>
  <c r="S127" i="3"/>
  <c r="T46"/>
  <c r="H223" i="5"/>
  <c r="AF97" i="4"/>
  <c r="B128" i="3"/>
  <c r="B47"/>
  <c r="T226" i="5"/>
  <c r="C102" i="4"/>
  <c r="G131" i="3"/>
  <c r="V49"/>
  <c r="H227" i="5"/>
  <c r="AE102" i="4"/>
  <c r="P131" i="3"/>
  <c r="D50"/>
  <c r="P227" i="5"/>
  <c r="C103" i="4"/>
  <c r="Y131" i="3"/>
  <c r="L50"/>
  <c r="H231" i="5"/>
  <c r="AE107" i="4"/>
  <c r="C135" i="3"/>
  <c r="F53"/>
  <c r="U13"/>
  <c r="J17"/>
  <c r="O287"/>
  <c r="K215"/>
  <c r="G409"/>
  <c r="B162"/>
  <c r="A220"/>
  <c r="Y325"/>
  <c r="H225" i="5"/>
  <c r="F233" i="6"/>
  <c r="L249"/>
  <c r="S125"/>
  <c r="H246" i="5"/>
  <c r="J223"/>
  <c r="Y225" i="3"/>
  <c r="C241" i="6"/>
  <c r="E367" i="3"/>
  <c r="B212" i="7"/>
  <c r="A7" i="10"/>
  <c r="H182" i="7"/>
  <c r="C257" i="4"/>
  <c r="L223" i="6"/>
  <c r="M68" i="5"/>
  <c r="E19"/>
  <c r="H230" i="6"/>
  <c r="H214"/>
  <c r="I59" i="5"/>
  <c r="A10"/>
  <c r="Q358"/>
  <c r="M153" i="6"/>
  <c r="B165" i="5"/>
  <c r="F115"/>
  <c r="Q352"/>
  <c r="M147" i="6"/>
  <c r="B159" i="5"/>
  <c r="F109"/>
  <c r="P113"/>
  <c r="A199" i="4"/>
  <c r="A416" i="3"/>
  <c r="F91" i="12"/>
  <c r="A374" i="4"/>
  <c r="I21"/>
  <c r="U268" i="3"/>
  <c r="F155" i="12"/>
  <c r="I374" i="4"/>
  <c r="A22"/>
  <c r="E269" i="3"/>
  <c r="D23" i="13"/>
  <c r="AJ378" i="4"/>
  <c r="H26"/>
  <c r="W272" i="3"/>
  <c r="D87" i="13"/>
  <c r="H379" i="4"/>
  <c r="AJ26"/>
  <c r="G273" i="3"/>
  <c r="D151" i="13"/>
  <c r="AI379" i="4"/>
  <c r="H27"/>
  <c r="S273" i="3"/>
  <c r="B47" i="17"/>
  <c r="F384" i="4"/>
  <c r="AI31"/>
  <c r="K277" i="3"/>
  <c r="G56" i="6"/>
  <c r="M88" i="3"/>
  <c r="Q104"/>
  <c r="G184"/>
  <c r="O8"/>
  <c r="D57"/>
  <c r="Y410"/>
  <c r="U16"/>
  <c r="C165"/>
  <c r="Y229"/>
  <c r="M17" i="6"/>
  <c r="L124"/>
  <c r="R49"/>
  <c r="C12"/>
  <c r="E7"/>
  <c r="M383" i="3"/>
  <c r="H39" i="6"/>
  <c r="G146" i="4"/>
  <c r="C5" i="8"/>
  <c r="P379" i="6"/>
  <c r="H246" i="7"/>
  <c r="AI288" i="4"/>
  <c r="P226" i="6"/>
  <c r="Q71" i="5"/>
  <c r="I22"/>
  <c r="L233" i="6"/>
  <c r="L217"/>
  <c r="M62" i="5"/>
  <c r="E13"/>
  <c r="A362"/>
  <c r="Q156" i="6"/>
  <c r="F168" i="5"/>
  <c r="J118"/>
  <c r="A356"/>
  <c r="Q150" i="6"/>
  <c r="F162" i="5"/>
  <c r="J112"/>
  <c r="T116"/>
  <c r="AJ202" i="4"/>
  <c r="D43" i="3"/>
  <c r="E151" i="12"/>
  <c r="B133" i="20"/>
  <c r="H148" i="13"/>
  <c r="F244" i="23"/>
  <c r="C29" i="12"/>
  <c r="D962" i="17"/>
  <c r="A141" i="12"/>
  <c r="E969" i="17"/>
  <c r="A173" i="12"/>
  <c r="F976" i="17"/>
  <c r="A205" i="12"/>
  <c r="A810" i="17"/>
  <c r="A413"/>
  <c r="C331" i="6"/>
  <c r="O312"/>
  <c r="E838" i="17"/>
  <c r="B420"/>
  <c r="G334" i="6"/>
  <c r="S315"/>
  <c r="I866" i="17"/>
  <c r="C427"/>
  <c r="K337" i="6"/>
  <c r="C319"/>
  <c r="D895" i="17"/>
  <c r="D434"/>
  <c r="O340" i="6"/>
  <c r="G322"/>
  <c r="H923" i="17"/>
  <c r="E441"/>
  <c r="S343" i="6"/>
  <c r="K325"/>
  <c r="G724" i="17"/>
  <c r="G391"/>
  <c r="B328" i="5"/>
  <c r="N309"/>
  <c r="B83" i="17"/>
  <c r="E6" i="15"/>
  <c r="F331" i="5"/>
  <c r="R312"/>
  <c r="Q61"/>
  <c r="S414"/>
  <c r="E119" i="4"/>
  <c r="AG178"/>
  <c r="AE183"/>
  <c r="J188"/>
  <c r="AF56"/>
  <c r="E191"/>
  <c r="F21" i="5"/>
  <c r="S157" i="6"/>
  <c r="B43" i="4"/>
  <c r="I102"/>
  <c r="I107"/>
  <c r="I112"/>
  <c r="K114" i="3"/>
  <c r="A176" i="4"/>
  <c r="R46" i="5"/>
  <c r="C161" i="6"/>
  <c r="A47" i="4"/>
  <c r="D272"/>
  <c r="I168"/>
  <c r="J178" i="3"/>
  <c r="B91"/>
  <c r="AF272" i="4"/>
  <c r="A169"/>
  <c r="S178" i="3"/>
  <c r="J91"/>
  <c r="D277" i="4"/>
  <c r="I173"/>
  <c r="W181" i="3"/>
  <c r="D94"/>
  <c r="AF277" i="4"/>
  <c r="A174"/>
  <c r="F182" i="3"/>
  <c r="L94"/>
  <c r="D278" i="4"/>
  <c r="I174"/>
  <c r="P182" i="3"/>
  <c r="T94"/>
  <c r="AF282" i="4"/>
  <c r="AJ178"/>
  <c r="T185" i="3"/>
  <c r="N97"/>
  <c r="Y79"/>
  <c r="M89"/>
  <c r="W138"/>
  <c r="D23"/>
  <c r="S55"/>
  <c r="M392"/>
  <c r="M362"/>
  <c r="D191" i="4"/>
  <c r="C288"/>
  <c r="R326" i="5"/>
  <c r="AF242" i="4"/>
  <c r="H119" i="12"/>
  <c r="I18" i="4"/>
  <c r="L42" i="6"/>
  <c r="U109" i="3"/>
  <c r="Q119" i="6"/>
  <c r="I101"/>
  <c r="A83" i="17"/>
  <c r="D6" i="15"/>
  <c r="A123" i="6"/>
  <c r="M104"/>
  <c r="P216"/>
  <c r="N206"/>
  <c r="B136" i="4"/>
  <c r="F195"/>
  <c r="C200"/>
  <c r="C205"/>
  <c r="D190" i="5"/>
  <c r="AH53" i="4"/>
  <c r="B71" i="5"/>
  <c r="S366"/>
  <c r="AH59" i="4"/>
  <c r="F119"/>
  <c r="E124"/>
  <c r="D129"/>
  <c r="I301" i="3"/>
  <c r="AJ258" i="4"/>
  <c r="N96" i="5"/>
  <c r="C370"/>
  <c r="AG63" i="4"/>
  <c r="B304"/>
  <c r="AI199"/>
  <c r="L201" i="3"/>
  <c r="V111"/>
  <c r="J304" i="4"/>
  <c r="G200"/>
  <c r="V201" i="3"/>
  <c r="E112"/>
  <c r="A309" i="4"/>
  <c r="AI204"/>
  <c r="N205" i="3"/>
  <c r="I115"/>
  <c r="I309" i="4"/>
  <c r="G205"/>
  <c r="X205" i="3"/>
  <c r="R115"/>
  <c r="A310" i="4"/>
  <c r="AI205"/>
  <c r="J206" i="3"/>
  <c r="A116"/>
  <c r="H314" i="4"/>
  <c r="G210"/>
  <c r="B210" i="3"/>
  <c r="F119"/>
  <c r="Z160"/>
  <c r="L177"/>
  <c r="K296"/>
  <c r="M65"/>
  <c r="S118"/>
  <c r="T20"/>
  <c r="R192"/>
  <c r="F207" i="4"/>
  <c r="I30" i="5"/>
  <c r="E301"/>
  <c r="C192" i="4"/>
  <c r="M80" i="3"/>
  <c r="H208" i="4"/>
  <c r="C114" i="16"/>
  <c r="R252" i="3"/>
  <c r="A328" i="5"/>
  <c r="M309"/>
  <c r="H83" i="17"/>
  <c r="C6" i="15"/>
  <c r="E331" i="5"/>
  <c r="Q312"/>
  <c r="P232" i="6"/>
  <c r="I19"/>
  <c r="AI152" i="4"/>
  <c r="A212"/>
  <c r="AH216"/>
  <c r="AH221"/>
  <c r="G9" i="3"/>
  <c r="B198" i="5"/>
  <c r="M59" i="6"/>
  <c r="N158"/>
  <c r="AE76" i="4"/>
  <c r="C136"/>
  <c r="B141"/>
  <c r="B146"/>
  <c r="AI187"/>
  <c r="F335"/>
  <c r="E85" i="6"/>
  <c r="R161"/>
  <c r="AD80" i="4"/>
  <c r="AD335"/>
  <c r="AH232"/>
  <c r="R227" i="3"/>
  <c r="I134"/>
  <c r="B336" i="4"/>
  <c r="H233"/>
  <c r="B228" i="3"/>
  <c r="R134"/>
  <c r="I340" i="4"/>
  <c r="H239"/>
  <c r="T231" i="3"/>
  <c r="V137"/>
  <c r="AJ340" i="4"/>
  <c r="C240"/>
  <c r="F232" i="3"/>
  <c r="E138"/>
  <c r="H341" i="4"/>
  <c r="AH240"/>
  <c r="P232" i="3"/>
  <c r="N138"/>
  <c r="AG345" i="4"/>
  <c r="AF246"/>
  <c r="H236" i="3"/>
  <c r="S141"/>
  <c r="Y259"/>
  <c r="C279"/>
  <c r="B64" i="4"/>
  <c r="U158" i="3"/>
  <c r="Q210"/>
  <c r="E42"/>
  <c r="X401"/>
  <c r="I223" i="4"/>
  <c r="Q79" i="5"/>
  <c r="D269" i="6"/>
  <c r="D145" i="4"/>
  <c r="R83" i="3"/>
  <c r="D193" i="4"/>
  <c r="L89" i="3"/>
  <c r="F410"/>
  <c r="P119" i="6"/>
  <c r="H101"/>
  <c r="I145" i="17"/>
  <c r="A46" i="16"/>
  <c r="T122" i="6"/>
  <c r="L104"/>
  <c r="M21" i="5"/>
  <c r="E224" i="6"/>
  <c r="D389" i="4"/>
  <c r="A229"/>
  <c r="AE235"/>
  <c r="E242"/>
  <c r="W309" i="3"/>
  <c r="H337" i="4"/>
  <c r="Q264" i="5"/>
  <c r="J384"/>
  <c r="H93" i="4"/>
  <c r="AJ152"/>
  <c r="AI157"/>
  <c r="AG162"/>
  <c r="A177" i="6"/>
  <c r="A94" i="5"/>
  <c r="I290"/>
  <c r="N387"/>
  <c r="G97" i="4"/>
  <c r="AJ366"/>
  <c r="F26"/>
  <c r="X253" i="3"/>
  <c r="V156"/>
  <c r="H367" i="4"/>
  <c r="AH26"/>
  <c r="J254" i="3"/>
  <c r="E157"/>
  <c r="AJ371" i="4"/>
  <c r="E31"/>
  <c r="B258" i="3"/>
  <c r="I160"/>
  <c r="H372" i="4"/>
  <c r="AG31"/>
  <c r="L258" i="3"/>
  <c r="R160"/>
  <c r="AJ372" i="4"/>
  <c r="E32"/>
  <c r="V258" i="3"/>
  <c r="B161"/>
  <c r="H377" i="4"/>
  <c r="AG36"/>
  <c r="N262" i="3"/>
  <c r="F164"/>
  <c r="Y364"/>
  <c r="X59"/>
  <c r="H80" i="4"/>
  <c r="Q283" i="3"/>
  <c r="Q315"/>
  <c r="L85"/>
  <c r="D263"/>
  <c r="H244" i="4"/>
  <c r="L238" i="5"/>
  <c r="I414" i="6"/>
  <c r="I98" i="4"/>
  <c r="Z218" i="3"/>
  <c r="E146" i="4"/>
  <c r="J67" i="3"/>
  <c r="R178"/>
  <c r="L321" i="6"/>
  <c r="D303"/>
  <c r="I603" i="17"/>
  <c r="F361"/>
  <c r="P324" i="6"/>
  <c r="H306"/>
  <c r="A71" i="5"/>
  <c r="H19" i="6"/>
  <c r="H187" i="5"/>
  <c r="D44"/>
  <c r="D48"/>
  <c r="D52"/>
  <c r="I319" i="3"/>
  <c r="K161" i="5"/>
  <c r="J30"/>
  <c r="E176" i="6"/>
  <c r="E330" i="4"/>
  <c r="AE169"/>
  <c r="AE174"/>
  <c r="J179"/>
  <c r="Y148" i="3"/>
  <c r="B315" i="4"/>
  <c r="B56" i="5"/>
  <c r="I179" i="6"/>
  <c r="D334" i="4"/>
  <c r="J398"/>
  <c r="C58"/>
  <c r="F280" i="3"/>
  <c r="I179"/>
  <c r="A399" i="4"/>
  <c r="AD58"/>
  <c r="P280" i="3"/>
  <c r="R179"/>
  <c r="I403" i="4"/>
  <c r="AJ62"/>
  <c r="H284" i="3"/>
  <c r="V182"/>
  <c r="A404" i="4"/>
  <c r="H63"/>
  <c r="R284" i="3"/>
  <c r="F183"/>
  <c r="I404" i="4"/>
  <c r="AJ63"/>
  <c r="D285" i="3"/>
  <c r="O183"/>
  <c r="AJ408" i="4"/>
  <c r="H68"/>
  <c r="V288" i="3"/>
  <c r="S186"/>
  <c r="X15"/>
  <c r="F73"/>
  <c r="AF96" i="4"/>
  <c r="M10" i="3"/>
  <c r="E6"/>
  <c r="K170"/>
  <c r="V95"/>
  <c r="AE20" i="4"/>
  <c r="C61" i="25"/>
  <c r="H200" i="17"/>
  <c r="AJ51" i="4"/>
  <c r="N376" i="3"/>
  <c r="A99" i="4"/>
  <c r="G197" i="3"/>
  <c r="I359"/>
  <c r="K321" i="6"/>
  <c r="C303"/>
  <c r="B753" i="17"/>
  <c r="H398"/>
  <c r="O324" i="6"/>
  <c r="G306"/>
  <c r="T225"/>
  <c r="D224"/>
  <c r="AJ409" i="4"/>
  <c r="E316" i="5"/>
  <c r="E348"/>
  <c r="E380"/>
  <c r="F24" i="3"/>
  <c r="T399" i="5"/>
  <c r="F80"/>
  <c r="I384"/>
  <c r="H139"/>
  <c r="A406" i="4"/>
  <c r="A411"/>
  <c r="AH415"/>
  <c r="W121" i="3"/>
  <c r="C140" i="6"/>
  <c r="R105" i="5"/>
  <c r="M387"/>
  <c r="L142"/>
  <c r="O15"/>
  <c r="AG89" i="4"/>
  <c r="L306" i="3"/>
  <c r="N202"/>
  <c r="C16" i="5"/>
  <c r="E90" i="4"/>
  <c r="V306" i="3"/>
  <c r="Z202"/>
  <c r="O19" i="5"/>
  <c r="AG94" i="4"/>
  <c r="N310" i="3"/>
  <c r="R206"/>
  <c r="C20" i="5"/>
  <c r="E95" i="4"/>
  <c r="Z310" i="3"/>
  <c r="B207"/>
  <c r="K20" i="5"/>
  <c r="AG95" i="4"/>
  <c r="J311" i="3"/>
  <c r="L207"/>
  <c r="C24" i="5"/>
  <c r="B100" i="4"/>
  <c r="B315" i="3"/>
  <c r="D211"/>
  <c r="U35"/>
  <c r="N257"/>
  <c r="A113" i="4"/>
  <c r="K45" i="3"/>
  <c r="A26"/>
  <c r="Y270"/>
  <c r="R287"/>
  <c r="H37" i="4"/>
  <c r="B24" i="3"/>
  <c r="I80" i="5"/>
  <c r="F246" i="4"/>
  <c r="M164" i="3"/>
  <c r="I52" i="4"/>
  <c r="T354" i="3"/>
  <c r="N271"/>
  <c r="D56" i="7"/>
  <c r="P247" i="6"/>
  <c r="B127" i="20"/>
  <c r="G454" i="17"/>
  <c r="C227" i="7"/>
  <c r="H273" i="6"/>
  <c r="T241"/>
  <c r="D260" i="7"/>
  <c r="C204" i="5"/>
  <c r="S60"/>
  <c r="S64"/>
  <c r="S68"/>
  <c r="J86" i="3"/>
  <c r="I192" i="6"/>
  <c r="Q68"/>
  <c r="D176"/>
  <c r="AG350" i="4"/>
  <c r="T200" i="5"/>
  <c r="T204"/>
  <c r="T208"/>
  <c r="K317" i="3"/>
  <c r="T195" i="6"/>
  <c r="I94"/>
  <c r="H179"/>
  <c r="AD354" i="4"/>
  <c r="G41" i="5"/>
  <c r="H121" i="4"/>
  <c r="R332" i="3"/>
  <c r="V228"/>
  <c r="O41" i="5"/>
  <c r="AI121" i="4"/>
  <c r="D333" i="3"/>
  <c r="F229"/>
  <c r="G45" i="5"/>
  <c r="G126" i="4"/>
  <c r="V336" i="3"/>
  <c r="X232"/>
  <c r="O45" i="5"/>
  <c r="AI126" i="4"/>
  <c r="F337" i="3"/>
  <c r="H233"/>
  <c r="C46" i="5"/>
  <c r="G127" i="4"/>
  <c r="P337" i="3"/>
  <c r="T233"/>
  <c r="O49" i="5"/>
  <c r="AH131" i="4"/>
  <c r="H341" i="3"/>
  <c r="L237"/>
  <c r="N72"/>
  <c r="A130"/>
  <c r="AF129" i="4"/>
  <c r="J123" i="3"/>
  <c r="P50"/>
  <c r="Z49"/>
  <c r="U95"/>
  <c r="E274" i="4"/>
  <c r="K47" i="3"/>
  <c r="T233" i="5"/>
  <c r="E195" i="4"/>
  <c r="F290" i="3"/>
  <c r="B247" i="4"/>
  <c r="I168" i="3"/>
  <c r="R389"/>
  <c r="H11" i="9"/>
  <c r="E76" i="7"/>
  <c r="B158" i="20"/>
  <c r="E455" i="17"/>
  <c r="G23" i="12"/>
  <c r="E140" i="7"/>
  <c r="Q30" i="5"/>
  <c r="B263" i="7"/>
  <c r="R16" i="5"/>
  <c r="AJ253" i="4"/>
  <c r="AH258"/>
  <c r="AG263"/>
  <c r="E256" i="3"/>
  <c r="J197" i="6"/>
  <c r="A274" i="5"/>
  <c r="M399" i="6"/>
  <c r="C156" i="5"/>
  <c r="S12"/>
  <c r="S16"/>
  <c r="S20"/>
  <c r="O23" i="3"/>
  <c r="A215" i="6"/>
  <c r="M299" i="5"/>
  <c r="A406" i="6"/>
  <c r="G159" i="5"/>
  <c r="S66"/>
  <c r="D153" i="4"/>
  <c r="Z358" i="3"/>
  <c r="B255"/>
  <c r="G67" i="5"/>
  <c r="AF153" i="4"/>
  <c r="J359" i="3"/>
  <c r="L255"/>
  <c r="S70" i="5"/>
  <c r="C158" i="4"/>
  <c r="B363" i="3"/>
  <c r="D259"/>
  <c r="G71" i="5"/>
  <c r="AD158" i="4"/>
  <c r="L363" i="3"/>
  <c r="P259"/>
  <c r="O71" i="5"/>
  <c r="B159" i="4"/>
  <c r="X363" i="3"/>
  <c r="Z259"/>
  <c r="G75" i="5"/>
  <c r="I163" i="4"/>
  <c r="P367" i="3"/>
  <c r="R263"/>
  <c r="G148"/>
  <c r="V328"/>
  <c r="J146" i="4"/>
  <c r="S281" i="3"/>
  <c r="J104"/>
  <c r="X60"/>
  <c r="Q287"/>
  <c r="D94" i="5"/>
  <c r="M96" i="3"/>
  <c r="N36" i="5"/>
  <c r="AJ148" i="4"/>
  <c r="T76" i="3"/>
  <c r="AG195" i="4"/>
  <c r="Z320" i="3"/>
  <c r="S192"/>
  <c r="B350" i="17"/>
  <c r="D100"/>
  <c r="O307" i="5"/>
  <c r="S298"/>
  <c r="P382"/>
  <c r="B347" i="4"/>
  <c r="D373" i="6"/>
  <c r="O144"/>
  <c r="L373" i="5"/>
  <c r="AI335" i="4"/>
  <c r="T281" i="6"/>
  <c r="P269" i="5"/>
  <c r="A111"/>
  <c r="M61"/>
  <c r="T275" i="6"/>
  <c r="P263" i="5"/>
  <c r="A105"/>
  <c r="M55"/>
  <c r="C60"/>
  <c r="AG144" i="4"/>
  <c r="Z351" i="3"/>
  <c r="B248"/>
  <c r="A308" i="4"/>
  <c r="AI203"/>
  <c r="R204" i="3"/>
  <c r="Q114"/>
  <c r="I308" i="4"/>
  <c r="G204"/>
  <c r="D205" i="3"/>
  <c r="Z114"/>
  <c r="A313" i="4"/>
  <c r="AI208"/>
  <c r="V208" i="3"/>
  <c r="D118"/>
  <c r="I313" i="4"/>
  <c r="G209"/>
  <c r="F209" i="3"/>
  <c r="M118"/>
  <c r="AJ313" i="4"/>
  <c r="AI209"/>
  <c r="P209" i="3"/>
  <c r="V118"/>
  <c r="G318" i="4"/>
  <c r="D214"/>
  <c r="H213" i="3"/>
  <c r="A122"/>
  <c r="G172"/>
  <c r="R188"/>
  <c r="C316"/>
  <c r="E72"/>
  <c r="Z129"/>
  <c r="F23"/>
  <c r="D218"/>
  <c r="AD242" i="4"/>
  <c r="E235" i="5"/>
  <c r="H63" i="7"/>
  <c r="E94" i="17"/>
  <c r="T345" i="6"/>
  <c r="L276" i="5"/>
  <c r="T225" i="3"/>
  <c r="H111" i="4"/>
  <c r="M166" i="3"/>
  <c r="AF118" i="4"/>
  <c r="F202" i="20"/>
  <c r="E200" i="13"/>
  <c r="E26"/>
  <c r="M145" i="6"/>
  <c r="O54"/>
  <c r="L283" i="5"/>
  <c r="E398"/>
  <c r="K265" i="6"/>
  <c r="K45"/>
  <c r="H274" i="5"/>
  <c r="M324"/>
  <c r="P185" i="6"/>
  <c r="P166"/>
  <c r="Q11" i="5"/>
  <c r="F364" i="4"/>
  <c r="P179" i="6"/>
  <c r="P160"/>
  <c r="AH417" i="4"/>
  <c r="AJ356"/>
  <c r="I362"/>
  <c r="AI21"/>
  <c r="F250" i="3"/>
  <c r="R153"/>
  <c r="D210" i="5"/>
  <c r="G81" i="4"/>
  <c r="M116" i="3"/>
  <c r="X36"/>
  <c r="L210" i="5"/>
  <c r="AI81" i="4"/>
  <c r="V116" i="3"/>
  <c r="F37"/>
  <c r="D214" i="5"/>
  <c r="G86" i="4"/>
  <c r="Z119" i="3"/>
  <c r="Z39"/>
  <c r="L214" i="5"/>
  <c r="AI86" i="4"/>
  <c r="I120" i="3"/>
  <c r="H40"/>
  <c r="T214" i="5"/>
  <c r="G87" i="4"/>
  <c r="R120" i="3"/>
  <c r="P40"/>
  <c r="L218" i="5"/>
  <c r="AH91" i="4"/>
  <c r="W123" i="3"/>
  <c r="J43"/>
  <c r="I406"/>
  <c r="J7"/>
  <c r="Q184"/>
  <c r="Q41"/>
  <c r="U356"/>
  <c r="B117"/>
  <c r="V171"/>
  <c r="E247"/>
  <c r="T122" i="5"/>
  <c r="A401"/>
  <c r="AG226" i="4"/>
  <c r="H395" i="3"/>
  <c r="G386"/>
  <c r="M42" i="6"/>
  <c r="O330" i="3"/>
  <c r="A276" i="17"/>
  <c r="F520"/>
  <c r="L383" i="6"/>
  <c r="D356" i="17"/>
  <c r="B101"/>
  <c r="J99" i="6"/>
  <c r="N90"/>
  <c r="H408" i="5"/>
  <c r="AF378" i="4"/>
  <c r="D25" i="7"/>
  <c r="G170" i="6"/>
  <c r="D399" i="5"/>
  <c r="E367" i="4"/>
  <c r="L307" i="6"/>
  <c r="H295" i="5"/>
  <c r="M136"/>
  <c r="E87"/>
  <c r="L301" i="6"/>
  <c r="H289" i="5"/>
  <c r="M130"/>
  <c r="E81"/>
  <c r="O85"/>
  <c r="H176" i="4"/>
  <c r="F378" i="3"/>
  <c r="J274"/>
  <c r="I339" i="4"/>
  <c r="C238"/>
  <c r="Z230" i="3"/>
  <c r="D137"/>
  <c r="A340" i="4"/>
  <c r="AH238"/>
  <c r="J231" i="3"/>
  <c r="M137"/>
  <c r="G344" i="4"/>
  <c r="AF244"/>
  <c r="B235" i="3"/>
  <c r="Q140"/>
  <c r="AH344" i="4"/>
  <c r="F245"/>
  <c r="L235" i="3"/>
  <c r="Z140"/>
  <c r="F345" i="4"/>
  <c r="A246"/>
  <c r="X235" i="3"/>
  <c r="J141"/>
  <c r="AG349" i="4"/>
  <c r="AI8"/>
  <c r="P239" i="3"/>
  <c r="N144"/>
  <c r="C273"/>
  <c r="W293"/>
  <c r="AI95" i="4"/>
  <c r="B170" i="3"/>
  <c r="S223"/>
  <c r="B46"/>
  <c r="D97"/>
  <c r="AG18" i="4"/>
  <c r="L259" i="5"/>
  <c r="P237" i="6"/>
  <c r="E215" i="17"/>
  <c r="C269" i="6"/>
  <c r="K17"/>
  <c r="H383" i="3"/>
  <c r="AG64" i="4"/>
  <c r="V318" i="3"/>
  <c r="H40" i="4"/>
  <c r="F66" i="23"/>
  <c r="E90" i="16"/>
  <c r="D86" i="13"/>
  <c r="L123" i="6"/>
  <c r="G80"/>
  <c r="D309" i="5"/>
  <c r="E256" i="4"/>
  <c r="C291" i="6"/>
  <c r="C71"/>
  <c r="T299" i="5"/>
  <c r="AI244" i="4"/>
  <c r="H211" i="6"/>
  <c r="H192"/>
  <c r="I37" i="5"/>
  <c r="AJ395" i="4"/>
  <c r="H205" i="6"/>
  <c r="H186"/>
  <c r="I31" i="5"/>
  <c r="I388" i="4"/>
  <c r="C394"/>
  <c r="AE53"/>
  <c r="N276" i="3"/>
  <c r="E176"/>
  <c r="P235" i="5"/>
  <c r="C113" i="4"/>
  <c r="Z138" i="3"/>
  <c r="P56"/>
  <c r="D236" i="5"/>
  <c r="AD113" i="4"/>
  <c r="I139" i="3"/>
  <c r="X56"/>
  <c r="E248" i="5"/>
  <c r="A118" i="4"/>
  <c r="M142" i="3"/>
  <c r="R59"/>
  <c r="Q249" i="5"/>
  <c r="I118" i="4"/>
  <c r="V142" i="3"/>
  <c r="Z59"/>
  <c r="I251" i="5"/>
  <c r="A119" i="4"/>
  <c r="F143" i="3"/>
  <c r="H60"/>
  <c r="Q277" i="5"/>
  <c r="H123" i="4"/>
  <c r="J146" i="3"/>
  <c r="B63"/>
  <c r="Q23"/>
  <c r="F27"/>
  <c r="O392"/>
  <c r="V129"/>
  <c r="J14"/>
  <c r="Q208"/>
  <c r="O272"/>
  <c r="S404"/>
  <c r="AF330" i="4"/>
  <c r="F298"/>
  <c r="I180"/>
  <c r="Z162" i="3"/>
  <c r="G145" i="4"/>
  <c r="H387" i="6"/>
  <c r="AG55" i="4"/>
  <c r="H276" i="17"/>
  <c r="G645"/>
  <c r="K413" i="6"/>
  <c r="D41" i="17"/>
  <c r="E15" i="15"/>
  <c r="F325" i="5"/>
  <c r="J316"/>
  <c r="K20" i="6"/>
  <c r="E410" i="4"/>
  <c r="C196" i="7"/>
  <c r="S195" i="6"/>
  <c r="G11"/>
  <c r="AH398" i="4"/>
  <c r="D333" i="6"/>
  <c r="T320" i="5"/>
  <c r="E162"/>
  <c r="Q112"/>
  <c r="D327" i="6"/>
  <c r="T314" i="5"/>
  <c r="E156"/>
  <c r="Q106"/>
  <c r="G111"/>
  <c r="AH207" i="4"/>
  <c r="N404" i="3"/>
  <c r="P300"/>
  <c r="AJ370" i="4"/>
  <c r="F30"/>
  <c r="F257" i="3"/>
  <c r="Q159"/>
  <c r="H371" i="4"/>
  <c r="AG30"/>
  <c r="P257" i="3"/>
  <c r="Z159"/>
  <c r="AJ375" i="4"/>
  <c r="E35"/>
  <c r="H261" i="3"/>
  <c r="D163"/>
  <c r="H376" i="4"/>
  <c r="AG35"/>
  <c r="T261" i="3"/>
  <c r="N163"/>
  <c r="AJ376" i="4"/>
  <c r="E36"/>
  <c r="D262" i="3"/>
  <c r="W163"/>
  <c r="F381" i="4"/>
  <c r="AG40"/>
  <c r="V265" i="3"/>
  <c r="A167"/>
  <c r="C378"/>
  <c r="C86"/>
  <c r="C112" i="4"/>
  <c r="U296" i="3"/>
  <c r="U328"/>
  <c r="C93"/>
  <c r="L289"/>
  <c r="J35" i="4"/>
  <c r="O30" i="6"/>
  <c r="F52" i="7"/>
  <c r="F47" i="5"/>
  <c r="B71" i="7"/>
  <c r="C171" i="6"/>
  <c r="D154" i="3"/>
  <c r="C18" i="4"/>
  <c r="U79" i="3"/>
  <c r="J198" i="4"/>
  <c r="A256" i="20"/>
  <c r="C68" i="12"/>
  <c r="C149" i="13"/>
  <c r="D332" i="5"/>
  <c r="S105" i="6"/>
  <c r="P334" i="5"/>
  <c r="A288" i="4"/>
  <c r="O316" i="6"/>
  <c r="O96"/>
  <c r="L325" i="5"/>
  <c r="I276" i="4"/>
  <c r="T233" i="6"/>
  <c r="T217"/>
  <c r="A63" i="5"/>
  <c r="M13"/>
  <c r="N233" i="6"/>
  <c r="T211"/>
  <c r="A57" i="5"/>
  <c r="M7"/>
  <c r="C12"/>
  <c r="F85" i="4"/>
  <c r="T302" i="3"/>
  <c r="V198"/>
  <c r="I415" i="5"/>
  <c r="AH144" i="4"/>
  <c r="M161" i="3"/>
  <c r="H76"/>
  <c r="B249" i="4"/>
  <c r="F145"/>
  <c r="V161" i="3"/>
  <c r="P76"/>
  <c r="I253" i="4"/>
  <c r="AG149"/>
  <c r="Z164" i="3"/>
  <c r="J79"/>
  <c r="A254" i="4"/>
  <c r="E150"/>
  <c r="J165" i="3"/>
  <c r="R79"/>
  <c r="I254" i="4"/>
  <c r="AG150"/>
  <c r="S165" i="3"/>
  <c r="Z79"/>
  <c r="AI258" i="4"/>
  <c r="E155"/>
  <c r="W168" i="3"/>
  <c r="T82"/>
  <c r="S46"/>
  <c r="M52"/>
  <c r="V335"/>
  <c r="L126"/>
  <c r="B34"/>
  <c r="S313"/>
  <c r="K50"/>
  <c r="J241" i="4"/>
  <c r="O139" i="5"/>
  <c r="I318" i="4"/>
  <c r="AF353"/>
  <c r="T314" i="3"/>
  <c r="AI129" i="4"/>
  <c r="G22" i="3"/>
  <c r="H8" i="4"/>
  <c r="F726" i="17"/>
  <c r="B649"/>
  <c r="B62" i="12"/>
  <c r="C41" i="17"/>
  <c r="D15" i="15"/>
  <c r="A117" i="6"/>
  <c r="E108"/>
  <c r="C46"/>
  <c r="L25" i="5"/>
  <c r="B241" i="6"/>
  <c r="K221"/>
  <c r="S36"/>
  <c r="H16" i="5"/>
  <c r="E361" i="6"/>
  <c r="L346" i="5"/>
  <c r="Q187"/>
  <c r="I138"/>
  <c r="P352" i="6"/>
  <c r="L340" i="5"/>
  <c r="Q181"/>
  <c r="I132"/>
  <c r="S136"/>
  <c r="E243" i="4"/>
  <c r="M66" i="3"/>
  <c r="V326"/>
  <c r="I402" i="4"/>
  <c r="A62"/>
  <c r="L283" i="3"/>
  <c r="D182"/>
  <c r="A403" i="4"/>
  <c r="I62"/>
  <c r="X283" i="3"/>
  <c r="M182"/>
  <c r="H407" i="4"/>
  <c r="AJ66"/>
  <c r="P287" i="3"/>
  <c r="R185"/>
  <c r="AJ407" i="4"/>
  <c r="H67"/>
  <c r="Z287" i="3"/>
  <c r="A186"/>
  <c r="H408" i="4"/>
  <c r="AJ67"/>
  <c r="J288" i="3"/>
  <c r="J186"/>
  <c r="AH412" i="4"/>
  <c r="G72"/>
  <c r="B292" i="3"/>
  <c r="N189"/>
  <c r="J18"/>
  <c r="X92"/>
  <c r="F128" i="4"/>
  <c r="K15" i="3"/>
  <c r="U8"/>
  <c r="R181"/>
  <c r="G117"/>
  <c r="G52" i="4"/>
  <c r="R6" i="3"/>
  <c r="D92" i="12"/>
  <c r="N149" i="5"/>
  <c r="R413" i="6"/>
  <c r="K354" i="5"/>
  <c r="M304" i="3"/>
  <c r="B208" i="4"/>
  <c r="U213" i="3"/>
  <c r="J340" i="4"/>
  <c r="C150" i="20"/>
  <c r="E910" i="17"/>
  <c r="B150" i="13"/>
  <c r="G124" i="6"/>
  <c r="K131"/>
  <c r="H360" i="5"/>
  <c r="AE319" i="4"/>
  <c r="G342" i="6"/>
  <c r="G122"/>
  <c r="D351" i="5"/>
  <c r="F308" i="4"/>
  <c r="L259" i="6"/>
  <c r="H247" i="5"/>
  <c r="M88"/>
  <c r="E39"/>
  <c r="L253" i="6"/>
  <c r="H241" i="5"/>
  <c r="M82"/>
  <c r="E33"/>
  <c r="O37"/>
  <c r="AJ116" i="4"/>
  <c r="Z328" i="3"/>
  <c r="D225"/>
  <c r="D280" i="4"/>
  <c r="I176"/>
  <c r="Z183" i="3"/>
  <c r="Z95"/>
  <c r="AF280" i="4"/>
  <c r="AJ176"/>
  <c r="I184" i="3"/>
  <c r="H96"/>
  <c r="D285" i="4"/>
  <c r="F181"/>
  <c r="N187" i="3"/>
  <c r="B99"/>
  <c r="AF285" i="4"/>
  <c r="AH181"/>
  <c r="W187" i="3"/>
  <c r="J99"/>
  <c r="D286" i="4"/>
  <c r="F182"/>
  <c r="F188" i="3"/>
  <c r="R99"/>
  <c r="AF290" i="4"/>
  <c r="AG186"/>
  <c r="J191" i="3"/>
  <c r="L102"/>
  <c r="S94"/>
  <c r="X109"/>
  <c r="G178"/>
  <c r="Z32"/>
  <c r="M68"/>
  <c r="B6" i="4"/>
  <c r="J63" i="3"/>
  <c r="G17" i="4"/>
  <c r="D351"/>
  <c r="D335" i="5"/>
  <c r="T132"/>
  <c r="S76" i="3"/>
  <c r="AH82" i="4"/>
  <c r="W383" i="3"/>
  <c r="H198" i="4"/>
  <c r="B96" i="20"/>
  <c r="I646" i="17"/>
  <c r="D172"/>
  <c r="A42"/>
  <c r="C15" i="15"/>
  <c r="E325" i="5"/>
  <c r="I316"/>
  <c r="O71" i="6"/>
  <c r="D51" i="5"/>
  <c r="F318" i="6"/>
  <c r="G251" i="5"/>
  <c r="K62" i="6"/>
  <c r="T41" i="5"/>
  <c r="I412" i="6"/>
  <c r="D372" i="5"/>
  <c r="I213"/>
  <c r="A164"/>
  <c r="I400" i="6"/>
  <c r="D366" i="5"/>
  <c r="I207"/>
  <c r="A158"/>
  <c r="K162"/>
  <c r="D34" i="4"/>
  <c r="E86" i="3"/>
  <c r="D353"/>
  <c r="S18" i="5"/>
  <c r="AG93" i="4"/>
  <c r="T309" i="3"/>
  <c r="V205"/>
  <c r="G19" i="5"/>
  <c r="E94" i="4"/>
  <c r="D310" i="3"/>
  <c r="F206"/>
  <c r="S22" i="5"/>
  <c r="AD98" i="4"/>
  <c r="V313" i="3"/>
  <c r="X209"/>
  <c r="G23" i="5"/>
  <c r="B99" i="4"/>
  <c r="F314" i="3"/>
  <c r="J210"/>
  <c r="O23" i="5"/>
  <c r="J99" i="4"/>
  <c r="R314" i="3"/>
  <c r="T210"/>
  <c r="G27" i="5"/>
  <c r="B104" i="4"/>
  <c r="J318" i="3"/>
  <c r="L214"/>
  <c r="Z38"/>
  <c r="T283"/>
  <c r="AF144" i="4"/>
  <c r="J49" i="3"/>
  <c r="M28"/>
  <c r="A284"/>
  <c r="X313"/>
  <c r="C69" i="4"/>
  <c r="N26" i="3"/>
  <c r="B228" i="13"/>
  <c r="A341" i="5"/>
  <c r="A381" i="6"/>
  <c r="N120"/>
  <c r="D75" i="3"/>
  <c r="AF161" i="4"/>
  <c r="I371" i="3"/>
  <c r="L96" i="5"/>
  <c r="H89" i="3"/>
  <c r="A229" i="13"/>
  <c r="C157" i="17"/>
  <c r="G333" i="5"/>
  <c r="K324"/>
  <c r="T385"/>
  <c r="B351" i="4"/>
  <c r="L379" i="6"/>
  <c r="S147"/>
  <c r="P376" i="5"/>
  <c r="AH339" i="4"/>
  <c r="D285" i="6"/>
  <c r="T272" i="5"/>
  <c r="E114"/>
  <c r="Q64"/>
  <c r="D279" i="6"/>
  <c r="T266" i="5"/>
  <c r="E108"/>
  <c r="Q58"/>
  <c r="G63"/>
  <c r="AG148" i="4"/>
  <c r="H355" i="3"/>
  <c r="J251"/>
  <c r="A312" i="4"/>
  <c r="AI207"/>
  <c r="Z207" i="3"/>
  <c r="L117"/>
  <c r="I312" i="4"/>
  <c r="G208"/>
  <c r="J208" i="3"/>
  <c r="U117"/>
  <c r="AI316" i="4"/>
  <c r="AG212"/>
  <c r="B212" i="3"/>
  <c r="Y120"/>
  <c r="G317" i="4"/>
  <c r="E213"/>
  <c r="N212" i="3"/>
  <c r="H121"/>
  <c r="AI317" i="4"/>
  <c r="AF213"/>
  <c r="X212" i="3"/>
  <c r="R121"/>
  <c r="F322" i="4"/>
  <c r="C218"/>
  <c r="P216" i="3"/>
  <c r="V124"/>
  <c r="N183"/>
  <c r="I200"/>
  <c r="U335"/>
  <c r="E85"/>
  <c r="F141"/>
  <c r="R25"/>
  <c r="J244"/>
  <c r="AF33" i="4"/>
  <c r="H30" i="5"/>
  <c r="K309"/>
  <c r="I311" i="4"/>
  <c r="S209" i="3"/>
  <c r="AF35" i="4"/>
  <c r="G152" i="3"/>
  <c r="AF151" i="4"/>
  <c r="J265" i="6"/>
  <c r="D222" i="20"/>
  <c r="G534" i="17"/>
  <c r="B104"/>
  <c r="A55" i="16"/>
  <c r="T116" i="6"/>
  <c r="D108"/>
  <c r="G97"/>
  <c r="P76" i="5"/>
  <c r="M330" i="6"/>
  <c r="S276" i="5"/>
  <c r="C88" i="6"/>
  <c r="L67" i="5"/>
  <c r="B154" i="7"/>
  <c r="P397" i="5"/>
  <c r="F245"/>
  <c r="M189"/>
  <c r="B114" i="7"/>
  <c r="P391" i="5"/>
  <c r="A233"/>
  <c r="M183"/>
  <c r="C188"/>
  <c r="AI65" i="4"/>
  <c r="F106" i="3"/>
  <c r="J379"/>
  <c r="K44" i="5"/>
  <c r="G125" i="4"/>
  <c r="Z335" i="3"/>
  <c r="B232"/>
  <c r="S44" i="5"/>
  <c r="AI125" i="4"/>
  <c r="J336" i="3"/>
  <c r="N232"/>
  <c r="K48" i="5"/>
  <c r="F130" i="4"/>
  <c r="B340" i="3"/>
  <c r="F236"/>
  <c r="S48" i="5"/>
  <c r="AH130" i="4"/>
  <c r="N340" i="3"/>
  <c r="P236"/>
  <c r="G49" i="5"/>
  <c r="F131" i="4"/>
  <c r="X340" i="3"/>
  <c r="Z236"/>
  <c r="S52" i="5"/>
  <c r="AH135" i="4"/>
  <c r="P344" i="3"/>
  <c r="R240"/>
  <c r="A79"/>
  <c r="N152"/>
  <c r="G161" i="4"/>
  <c r="Q134" i="3"/>
  <c r="M54"/>
  <c r="F72"/>
  <c r="F117"/>
  <c r="C306" i="4"/>
  <c r="I51" i="3"/>
  <c r="H16" i="14"/>
  <c r="F363" i="4"/>
  <c r="A7" i="8"/>
  <c r="F295" i="5"/>
  <c r="P207" i="3"/>
  <c r="D335" i="4"/>
  <c r="L128" i="3"/>
  <c r="Q325" i="5"/>
  <c r="L226" i="3"/>
  <c r="C99" i="17"/>
  <c r="A158"/>
  <c r="B125" i="6"/>
  <c r="F116"/>
  <c r="L411" i="5"/>
  <c r="AD382" i="4"/>
  <c r="B47" i="7"/>
  <c r="K173" i="6"/>
  <c r="H402" i="5"/>
  <c r="E371" i="4"/>
  <c r="P310" i="6"/>
  <c r="L298" i="5"/>
  <c r="Q139"/>
  <c r="I90"/>
  <c r="P304" i="6"/>
  <c r="L292" i="5"/>
  <c r="Q133"/>
  <c r="I84"/>
  <c r="S88"/>
  <c r="F180" i="4"/>
  <c r="N381" i="3"/>
  <c r="P277"/>
  <c r="G343" i="4"/>
  <c r="F243"/>
  <c r="F234" i="3"/>
  <c r="Y139"/>
  <c r="AI343" i="4"/>
  <c r="A244"/>
  <c r="R234" i="3"/>
  <c r="H140"/>
  <c r="E348" i="4"/>
  <c r="C7"/>
  <c r="J238" i="3"/>
  <c r="L143"/>
  <c r="AG348" i="4"/>
  <c r="AE7"/>
  <c r="T238" i="3"/>
  <c r="V143"/>
  <c r="E349" i="4"/>
  <c r="G8"/>
  <c r="D239" i="3"/>
  <c r="E144"/>
  <c r="AE353" i="4"/>
  <c r="AI12"/>
  <c r="V242" i="3"/>
  <c r="I147"/>
  <c r="E286"/>
  <c r="W339"/>
  <c r="I127" i="4"/>
  <c r="O192" i="3"/>
  <c r="W236"/>
  <c r="A50"/>
  <c r="T118"/>
  <c r="I50" i="4"/>
  <c r="S50" i="6"/>
  <c r="R335" i="5"/>
  <c r="K98"/>
  <c r="G367" i="3"/>
  <c r="H225" i="4"/>
  <c r="F302" i="3"/>
  <c r="I104" i="4"/>
  <c r="Q277" i="6"/>
  <c r="G400"/>
  <c r="B142" i="5"/>
  <c r="C524" i="17"/>
  <c r="F369"/>
  <c r="P318" i="6"/>
  <c r="T309"/>
  <c r="S122"/>
  <c r="H102" i="5"/>
  <c r="T330" i="6"/>
  <c r="K302" i="5"/>
  <c r="O113" i="6"/>
  <c r="D93" i="5"/>
  <c r="O230" i="6"/>
  <c r="O10"/>
  <c r="L239" i="5"/>
  <c r="E215"/>
  <c r="D284" i="7"/>
  <c r="H417" i="5"/>
  <c r="I393"/>
  <c r="E209"/>
  <c r="O213"/>
  <c r="AD97" i="4"/>
  <c r="T128" i="3"/>
  <c r="P405"/>
  <c r="C70" i="5"/>
  <c r="C157" i="4"/>
  <c r="F362" i="3"/>
  <c r="J258"/>
  <c r="K70" i="5"/>
  <c r="AE157" i="4"/>
  <c r="R362" i="3"/>
  <c r="T258"/>
  <c r="C74" i="5"/>
  <c r="A162" i="4"/>
  <c r="J366" i="3"/>
  <c r="L262"/>
  <c r="K74" i="5"/>
  <c r="I162" i="4"/>
  <c r="T366" i="3"/>
  <c r="V262"/>
  <c r="S74" i="5"/>
  <c r="A163" i="4"/>
  <c r="D367" i="3"/>
  <c r="H263"/>
  <c r="K78" i="5"/>
  <c r="I167" i="4"/>
  <c r="V370" i="3"/>
  <c r="Z266"/>
  <c r="N159"/>
  <c r="B355"/>
  <c r="D178" i="4"/>
  <c r="Y307" i="3"/>
  <c r="Q115"/>
  <c r="P80"/>
  <c r="W313"/>
  <c r="P119" i="5"/>
  <c r="T106" i="3"/>
  <c r="A177" i="17"/>
  <c r="Q12" i="5"/>
  <c r="E75" i="13"/>
  <c r="Q35" i="6"/>
  <c r="D365" i="3"/>
  <c r="D92" i="5"/>
  <c r="L274" i="3"/>
  <c r="S10" i="5"/>
  <c r="Z383" i="3"/>
  <c r="C98" i="17"/>
  <c r="D49" i="16"/>
  <c r="R350" i="5"/>
  <c r="B342"/>
  <c r="O23" i="6"/>
  <c r="B414" i="4"/>
  <c r="D217" i="7"/>
  <c r="C199" i="6"/>
  <c r="K14"/>
  <c r="AH402" i="4"/>
  <c r="H336" i="6"/>
  <c r="D324" i="5"/>
  <c r="I165"/>
  <c r="A116"/>
  <c r="H330" i="6"/>
  <c r="D318" i="5"/>
  <c r="I159"/>
  <c r="A110"/>
  <c r="K114"/>
  <c r="AG211" i="4"/>
  <c r="T407" i="3"/>
  <c r="X303"/>
  <c r="AJ374" i="4"/>
  <c r="E34"/>
  <c r="N260" i="3"/>
  <c r="L162"/>
  <c r="H375" i="4"/>
  <c r="AG34"/>
  <c r="X260" i="3"/>
  <c r="U162"/>
  <c r="AH379" i="4"/>
  <c r="E39"/>
  <c r="P264" i="3"/>
  <c r="Z165"/>
  <c r="F380" i="4"/>
  <c r="AG39"/>
  <c r="Z264" i="3"/>
  <c r="I166"/>
  <c r="AH380" i="4"/>
  <c r="E40"/>
  <c r="L265" i="3"/>
  <c r="R166"/>
  <c r="E385" i="4"/>
  <c r="AF44"/>
  <c r="D269" i="3"/>
  <c r="V169"/>
  <c r="G391"/>
  <c r="N126"/>
  <c r="AH143" i="4"/>
  <c r="A323" i="3"/>
  <c r="W341"/>
  <c r="Y102"/>
  <c r="R315"/>
  <c r="E67" i="4"/>
  <c r="O239" i="5"/>
  <c r="L105" i="6"/>
  <c r="AF268" i="4"/>
  <c r="X124" i="3"/>
  <c r="E179" i="4"/>
  <c r="I123" i="3"/>
  <c r="A58" i="4"/>
  <c r="D278" i="6"/>
  <c r="D27" i="7"/>
  <c r="A354" i="4"/>
  <c r="A586" i="17"/>
  <c r="H406"/>
  <c r="O318" i="6"/>
  <c r="S309"/>
  <c r="K148"/>
  <c r="T127" i="5"/>
  <c r="G331" i="6"/>
  <c r="C328" i="5"/>
  <c r="G139" i="6"/>
  <c r="P118" i="5"/>
  <c r="G256" i="6"/>
  <c r="G36"/>
  <c r="D265" i="5"/>
  <c r="J252"/>
  <c r="G250" i="6"/>
  <c r="G30"/>
  <c r="D259" i="5"/>
  <c r="Q234"/>
  <c r="J246"/>
  <c r="E129" i="4"/>
  <c r="G151" i="3"/>
  <c r="X99"/>
  <c r="O95" i="5"/>
  <c r="AF188" i="4"/>
  <c r="N388" i="3"/>
  <c r="P284"/>
  <c r="C96" i="5"/>
  <c r="D189" i="4"/>
  <c r="X388" i="3"/>
  <c r="Z284"/>
  <c r="O99" i="5"/>
  <c r="AD193" i="4"/>
  <c r="P392" i="3"/>
  <c r="R288"/>
  <c r="C100" i="5"/>
  <c r="B194" i="4"/>
  <c r="Z392" i="3"/>
  <c r="D289"/>
  <c r="K100" i="5"/>
  <c r="J194" i="4"/>
  <c r="L393" i="3"/>
  <c r="N289"/>
  <c r="C104" i="5"/>
  <c r="AI198" i="4"/>
  <c r="D397" i="3"/>
  <c r="F293"/>
  <c r="E258"/>
  <c r="N173"/>
  <c r="AG194" i="4"/>
  <c r="X17" i="3"/>
  <c r="A207"/>
  <c r="J267"/>
  <c r="F124"/>
  <c r="AH326" i="4"/>
  <c r="U196" i="3"/>
  <c r="G646" i="17"/>
  <c r="E115" i="5"/>
  <c r="F201" i="17"/>
  <c r="I189" i="6"/>
  <c r="Z139" i="3"/>
  <c r="M290" i="5"/>
  <c r="K67" i="3"/>
  <c r="K164" i="5"/>
  <c r="E156" i="3"/>
  <c r="B98" i="17"/>
  <c r="C49" i="16"/>
  <c r="M142" i="6"/>
  <c r="Q133"/>
  <c r="G49"/>
  <c r="P28" i="5"/>
  <c r="J245" i="6"/>
  <c r="O224"/>
  <c r="C40"/>
  <c r="L19" i="5"/>
  <c r="M367" i="6"/>
  <c r="P349" i="5"/>
  <c r="A191"/>
  <c r="M141"/>
  <c r="T355" i="6"/>
  <c r="P343" i="5"/>
  <c r="A185"/>
  <c r="M135"/>
  <c r="C140"/>
  <c r="J248" i="4"/>
  <c r="Y68" i="3"/>
  <c r="D330"/>
  <c r="H406" i="4"/>
  <c r="AJ65"/>
  <c r="T286" i="3"/>
  <c r="Y184"/>
  <c r="AJ406" i="4"/>
  <c r="H66"/>
  <c r="D287" i="3"/>
  <c r="H185"/>
  <c r="H411" i="4"/>
  <c r="AJ70"/>
  <c r="V290" i="3"/>
  <c r="M188"/>
  <c r="AI411" i="4"/>
  <c r="H71"/>
  <c r="H291" i="3"/>
  <c r="V188"/>
  <c r="G412" i="4"/>
  <c r="AI71"/>
  <c r="R291" i="3"/>
  <c r="E189"/>
  <c r="AG416" i="4"/>
  <c r="G76"/>
  <c r="J295" i="3"/>
  <c r="I192"/>
  <c r="V20"/>
  <c r="X113"/>
  <c r="B160" i="4"/>
  <c r="W17" i="3"/>
  <c r="G11"/>
  <c r="X192"/>
  <c r="T139"/>
  <c r="B84" i="4"/>
  <c r="H9" i="3"/>
  <c r="G106" i="6"/>
  <c r="A297" i="4"/>
  <c r="J270" i="3"/>
  <c r="AE132" i="4"/>
  <c r="N268" i="3"/>
  <c r="D11" i="4"/>
  <c r="K278" i="6"/>
  <c r="B30" i="7"/>
  <c r="Q158" i="5"/>
  <c r="T365" i="6"/>
  <c r="S154"/>
  <c r="H134" i="5"/>
  <c r="P408" i="6"/>
  <c r="K334" i="5"/>
  <c r="O145" i="6"/>
  <c r="D125" i="5"/>
  <c r="O262" i="6"/>
  <c r="O42"/>
  <c r="L271" i="5"/>
  <c r="E302"/>
  <c r="O256" i="6"/>
  <c r="O36"/>
  <c r="L265" i="5"/>
  <c r="E254"/>
  <c r="E290"/>
  <c r="E137" i="4"/>
  <c r="W156" i="3"/>
  <c r="B105"/>
  <c r="C102" i="5"/>
  <c r="H196" i="4"/>
  <c r="B395" i="3"/>
  <c r="D291"/>
  <c r="K102" i="5"/>
  <c r="AI196" i="4"/>
  <c r="L395" i="3"/>
  <c r="P291"/>
  <c r="C106" i="5"/>
  <c r="F201" i="4"/>
  <c r="D399" i="3"/>
  <c r="H295"/>
  <c r="K106" i="5"/>
  <c r="AH201" i="4"/>
  <c r="P399" i="3"/>
  <c r="R295"/>
  <c r="S106" i="5"/>
  <c r="F202" i="4"/>
  <c r="Z399" i="3"/>
  <c r="B296"/>
  <c r="K110" i="5"/>
  <c r="AH206" i="4"/>
  <c r="R403" i="3"/>
  <c r="T299"/>
  <c r="M284"/>
  <c r="B222"/>
  <c r="J21" i="4"/>
  <c r="V22" i="3"/>
  <c r="G233"/>
  <c r="X319"/>
  <c r="F169"/>
  <c r="AE389" i="4"/>
  <c r="Y222" i="3"/>
  <c r="E15" i="16"/>
  <c r="R72" i="5"/>
  <c r="H195" i="6"/>
  <c r="H170"/>
  <c r="Z251" i="3"/>
  <c r="D241" i="4"/>
  <c r="V213" i="3"/>
  <c r="H150" i="4"/>
  <c r="H631" i="17"/>
  <c r="F72" i="12"/>
  <c r="F177" i="13"/>
  <c r="B405" i="5"/>
  <c r="K35" i="6"/>
  <c r="H264" i="5"/>
  <c r="F249"/>
  <c r="G246" i="6"/>
  <c r="G26"/>
  <c r="D255" i="5"/>
  <c r="Q230"/>
  <c r="L166" i="6"/>
  <c r="L147"/>
  <c r="AE401" i="4"/>
  <c r="AH340"/>
  <c r="L160" i="6"/>
  <c r="L141"/>
  <c r="E394" i="4"/>
  <c r="I333"/>
  <c r="A339"/>
  <c r="H237"/>
  <c r="N230" i="3"/>
  <c r="U136"/>
  <c r="T190" i="5"/>
  <c r="AF57" i="4"/>
  <c r="B100" i="3"/>
  <c r="Q352"/>
  <c r="H191" i="5"/>
  <c r="D58" i="4"/>
  <c r="J100" i="3"/>
  <c r="I354"/>
  <c r="T194" i="5"/>
  <c r="J62" i="4"/>
  <c r="D103" i="3"/>
  <c r="C369"/>
  <c r="H195" i="5"/>
  <c r="A63" i="4"/>
  <c r="L103" i="3"/>
  <c r="S370"/>
  <c r="P195" i="5"/>
  <c r="I63" i="4"/>
  <c r="V103" i="3"/>
  <c r="I372"/>
  <c r="H199" i="5"/>
  <c r="A68" i="4"/>
  <c r="Z106" i="3"/>
  <c r="C387"/>
  <c r="O327"/>
  <c r="E348"/>
  <c r="F417"/>
  <c r="Z400"/>
  <c r="A278"/>
  <c r="O67"/>
  <c r="H104"/>
  <c r="A129"/>
  <c r="A373" i="4"/>
  <c r="Z161" i="3"/>
  <c r="I415"/>
  <c r="E317"/>
  <c r="Q32"/>
  <c r="A49"/>
  <c r="Z45"/>
  <c r="I230"/>
  <c r="M16"/>
  <c r="U317"/>
  <c r="X6"/>
  <c r="U93"/>
  <c r="W299"/>
  <c r="L328"/>
  <c r="J314" i="6"/>
  <c r="K180"/>
  <c r="T159" i="5"/>
  <c r="C53" i="7"/>
  <c r="C360" i="5"/>
  <c r="G171" i="6"/>
  <c r="P150" i="5"/>
  <c r="G288" i="6"/>
  <c r="G68"/>
  <c r="D297" i="5"/>
  <c r="I241" i="4"/>
  <c r="G282" i="6"/>
  <c r="G62"/>
  <c r="D291" i="5"/>
  <c r="A234" i="4"/>
  <c r="AG260"/>
  <c r="AI168"/>
  <c r="J179" i="3"/>
  <c r="O127"/>
  <c r="O127" i="5"/>
  <c r="C228" i="4"/>
  <c r="K59" i="3"/>
  <c r="L317"/>
  <c r="C128" i="5"/>
  <c r="AG228" i="4"/>
  <c r="S59" i="3"/>
  <c r="V317"/>
  <c r="O131" i="5"/>
  <c r="AF234" i="4"/>
  <c r="M62" i="3"/>
  <c r="N321"/>
  <c r="C132" i="5"/>
  <c r="G235" i="4"/>
  <c r="U62" i="3"/>
  <c r="X321"/>
  <c r="K132" i="5"/>
  <c r="B236" i="4"/>
  <c r="C63" i="3"/>
  <c r="J322"/>
  <c r="C136" i="5"/>
  <c r="A242" i="4"/>
  <c r="W65" i="3"/>
  <c r="B326"/>
  <c r="M389"/>
  <c r="O46"/>
  <c r="I258" i="4"/>
  <c r="L45" i="3"/>
  <c r="I338"/>
  <c r="L183"/>
  <c r="N374"/>
  <c r="O187" i="5"/>
  <c r="Y327" i="3"/>
  <c r="A15" i="14"/>
  <c r="R200" i="5"/>
  <c r="H320" i="6"/>
  <c r="P327" i="5"/>
  <c r="N409" i="3"/>
  <c r="AI159" i="4"/>
  <c r="J371" i="3"/>
  <c r="B72" i="4"/>
  <c r="D205" i="20"/>
  <c r="E132" i="12"/>
  <c r="E154" i="13"/>
  <c r="Q196" i="6"/>
  <c r="C61"/>
  <c r="T289" i="5"/>
  <c r="J232" i="4"/>
  <c r="S271" i="6"/>
  <c r="S51"/>
  <c r="P280" i="5"/>
  <c r="Q375"/>
  <c r="D192" i="6"/>
  <c r="D173"/>
  <c r="E18" i="5"/>
  <c r="F372" i="4"/>
  <c r="D186" i="6"/>
  <c r="D167"/>
  <c r="E12" i="5"/>
  <c r="AH364" i="4"/>
  <c r="H370"/>
  <c r="AH29"/>
  <c r="V256" i="3"/>
  <c r="H159"/>
  <c r="L216" i="5"/>
  <c r="G89" i="4"/>
  <c r="C122" i="3"/>
  <c r="V41"/>
  <c r="T216" i="5"/>
  <c r="AH89" i="4"/>
  <c r="L122" i="3"/>
  <c r="D42"/>
  <c r="L220" i="5"/>
  <c r="F94" i="4"/>
  <c r="P125" i="3"/>
  <c r="X44"/>
  <c r="T220" i="5"/>
  <c r="AH94" i="4"/>
  <c r="Z125" i="3"/>
  <c r="F45"/>
  <c r="H221" i="5"/>
  <c r="F95" i="4"/>
  <c r="I126" i="3"/>
  <c r="N45"/>
  <c r="T224" i="5"/>
  <c r="AE99" i="4"/>
  <c r="M129" i="3"/>
  <c r="H48"/>
  <c r="W8"/>
  <c r="L12"/>
  <c r="A235"/>
  <c r="V122"/>
  <c r="A383"/>
  <c r="O139"/>
  <c r="I194"/>
  <c r="O286"/>
  <c r="D174" i="5"/>
  <c r="O115" i="3"/>
  <c r="L70"/>
  <c r="A80" i="4"/>
  <c r="G411" i="3"/>
  <c r="I237"/>
  <c r="O56"/>
  <c r="W399"/>
  <c r="T65"/>
  <c r="Y23"/>
  <c r="E172"/>
  <c r="Z14"/>
  <c r="D378"/>
  <c r="C317"/>
  <c r="D62" i="12"/>
  <c r="C206" i="6"/>
  <c r="L185" i="5"/>
  <c r="D55" i="7"/>
  <c r="O385" i="5"/>
  <c r="S196" i="6"/>
  <c r="H176" i="5"/>
  <c r="S313" i="6"/>
  <c r="S93"/>
  <c r="P322" i="5"/>
  <c r="A273" i="4"/>
  <c r="S307" i="6"/>
  <c r="S87"/>
  <c r="P316" i="5"/>
  <c r="AD265" i="4"/>
  <c r="AD292"/>
  <c r="E200"/>
  <c r="Q202" i="3"/>
  <c r="B150"/>
  <c r="G153" i="5"/>
  <c r="AH22" i="4"/>
  <c r="C79" i="3"/>
  <c r="R343"/>
  <c r="O153" i="5"/>
  <c r="F23" i="4"/>
  <c r="K79" i="3"/>
  <c r="B344"/>
  <c r="G157" i="5"/>
  <c r="AG27" i="4"/>
  <c r="E82" i="3"/>
  <c r="T347"/>
  <c r="O157" i="5"/>
  <c r="E28" i="4"/>
  <c r="M82" i="3"/>
  <c r="F348"/>
  <c r="C158" i="5"/>
  <c r="AG28" i="4"/>
  <c r="U82" i="3"/>
  <c r="P348"/>
  <c r="O161" i="5"/>
  <c r="D33" i="4"/>
  <c r="O85" i="3"/>
  <c r="H352"/>
  <c r="E20"/>
  <c r="A222"/>
  <c r="H81" i="5"/>
  <c r="O91" i="3"/>
  <c r="P10"/>
  <c r="D391"/>
  <c r="C193"/>
  <c r="G410" i="4"/>
  <c r="Y8" i="3"/>
  <c r="I114" i="17"/>
  <c r="H300" i="4"/>
  <c r="K243" i="6"/>
  <c r="L404" i="5"/>
  <c r="Q176" i="3"/>
  <c r="F113" i="4"/>
  <c r="L121" i="3"/>
  <c r="A231" i="4"/>
  <c r="G108" i="20"/>
  <c r="D195" i="12"/>
  <c r="H219" i="13"/>
  <c r="P174" i="6"/>
  <c r="O86"/>
  <c r="L315" i="5"/>
  <c r="C264" i="4"/>
  <c r="K297" i="6"/>
  <c r="K77"/>
  <c r="H306" i="5"/>
  <c r="AH252" i="4"/>
  <c r="P217" i="6"/>
  <c r="P198"/>
  <c r="Q43" i="5"/>
  <c r="AI403" i="4"/>
  <c r="P211" i="6"/>
  <c r="P192"/>
  <c r="Q37" i="5"/>
  <c r="H396" i="4"/>
  <c r="A402"/>
  <c r="I61"/>
  <c r="B283" i="3"/>
  <c r="U181"/>
  <c r="Q261" i="5"/>
  <c r="A121" i="4"/>
  <c r="P144" i="3"/>
  <c r="N61"/>
  <c r="A265" i="5"/>
  <c r="I121" i="4"/>
  <c r="Y144" i="3"/>
  <c r="V61"/>
  <c r="Q293" i="5"/>
  <c r="AJ125" i="4"/>
  <c r="D148" i="3"/>
  <c r="P64"/>
  <c r="A297" i="5"/>
  <c r="H126" i="4"/>
  <c r="M148" i="3"/>
  <c r="X64"/>
  <c r="E300" i="5"/>
  <c r="AJ126" i="4"/>
  <c r="V148" i="3"/>
  <c r="F65"/>
  <c r="A329" i="5"/>
  <c r="G131" i="4"/>
  <c r="Z151" i="3"/>
  <c r="Z67"/>
  <c r="O28"/>
  <c r="D32"/>
  <c r="R217"/>
  <c r="S277"/>
  <c r="H19"/>
  <c r="Y234"/>
  <c r="O313"/>
  <c r="E48" i="4"/>
  <c r="AE393"/>
  <c r="C291" i="3"/>
  <c r="V253"/>
  <c r="H17" i="5"/>
  <c r="S43" i="3"/>
  <c r="A85" i="4"/>
  <c r="F127" i="3"/>
  <c r="F48"/>
  <c r="R73"/>
  <c r="K86"/>
  <c r="G361"/>
  <c r="S36"/>
  <c r="X263"/>
  <c r="G40"/>
  <c r="I15" i="17"/>
  <c r="M236" i="6"/>
  <c r="D211" i="5"/>
  <c r="Q377" i="6"/>
  <c r="G411" i="5"/>
  <c r="K222" i="6"/>
  <c r="T201" i="5"/>
  <c r="K339" i="6"/>
  <c r="K119"/>
  <c r="H348" i="5"/>
  <c r="AI304" i="4"/>
  <c r="K333" i="6"/>
  <c r="K113"/>
  <c r="H342" i="5"/>
  <c r="H297" i="4"/>
  <c r="E324"/>
  <c r="F233"/>
  <c r="W228" i="3"/>
  <c r="O172"/>
  <c r="S178" i="5"/>
  <c r="J54" i="4"/>
  <c r="U98" i="3"/>
  <c r="X369"/>
  <c r="G179" i="5"/>
  <c r="B55" i="4"/>
  <c r="C99" i="3"/>
  <c r="J370"/>
  <c r="S182" i="5"/>
  <c r="I59" i="4"/>
  <c r="W101" i="3"/>
  <c r="B374"/>
  <c r="G183" i="5"/>
  <c r="AJ59" i="4"/>
  <c r="E102" i="3"/>
  <c r="L374"/>
  <c r="O183" i="5"/>
  <c r="H60" i="4"/>
  <c r="M102" i="3"/>
  <c r="V374"/>
  <c r="G187" i="5"/>
  <c r="AI64" i="4"/>
  <c r="N105" i="3"/>
  <c r="N378"/>
  <c r="K41"/>
  <c r="R52"/>
  <c r="D279" i="4"/>
  <c r="X179" i="3"/>
  <c r="H30"/>
  <c r="P205"/>
  <c r="K402"/>
  <c r="C21" i="5"/>
  <c r="Q28" i="3"/>
  <c r="H275" i="17"/>
  <c r="I38" i="5"/>
  <c r="P386" i="6"/>
  <c r="S119"/>
  <c r="S330" i="3"/>
  <c r="AE66" i="4"/>
  <c r="I266" i="3"/>
  <c r="A372" i="4"/>
  <c r="A255" i="20"/>
  <c r="C196" i="12"/>
  <c r="F43" i="17"/>
  <c r="H383" i="5"/>
  <c r="G112" i="6"/>
  <c r="D341" i="5"/>
  <c r="AJ295" i="4"/>
  <c r="C323" i="6"/>
  <c r="C103"/>
  <c r="T331" i="5"/>
  <c r="I284" i="4"/>
  <c r="H240" i="6"/>
  <c r="H224"/>
  <c r="I69" i="5"/>
  <c r="A20"/>
  <c r="H234" i="6"/>
  <c r="H218"/>
  <c r="I63" i="5"/>
  <c r="A14"/>
  <c r="K18"/>
  <c r="E93" i="4"/>
  <c r="H309" i="3"/>
  <c r="L205"/>
  <c r="H256" i="4"/>
  <c r="AG152"/>
  <c r="C167" i="3"/>
  <c r="F81"/>
  <c r="AJ256" i="4"/>
  <c r="E153"/>
  <c r="L167" i="3"/>
  <c r="N81"/>
  <c r="F261" i="4"/>
  <c r="AF157"/>
  <c r="Q170" i="3"/>
  <c r="H84"/>
  <c r="AH261" i="4"/>
  <c r="D158"/>
  <c r="Z170" i="3"/>
  <c r="P84"/>
  <c r="F262" i="4"/>
  <c r="AE158"/>
  <c r="I171" i="3"/>
  <c r="X84"/>
  <c r="AG266" i="4"/>
  <c r="B163"/>
  <c r="M174" i="3"/>
  <c r="R87"/>
  <c r="Q54"/>
  <c r="H63"/>
  <c r="F375"/>
  <c r="Q20"/>
  <c r="F40"/>
  <c r="Y339"/>
  <c r="A104"/>
  <c r="I64" i="4"/>
  <c r="S190" i="5"/>
  <c r="I248" i="3"/>
  <c r="V126"/>
  <c r="H653" i="17"/>
  <c r="Q160" i="3"/>
  <c r="K316" i="5"/>
  <c r="M336"/>
  <c r="Z174" i="3"/>
  <c r="Z261"/>
  <c r="G256"/>
  <c r="L181"/>
  <c r="O204"/>
  <c r="B84"/>
  <c r="B350"/>
  <c r="C378" i="17"/>
  <c r="C261" i="5"/>
  <c r="P236"/>
  <c r="P377" i="6"/>
  <c r="R23"/>
  <c r="S251" i="5"/>
  <c r="L227"/>
  <c r="T373" i="6"/>
  <c r="C145"/>
  <c r="T373" i="5"/>
  <c r="G336" i="4"/>
  <c r="T361" i="6"/>
  <c r="C139"/>
  <c r="T367" i="5"/>
  <c r="B329" i="4"/>
  <c r="I355"/>
  <c r="D27"/>
  <c r="C255" i="3"/>
  <c r="B195"/>
  <c r="K204" i="5"/>
  <c r="E86" i="4"/>
  <c r="Q120" i="3"/>
  <c r="F396"/>
  <c r="S204" i="5"/>
  <c r="AG86" i="4"/>
  <c r="Z120" i="3"/>
  <c r="P396"/>
  <c r="K208" i="5"/>
  <c r="D91" i="4"/>
  <c r="E124" i="3"/>
  <c r="H400"/>
  <c r="S208" i="5"/>
  <c r="AF91" i="4"/>
  <c r="N124" i="3"/>
  <c r="R400"/>
  <c r="G209" i="5"/>
  <c r="D92" i="4"/>
  <c r="W124" i="3"/>
  <c r="D401"/>
  <c r="S212" i="5"/>
  <c r="AE96" i="4"/>
  <c r="A128" i="3"/>
  <c r="V404"/>
  <c r="X83"/>
  <c r="D230"/>
  <c r="C98" i="5"/>
  <c r="A282" i="3"/>
  <c r="J58"/>
  <c r="R415"/>
  <c r="F343"/>
  <c r="N25" i="6"/>
  <c r="S54" i="3"/>
  <c r="H237" i="6"/>
  <c r="A192" i="5"/>
  <c r="C389" i="6"/>
  <c r="C252" i="5"/>
  <c r="V94" i="3"/>
  <c r="E240" i="4"/>
  <c r="N46" i="3"/>
  <c r="D122" i="5"/>
  <c r="U154" i="3"/>
  <c r="G79" i="16"/>
  <c r="H46" i="17"/>
  <c r="K175" i="6"/>
  <c r="O166"/>
  <c r="P366" i="5"/>
  <c r="AD327" i="4"/>
  <c r="O348" i="6"/>
  <c r="O128"/>
  <c r="L357" i="5"/>
  <c r="D316" i="4"/>
  <c r="T265" i="6"/>
  <c r="P253" i="5"/>
  <c r="A95"/>
  <c r="M45"/>
  <c r="T259" i="6"/>
  <c r="P247" i="5"/>
  <c r="A89"/>
  <c r="M39"/>
  <c r="C44"/>
  <c r="AI124" i="4"/>
  <c r="P335" i="3"/>
  <c r="R231"/>
  <c r="D288" i="4"/>
  <c r="F184"/>
  <c r="P189" i="3"/>
  <c r="X100"/>
  <c r="AF288" i="4"/>
  <c r="AH184"/>
  <c r="Z189" i="3"/>
  <c r="F101"/>
  <c r="C293" i="4"/>
  <c r="E189"/>
  <c r="D193" i="3"/>
  <c r="B104"/>
  <c r="AE293" i="4"/>
  <c r="AF189"/>
  <c r="M193" i="3"/>
  <c r="L104"/>
  <c r="C294" i="4"/>
  <c r="D190"/>
  <c r="V193" i="3"/>
  <c r="U104"/>
  <c r="AD298" i="4"/>
  <c r="AD194"/>
  <c r="Z196" i="3"/>
  <c r="Y107"/>
  <c r="Z115"/>
  <c r="L132"/>
  <c r="Q217"/>
  <c r="B42"/>
  <c r="M81"/>
  <c r="X10"/>
  <c r="T102"/>
  <c r="AH80" i="4"/>
  <c r="D414"/>
  <c r="G47" i="3"/>
  <c r="D325"/>
  <c r="X50"/>
  <c r="M23"/>
  <c r="F115"/>
  <c r="I294"/>
  <c r="O364"/>
  <c r="B91" i="4"/>
  <c r="A310" i="3"/>
  <c r="R282"/>
  <c r="U150"/>
  <c r="K263"/>
  <c r="D26"/>
  <c r="N123" i="5"/>
  <c r="O286"/>
  <c r="F249" i="4"/>
  <c r="G377" i="6"/>
  <c r="J49"/>
  <c r="K277" i="5"/>
  <c r="Q349"/>
  <c r="C28" i="7"/>
  <c r="O170" i="6"/>
  <c r="L399" i="5"/>
  <c r="AG367" i="4"/>
  <c r="D413" i="6"/>
  <c r="O164"/>
  <c r="L393" i="5"/>
  <c r="F360" i="4"/>
  <c r="C387"/>
  <c r="AJ58"/>
  <c r="K281" i="3"/>
  <c r="X220"/>
  <c r="C230" i="5"/>
  <c r="AI117" i="4"/>
  <c r="D143" i="3"/>
  <c r="V92"/>
  <c r="K230" i="5"/>
  <c r="G118" i="4"/>
  <c r="N143" i="3"/>
  <c r="D93"/>
  <c r="C234" i="5"/>
  <c r="AH122" i="4"/>
  <c r="R146" i="3"/>
  <c r="X95"/>
  <c r="K234" i="5"/>
  <c r="F123" i="4"/>
  <c r="A147" i="3"/>
  <c r="F96"/>
  <c r="S234" i="5"/>
  <c r="AH123" i="4"/>
  <c r="J147" i="3"/>
  <c r="N96"/>
  <c r="F243" i="5"/>
  <c r="E128" i="4"/>
  <c r="N150" i="3"/>
  <c r="H99"/>
  <c r="R167"/>
  <c r="O73"/>
  <c r="A300" i="4"/>
  <c r="A387" i="3"/>
  <c r="Z123"/>
  <c r="O205"/>
  <c r="Q185"/>
  <c r="N210" i="6"/>
  <c r="I116" i="3"/>
  <c r="A52" i="7"/>
  <c r="AG362" i="4"/>
  <c r="B77" i="7"/>
  <c r="C380" i="5"/>
  <c r="V233" i="3"/>
  <c r="C398" i="4"/>
  <c r="L173" i="3"/>
  <c r="E266" i="4"/>
  <c r="F305" i="3"/>
  <c r="F80" i="16"/>
  <c r="B478" i="17"/>
  <c r="K384" i="5"/>
  <c r="O375"/>
  <c r="H392"/>
  <c r="AH358" i="4"/>
  <c r="H392" i="6"/>
  <c r="G154"/>
  <c r="D383" i="5"/>
  <c r="J347" i="4"/>
  <c r="L291" i="6"/>
  <c r="H279" i="5"/>
  <c r="M120"/>
  <c r="E71"/>
  <c r="L285" i="6"/>
  <c r="H273" i="5"/>
  <c r="M114"/>
  <c r="E65"/>
  <c r="O69"/>
  <c r="AE156" i="4"/>
  <c r="V361" i="3"/>
  <c r="X257"/>
  <c r="AH319" i="4"/>
  <c r="AE215"/>
  <c r="N214" i="3"/>
  <c r="B123"/>
  <c r="F320" i="4"/>
  <c r="C216"/>
  <c r="Z214" i="3"/>
  <c r="K123"/>
  <c r="AH324" i="4"/>
  <c r="AE220"/>
  <c r="R218" i="3"/>
  <c r="P126"/>
  <c r="F325" i="4"/>
  <c r="C221"/>
  <c r="B219" i="3"/>
  <c r="Y126"/>
  <c r="AH325" i="4"/>
  <c r="AE221"/>
  <c r="L219" i="3"/>
  <c r="H127"/>
  <c r="D330" i="4"/>
  <c r="B226"/>
  <c r="D223" i="3"/>
  <c r="L130"/>
  <c r="K207"/>
  <c r="Q226"/>
  <c r="E375"/>
  <c r="Q102"/>
  <c r="S163"/>
  <c r="P30"/>
  <c r="X296"/>
  <c r="C97" i="4"/>
  <c r="O46" i="5"/>
  <c r="A61" i="4"/>
  <c r="W147" i="3"/>
  <c r="L182"/>
  <c r="C281"/>
  <c r="W197"/>
  <c r="P99"/>
  <c r="B187"/>
  <c r="AF373" i="4"/>
  <c r="B92" i="3"/>
  <c r="I401" i="4"/>
  <c r="I8"/>
  <c r="B15" i="13"/>
  <c r="F137" i="6"/>
  <c r="D104" i="5"/>
  <c r="E406" i="3"/>
  <c r="B267"/>
  <c r="F109" i="4"/>
  <c r="J259" i="3"/>
  <c r="I14" i="4"/>
  <c r="H247" i="12"/>
  <c r="K108" i="3"/>
  <c r="AE388" i="4"/>
  <c r="W263" i="3"/>
  <c r="AF85" i="4"/>
  <c r="Q153" i="3"/>
  <c r="F122"/>
  <c r="V44"/>
  <c r="AE130" i="4"/>
  <c r="G261" i="3"/>
  <c r="W191"/>
  <c r="K181"/>
  <c r="D149" i="6"/>
  <c r="K83"/>
  <c r="H312" i="5"/>
  <c r="D260" i="4"/>
  <c r="G294" i="6"/>
  <c r="G74"/>
  <c r="D303" i="5"/>
  <c r="AI248" i="4"/>
  <c r="L214" i="6"/>
  <c r="L195"/>
  <c r="M40" i="5"/>
  <c r="AI399" i="4"/>
  <c r="L208" i="6"/>
  <c r="L189"/>
  <c r="M34" i="5"/>
  <c r="I392" i="4"/>
  <c r="B398"/>
  <c r="AE57"/>
  <c r="T279" i="3"/>
  <c r="Z178"/>
  <c r="A245" i="5"/>
  <c r="A117" i="4"/>
  <c r="U141" i="3"/>
  <c r="B59"/>
  <c r="M246" i="5"/>
  <c r="I117" i="4"/>
  <c r="D142" i="3"/>
  <c r="J59"/>
  <c r="E268" i="5"/>
  <c r="AJ121" i="4"/>
  <c r="H145" i="3"/>
  <c r="D62"/>
  <c r="I271" i="5"/>
  <c r="H122" i="4"/>
  <c r="R145" i="3"/>
  <c r="L62"/>
  <c r="M274" i="5"/>
  <c r="AJ122" i="4"/>
  <c r="A146" i="3"/>
  <c r="T62"/>
  <c r="I303" i="5"/>
  <c r="H127" i="4"/>
  <c r="E149" i="3"/>
  <c r="N65"/>
  <c r="C26"/>
  <c r="R29"/>
  <c r="Z197"/>
  <c r="P223"/>
  <c r="V16"/>
  <c r="U221"/>
  <c r="S285"/>
  <c r="I16" i="4"/>
  <c r="A362"/>
  <c r="F38" i="5"/>
  <c r="P300" i="6"/>
  <c r="K151"/>
  <c r="D323" i="5"/>
  <c r="J6" i="6"/>
  <c r="V363" i="3"/>
  <c r="I42" i="6"/>
  <c r="M347" i="3"/>
  <c r="H175" i="17"/>
  <c r="A163" i="7"/>
  <c r="D287"/>
  <c r="G394" i="4"/>
  <c r="H188" i="6"/>
  <c r="I33" i="5"/>
  <c r="A391" i="4"/>
  <c r="D198" i="6"/>
  <c r="D179"/>
  <c r="E24" i="5"/>
  <c r="AF379" i="4"/>
  <c r="M323" i="5"/>
  <c r="I118" i="6"/>
  <c r="R129" i="5"/>
  <c r="B80"/>
  <c r="M317"/>
  <c r="I112" i="6"/>
  <c r="R123" i="5"/>
  <c r="B74"/>
  <c r="L78"/>
  <c r="AG155" i="4"/>
  <c r="Y379" i="3"/>
  <c r="A302" i="6"/>
  <c r="AG330" i="4"/>
  <c r="K400" i="3"/>
  <c r="Q232"/>
  <c r="M327" i="6"/>
  <c r="E331" i="4"/>
  <c r="S400" i="3"/>
  <c r="C233"/>
  <c r="H18" i="8"/>
  <c r="AE335" i="4"/>
  <c r="M403" i="3"/>
  <c r="U236"/>
  <c r="Q361" i="6"/>
  <c r="C336" i="4"/>
  <c r="U403" i="3"/>
  <c r="E237"/>
  <c r="I387" i="6"/>
  <c r="AE336" i="4"/>
  <c r="C404" i="3"/>
  <c r="O237"/>
  <c r="T412" i="6"/>
  <c r="A341" i="4"/>
  <c r="W406" i="3"/>
  <c r="G241"/>
  <c r="B89" i="5"/>
  <c r="E34" i="3"/>
  <c r="K39"/>
  <c r="J136"/>
  <c r="H16"/>
  <c r="L22"/>
  <c r="M266"/>
  <c r="A332"/>
  <c r="L266"/>
  <c r="T308"/>
  <c r="I323"/>
  <c r="U282"/>
  <c r="B18"/>
  <c r="K7"/>
  <c r="AF52" i="4"/>
  <c r="E113" i="3"/>
  <c r="M63"/>
  <c r="U156"/>
  <c r="E398"/>
  <c r="G308"/>
  <c r="F301" i="4"/>
  <c r="AJ186"/>
  <c r="P357" i="5"/>
  <c r="C109" i="6"/>
  <c r="T337" i="5"/>
  <c r="A292" i="4"/>
  <c r="S319" i="6"/>
  <c r="S99"/>
  <c r="P328" i="5"/>
  <c r="C237" i="6"/>
  <c r="C17"/>
  <c r="T245" i="5"/>
  <c r="M221"/>
  <c r="C231" i="6"/>
  <c r="C11"/>
  <c r="T239" i="5"/>
  <c r="M215"/>
  <c r="C220"/>
  <c r="I105" i="4"/>
  <c r="J134" i="3"/>
  <c r="F412"/>
  <c r="K76" i="5"/>
  <c r="A165" i="4"/>
  <c r="V368" i="3"/>
  <c r="X264"/>
  <c r="S76" i="5"/>
  <c r="I165" i="4"/>
  <c r="F369" i="3"/>
  <c r="H265"/>
  <c r="K80" i="5"/>
  <c r="AJ169" i="4"/>
  <c r="X372" i="3"/>
  <c r="Z268"/>
  <c r="S80" i="5"/>
  <c r="H170" i="4"/>
  <c r="H373" i="3"/>
  <c r="L269"/>
  <c r="G81" i="5"/>
  <c r="AJ170" i="4"/>
  <c r="T373" i="3"/>
  <c r="V269"/>
  <c r="S84" i="5"/>
  <c r="H175" i="4"/>
  <c r="L377" i="3"/>
  <c r="N273"/>
  <c r="A182"/>
  <c r="P407"/>
  <c r="AF245" i="4"/>
  <c r="P12" i="3"/>
  <c r="D138"/>
  <c r="J122"/>
  <c r="C73"/>
  <c r="AH32" i="4"/>
  <c r="G165" i="5"/>
  <c r="Q399"/>
  <c r="G39" i="13"/>
  <c r="N269" i="5"/>
  <c r="M162" i="3"/>
  <c r="AE292" i="4"/>
  <c r="H107" i="3"/>
  <c r="C190" i="5"/>
  <c r="I254" i="3"/>
  <c r="F212" i="17"/>
  <c r="D57"/>
  <c r="B402" i="5"/>
  <c r="F393"/>
  <c r="P238"/>
  <c r="I214"/>
  <c r="B258" i="7"/>
  <c r="O225" i="6"/>
  <c r="D205" i="5"/>
  <c r="O342" i="6"/>
  <c r="L330" i="5"/>
  <c r="Q171"/>
  <c r="G309" i="4"/>
  <c r="T115" i="6"/>
  <c r="D328" i="4"/>
  <c r="E232" i="3"/>
  <c r="J381" i="4"/>
  <c r="B92"/>
  <c r="Q247" i="3"/>
  <c r="G26" i="4"/>
  <c r="G249" i="3"/>
  <c r="M104"/>
  <c r="K186" i="5"/>
  <c r="R77" i="3"/>
  <c r="AJ97" i="4"/>
  <c r="B254" i="5"/>
  <c r="A269" i="3"/>
  <c r="M222"/>
  <c r="Z36"/>
  <c r="K125"/>
  <c r="A296"/>
  <c r="M57"/>
  <c r="J195"/>
  <c r="F83"/>
  <c r="I132" i="6"/>
  <c r="A114"/>
  <c r="E207" i="13"/>
  <c r="F233" i="12"/>
  <c r="M135" i="6"/>
  <c r="E117"/>
  <c r="B222" i="13"/>
  <c r="F241" i="12"/>
  <c r="Q138" i="6"/>
  <c r="I120"/>
  <c r="B9" i="14"/>
  <c r="F249" i="12"/>
  <c r="A142" i="6"/>
  <c r="M123"/>
  <c r="F14" i="15"/>
  <c r="F1" i="13"/>
  <c r="E145" i="6"/>
  <c r="Q126"/>
  <c r="E175" i="13"/>
  <c r="F201" i="12"/>
  <c r="A100" i="7"/>
  <c r="E783" i="17"/>
  <c r="I157"/>
  <c r="B10" i="15"/>
  <c r="A101" i="7"/>
  <c r="F122" i="13"/>
  <c r="R230" i="6"/>
  <c r="F45"/>
  <c r="O40" i="5"/>
  <c r="G194" i="12"/>
  <c r="B221" i="6"/>
  <c r="B36"/>
  <c r="K31" i="5"/>
  <c r="G207" i="13"/>
  <c r="R211" i="6"/>
  <c r="R26"/>
  <c r="G22" i="5"/>
  <c r="D222" i="13"/>
  <c r="F212" i="6"/>
  <c r="F30" i="17"/>
  <c r="C5" i="16"/>
  <c r="I848" i="17"/>
  <c r="D14" i="16"/>
  <c r="H211" i="12"/>
  <c r="G26" i="9"/>
  <c r="C911" i="17"/>
  <c r="F5" i="14"/>
  <c r="H156" i="12"/>
  <c r="A283" i="7"/>
  <c r="B183" i="20"/>
  <c r="B164" i="17"/>
  <c r="A29" i="15"/>
  <c r="A108" i="7"/>
  <c r="H250" i="17"/>
  <c r="A165"/>
  <c r="F1" i="16"/>
  <c r="A109" i="7"/>
  <c r="F186" i="13"/>
  <c r="J254" i="5"/>
  <c r="J48" i="6"/>
  <c r="S43" i="5"/>
  <c r="F2" i="13"/>
  <c r="F224" i="6"/>
  <c r="F39"/>
  <c r="O34" i="5"/>
  <c r="I16" i="17"/>
  <c r="B215" i="6"/>
  <c r="B30"/>
  <c r="K25" i="5"/>
  <c r="D45" i="17"/>
  <c r="J215" i="6"/>
  <c r="F35" i="9"/>
  <c r="H117" i="7"/>
  <c r="Q339" i="5"/>
  <c r="K233"/>
  <c r="R36" i="6"/>
  <c r="G32" i="5"/>
  <c r="G9" i="14"/>
  <c r="N212" i="6"/>
  <c r="N27"/>
  <c r="C23" i="5"/>
  <c r="D165" i="7"/>
  <c r="C338" i="5"/>
  <c r="G149" i="6"/>
  <c r="P128" i="5"/>
  <c r="H370" i="6"/>
  <c r="C332" i="5"/>
  <c r="G143" i="6"/>
  <c r="P122" i="5"/>
  <c r="AE325" i="4"/>
  <c r="C24"/>
  <c r="L220" i="3"/>
  <c r="H388"/>
  <c r="G411" i="4"/>
  <c r="D83"/>
  <c r="M301" i="3"/>
  <c r="Z240"/>
  <c r="AH411" i="4"/>
  <c r="AF83"/>
  <c r="W301" i="3"/>
  <c r="L241"/>
  <c r="D416" i="4"/>
  <c r="D88"/>
  <c r="O305" i="3"/>
  <c r="D245"/>
  <c r="AF416" i="4"/>
  <c r="AF88"/>
  <c r="A306" i="3"/>
  <c r="N245"/>
  <c r="D417" i="4"/>
  <c r="D89"/>
  <c r="K306" i="3"/>
  <c r="X245"/>
  <c r="R8" i="5"/>
  <c r="AE93" i="4"/>
  <c r="C310" i="3"/>
  <c r="P249"/>
  <c r="H187"/>
  <c r="H76" i="4"/>
  <c r="A367" i="3"/>
  <c r="I411"/>
  <c r="V282"/>
  <c r="C124"/>
  <c r="E63" i="4"/>
  <c r="H153" i="3"/>
  <c r="J137"/>
  <c r="A113" i="12"/>
  <c r="E62" i="5"/>
  <c r="C415" i="4"/>
  <c r="D138" i="6"/>
  <c r="O178" i="3"/>
  <c r="S193" i="6"/>
  <c r="E50" i="4"/>
  <c r="R229" i="6"/>
  <c r="Q389" i="3"/>
  <c r="D504" i="17"/>
  <c r="G349"/>
  <c r="O367" i="6"/>
  <c r="G214" i="7"/>
  <c r="G193" i="6"/>
  <c r="P172" i="5"/>
  <c r="I292" i="6"/>
  <c r="S372" i="5"/>
  <c r="C184" i="6"/>
  <c r="L163" i="5"/>
  <c r="C301" i="6"/>
  <c r="C81"/>
  <c r="T309" i="5"/>
  <c r="E257" i="4"/>
  <c r="C295" i="6"/>
  <c r="C75"/>
  <c r="T303" i="5"/>
  <c r="AI249" i="4"/>
  <c r="AE276"/>
  <c r="AF184"/>
  <c r="Q190" i="3"/>
  <c r="U138"/>
  <c r="K140" i="5"/>
  <c r="AD6" i="4"/>
  <c r="G69" i="3"/>
  <c r="N330"/>
  <c r="S140" i="5"/>
  <c r="B7" i="4"/>
  <c r="O69" i="3"/>
  <c r="Z330"/>
  <c r="K144" i="5"/>
  <c r="AH11" i="4"/>
  <c r="I72" i="3"/>
  <c r="R334"/>
  <c r="S144" i="5"/>
  <c r="F12" i="4"/>
  <c r="Q72" i="3"/>
  <c r="B335"/>
  <c r="G145" i="5"/>
  <c r="AH12" i="4"/>
  <c r="Y72" i="3"/>
  <c r="L335"/>
  <c r="S148" i="5"/>
  <c r="F17" i="4"/>
  <c r="S75" i="3"/>
  <c r="D339"/>
  <c r="I10"/>
  <c r="M128"/>
  <c r="AH384" i="4"/>
  <c r="U64" i="3"/>
  <c r="U390"/>
  <c r="D286"/>
  <c r="C103"/>
  <c r="C284" i="4"/>
  <c r="M380" i="3"/>
  <c r="D113" i="17"/>
  <c r="H166" i="5"/>
  <c r="AG256" i="4"/>
  <c r="O288" i="6"/>
  <c r="K316" i="3"/>
  <c r="B183" i="7"/>
  <c r="O366" i="3"/>
  <c r="F114" i="13"/>
  <c r="B119" i="4"/>
  <c r="B585" i="17"/>
  <c r="F406"/>
  <c r="F367" i="6"/>
  <c r="F213" i="7"/>
  <c r="K196" i="6"/>
  <c r="T175" i="5"/>
  <c r="A318" i="6"/>
  <c r="C376" i="5"/>
  <c r="G187" i="6"/>
  <c r="P166" i="5"/>
  <c r="G304" i="6"/>
  <c r="G84"/>
  <c r="D313" i="5"/>
  <c r="C261" i="4"/>
  <c r="G298" i="6"/>
  <c r="G78"/>
  <c r="D307" i="5"/>
  <c r="AH253" i="4"/>
  <c r="AE280"/>
  <c r="AE188"/>
  <c r="L193" i="3"/>
  <c r="P141"/>
  <c r="B77" i="20"/>
  <c r="F1010" i="17"/>
  <c r="F239" i="20"/>
  <c r="B142"/>
  <c r="E177"/>
  <c r="E322" i="17"/>
  <c r="E241" i="20"/>
  <c r="F329" i="17"/>
  <c r="B12" i="23"/>
  <c r="G336" i="17"/>
  <c r="C121" i="12"/>
  <c r="N407" i="6"/>
  <c r="D4" i="9"/>
  <c r="I344" i="4"/>
  <c r="C185" i="12"/>
  <c r="R410" i="6"/>
  <c r="D12" i="9"/>
  <c r="G348" i="4"/>
  <c r="C249" i="12"/>
  <c r="B414" i="6"/>
  <c r="D20" i="9"/>
  <c r="G352" i="4"/>
  <c r="B57" i="13"/>
  <c r="F1" i="7"/>
  <c r="D28" i="9"/>
  <c r="D356" i="4"/>
  <c r="B121" i="13"/>
  <c r="E9" i="7"/>
  <c r="D36" i="9"/>
  <c r="C360" i="4"/>
  <c r="C184" i="13"/>
  <c r="B398" i="6"/>
  <c r="F163" i="7"/>
  <c r="Q281" i="6"/>
  <c r="H215" i="17"/>
  <c r="E134" i="12"/>
  <c r="F164" i="7"/>
  <c r="E282" i="6"/>
  <c r="L68"/>
  <c r="L49"/>
  <c r="AH280" i="4"/>
  <c r="I241" i="5"/>
  <c r="H59" i="6"/>
  <c r="H40"/>
  <c r="G269" i="4"/>
  <c r="R228" i="5"/>
  <c r="D50" i="6"/>
  <c r="D31"/>
  <c r="B258" i="4"/>
  <c r="N219" i="5"/>
  <c r="L50" i="6"/>
  <c r="C780" i="17"/>
  <c r="E125" i="13"/>
  <c r="D147" i="7"/>
  <c r="B32" i="17"/>
  <c r="D115" i="13"/>
  <c r="B372" i="6"/>
  <c r="R397"/>
  <c r="A93" i="16"/>
  <c r="D60" i="13"/>
  <c r="D34" i="9"/>
  <c r="A355" i="6"/>
  <c r="B224" i="17"/>
  <c r="E141" i="12"/>
  <c r="F171" i="7"/>
  <c r="A285" i="6"/>
  <c r="D225" i="17"/>
  <c r="E142" i="12"/>
  <c r="F172" i="7"/>
  <c r="I285" i="6"/>
  <c r="P71"/>
  <c r="P52"/>
  <c r="AH284" i="4"/>
  <c r="M254" i="5"/>
  <c r="L62" i="6"/>
  <c r="L43"/>
  <c r="F273" i="4"/>
  <c r="B232" i="5"/>
  <c r="H53" i="6"/>
  <c r="H34"/>
  <c r="AJ261" i="4"/>
  <c r="R222" i="5"/>
  <c r="P53" i="6"/>
  <c r="K391"/>
  <c r="F320"/>
  <c r="N250"/>
  <c r="I943" i="17"/>
  <c r="D41" i="6"/>
  <c r="G270" i="4"/>
  <c r="N229" i="5"/>
  <c r="T50" i="6"/>
  <c r="T31"/>
  <c r="A259" i="4"/>
  <c r="I819" i="17"/>
  <c r="A173" i="6"/>
  <c r="F384" i="5"/>
  <c r="F389" i="4"/>
  <c r="D513" i="17"/>
  <c r="A167" i="6"/>
  <c r="F378" i="5"/>
  <c r="A382" i="4"/>
  <c r="B276" i="6"/>
  <c r="G326" i="4"/>
  <c r="Q397" i="3"/>
  <c r="Y228"/>
  <c r="Q29" i="6"/>
  <c r="D165" i="4"/>
  <c r="E287" i="3"/>
  <c r="W98"/>
  <c r="A33" i="6"/>
  <c r="AF165" i="4"/>
  <c r="M287" i="3"/>
  <c r="E99"/>
  <c r="Q61" i="6"/>
  <c r="C170" i="4"/>
  <c r="G290" i="3"/>
  <c r="Y101"/>
  <c r="A65" i="6"/>
  <c r="AE170" i="4"/>
  <c r="O290" i="3"/>
  <c r="G102"/>
  <c r="E68" i="6"/>
  <c r="C171" i="4"/>
  <c r="W290" i="3"/>
  <c r="O102"/>
  <c r="A97" i="6"/>
  <c r="AE175" i="4"/>
  <c r="Q293" i="3"/>
  <c r="P105"/>
  <c r="AD250" i="4"/>
  <c r="M44" i="3"/>
  <c r="F51"/>
  <c r="T12"/>
  <c r="AE362" i="4"/>
  <c r="Y103" i="3"/>
  <c r="W307"/>
  <c r="E373"/>
  <c r="F173"/>
  <c r="F277"/>
  <c r="R19" i="5"/>
  <c r="D131" i="6"/>
  <c r="I342" i="4"/>
  <c r="N51" i="5"/>
  <c r="B172" i="4"/>
  <c r="X271" i="3"/>
  <c r="AJ245" i="4"/>
  <c r="R302" i="3"/>
  <c r="D86" i="16"/>
  <c r="A234" i="17"/>
  <c r="F283" i="5"/>
  <c r="R264"/>
  <c r="E15" i="6"/>
  <c r="N26" i="5"/>
  <c r="B737" i="17"/>
  <c r="Q207" i="6"/>
  <c r="A6"/>
  <c r="J17" i="5"/>
  <c r="C71" i="12"/>
  <c r="F333" i="5"/>
  <c r="F127" i="6"/>
  <c r="O122" i="5"/>
  <c r="C206" i="13"/>
  <c r="F327" i="5"/>
  <c r="F121" i="6"/>
  <c r="O116" i="5"/>
  <c r="P369"/>
  <c r="A30" i="4"/>
  <c r="E203" i="3"/>
  <c r="V389"/>
  <c r="S265" i="5"/>
  <c r="B89" i="4"/>
  <c r="V407" i="3"/>
  <c r="N242"/>
  <c r="C269" i="5"/>
  <c r="J89" i="4"/>
  <c r="D408" i="3"/>
  <c r="Z242"/>
  <c r="S297" i="5"/>
  <c r="A94" i="4"/>
  <c r="X410" i="3"/>
  <c r="R246"/>
  <c r="C301" i="5"/>
  <c r="I94" i="4"/>
  <c r="F411" i="3"/>
  <c r="B247"/>
  <c r="G304" i="5"/>
  <c r="A95" i="4"/>
  <c r="N411" i="3"/>
  <c r="L247"/>
  <c r="C333" i="5"/>
  <c r="F99" i="4"/>
  <c r="H414" i="3"/>
  <c r="D251"/>
  <c r="H370"/>
  <c r="Z16"/>
  <c r="A239"/>
  <c r="H87"/>
  <c r="AF148" i="4"/>
  <c r="F394"/>
  <c r="Y32" i="3"/>
  <c r="T49"/>
  <c r="C7"/>
  <c r="G96"/>
  <c r="T37" i="6"/>
  <c r="J361" i="5"/>
  <c r="T277"/>
  <c r="F205"/>
  <c r="AF156" i="4"/>
  <c r="V164" i="3"/>
  <c r="G178" i="4"/>
  <c r="E146" i="3"/>
  <c r="D33" i="17"/>
  <c r="G700"/>
  <c r="R308" i="5"/>
  <c r="J290"/>
  <c r="I18" i="6"/>
  <c r="R29" i="5"/>
  <c r="I739" i="17"/>
  <c r="A211" i="6"/>
  <c r="E9"/>
  <c r="N20" i="5"/>
  <c r="C135" i="12"/>
  <c r="J336" i="5"/>
  <c r="J130" i="6"/>
  <c r="S125" i="5"/>
  <c r="G18" i="17"/>
  <c r="J330" i="5"/>
  <c r="J124" i="6"/>
  <c r="S119" i="5"/>
  <c r="H395"/>
  <c r="AJ33" i="4"/>
  <c r="Q205" i="3"/>
  <c r="D393"/>
  <c r="A40" i="25"/>
  <c r="C147" i="24"/>
  <c r="H81" i="16"/>
  <c r="C216" i="12"/>
  <c r="C74"/>
  <c r="B32" i="13"/>
  <c r="C146" i="12"/>
  <c r="B40" i="13"/>
  <c r="C154" i="12"/>
  <c r="B48" i="13"/>
  <c r="C162" i="12"/>
  <c r="K230" i="6"/>
  <c r="T342"/>
  <c r="Q110" i="5"/>
  <c r="I92"/>
  <c r="O233" i="6"/>
  <c r="D346"/>
  <c r="A114" i="5"/>
  <c r="M95"/>
  <c r="S236" i="6"/>
  <c r="H349"/>
  <c r="E117" i="5"/>
  <c r="Q98"/>
  <c r="C240" i="6"/>
  <c r="L352"/>
  <c r="I120" i="5"/>
  <c r="A102"/>
  <c r="G243" i="6"/>
  <c r="P355"/>
  <c r="M123" i="5"/>
  <c r="E105"/>
  <c r="C259" i="7"/>
  <c r="G84" i="12"/>
  <c r="B320" i="6"/>
  <c r="F391" i="17"/>
  <c r="C29"/>
  <c r="D86" i="12"/>
  <c r="J320" i="6"/>
  <c r="C54" i="7"/>
  <c r="S284" i="5"/>
  <c r="C96" i="6"/>
  <c r="L75" i="5"/>
  <c r="A321" i="6"/>
  <c r="O275" i="5"/>
  <c r="S86" i="6"/>
  <c r="H66" i="5"/>
  <c r="I247" i="6"/>
  <c r="K266" i="5"/>
  <c r="O77" i="6"/>
  <c r="D57" i="5"/>
  <c r="M250" i="6"/>
  <c r="S266" i="5"/>
  <c r="N399" i="6"/>
  <c r="D16" i="9"/>
  <c r="H748" i="17"/>
  <c r="D251"/>
  <c r="H41" i="13"/>
  <c r="B192" i="7"/>
  <c r="F553" i="17"/>
  <c r="A191"/>
  <c r="G95" i="12"/>
  <c r="C45" i="7"/>
  <c r="H397" i="17"/>
  <c r="E35"/>
  <c r="E97" i="12"/>
  <c r="F323" i="6"/>
  <c r="G398" i="17"/>
  <c r="D36"/>
  <c r="B99" i="12"/>
  <c r="N323" i="6"/>
  <c r="B225" i="7"/>
  <c r="C288" i="5"/>
  <c r="G99" i="6"/>
  <c r="P78" i="5"/>
  <c r="M346" i="6"/>
  <c r="S278" i="5"/>
  <c r="C90" i="6"/>
  <c r="L69" i="5"/>
  <c r="A273" i="6"/>
  <c r="O269" i="5"/>
  <c r="S80" i="6"/>
  <c r="H60" i="5"/>
  <c r="E276" i="6"/>
  <c r="C270" i="5"/>
  <c r="A37" i="16"/>
  <c r="H171" i="17"/>
  <c r="D40" i="6"/>
  <c r="H31"/>
  <c r="O87"/>
  <c r="D67" i="5"/>
  <c r="Q253" i="6"/>
  <c r="G267" i="5"/>
  <c r="K78" i="6"/>
  <c r="T57" i="5"/>
  <c r="B90" i="7"/>
  <c r="D388" i="5"/>
  <c r="I229"/>
  <c r="A180"/>
  <c r="B50" i="7"/>
  <c r="D382" i="5"/>
  <c r="I223"/>
  <c r="A174"/>
  <c r="K178"/>
  <c r="B54" i="4"/>
  <c r="M98" i="3"/>
  <c r="N369"/>
  <c r="S34" i="5"/>
  <c r="J113" i="4"/>
  <c r="D326" i="3"/>
  <c r="F222"/>
  <c r="G35" i="5"/>
  <c r="A114" i="4"/>
  <c r="N326" i="3"/>
  <c r="R222"/>
  <c r="S38" i="5"/>
  <c r="H118" i="4"/>
  <c r="F330" i="3"/>
  <c r="J226"/>
  <c r="G39" i="5"/>
  <c r="AJ118" i="4"/>
  <c r="R330" i="3"/>
  <c r="T226"/>
  <c r="O39" i="5"/>
  <c r="H119" i="4"/>
  <c r="B331" i="3"/>
  <c r="D227"/>
  <c r="G43" i="5"/>
  <c r="AI123" i="4"/>
  <c r="T334" i="3"/>
  <c r="V230"/>
  <c r="I59"/>
  <c r="B415"/>
  <c r="F66" i="4"/>
  <c r="I91" i="3"/>
  <c r="R42"/>
  <c r="Q25"/>
  <c r="K56"/>
  <c r="D227" i="4"/>
  <c r="A40" i="3"/>
  <c r="G182" i="13"/>
  <c r="C228"/>
  <c r="Q326" i="5"/>
  <c r="I64" i="6"/>
  <c r="T253" i="3"/>
  <c r="AH174" i="4"/>
  <c r="Z188" i="3"/>
  <c r="AI101" i="4"/>
  <c r="F292" i="17"/>
  <c r="F31" i="13"/>
  <c r="A238" i="17"/>
  <c r="B277" i="5"/>
  <c r="K19" i="6"/>
  <c r="H248" i="5"/>
  <c r="A224"/>
  <c r="G230" i="6"/>
  <c r="G10"/>
  <c r="D239" i="5"/>
  <c r="Q214"/>
  <c r="L150" i="6"/>
  <c r="L131"/>
  <c r="AJ381" i="4"/>
  <c r="D321"/>
  <c r="L144" i="6"/>
  <c r="L125"/>
  <c r="J374" i="4"/>
  <c r="AH313"/>
  <c r="F319"/>
  <c r="C215"/>
  <c r="D214" i="3"/>
  <c r="S122"/>
  <c r="T174" i="5"/>
  <c r="AH37" i="4"/>
  <c r="T87" i="3"/>
  <c r="A287"/>
  <c r="H175" i="5"/>
  <c r="F38" i="4"/>
  <c r="B88" i="3"/>
  <c r="Q288"/>
  <c r="T178" i="5"/>
  <c r="AG42" i="4"/>
  <c r="V90" i="3"/>
  <c r="K303"/>
  <c r="H179" i="5"/>
  <c r="E43" i="4"/>
  <c r="D91" i="3"/>
  <c r="C305"/>
  <c r="P179" i="5"/>
  <c r="AG43" i="4"/>
  <c r="L91" i="3"/>
  <c r="S306"/>
  <c r="H183" i="5"/>
  <c r="D48" i="4"/>
  <c r="F94" i="3"/>
  <c r="M321"/>
  <c r="W261"/>
  <c r="M282"/>
  <c r="X285"/>
  <c r="F382"/>
  <c r="I212"/>
  <c r="F43"/>
  <c r="Q66"/>
  <c r="R345"/>
  <c r="G232" i="4"/>
  <c r="Q23" i="6"/>
  <c r="G159" i="13"/>
  <c r="P169" i="6"/>
  <c r="T67"/>
  <c r="B69" i="3"/>
  <c r="AI222" i="4"/>
  <c r="M121" i="3"/>
  <c r="G55" i="4"/>
  <c r="D293" i="17"/>
  <c r="F95" i="13"/>
  <c r="G177" i="12"/>
  <c r="N302" i="5"/>
  <c r="O22" i="6"/>
  <c r="L251" i="5"/>
  <c r="E227"/>
  <c r="K233" i="6"/>
  <c r="K13"/>
  <c r="H242" i="5"/>
  <c r="A218"/>
  <c r="P153" i="6"/>
  <c r="P134"/>
  <c r="AH385" i="4"/>
  <c r="D325"/>
  <c r="P147" i="6"/>
  <c r="P128"/>
  <c r="J378" i="4"/>
  <c r="AG317"/>
  <c r="F323"/>
  <c r="C219"/>
  <c r="L217" i="3"/>
  <c r="N125"/>
  <c r="A96" i="25"/>
  <c r="B237" i="12"/>
  <c r="D661" i="17"/>
  <c r="G100" i="16"/>
  <c r="C960" i="17"/>
  <c r="C53"/>
  <c r="F979"/>
  <c r="D60"/>
  <c r="B292" i="20"/>
  <c r="E67" i="17"/>
  <c r="B274" i="6"/>
  <c r="B179" i="7"/>
  <c r="O343" i="6"/>
  <c r="A283" i="4"/>
  <c r="F277" i="6"/>
  <c r="C200" i="7"/>
  <c r="S346" i="6"/>
  <c r="A287" i="4"/>
  <c r="J280" i="6"/>
  <c r="D221" i="7"/>
  <c r="C350" i="6"/>
  <c r="A291" i="4"/>
  <c r="N283" i="6"/>
  <c r="B243" i="7"/>
  <c r="G353" i="6"/>
  <c r="AJ294" i="4"/>
  <c r="R286" i="6"/>
  <c r="C264" i="7"/>
  <c r="P356" i="6"/>
  <c r="AI298" i="4"/>
  <c r="J264" i="6"/>
  <c r="B115" i="7"/>
  <c r="G5" i="14"/>
  <c r="H185" i="17"/>
  <c r="B852"/>
  <c r="G578"/>
  <c r="F75"/>
  <c r="D174" i="12"/>
  <c r="E80" i="5"/>
  <c r="M406" i="6"/>
  <c r="G152" i="5"/>
  <c r="E344"/>
  <c r="F257" i="4"/>
  <c r="B277"/>
  <c r="P111" i="3"/>
  <c r="G314" i="6"/>
  <c r="N39" i="5"/>
  <c r="L399" i="6"/>
  <c r="G371" i="4"/>
  <c r="O217" i="5"/>
  <c r="O221"/>
  <c r="O225"/>
  <c r="O84" i="3"/>
  <c r="E9" i="8"/>
  <c r="F65" i="5"/>
  <c r="T405" i="6"/>
  <c r="G375" i="4"/>
  <c r="K92" i="5"/>
  <c r="AG184" i="4"/>
  <c r="F385" i="3"/>
  <c r="H281"/>
  <c r="S92" i="5"/>
  <c r="E185" i="4"/>
  <c r="P385" i="3"/>
  <c r="T281"/>
  <c r="K96" i="5"/>
  <c r="AE189" i="4"/>
  <c r="H389" i="3"/>
  <c r="L285"/>
  <c r="S96" i="5"/>
  <c r="C190" i="4"/>
  <c r="T389" i="3"/>
  <c r="V285"/>
  <c r="G97" i="5"/>
  <c r="AE190" i="4"/>
  <c r="D390" i="3"/>
  <c r="F286"/>
  <c r="S100" i="5"/>
  <c r="A195" i="4"/>
  <c r="V393" i="3"/>
  <c r="X289"/>
  <c r="C245"/>
  <c r="A151"/>
  <c r="E163" i="4"/>
  <c r="L15" i="3"/>
  <c r="K194"/>
  <c r="D241"/>
  <c r="X101"/>
  <c r="C295" i="4"/>
  <c r="N185" i="3"/>
  <c r="M206" i="5"/>
  <c r="G322" i="4"/>
  <c r="Z235" i="3"/>
  <c r="I149" i="4"/>
  <c r="V121" i="3"/>
  <c r="W310"/>
  <c r="D491" i="17"/>
  <c r="C199"/>
  <c r="F2" i="25"/>
  <c r="F147" i="20"/>
  <c r="C548" i="17"/>
  <c r="A359"/>
  <c r="T238" i="5"/>
  <c r="G103" i="13"/>
  <c r="R156" i="6"/>
  <c r="M342" i="5"/>
  <c r="F276" i="4"/>
  <c r="A316"/>
  <c r="W298" i="3"/>
  <c r="B160" i="5"/>
  <c r="J89"/>
  <c r="I244" i="6"/>
  <c r="L161" i="5"/>
  <c r="J60"/>
  <c r="J76"/>
  <c r="J92"/>
  <c r="D134" i="3"/>
  <c r="M125" i="5"/>
  <c r="B115"/>
  <c r="A270" i="6"/>
  <c r="D187" i="5"/>
  <c r="C118"/>
  <c r="B216" i="4"/>
  <c r="L411" i="3"/>
  <c r="P307"/>
  <c r="K118" i="5"/>
  <c r="J216" i="4"/>
  <c r="X411" i="3"/>
  <c r="Z307"/>
  <c r="C122" i="5"/>
  <c r="B221" i="4"/>
  <c r="P415" i="3"/>
  <c r="R311"/>
  <c r="K122" i="5"/>
  <c r="J221" i="4"/>
  <c r="Z415" i="3"/>
  <c r="B312"/>
  <c r="S122" i="5"/>
  <c r="B222" i="4"/>
  <c r="J416" i="3"/>
  <c r="N312"/>
  <c r="K126" i="5"/>
  <c r="I226" i="4"/>
  <c r="M58" i="3"/>
  <c r="F316"/>
  <c r="C350"/>
  <c r="H353"/>
  <c r="A180" i="4"/>
  <c r="G35" i="3"/>
  <c r="Y298"/>
  <c r="Y115"/>
  <c r="T295"/>
  <c r="S110" i="5"/>
  <c r="O288" i="3"/>
  <c r="S411" i="5"/>
  <c r="P81"/>
  <c r="N393" i="3"/>
  <c r="AG102" i="4"/>
  <c r="Z292" i="3"/>
  <c r="AJ23" i="4"/>
  <c r="B321" i="6"/>
  <c r="F75" i="5"/>
  <c r="A255" i="6"/>
  <c r="C49" i="7"/>
  <c r="F324" i="6"/>
  <c r="J78" i="5"/>
  <c r="D251" i="6"/>
  <c r="A44" i="17"/>
  <c r="R362" i="5"/>
  <c r="T13" i="6"/>
  <c r="T45"/>
  <c r="T77"/>
  <c r="AJ183" i="4"/>
  <c r="F396"/>
  <c r="A78" i="6"/>
  <c r="D68" i="12"/>
  <c r="C182" i="6"/>
  <c r="I413" i="5"/>
  <c r="AI287" i="4"/>
  <c r="I327"/>
  <c r="P318" i="3"/>
  <c r="I322" i="4"/>
  <c r="M103" i="6"/>
  <c r="A244" i="12"/>
  <c r="O207" i="6"/>
  <c r="O143" i="5"/>
  <c r="AH10" i="4"/>
  <c r="S71" i="3"/>
  <c r="V333"/>
  <c r="C144" i="5"/>
  <c r="F11" i="4"/>
  <c r="A72" i="3"/>
  <c r="F334"/>
  <c r="O147" i="5"/>
  <c r="AH15" i="4"/>
  <c r="U74" i="3"/>
  <c r="X337"/>
  <c r="C148" i="5"/>
  <c r="F16" i="4"/>
  <c r="C75" i="3"/>
  <c r="J338"/>
  <c r="K148" i="5"/>
  <c r="AH16" i="4"/>
  <c r="K75" i="3"/>
  <c r="T338"/>
  <c r="C152" i="5"/>
  <c r="F21" i="4"/>
  <c r="E78" i="3"/>
  <c r="L342"/>
  <c r="U12"/>
  <c r="Z150"/>
  <c r="F416" i="4"/>
  <c r="H71" i="3"/>
  <c r="Y403"/>
  <c r="J312"/>
  <c r="O125"/>
  <c r="AH315" i="4"/>
  <c r="O393" i="3"/>
  <c r="P28" i="6"/>
  <c r="E412" i="5"/>
  <c r="L140" i="3"/>
  <c r="E276" i="4"/>
  <c r="C80" i="3"/>
  <c r="AG213" i="4"/>
  <c r="I333" i="6"/>
  <c r="AD271" i="4"/>
  <c r="H255" i="6"/>
  <c r="D131" i="7"/>
  <c r="M336" i="6"/>
  <c r="J275" i="4"/>
  <c r="H263" i="6"/>
  <c r="B282" i="20"/>
  <c r="G34" i="16"/>
  <c r="T32" i="6"/>
  <c r="T64"/>
  <c r="T96"/>
  <c r="I151"/>
  <c r="M200" i="5"/>
  <c r="E283"/>
  <c r="A1" i="14"/>
  <c r="S370" i="5"/>
  <c r="R269"/>
  <c r="R301"/>
  <c r="R333"/>
  <c r="B182" i="4"/>
  <c r="S94" i="6"/>
  <c r="Q308" i="5"/>
  <c r="F19" i="16"/>
  <c r="K396" i="5"/>
  <c r="G169"/>
  <c r="AE42" i="4"/>
  <c r="K91" i="3"/>
  <c r="B360"/>
  <c r="O169" i="5"/>
  <c r="C43" i="4"/>
  <c r="S91" i="3"/>
  <c r="N360"/>
  <c r="G173" i="5"/>
  <c r="J47" i="4"/>
  <c r="M94" i="3"/>
  <c r="F364"/>
  <c r="O173" i="5"/>
  <c r="B48" i="4"/>
  <c r="U94" i="3"/>
  <c r="P364"/>
  <c r="C174" i="5"/>
  <c r="J48" i="4"/>
  <c r="C95" i="3"/>
  <c r="Z364"/>
  <c r="O177" i="5"/>
  <c r="B53" i="4"/>
  <c r="W97" i="3"/>
  <c r="R368"/>
  <c r="M32"/>
  <c r="G353"/>
  <c r="H209" i="5"/>
  <c r="D146" i="3"/>
  <c r="X22"/>
  <c r="Y136"/>
  <c r="Q323"/>
  <c r="M209" i="5"/>
  <c r="G21" i="3"/>
  <c r="C392" i="5"/>
  <c r="G47"/>
  <c r="M288" i="3"/>
  <c r="L44" i="5"/>
  <c r="E214" i="3"/>
  <c r="B167" i="4"/>
  <c r="P333" i="6"/>
  <c r="A92" i="5"/>
  <c r="O255" i="6"/>
  <c r="B134" i="7"/>
  <c r="T336" i="6"/>
  <c r="E95" i="5"/>
  <c r="E115" i="7"/>
  <c r="M83" i="5"/>
  <c r="R182"/>
  <c r="A394" i="3"/>
  <c r="K410"/>
  <c r="S413"/>
  <c r="S269"/>
  <c r="F304" i="5"/>
  <c r="F276" i="6"/>
  <c r="F222" i="17"/>
  <c r="I276" i="6"/>
  <c r="M58"/>
  <c r="M90"/>
  <c r="M122"/>
  <c r="R165" i="5"/>
  <c r="P22" i="6"/>
  <c r="R301"/>
  <c r="E279" i="17"/>
  <c r="A118" i="7"/>
  <c r="S194" i="5"/>
  <c r="F74" i="4"/>
  <c r="F112" i="3"/>
  <c r="J386"/>
  <c r="G195" i="5"/>
  <c r="AH74" i="4"/>
  <c r="O112" i="3"/>
  <c r="T386"/>
  <c r="S198" i="5"/>
  <c r="F79" i="4"/>
  <c r="S115" i="3"/>
  <c r="L390"/>
  <c r="G199" i="5"/>
  <c r="AH79" i="4"/>
  <c r="B116" i="3"/>
  <c r="V390"/>
  <c r="O199" i="5"/>
  <c r="F80" i="4"/>
  <c r="L116" i="3"/>
  <c r="H391"/>
  <c r="G203" i="5"/>
  <c r="AG84" i="4"/>
  <c r="P119" i="3"/>
  <c r="Z394"/>
  <c r="F64"/>
  <c r="Z157"/>
  <c r="G21" i="5"/>
  <c r="Q242" i="3"/>
  <c r="O45"/>
  <c r="X336"/>
  <c r="D284"/>
  <c r="M396" i="5"/>
  <c r="Y42" i="3"/>
  <c r="D22" i="6"/>
  <c r="K226" i="5"/>
  <c r="D63" i="3"/>
  <c r="D198" i="5"/>
  <c r="S371" i="3"/>
  <c r="AJ119" i="4"/>
  <c r="C334" i="6"/>
  <c r="B271" i="4"/>
  <c r="N267" i="6"/>
  <c r="C136" i="7"/>
  <c r="G337" i="6"/>
  <c r="A275" i="4"/>
  <c r="D149" i="12"/>
  <c r="AE260" i="4"/>
  <c r="G404"/>
  <c r="L66" i="3"/>
  <c r="N69"/>
  <c r="D70"/>
  <c r="O250" i="6"/>
  <c r="C258" i="5"/>
  <c r="G181" i="7"/>
  <c r="M35" i="5"/>
  <c r="R134"/>
  <c r="A722" i="17"/>
  <c r="C7"/>
  <c r="B541"/>
  <c r="U205" i="3"/>
  <c r="F152" i="6"/>
  <c r="G245" i="7"/>
  <c r="Q38" i="5"/>
  <c r="B138"/>
  <c r="K220"/>
  <c r="A106" i="4"/>
  <c r="S134" i="3"/>
  <c r="P412"/>
  <c r="S220" i="5"/>
  <c r="I106" i="4"/>
  <c r="B135" i="3"/>
  <c r="Z412"/>
  <c r="K224" i="5"/>
  <c r="A111" i="4"/>
  <c r="F138" i="3"/>
  <c r="R416"/>
  <c r="S224" i="5"/>
  <c r="I111" i="4"/>
  <c r="P138" i="3"/>
  <c r="D417"/>
  <c r="G225" i="5"/>
  <c r="A112" i="4"/>
  <c r="Y138" i="3"/>
  <c r="N417"/>
  <c r="S228" i="5"/>
  <c r="H116" i="4"/>
  <c r="C142" i="3"/>
  <c r="X91"/>
  <c r="X133"/>
  <c r="L361"/>
  <c r="C226" i="5"/>
  <c r="Q347" i="3"/>
  <c r="W91"/>
  <c r="X136"/>
  <c r="O126"/>
  <c r="P417" i="5"/>
  <c r="S86" i="3"/>
  <c r="D54" i="12"/>
  <c r="A395" i="4"/>
  <c r="L192" i="3"/>
  <c r="A360" i="4"/>
  <c r="U128" i="3"/>
  <c r="AH72" i="4"/>
  <c r="B346" i="6"/>
  <c r="T91" i="5"/>
  <c r="C15" i="9"/>
  <c r="B216" i="7"/>
  <c r="F349" i="6"/>
  <c r="D95" i="5"/>
  <c r="G241" i="17"/>
  <c r="L83" i="5"/>
  <c r="M199"/>
  <c r="N248" i="3"/>
  <c r="P252"/>
  <c r="L253"/>
  <c r="E229"/>
  <c r="D16" i="6"/>
  <c r="F90" i="12"/>
  <c r="R250" i="5"/>
  <c r="D345" i="4"/>
  <c r="A392" i="3"/>
  <c r="M408"/>
  <c r="S411"/>
  <c r="K190"/>
  <c r="P294" i="6"/>
  <c r="F154" i="12"/>
  <c r="I273" i="5"/>
  <c r="C349" i="4"/>
  <c r="I293" i="5"/>
  <c r="AG137" i="4"/>
  <c r="F157" i="3"/>
  <c r="K105"/>
  <c r="M296" i="5"/>
  <c r="E138" i="4"/>
  <c r="O157" i="3"/>
  <c r="T105"/>
  <c r="I325" i="5"/>
  <c r="AF142" i="4"/>
  <c r="T160" i="3"/>
  <c r="X108"/>
  <c r="M328" i="5"/>
  <c r="D143" i="4"/>
  <c r="C161" i="3"/>
  <c r="G109"/>
  <c r="Q331" i="5"/>
  <c r="AF143" i="4"/>
  <c r="L161" i="3"/>
  <c r="P109"/>
  <c r="M360" i="5"/>
  <c r="D148" i="4"/>
  <c r="P164" i="3"/>
  <c r="U112"/>
  <c r="I228"/>
  <c r="V181"/>
  <c r="N93" i="5"/>
  <c r="Q12" i="3"/>
  <c r="G180"/>
  <c r="W336"/>
  <c r="C284"/>
  <c r="C287" i="7"/>
  <c r="P172" i="3"/>
  <c r="D957" i="17"/>
  <c r="H110" i="5"/>
  <c r="D349" i="3"/>
  <c r="C138" i="5"/>
  <c r="V274" i="3"/>
  <c r="D26" i="4"/>
  <c r="I346" i="6"/>
  <c r="AJ291" i="4"/>
  <c r="C105" i="13"/>
  <c r="C218" i="7"/>
  <c r="M349" i="6"/>
  <c r="AI295" i="4"/>
  <c r="T262" i="6"/>
  <c r="H281" i="4"/>
  <c r="AH403"/>
  <c r="H122" i="3"/>
  <c r="U125"/>
  <c r="M126"/>
  <c r="K27"/>
  <c r="D113" i="12"/>
  <c r="G233" i="17"/>
  <c r="L35" i="5"/>
  <c r="M151"/>
  <c r="H199" i="3"/>
  <c r="J203"/>
  <c r="F204"/>
  <c r="I38"/>
  <c r="C98" i="16"/>
  <c r="F693" i="17"/>
  <c r="P38" i="5"/>
  <c r="Q154"/>
  <c r="E261" i="4"/>
  <c r="G169"/>
  <c r="S179" i="3"/>
  <c r="X127"/>
  <c r="AG261" i="4"/>
  <c r="AI169"/>
  <c r="B180" i="3"/>
  <c r="G128"/>
  <c r="D266" i="4"/>
  <c r="G174"/>
  <c r="G183" i="3"/>
  <c r="K131"/>
  <c r="AF266" i="4"/>
  <c r="AI174"/>
  <c r="P183" i="3"/>
  <c r="T131"/>
  <c r="D267" i="4"/>
  <c r="G175"/>
  <c r="Y183" i="3"/>
  <c r="D132"/>
  <c r="AE271" i="4"/>
  <c r="AG179"/>
  <c r="C187" i="3"/>
  <c r="H135"/>
  <c r="K333"/>
  <c r="G389"/>
  <c r="G331" i="4"/>
  <c r="I32" i="3"/>
  <c r="K282"/>
  <c r="X143"/>
  <c r="F44" i="4"/>
  <c r="I62" i="3"/>
  <c r="M273"/>
  <c r="I166" i="5"/>
  <c r="S130" i="6"/>
  <c r="H126" i="3"/>
  <c r="C286" i="4"/>
  <c r="S67" i="3"/>
  <c r="AJ215" i="4"/>
  <c r="C809" i="17"/>
  <c r="G462"/>
  <c r="Q388" i="6"/>
  <c r="D302"/>
  <c r="C174"/>
  <c r="L153" i="5"/>
  <c r="F343" i="6"/>
  <c r="O353" i="5"/>
  <c r="S164" i="6"/>
  <c r="H144" i="5"/>
  <c r="S281" i="6"/>
  <c r="S61"/>
  <c r="P290" i="5"/>
  <c r="I233" i="4"/>
  <c r="S275" i="6"/>
  <c r="S55"/>
  <c r="P284" i="5"/>
  <c r="Q407"/>
  <c r="AJ252" i="4"/>
  <c r="AJ160"/>
  <c r="T173" i="3"/>
  <c r="X121"/>
  <c r="G121" i="5"/>
  <c r="B220" i="4"/>
  <c r="T414" i="3"/>
  <c r="V310"/>
  <c r="O121" i="5"/>
  <c r="J220" i="4"/>
  <c r="D415" i="3"/>
  <c r="H311"/>
  <c r="G125" i="5"/>
  <c r="A225" i="4"/>
  <c r="O57" i="3"/>
  <c r="Z314"/>
  <c r="O125" i="5"/>
  <c r="I225" i="4"/>
  <c r="W57" i="3"/>
  <c r="J315"/>
  <c r="C126" i="5"/>
  <c r="A226" i="4"/>
  <c r="E58" i="3"/>
  <c r="T315"/>
  <c r="O129" i="5"/>
  <c r="H231" i="4"/>
  <c r="Y60" i="3"/>
  <c r="L319"/>
  <c r="G363"/>
  <c r="P379"/>
  <c r="I211" i="4"/>
  <c r="J38" i="3"/>
  <c r="A312"/>
  <c r="L138"/>
  <c r="B322"/>
  <c r="K136" i="5"/>
  <c r="S301" i="3"/>
  <c r="O237" i="6"/>
  <c r="M217" i="5"/>
  <c r="I49" i="17"/>
  <c r="Q320" i="5"/>
  <c r="Y287" i="3"/>
  <c r="K6" i="5"/>
  <c r="H197" i="3"/>
  <c r="AG318" i="4"/>
  <c r="C333" i="3"/>
  <c r="I98" i="17"/>
  <c r="B49" i="16"/>
  <c r="Q350" i="5"/>
  <c r="A342"/>
  <c r="S74" i="6"/>
  <c r="H54" i="5"/>
  <c r="R343" i="6"/>
  <c r="K254" i="5"/>
  <c r="O65" i="6"/>
  <c r="D45" i="5"/>
  <c r="D4" i="7"/>
  <c r="H375" i="5"/>
  <c r="M216"/>
  <c r="E167"/>
  <c r="Q406" i="6"/>
  <c r="H369" i="5"/>
  <c r="M210"/>
  <c r="E161"/>
  <c r="O165"/>
  <c r="D38" i="4"/>
  <c r="Q88" i="3"/>
  <c r="J356"/>
  <c r="C22" i="5"/>
  <c r="AE97" i="4"/>
  <c r="Z312" i="3"/>
  <c r="D209"/>
  <c r="K22" i="5"/>
  <c r="C98" i="4"/>
  <c r="L313" i="3"/>
  <c r="N209"/>
  <c r="C26" i="5"/>
  <c r="J102" i="4"/>
  <c r="D317" i="3"/>
  <c r="F213"/>
  <c r="K26" i="5"/>
  <c r="B103" i="4"/>
  <c r="N317" i="3"/>
  <c r="P213"/>
  <c r="S26" i="5"/>
  <c r="J103" i="4"/>
  <c r="X317" i="3"/>
  <c r="B214"/>
  <c r="K30" i="5"/>
  <c r="B108" i="4"/>
  <c r="P321" i="3"/>
  <c r="T217"/>
  <c r="H42"/>
  <c r="B310"/>
  <c r="G176" i="4"/>
  <c r="B58" i="3"/>
  <c r="Y30"/>
  <c r="Y311"/>
  <c r="F340"/>
  <c r="AG100" i="4"/>
  <c r="Z28" i="3"/>
  <c r="B107" i="6"/>
  <c r="D355" i="4"/>
  <c r="I64" i="3"/>
  <c r="B86" i="4"/>
  <c r="L60" i="3"/>
  <c r="C201" i="4"/>
  <c r="J290" i="6"/>
  <c r="C32" i="7"/>
  <c r="I353" i="4"/>
  <c r="G812" i="17"/>
  <c r="E463"/>
  <c r="A22" i="9"/>
  <c r="E212" i="7"/>
  <c r="O199" i="6"/>
  <c r="D179" i="5"/>
  <c r="M343" i="6"/>
  <c r="G379" i="5"/>
  <c r="K190" i="6"/>
  <c r="T169" i="5"/>
  <c r="K307" i="6"/>
  <c r="K87"/>
  <c r="H316" i="5"/>
  <c r="C265" i="4"/>
  <c r="K301" i="6"/>
  <c r="K81"/>
  <c r="H310" i="5"/>
  <c r="AG257" i="4"/>
  <c r="AE284"/>
  <c r="J192"/>
  <c r="G196" i="3"/>
  <c r="L144"/>
  <c r="S146" i="5"/>
  <c r="AH14" i="4"/>
  <c r="E74" i="3"/>
  <c r="D337"/>
  <c r="G147" i="5"/>
  <c r="F15" i="4"/>
  <c r="M74" i="3"/>
  <c r="N337"/>
  <c r="S150" i="5"/>
  <c r="AH19" i="4"/>
  <c r="G77" i="3"/>
  <c r="F341"/>
  <c r="G151" i="5"/>
  <c r="F20" i="4"/>
  <c r="O77" i="3"/>
  <c r="P341"/>
  <c r="O151" i="5"/>
  <c r="AH20" i="4"/>
  <c r="W77" i="3"/>
  <c r="B342"/>
  <c r="G155" i="5"/>
  <c r="E25" i="4"/>
  <c r="Q80" i="3"/>
  <c r="T345"/>
  <c r="G15"/>
  <c r="M173"/>
  <c r="D30" i="5"/>
  <c r="U77" i="3"/>
  <c r="C417"/>
  <c r="R338"/>
  <c r="B148"/>
  <c r="D347" i="4"/>
  <c r="S406" i="3"/>
  <c r="H53" i="7"/>
  <c r="B268" i="4"/>
  <c r="B267" i="20"/>
  <c r="H61" i="6"/>
  <c r="H198" i="3"/>
  <c r="C160" i="5"/>
  <c r="U354" i="3"/>
  <c r="I379" i="5"/>
  <c r="V251" i="3"/>
  <c r="A161" i="17"/>
  <c r="D6"/>
  <c r="L142" i="6"/>
  <c r="P133"/>
  <c r="K100"/>
  <c r="T79" i="5"/>
  <c r="F356" i="6"/>
  <c r="C280" i="5"/>
  <c r="G91" i="6"/>
  <c r="P70" i="5"/>
  <c r="C175" i="7"/>
  <c r="T400" i="5"/>
  <c r="E262"/>
  <c r="Q192"/>
  <c r="C135" i="7"/>
  <c r="T394" i="5"/>
  <c r="E236"/>
  <c r="Q186"/>
  <c r="G191"/>
  <c r="AI69" i="4"/>
  <c r="B109" i="3"/>
  <c r="R382"/>
  <c r="O47" i="5"/>
  <c r="F129" i="4"/>
  <c r="H339" i="3"/>
  <c r="J235"/>
  <c r="C48" i="5"/>
  <c r="AH129" i="4"/>
  <c r="R339" i="3"/>
  <c r="T235"/>
  <c r="O51" i="5"/>
  <c r="F134" i="4"/>
  <c r="J343" i="3"/>
  <c r="L239"/>
  <c r="C52" i="5"/>
  <c r="AH134" i="4"/>
  <c r="T343" i="3"/>
  <c r="X239"/>
  <c r="K52" i="5"/>
  <c r="F135" i="4"/>
  <c r="F344" i="3"/>
  <c r="H240"/>
  <c r="C56" i="5"/>
  <c r="AH139" i="4"/>
  <c r="X347" i="3"/>
  <c r="Z243"/>
  <c r="S85"/>
  <c r="A175"/>
  <c r="A193" i="4"/>
  <c r="D157" i="3"/>
  <c r="E60"/>
  <c r="S102"/>
  <c r="S139"/>
  <c r="AD337" i="4"/>
  <c r="K55" i="3"/>
  <c r="E150" i="6"/>
  <c r="T109"/>
  <c r="U193" i="3"/>
  <c r="H39" i="4"/>
  <c r="J189" i="3"/>
  <c r="I186" i="4"/>
  <c r="Q290" i="6"/>
  <c r="B112" i="7"/>
  <c r="P158" i="5"/>
  <c r="B90" i="20"/>
  <c r="G642" i="17"/>
  <c r="C166" i="13"/>
  <c r="D246" i="12"/>
  <c r="G225" i="6"/>
  <c r="P204" i="5"/>
  <c r="A286" i="7"/>
  <c r="S404" i="5"/>
  <c r="C216" i="6"/>
  <c r="L195" i="5"/>
  <c r="C333" i="6"/>
  <c r="C113"/>
  <c r="T341" i="5"/>
  <c r="AJ296" i="4"/>
  <c r="C327" i="6"/>
  <c r="C107"/>
  <c r="T335" i="5"/>
  <c r="I289" i="4"/>
  <c r="F316"/>
  <c r="AJ223"/>
  <c r="I222" i="3"/>
  <c r="Y166"/>
  <c r="K172" i="5"/>
  <c r="J46" i="4"/>
  <c r="W93" i="3"/>
  <c r="J363"/>
  <c r="S172" i="5"/>
  <c r="B47" i="4"/>
  <c r="E94" i="3"/>
  <c r="T363"/>
  <c r="K176" i="5"/>
  <c r="J51" i="4"/>
  <c r="Y96" i="3"/>
  <c r="L367"/>
  <c r="S176" i="5"/>
  <c r="B52" i="4"/>
  <c r="G97" i="3"/>
  <c r="X367"/>
  <c r="G177" i="5"/>
  <c r="J52" i="4"/>
  <c r="O97" i="3"/>
  <c r="H368"/>
  <c r="S180" i="5"/>
  <c r="B57" i="4"/>
  <c r="I100" i="3"/>
  <c r="Z371"/>
  <c r="A35"/>
  <c r="O379"/>
  <c r="T234" i="5"/>
  <c r="K157" i="3"/>
  <c r="J25"/>
  <c r="L159"/>
  <c r="W349"/>
  <c r="B416" i="4"/>
  <c r="S23" i="3"/>
  <c r="E86" i="12"/>
  <c r="H394" i="4"/>
  <c r="AE383"/>
  <c r="H189" i="6"/>
  <c r="T296" i="3"/>
  <c r="H313" i="4"/>
  <c r="L248" i="3"/>
  <c r="I285" i="5"/>
  <c r="Z369" i="3"/>
  <c r="D664" i="17"/>
  <c r="E426"/>
  <c r="H344" i="6"/>
  <c r="L335"/>
  <c r="C126"/>
  <c r="L105" i="5"/>
  <c r="Q356" i="6"/>
  <c r="O305" i="5"/>
  <c r="S116" i="6"/>
  <c r="H96" i="5"/>
  <c r="S233" i="6"/>
  <c r="S13"/>
  <c r="P242" i="5"/>
  <c r="I218"/>
  <c r="B19" i="8"/>
  <c r="S7" i="6"/>
  <c r="F5"/>
  <c r="I212" i="5"/>
  <c r="S216"/>
  <c r="I101" i="4"/>
  <c r="O131" i="3"/>
  <c r="X408"/>
  <c r="G73" i="5"/>
  <c r="A161" i="4"/>
  <c r="N365" i="3"/>
  <c r="P261"/>
  <c r="O73" i="5"/>
  <c r="I161" i="4"/>
  <c r="X365" i="3"/>
  <c r="B262"/>
  <c r="G77" i="5"/>
  <c r="A166" i="4"/>
  <c r="P369" i="3"/>
  <c r="T265"/>
  <c r="O77" i="5"/>
  <c r="I166" i="4"/>
  <c r="B370" i="3"/>
  <c r="D266"/>
  <c r="C78" i="5"/>
  <c r="A167" i="4"/>
  <c r="L370" i="3"/>
  <c r="N266"/>
  <c r="O81" i="5"/>
  <c r="H171" i="4"/>
  <c r="D374" i="3"/>
  <c r="F270"/>
  <c r="T170"/>
  <c r="H381"/>
  <c r="AE209" i="4"/>
  <c r="I347" i="3"/>
  <c r="X126"/>
  <c r="H100"/>
  <c r="E340"/>
  <c r="H145" i="5"/>
  <c r="A118" i="3"/>
  <c r="D150" i="6"/>
  <c r="P330"/>
  <c r="Y376" i="3"/>
  <c r="AF229" i="4"/>
  <c r="T371" i="3"/>
  <c r="AE171" i="4"/>
  <c r="A154" i="7"/>
  <c r="C114"/>
  <c r="D374" i="4"/>
  <c r="B23" i="23"/>
  <c r="F219" i="20"/>
  <c r="F441" i="17"/>
  <c r="B285"/>
  <c r="O254" i="5"/>
  <c r="H230"/>
  <c r="H287" i="7"/>
  <c r="J17" i="6"/>
  <c r="K245" i="5"/>
  <c r="D221"/>
  <c r="D361" i="6"/>
  <c r="O138"/>
  <c r="L367" i="5"/>
  <c r="J328" i="4"/>
  <c r="O352" i="6"/>
  <c r="O132"/>
  <c r="L361" i="5"/>
  <c r="C321" i="4"/>
  <c r="AF347"/>
  <c r="E19"/>
  <c r="O248" i="3"/>
  <c r="L189"/>
  <c r="C198" i="5"/>
  <c r="F78" i="4"/>
  <c r="A115" i="3"/>
  <c r="P389"/>
  <c r="K198" i="5"/>
  <c r="AH78" i="4"/>
  <c r="J115" i="3"/>
  <c r="B390"/>
  <c r="C202" i="5"/>
  <c r="E83" i="4"/>
  <c r="N118" i="3"/>
  <c r="T393"/>
  <c r="K202" i="5"/>
  <c r="AG83" i="4"/>
  <c r="X118" i="3"/>
  <c r="D394"/>
  <c r="S202" i="5"/>
  <c r="E84" i="4"/>
  <c r="G119" i="3"/>
  <c r="N394"/>
  <c r="K206" i="5"/>
  <c r="AG88" i="4"/>
  <c r="K122" i="3"/>
  <c r="F398"/>
  <c r="S70"/>
  <c r="M180"/>
  <c r="S46" i="5"/>
  <c r="S255" i="3"/>
  <c r="M49"/>
  <c r="D363"/>
  <c r="V303"/>
  <c r="G25" i="6"/>
  <c r="X46" i="3"/>
  <c r="E11" i="16"/>
  <c r="T63" i="5"/>
  <c r="A106"/>
  <c r="H314" i="6"/>
  <c r="X414" i="3"/>
  <c r="Q247" i="5"/>
  <c r="P366" i="3"/>
  <c r="C253" i="5"/>
  <c r="A173" i="3"/>
  <c r="F813" i="17"/>
  <c r="G463"/>
  <c r="G344" i="6"/>
  <c r="K335"/>
  <c r="O151"/>
  <c r="D131" i="5"/>
  <c r="L357" i="6"/>
  <c r="G331" i="5"/>
  <c r="K142" i="6"/>
  <c r="T121" i="5"/>
  <c r="K259" i="6"/>
  <c r="K39"/>
  <c r="H268" i="5"/>
  <c r="M276"/>
  <c r="K253" i="6"/>
  <c r="K33"/>
  <c r="H262" i="5"/>
  <c r="F241"/>
  <c r="M264"/>
  <c r="E133" i="4"/>
  <c r="B154" i="3"/>
  <c r="J102"/>
  <c r="S98" i="5"/>
  <c r="AE192" i="4"/>
  <c r="T391" i="3"/>
  <c r="X287"/>
  <c r="G99" i="5"/>
  <c r="C193" i="4"/>
  <c r="F392" i="3"/>
  <c r="H288"/>
  <c r="S102" i="5"/>
  <c r="G197" i="4"/>
  <c r="X395" i="3"/>
  <c r="Z291"/>
  <c r="G103" i="5"/>
  <c r="AI197" i="4"/>
  <c r="H396" i="3"/>
  <c r="J292"/>
  <c r="O103" i="5"/>
  <c r="G198" i="4"/>
  <c r="R396" i="3"/>
  <c r="V292"/>
  <c r="G107" i="5"/>
  <c r="AH202" i="4"/>
  <c r="J400" i="3"/>
  <c r="N296"/>
  <c r="I271"/>
  <c r="A196"/>
  <c r="E226" i="4"/>
  <c r="J20" i="3"/>
  <c r="E220"/>
  <c r="P293"/>
  <c r="S146"/>
  <c r="B358" i="4"/>
  <c r="U209" i="3"/>
  <c r="B111" i="7"/>
  <c r="B26" i="5"/>
  <c r="L304" i="3"/>
  <c r="J402" i="4"/>
  <c r="U121" i="3"/>
  <c r="AI344" i="4"/>
  <c r="H155" i="7"/>
  <c r="M386" i="6"/>
  <c r="C175" i="5"/>
  <c r="C217" i="7"/>
  <c r="B327" i="6"/>
  <c r="R90" i="5"/>
  <c r="J72"/>
  <c r="G280"/>
  <c r="E372"/>
  <c r="G286" i="7"/>
  <c r="B43" i="6"/>
  <c r="C271" i="5"/>
  <c r="M298"/>
  <c r="H412" i="6"/>
  <c r="G164"/>
  <c r="D393" i="5"/>
  <c r="AH359" i="4"/>
  <c r="H400" i="6"/>
  <c r="G158"/>
  <c r="D387" i="5"/>
  <c r="J352" i="4"/>
  <c r="F379"/>
  <c r="A51"/>
  <c r="U274" i="3"/>
  <c r="J214"/>
  <c r="O223" i="5"/>
  <c r="A110" i="4"/>
  <c r="N137" i="3"/>
  <c r="X415"/>
  <c r="C224" i="5"/>
  <c r="I110" i="4"/>
  <c r="W137" i="3"/>
  <c r="H416"/>
  <c r="O227" i="5"/>
  <c r="AJ114" i="4"/>
  <c r="B141" i="3"/>
  <c r="Z90"/>
  <c r="C228" i="5"/>
  <c r="H115" i="4"/>
  <c r="K141" i="3"/>
  <c r="H91"/>
  <c r="K228" i="5"/>
  <c r="AJ115" i="4"/>
  <c r="T141" i="3"/>
  <c r="P91"/>
  <c r="C232" i="5"/>
  <c r="G120" i="4"/>
  <c r="X144" i="3"/>
  <c r="J94"/>
  <c r="E145"/>
  <c r="R387"/>
  <c r="E338" i="5"/>
  <c r="U360" i="3"/>
  <c r="S101"/>
  <c r="K159"/>
  <c r="G146"/>
  <c r="S209" i="6"/>
  <c r="A95" i="3"/>
  <c r="H15" i="14"/>
  <c r="P140" i="5"/>
  <c r="A234"/>
  <c r="K237" i="6"/>
  <c r="Y217" i="3"/>
  <c r="S209" i="5"/>
  <c r="Q169" i="3"/>
  <c r="C229" i="6"/>
  <c r="E291" i="3"/>
  <c r="I219" i="17"/>
  <c r="F519"/>
  <c r="L389" i="6"/>
  <c r="K302"/>
  <c r="G177"/>
  <c r="P156" i="5"/>
  <c r="K381" i="6"/>
  <c r="S356" i="5"/>
  <c r="C168" i="6"/>
  <c r="L147" i="5"/>
  <c r="C285" i="6"/>
  <c r="C65"/>
  <c r="T293" i="5"/>
  <c r="I237" i="4"/>
  <c r="C279" i="6"/>
  <c r="C59"/>
  <c r="T287" i="5"/>
  <c r="B230" i="4"/>
  <c r="AI256"/>
  <c r="AJ164"/>
  <c r="O176" i="3"/>
  <c r="T124"/>
  <c r="K124" i="5"/>
  <c r="A224" i="4"/>
  <c r="E6"/>
  <c r="D314" i="3"/>
  <c r="S124" i="5"/>
  <c r="I224" i="4"/>
  <c r="G57" i="3"/>
  <c r="N314"/>
  <c r="K128" i="5"/>
  <c r="H229" i="4"/>
  <c r="A60" i="3"/>
  <c r="F318"/>
  <c r="S128" i="5"/>
  <c r="C230" i="4"/>
  <c r="I60" i="3"/>
  <c r="R318"/>
  <c r="G129" i="5"/>
  <c r="AG230" i="4"/>
  <c r="Q60" i="3"/>
  <c r="B319"/>
  <c r="S132" i="5"/>
  <c r="AF236" i="4"/>
  <c r="K63" i="3"/>
  <c r="T322"/>
  <c r="I376"/>
  <c r="V405"/>
  <c r="D248" i="4"/>
  <c r="R41" i="3"/>
  <c r="E325"/>
  <c r="Y160"/>
  <c r="H348"/>
  <c r="C162" i="5"/>
  <c r="U314" i="3"/>
  <c r="E195" i="13"/>
  <c r="R230" i="5"/>
  <c r="M107" i="3"/>
  <c r="T146" i="5"/>
  <c r="S266" i="3"/>
  <c r="D100" i="5"/>
  <c r="G154" i="7"/>
  <c r="L386" i="6"/>
  <c r="AG394" i="4"/>
  <c r="C13" i="8"/>
  <c r="I339" i="6"/>
  <c r="B291" i="4"/>
  <c r="C268"/>
  <c r="S305" i="5"/>
  <c r="AJ272" i="4"/>
  <c r="F285" i="7"/>
  <c r="N68" i="6"/>
  <c r="O296" i="5"/>
  <c r="J261" i="4"/>
  <c r="C156" i="7"/>
  <c r="S189" i="6"/>
  <c r="I5"/>
  <c r="H391" i="4"/>
  <c r="C116" i="7"/>
  <c r="S183" i="6"/>
  <c r="P412" i="5"/>
  <c r="B384" i="4"/>
  <c r="AI410"/>
  <c r="AF82"/>
  <c r="C301" i="3"/>
  <c r="P240"/>
  <c r="A319" i="5"/>
  <c r="AF141" i="4"/>
  <c r="A160" i="3"/>
  <c r="F108"/>
  <c r="E322" i="5"/>
  <c r="D142" i="4"/>
  <c r="J160" i="3"/>
  <c r="O108"/>
  <c r="A351" i="5"/>
  <c r="AF146" i="4"/>
  <c r="O163" i="3"/>
  <c r="S111"/>
  <c r="E354" i="5"/>
  <c r="D147" i="4"/>
  <c r="X163" i="3"/>
  <c r="B112"/>
  <c r="I357" i="5"/>
  <c r="AF147" i="4"/>
  <c r="G164" i="3"/>
  <c r="L112"/>
  <c r="E386" i="5"/>
  <c r="C152" i="4"/>
  <c r="K167" i="3"/>
  <c r="P115"/>
  <c r="M241"/>
  <c r="M205"/>
  <c r="B196" i="5"/>
  <c r="C15" i="3"/>
  <c r="N191"/>
  <c r="C363"/>
  <c r="U303"/>
  <c r="D289" i="7"/>
  <c r="W183" i="3"/>
  <c r="B176" i="17"/>
  <c r="L217" i="5"/>
  <c r="C320" i="4"/>
  <c r="B31" i="7"/>
  <c r="C336" i="3"/>
  <c r="C214" i="6"/>
  <c r="U287" i="3"/>
  <c r="H244" i="6"/>
  <c r="I409" i="3"/>
  <c r="H259" i="17"/>
  <c r="D520"/>
  <c r="D72" i="12"/>
  <c r="A71"/>
  <c r="S202" i="6"/>
  <c r="H182" i="5"/>
  <c r="F382" i="6"/>
  <c r="K382" i="5"/>
  <c r="O193" i="6"/>
  <c r="D173" i="5"/>
  <c r="O310" i="6"/>
  <c r="O90"/>
  <c r="L319" i="5"/>
  <c r="B269" i="4"/>
  <c r="O304" i="6"/>
  <c r="O84"/>
  <c r="L313" i="5"/>
  <c r="AE261" i="4"/>
  <c r="AE288"/>
  <c r="G196"/>
  <c r="I199" i="3"/>
  <c r="G147"/>
  <c r="C150" i="5"/>
  <c r="AH18" i="4"/>
  <c r="Q76" i="3"/>
  <c r="J340"/>
  <c r="K150" i="5"/>
  <c r="F19" i="4"/>
  <c r="Y76" i="3"/>
  <c r="V340"/>
  <c r="C154" i="5"/>
  <c r="AG23" i="4"/>
  <c r="S79" i="3"/>
  <c r="N344"/>
  <c r="K154" i="5"/>
  <c r="E24" i="4"/>
  <c r="A80" i="3"/>
  <c r="X344"/>
  <c r="S154" i="5"/>
  <c r="AG24" i="4"/>
  <c r="I80" i="3"/>
  <c r="H345"/>
  <c r="K158" i="5"/>
  <c r="E29" i="4"/>
  <c r="C83" i="3"/>
  <c r="Z348"/>
  <c r="S17"/>
  <c r="Z195"/>
  <c r="P55" i="5"/>
  <c r="M84" i="3"/>
  <c r="D8"/>
  <c r="X364"/>
  <c r="P170"/>
  <c r="AH378" i="4"/>
  <c r="I6" i="3"/>
  <c r="B124" i="5"/>
  <c r="Q42"/>
  <c r="Q225" i="3"/>
  <c r="C297" i="4"/>
  <c r="N66" i="3"/>
  <c r="M354" i="5"/>
  <c r="F153" i="7"/>
  <c r="C386" i="6"/>
  <c r="R191" i="5"/>
  <c r="B17" i="8"/>
  <c r="P339" i="6"/>
  <c r="M107" i="5"/>
  <c r="E89"/>
  <c r="K331"/>
  <c r="AH304" i="4"/>
  <c r="E284" i="7"/>
  <c r="F94" i="6"/>
  <c r="G322" i="5"/>
  <c r="G293" i="4"/>
  <c r="B233" i="6"/>
  <c r="K215"/>
  <c r="S30"/>
  <c r="H10" i="5"/>
  <c r="B287" i="7"/>
  <c r="K209" i="6"/>
  <c r="S24"/>
  <c r="J415" i="4"/>
  <c r="J44" i="5"/>
  <c r="G114" i="4"/>
  <c r="I327" i="3"/>
  <c r="V266"/>
  <c r="E265" i="4"/>
  <c r="G173"/>
  <c r="N182" i="3"/>
  <c r="S130"/>
  <c r="AF265" i="4"/>
  <c r="AI173"/>
  <c r="X182" i="3"/>
  <c r="B131"/>
  <c r="D270" i="4"/>
  <c r="F178"/>
  <c r="B186" i="3"/>
  <c r="F134"/>
  <c r="AF270" i="4"/>
  <c r="AH178"/>
  <c r="K186" i="3"/>
  <c r="P134"/>
  <c r="D271" i="4"/>
  <c r="F179"/>
  <c r="T186" i="3"/>
  <c r="Y134"/>
  <c r="AE275" i="4"/>
  <c r="AF183"/>
  <c r="X189" i="3"/>
  <c r="C138"/>
  <c r="M346"/>
  <c r="O415"/>
  <c r="F140" i="5"/>
  <c r="W34" i="3"/>
  <c r="M300"/>
  <c r="K166"/>
  <c r="A76" i="4"/>
  <c r="X141" i="3"/>
  <c r="Q286"/>
  <c r="I274" i="17"/>
  <c r="AJ288" i="4"/>
  <c r="D29" i="5"/>
  <c r="O337" i="6"/>
  <c r="J64" i="4"/>
  <c r="P401" i="5"/>
  <c r="Y405" i="3"/>
  <c r="D230" i="20"/>
  <c r="G182" i="4"/>
  <c r="B89" i="20"/>
  <c r="D644" i="17"/>
  <c r="B167" i="13"/>
  <c r="C247" i="12"/>
  <c r="K228" i="6"/>
  <c r="T207" i="5"/>
  <c r="G38" i="9"/>
  <c r="C408" i="5"/>
  <c r="G219" i="6"/>
  <c r="P198" i="5"/>
  <c r="G336" i="6"/>
  <c r="G116"/>
  <c r="D345" i="5"/>
  <c r="AI300" i="4"/>
  <c r="G330" i="6"/>
  <c r="G110"/>
  <c r="D339" i="5"/>
  <c r="H293" i="4"/>
  <c r="E320"/>
  <c r="A228"/>
  <c r="O225" i="3"/>
  <c r="T169"/>
  <c r="O175" i="5"/>
  <c r="J50" i="4"/>
  <c r="I96" i="3"/>
  <c r="R366"/>
  <c r="C176" i="5"/>
  <c r="B51" i="4"/>
  <c r="Q96" i="3"/>
  <c r="B367"/>
  <c r="O179" i="5"/>
  <c r="J55" i="4"/>
  <c r="K99" i="3"/>
  <c r="T370"/>
  <c r="C180" i="5"/>
  <c r="B56" i="4"/>
  <c r="S99" i="3"/>
  <c r="D371"/>
  <c r="K180" i="5"/>
  <c r="J56" i="4"/>
  <c r="A100" i="3"/>
  <c r="P371"/>
  <c r="C184" i="5"/>
  <c r="AJ60" i="4"/>
  <c r="U102" i="3"/>
  <c r="H375"/>
  <c r="C38"/>
  <c r="U405"/>
  <c r="A409" i="5"/>
  <c r="Q168" i="3"/>
  <c r="V27"/>
  <c r="Z181"/>
  <c r="E376"/>
  <c r="L209" i="5"/>
  <c r="E26" i="3"/>
  <c r="I331" i="4"/>
  <c r="AJ241"/>
  <c r="U343" i="3"/>
  <c r="S86" i="5"/>
  <c r="J222" i="3"/>
  <c r="K14" i="5"/>
  <c r="E152" i="7"/>
  <c r="N385" i="6"/>
  <c r="AI414" i="4"/>
  <c r="C16" i="8"/>
  <c r="C340" i="6"/>
  <c r="I290" i="4"/>
  <c r="J267"/>
  <c r="C357" i="5"/>
  <c r="F336" i="4"/>
  <c r="H53" i="13"/>
  <c r="R119" i="6"/>
  <c r="S347" i="5"/>
  <c r="B325" i="4"/>
  <c r="B283" i="6"/>
  <c r="G245" i="5"/>
  <c r="K56" i="6"/>
  <c r="T35" i="5"/>
  <c r="B267" i="6"/>
  <c r="G239" i="5"/>
  <c r="K50" i="6"/>
  <c r="T29" i="5"/>
  <c r="R146"/>
  <c r="C146" i="4"/>
  <c r="O353" i="3"/>
  <c r="D293"/>
  <c r="B297" i="4"/>
  <c r="AG204"/>
  <c r="I206" i="3"/>
  <c r="F153"/>
  <c r="J297" i="4"/>
  <c r="E205"/>
  <c r="S206" i="3"/>
  <c r="O153"/>
  <c r="A302" i="4"/>
  <c r="AG209"/>
  <c r="K210" i="3"/>
  <c r="T156"/>
  <c r="I302" i="4"/>
  <c r="E210"/>
  <c r="U210" i="3"/>
  <c r="C157"/>
  <c r="A303" i="4"/>
  <c r="AG210"/>
  <c r="G211" i="3"/>
  <c r="L157"/>
  <c r="H307" i="4"/>
  <c r="A215"/>
  <c r="Y214" i="3"/>
  <c r="P160"/>
  <c r="D12"/>
  <c r="B353"/>
  <c r="Q128" i="6"/>
  <c r="J70" i="3"/>
  <c r="C94"/>
  <c r="H371"/>
  <c r="F92" i="4"/>
  <c r="M209" i="3"/>
  <c r="Q391"/>
  <c r="H307" i="6"/>
  <c r="I383" i="4"/>
  <c r="T105" i="5"/>
  <c r="F10" i="8"/>
  <c r="H17" i="4"/>
  <c r="H7" i="6"/>
  <c r="A177" i="4"/>
  <c r="E177" i="3"/>
  <c r="G135" i="4"/>
  <c r="G146" i="24"/>
  <c r="E221" i="20"/>
  <c r="H478" i="17"/>
  <c r="D322"/>
  <c r="S257" i="5"/>
  <c r="L233"/>
  <c r="F39" i="9"/>
  <c r="N20" i="6"/>
  <c r="O248" i="5"/>
  <c r="H224"/>
  <c r="L367" i="6"/>
  <c r="S141"/>
  <c r="P370" i="5"/>
  <c r="I332" i="4"/>
  <c r="S355" i="6"/>
  <c r="S135"/>
  <c r="P364" i="5"/>
  <c r="C325" i="4"/>
  <c r="AF351"/>
  <c r="E23"/>
  <c r="W251" i="3"/>
  <c r="G192"/>
  <c r="G201" i="5"/>
  <c r="E82" i="4"/>
  <c r="V117" i="3"/>
  <c r="X392"/>
  <c r="O201" i="5"/>
  <c r="AG82" i="4"/>
  <c r="E118" i="3"/>
  <c r="H393"/>
  <c r="G205" i="5"/>
  <c r="E87" i="4"/>
  <c r="J121" i="3"/>
  <c r="Z396"/>
  <c r="O205" i="5"/>
  <c r="AG87" i="4"/>
  <c r="S121" i="3"/>
  <c r="L397"/>
  <c r="C206" i="5"/>
  <c r="E88" i="4"/>
  <c r="B122" i="3"/>
  <c r="V397"/>
  <c r="O209" i="5"/>
  <c r="AF92" i="4"/>
  <c r="F125" i="3"/>
  <c r="N401"/>
  <c r="K77"/>
  <c r="X203"/>
  <c r="K72" i="5"/>
  <c r="W268" i="3"/>
  <c r="L53"/>
  <c r="L389"/>
  <c r="N323"/>
  <c r="E230" i="6"/>
  <c r="U50" i="3"/>
  <c r="K131" i="5"/>
  <c r="L119"/>
  <c r="F45" i="4"/>
  <c r="H254"/>
  <c r="D406" i="3"/>
  <c r="C168" i="5"/>
  <c r="F4" i="12"/>
  <c r="A1" i="9"/>
  <c r="E208" i="5"/>
  <c r="A331" i="4"/>
  <c r="K363" i="5"/>
  <c r="C344" i="4"/>
  <c r="G110" i="12"/>
  <c r="F126" i="6"/>
  <c r="G354" i="5"/>
  <c r="AI332" i="4"/>
  <c r="J321" i="6"/>
  <c r="O251" i="5"/>
  <c r="S62" i="6"/>
  <c r="H42" i="5"/>
  <c r="B285" i="6"/>
  <c r="O245" i="5"/>
  <c r="S56" i="6"/>
  <c r="H36" i="5"/>
  <c r="J172"/>
  <c r="B154" i="4"/>
  <c r="E360" i="3"/>
  <c r="R299"/>
  <c r="A305" i="4"/>
  <c r="AE212"/>
  <c r="W212" i="3"/>
  <c r="V158"/>
  <c r="I305" i="4"/>
  <c r="C213"/>
  <c r="G213" i="3"/>
  <c r="F159"/>
  <c r="AJ309" i="4"/>
  <c r="I217"/>
  <c r="Y216" i="3"/>
  <c r="J162"/>
  <c r="H310" i="4"/>
  <c r="A218"/>
  <c r="K217" i="3"/>
  <c r="S162"/>
  <c r="AJ310" i="4"/>
  <c r="I218"/>
  <c r="U217" i="3"/>
  <c r="B163"/>
  <c r="F315" i="4"/>
  <c r="A223"/>
  <c r="M221" i="3"/>
  <c r="F166"/>
  <c r="B17"/>
  <c r="L392"/>
  <c r="H315" i="5"/>
  <c r="O83" i="3"/>
  <c r="U182"/>
  <c r="G61"/>
  <c r="AF155" i="4"/>
  <c r="E380" i="3"/>
  <c r="W417"/>
  <c r="C85" i="12"/>
  <c r="G80" i="5"/>
  <c r="B199" i="13"/>
  <c r="N397" i="5"/>
  <c r="E314" i="3"/>
  <c r="O57" i="5"/>
  <c r="U249" i="3"/>
  <c r="D350" i="4"/>
  <c r="W411" i="3"/>
  <c r="D212" i="17"/>
  <c r="C57"/>
  <c r="Q193" i="6"/>
  <c r="A185"/>
  <c r="O55"/>
  <c r="D35" i="5"/>
  <c r="F256" i="6"/>
  <c r="E234"/>
  <c r="K46"/>
  <c r="T25" i="5"/>
  <c r="I380" i="6"/>
  <c r="D356" i="5"/>
  <c r="I197"/>
  <c r="A148"/>
  <c r="I368" i="6"/>
  <c r="D350" i="5"/>
  <c r="I191"/>
  <c r="A142"/>
  <c r="K146"/>
  <c r="F14" i="4"/>
  <c r="W73" i="3"/>
  <c r="R336"/>
  <c r="E414" i="4"/>
  <c r="AI73"/>
  <c r="H293" i="3"/>
  <c r="P190"/>
  <c r="AG414" i="4"/>
  <c r="G74"/>
  <c r="T293" i="3"/>
  <c r="Y190"/>
  <c r="S6" i="5"/>
  <c r="AI78" i="4"/>
  <c r="L297" i="3"/>
  <c r="C194"/>
  <c r="G7" i="5"/>
  <c r="G79" i="4"/>
  <c r="V297" i="3"/>
  <c r="L194"/>
  <c r="O7" i="5"/>
  <c r="AI79" i="4"/>
  <c r="F298" i="3"/>
  <c r="U194"/>
  <c r="G11" i="5"/>
  <c r="F84" i="4"/>
  <c r="X301" i="3"/>
  <c r="B198"/>
  <c r="T25"/>
  <c r="Y158"/>
  <c r="B223" i="4"/>
  <c r="S27" i="3"/>
  <c r="E16"/>
  <c r="K218"/>
  <c r="U184"/>
  <c r="I147" i="4"/>
  <c r="F14" i="3"/>
  <c r="Q340"/>
  <c r="O349"/>
  <c r="S129"/>
  <c r="A16" i="14"/>
  <c r="R143" i="3"/>
  <c r="P20"/>
  <c r="H51"/>
  <c r="K98"/>
  <c r="Y368"/>
  <c r="R23"/>
  <c r="R20"/>
  <c r="AE47" i="4"/>
  <c r="S137" i="3"/>
  <c r="H140" i="5"/>
  <c r="C389"/>
  <c r="AF375" i="4"/>
  <c r="E100" i="12"/>
  <c r="R151" i="6"/>
  <c r="S379" i="5"/>
  <c r="D364" i="4"/>
  <c r="Q333" i="6"/>
  <c r="G277" i="5"/>
  <c r="K88" i="6"/>
  <c r="T67" i="5"/>
  <c r="Q285" i="6"/>
  <c r="G271" i="5"/>
  <c r="K82" i="6"/>
  <c r="T61" i="5"/>
  <c r="D265" i="4"/>
  <c r="AE185"/>
  <c r="K386" i="3"/>
  <c r="X325"/>
  <c r="I336" i="4"/>
  <c r="I7"/>
  <c r="C239" i="3"/>
  <c r="J181"/>
  <c r="A337" i="4"/>
  <c r="E8"/>
  <c r="O239" i="3"/>
  <c r="S181"/>
  <c r="G341" i="4"/>
  <c r="AG12"/>
  <c r="G243" i="3"/>
  <c r="W184"/>
  <c r="AH341" i="4"/>
  <c r="E13"/>
  <c r="Q243" i="3"/>
  <c r="F185"/>
  <c r="F342" i="4"/>
  <c r="AG13"/>
  <c r="A244" i="3"/>
  <c r="O185"/>
  <c r="AF346" i="4"/>
  <c r="E18"/>
  <c r="S247" i="3"/>
  <c r="T188"/>
  <c r="G37"/>
  <c r="W234"/>
  <c r="L327" i="6"/>
  <c r="Z166" i="3"/>
  <c r="B142"/>
  <c r="O241"/>
  <c r="AJ171" i="4"/>
  <c r="S30" i="3"/>
  <c r="V25"/>
  <c r="A114" i="17"/>
  <c r="M400" i="5"/>
  <c r="B98" i="16"/>
  <c r="E138" i="6"/>
  <c r="R237" i="3"/>
  <c r="G211" i="5"/>
  <c r="I407" i="3"/>
  <c r="A24" i="5"/>
  <c r="X310" i="3"/>
  <c r="E213" i="17"/>
  <c r="A58"/>
  <c r="A402" i="5"/>
  <c r="E393"/>
  <c r="G81" i="6"/>
  <c r="P60" i="5"/>
  <c r="C57" i="7"/>
  <c r="S260" i="5"/>
  <c r="C72" i="6"/>
  <c r="L51" i="5"/>
  <c r="C47" i="7"/>
  <c r="P381" i="5"/>
  <c r="A223"/>
  <c r="M173"/>
  <c r="C7" i="7"/>
  <c r="P375" i="5"/>
  <c r="A217"/>
  <c r="M167"/>
  <c r="C172"/>
  <c r="B46" i="4"/>
  <c r="O93" i="3"/>
  <c r="Z362"/>
  <c r="K28" i="5"/>
  <c r="J105" i="4"/>
  <c r="P319" i="3"/>
  <c r="R215"/>
  <c r="S28" i="5"/>
  <c r="B106" i="4"/>
  <c r="Z319" i="3"/>
  <c r="B216"/>
  <c r="K32" i="5"/>
  <c r="J110" i="4"/>
  <c r="R323" i="3"/>
  <c r="T219"/>
  <c r="S32" i="5"/>
  <c r="B111" i="4"/>
  <c r="B324" i="3"/>
  <c r="F220"/>
  <c r="G33" i="5"/>
  <c r="J111" i="4"/>
  <c r="N324" i="3"/>
  <c r="P220"/>
  <c r="S36" i="5"/>
  <c r="A116" i="4"/>
  <c r="F328" i="3"/>
  <c r="H224"/>
  <c r="C50"/>
  <c r="N362"/>
  <c r="D243" i="4"/>
  <c r="G71" i="3"/>
  <c r="C36"/>
  <c r="Y416"/>
  <c r="R392"/>
  <c r="D164" i="4"/>
  <c r="X33" i="3"/>
  <c r="F28"/>
  <c r="C261"/>
  <c r="C366"/>
  <c r="Z40"/>
  <c r="N274"/>
  <c r="E240"/>
  <c r="O47"/>
  <c r="G276"/>
  <c r="T19"/>
  <c r="Y288"/>
  <c r="K189"/>
  <c r="T83"/>
  <c r="C37"/>
  <c r="I351" i="4"/>
  <c r="O414" i="5"/>
  <c r="D407" i="4"/>
  <c r="A121" i="13"/>
  <c r="J177" i="6"/>
  <c r="K405" i="5"/>
  <c r="AH395" i="4"/>
  <c r="D334" i="6"/>
  <c r="S302" i="5"/>
  <c r="C114" i="6"/>
  <c r="L93" i="5"/>
  <c r="D286" i="6"/>
  <c r="S296" i="5"/>
  <c r="C108" i="6"/>
  <c r="L87" i="5"/>
  <c r="E59"/>
  <c r="AJ216" i="4"/>
  <c r="Q412" i="3"/>
  <c r="F352"/>
  <c r="AI367" i="4"/>
  <c r="AE39"/>
  <c r="K265" i="3"/>
  <c r="X204"/>
  <c r="G368" i="4"/>
  <c r="C40"/>
  <c r="U265" i="3"/>
  <c r="H205"/>
  <c r="AI372" i="4"/>
  <c r="J44"/>
  <c r="M269" i="3"/>
  <c r="Z208"/>
  <c r="G373" i="4"/>
  <c r="B45"/>
  <c r="W269" i="3"/>
  <c r="L209"/>
  <c r="AI373" i="4"/>
  <c r="J45"/>
  <c r="I270" i="3"/>
  <c r="V209"/>
  <c r="G378" i="4"/>
  <c r="A50"/>
  <c r="A274" i="3"/>
  <c r="N213"/>
  <c r="P75"/>
  <c r="K392"/>
  <c r="X47"/>
  <c r="Y266"/>
  <c r="V342"/>
  <c r="P222"/>
  <c r="C188" i="4"/>
  <c r="A204" i="3"/>
  <c r="H50"/>
  <c r="A235" i="17"/>
  <c r="F20" i="5"/>
  <c r="H595" i="17"/>
  <c r="E295" i="5"/>
  <c r="V355" i="3"/>
  <c r="G376" i="4"/>
  <c r="N307" i="3"/>
  <c r="B57" i="5"/>
  <c r="Y113" i="3"/>
  <c r="D508" i="17"/>
  <c r="B120"/>
  <c r="P193" i="6"/>
  <c r="T184"/>
  <c r="S106"/>
  <c r="H86" i="5"/>
  <c r="D139" i="7"/>
  <c r="K286" i="5"/>
  <c r="O97" i="6"/>
  <c r="D77" i="5"/>
  <c r="B218" i="7"/>
  <c r="H407" i="5"/>
  <c r="I313"/>
  <c r="E199"/>
  <c r="B178" i="7"/>
  <c r="H401" i="5"/>
  <c r="I265"/>
  <c r="E193"/>
  <c r="O197"/>
  <c r="AH77" i="4"/>
  <c r="R114" i="3"/>
  <c r="F389"/>
  <c r="C54" i="5"/>
  <c r="F137" i="4"/>
  <c r="V345" i="3"/>
  <c r="X241"/>
  <c r="K54" i="5"/>
  <c r="AH137" i="4"/>
  <c r="F346" i="3"/>
  <c r="J242"/>
  <c r="C58" i="5"/>
  <c r="E142" i="4"/>
  <c r="X349" i="3"/>
  <c r="B246"/>
  <c r="K58" i="5"/>
  <c r="AG142" i="4"/>
  <c r="J350" i="3"/>
  <c r="L246"/>
  <c r="S58" i="5"/>
  <c r="E143" i="4"/>
  <c r="T350" i="3"/>
  <c r="V246"/>
  <c r="K62" i="5"/>
  <c r="AG147" i="4"/>
  <c r="L354" i="3"/>
  <c r="N250"/>
  <c r="G103"/>
  <c r="T223"/>
  <c r="AF19" i="4"/>
  <c r="X190" i="3"/>
  <c r="E73"/>
  <c r="Q192"/>
  <c r="T184"/>
  <c r="J400" i="4"/>
  <c r="Y67" i="3"/>
  <c r="O100"/>
  <c r="G184" i="6"/>
  <c r="W208" i="3"/>
  <c r="J8"/>
  <c r="S116"/>
  <c r="D323"/>
  <c r="U113"/>
  <c r="N15"/>
  <c r="H75"/>
  <c r="O190"/>
  <c r="E396"/>
  <c r="K299"/>
  <c r="F288" i="4"/>
  <c r="O156" i="5"/>
  <c r="F27" i="6"/>
  <c r="O22" i="5"/>
  <c r="G31" i="13"/>
  <c r="B203" i="6"/>
  <c r="B18"/>
  <c r="K13" i="5"/>
  <c r="K334" i="6"/>
  <c r="K328" i="5"/>
  <c r="O139" i="6"/>
  <c r="D119" i="5"/>
  <c r="K286" i="6"/>
  <c r="K322" i="5"/>
  <c r="O133" i="6"/>
  <c r="D113" i="5"/>
  <c r="J230" i="4"/>
  <c r="D12"/>
  <c r="B213" i="3"/>
  <c r="L378"/>
  <c r="H399" i="4"/>
  <c r="F71"/>
  <c r="Q291" i="3"/>
  <c r="D231"/>
  <c r="AJ399" i="4"/>
  <c r="AG71"/>
  <c r="A292" i="3"/>
  <c r="P231"/>
  <c r="H404" i="4"/>
  <c r="E76"/>
  <c r="S295" i="3"/>
  <c r="H235"/>
  <c r="AI404" i="4"/>
  <c r="AG76"/>
  <c r="E296" i="3"/>
  <c r="R235"/>
  <c r="G405" i="4"/>
  <c r="E77"/>
  <c r="O296" i="3"/>
  <c r="B236"/>
  <c r="AI409" i="4"/>
  <c r="AF81"/>
  <c r="G300" i="3"/>
  <c r="T239"/>
  <c r="N153"/>
  <c r="D218" i="4"/>
  <c r="T117" i="3"/>
  <c r="Y371"/>
  <c r="B204"/>
  <c r="D380"/>
  <c r="AF204" i="4"/>
  <c r="P55" i="3"/>
  <c r="P103"/>
  <c r="A307" i="6"/>
  <c r="F148" i="5"/>
  <c r="C352" i="4"/>
  <c r="D10" i="6"/>
  <c r="W158" i="3"/>
  <c r="M193" i="5"/>
  <c r="O110" i="3"/>
  <c r="R44" i="6"/>
  <c r="C232" i="3"/>
  <c r="A277" i="17"/>
  <c r="C540"/>
  <c r="B58" i="7"/>
  <c r="E1"/>
  <c r="K132" i="6"/>
  <c r="T111" i="5"/>
  <c r="B142" i="7"/>
  <c r="C312" i="5"/>
  <c r="G123" i="6"/>
  <c r="P102" i="5"/>
  <c r="G240" i="6"/>
  <c r="G20"/>
  <c r="D249" i="5"/>
  <c r="Q224"/>
  <c r="G234" i="6"/>
  <c r="G14"/>
  <c r="D243" i="5"/>
  <c r="Q218"/>
  <c r="G223"/>
  <c r="I109" i="4"/>
  <c r="E137" i="3"/>
  <c r="L415"/>
  <c r="O79" i="5"/>
  <c r="AJ168" i="4"/>
  <c r="B372" i="3"/>
  <c r="F268"/>
  <c r="C80" i="5"/>
  <c r="H169" i="4"/>
  <c r="N372" i="3"/>
  <c r="P268"/>
  <c r="O83" i="5"/>
  <c r="AJ173" i="4"/>
  <c r="F376" i="3"/>
  <c r="H272"/>
  <c r="C84" i="5"/>
  <c r="H174" i="4"/>
  <c r="P376" i="3"/>
  <c r="R272"/>
  <c r="K84" i="5"/>
  <c r="AJ174" i="4"/>
  <c r="Z376" i="3"/>
  <c r="D273"/>
  <c r="C88" i="5"/>
  <c r="G179" i="4"/>
  <c r="R380" i="3"/>
  <c r="V276"/>
  <c r="G193"/>
  <c r="H66"/>
  <c r="I36" i="4"/>
  <c r="O240" i="3"/>
  <c r="K149"/>
  <c r="W144"/>
  <c r="Q392"/>
  <c r="L196" i="5"/>
  <c r="N140" i="3"/>
  <c r="M277"/>
  <c r="D281"/>
  <c r="O382"/>
  <c r="B8"/>
  <c r="AD127" i="4"/>
  <c r="G237"/>
  <c r="J53" i="3"/>
  <c r="J395"/>
  <c r="Q235"/>
  <c r="C168" i="4"/>
  <c r="I44" i="3"/>
  <c r="Y265"/>
  <c r="H409" i="4"/>
  <c r="C372"/>
  <c r="R52" i="6"/>
  <c r="G48" i="5"/>
  <c r="F90" i="13"/>
  <c r="N228" i="6"/>
  <c r="N43"/>
  <c r="C39" i="5"/>
  <c r="J346" i="6"/>
  <c r="C354" i="5"/>
  <c r="G165" i="6"/>
  <c r="P144" i="5"/>
  <c r="J298" i="6"/>
  <c r="C348" i="5"/>
  <c r="G159" i="6"/>
  <c r="P138" i="5"/>
  <c r="D59"/>
  <c r="A44" i="4"/>
  <c r="T232" i="3"/>
  <c r="R404"/>
  <c r="F17" i="5"/>
  <c r="AJ102" i="4"/>
  <c r="W317" i="3"/>
  <c r="L257"/>
  <c r="N17" i="5"/>
  <c r="H103" i="4"/>
  <c r="I318" i="3"/>
  <c r="V257"/>
  <c r="F23" i="5"/>
  <c r="AJ107" i="4"/>
  <c r="A322" i="3"/>
  <c r="N261"/>
  <c r="F25" i="5"/>
  <c r="H108" i="4"/>
  <c r="K322" i="3"/>
  <c r="X261"/>
  <c r="J26" i="5"/>
  <c r="AJ108" i="4"/>
  <c r="U322" i="3"/>
  <c r="J262"/>
  <c r="F41" i="5"/>
  <c r="H113" i="4"/>
  <c r="M326" i="3"/>
  <c r="B266"/>
  <c r="G251"/>
  <c r="AH236" i="4"/>
  <c r="A195" i="3"/>
  <c r="F17"/>
  <c r="D414"/>
  <c r="O222"/>
  <c r="G221" i="4"/>
  <c r="C348" i="3"/>
  <c r="P193"/>
  <c r="A320" i="6"/>
  <c r="G266" i="4"/>
  <c r="Q54" i="5"/>
  <c r="P163" i="6"/>
  <c r="A277" i="3"/>
  <c r="N226" i="5"/>
  <c r="S228" i="3"/>
  <c r="B25" i="6"/>
  <c r="G350" i="3"/>
  <c r="I332" i="17"/>
  <c r="A650"/>
  <c r="C60" i="7"/>
  <c r="D1"/>
  <c r="C158" i="6"/>
  <c r="L137" i="5"/>
  <c r="C144" i="7"/>
  <c r="O337" i="5"/>
  <c r="S148" i="6"/>
  <c r="H128" i="5"/>
  <c r="S265" i="6"/>
  <c r="S45"/>
  <c r="P274" i="5"/>
  <c r="Q327"/>
  <c r="S259" i="6"/>
  <c r="S39"/>
  <c r="P268" i="5"/>
  <c r="Q279"/>
  <c r="Q315"/>
  <c r="D141" i="4"/>
  <c r="R159" i="3"/>
  <c r="W107"/>
  <c r="G105" i="5"/>
  <c r="F200" i="4"/>
  <c r="J398" i="3"/>
  <c r="L294"/>
  <c r="O105" i="5"/>
  <c r="AH200" i="4"/>
  <c r="T398" i="3"/>
  <c r="V294"/>
  <c r="G109" i="5"/>
  <c r="F205" i="4"/>
  <c r="L402" i="3"/>
  <c r="N298"/>
  <c r="O109" i="5"/>
  <c r="AH205" i="4"/>
  <c r="V402" i="3"/>
  <c r="Z298"/>
  <c r="C110" i="5"/>
  <c r="F206" i="4"/>
  <c r="H403" i="3"/>
  <c r="J299"/>
  <c r="O113" i="5"/>
  <c r="AH210" i="4"/>
  <c r="Z406" i="3"/>
  <c r="B303"/>
  <c r="O297"/>
  <c r="H248"/>
  <c r="F53" i="4"/>
  <c r="H25" i="3"/>
  <c r="K246"/>
  <c r="D346"/>
  <c r="S191"/>
  <c r="K8" i="5"/>
  <c r="A236" i="3"/>
  <c r="E148"/>
  <c r="Q121"/>
  <c r="C302" i="4"/>
  <c r="V48" i="3"/>
  <c r="J102" i="6"/>
  <c r="G133" i="5"/>
  <c r="M189" i="3"/>
  <c r="Y119"/>
  <c r="N8"/>
  <c r="A49" i="6"/>
  <c r="Q299" i="3"/>
  <c r="A97" i="4"/>
  <c r="B11" i="3"/>
  <c r="J173" i="5"/>
  <c r="J78" i="6"/>
  <c r="S73" i="5"/>
  <c r="E67" i="13"/>
  <c r="F275" i="5"/>
  <c r="F69" i="6"/>
  <c r="O64" i="5"/>
  <c r="Q346" i="6"/>
  <c r="O379" i="5"/>
  <c r="S190" i="6"/>
  <c r="H170" i="5"/>
  <c r="Q298" i="6"/>
  <c r="O373" i="5"/>
  <c r="S184" i="6"/>
  <c r="H164" i="5"/>
  <c r="E251" i="4"/>
  <c r="AF75"/>
  <c r="L252" i="3"/>
  <c r="D64"/>
  <c r="N109" i="5"/>
  <c r="AF134" i="4"/>
  <c r="E344" i="3"/>
  <c r="R283"/>
  <c r="N111" i="5"/>
  <c r="D135" i="4"/>
  <c r="O344" i="3"/>
  <c r="B284"/>
  <c r="N125" i="5"/>
  <c r="AF139" i="4"/>
  <c r="G348" i="3"/>
  <c r="T287"/>
  <c r="N127" i="5"/>
  <c r="D140" i="4"/>
  <c r="Q348" i="3"/>
  <c r="F288"/>
  <c r="R128" i="5"/>
  <c r="AE140" i="4"/>
  <c r="C349" i="3"/>
  <c r="P288"/>
  <c r="N143" i="5"/>
  <c r="C145" i="4"/>
  <c r="U352" i="3"/>
  <c r="H292"/>
  <c r="O30"/>
  <c r="AH13" i="4"/>
  <c r="O389" i="3"/>
  <c r="L37"/>
  <c r="P228"/>
  <c r="C380"/>
  <c r="AE241" i="4"/>
  <c r="H21" i="3"/>
  <c r="A298"/>
  <c r="B83" i="12"/>
  <c r="A11" i="5"/>
  <c r="Q182"/>
  <c r="P288" i="6"/>
  <c r="E395" i="3"/>
  <c r="J214" i="6"/>
  <c r="W346" i="3"/>
  <c r="G244" i="6"/>
  <c r="H87" i="4"/>
  <c r="G333" i="17"/>
  <c r="C873"/>
  <c r="F414" i="6"/>
  <c r="Q314"/>
  <c r="O183"/>
  <c r="D163" i="5"/>
  <c r="B224" i="7"/>
  <c r="G363" i="5"/>
  <c r="K174" i="6"/>
  <c r="T153" i="5"/>
  <c r="K291" i="6"/>
  <c r="K71"/>
  <c r="H300" i="5"/>
  <c r="G245" i="4"/>
  <c r="K285" i="6"/>
  <c r="K65"/>
  <c r="H294" i="5"/>
  <c r="A238" i="4"/>
  <c r="AG264"/>
  <c r="AI172"/>
  <c r="E182" i="3"/>
  <c r="J130"/>
  <c r="S130" i="5"/>
  <c r="G233" i="4"/>
  <c r="W61" i="3"/>
  <c r="R320"/>
  <c r="G131" i="5"/>
  <c r="B234" i="4"/>
  <c r="E62" i="3"/>
  <c r="D321"/>
  <c r="S134" i="5"/>
  <c r="B240" i="4"/>
  <c r="Y64" i="3"/>
  <c r="V324"/>
  <c r="G135" i="5"/>
  <c r="AF240" i="4"/>
  <c r="G65" i="3"/>
  <c r="F325"/>
  <c r="O135" i="5"/>
  <c r="G241" i="4"/>
  <c r="O65" i="3"/>
  <c r="P325"/>
  <c r="G139" i="5"/>
  <c r="E247" i="4"/>
  <c r="I68" i="3"/>
  <c r="H329"/>
  <c r="Q402"/>
  <c r="G66"/>
  <c r="E290" i="4"/>
  <c r="K49" i="3"/>
  <c r="K351"/>
  <c r="J207"/>
  <c r="V400"/>
  <c r="G213" i="5"/>
  <c r="C341" i="3"/>
  <c r="W330"/>
  <c r="J135" i="4"/>
  <c r="B119" i="7"/>
  <c r="T176" i="3"/>
  <c r="R8"/>
  <c r="G49"/>
  <c r="I383"/>
  <c r="E85" i="4"/>
  <c r="C49" i="3"/>
  <c r="O33"/>
  <c r="L198"/>
  <c r="N105" i="5"/>
  <c r="A138" i="6"/>
  <c r="S120" i="5"/>
  <c r="J414" i="3"/>
  <c r="P262"/>
  <c r="J362" i="4"/>
  <c r="I259" i="3"/>
  <c r="C47" i="4"/>
  <c r="P171" i="3"/>
  <c r="F31" i="4"/>
  <c r="G409"/>
  <c r="E105" i="3"/>
  <c r="D119" i="4"/>
  <c r="L175" i="3"/>
  <c r="X79"/>
  <c r="E368"/>
  <c r="Q174"/>
  <c r="I11"/>
  <c r="Q414"/>
  <c r="O244"/>
  <c r="A94" i="12"/>
  <c r="H159" i="6"/>
  <c r="O103"/>
  <c r="D83" i="5"/>
  <c r="J407" i="6"/>
  <c r="G283" i="5"/>
  <c r="K94" i="6"/>
  <c r="T73" i="5"/>
  <c r="D196" i="7"/>
  <c r="D404" i="5"/>
  <c r="Q287"/>
  <c r="A196"/>
  <c r="D156" i="7"/>
  <c r="D398" i="5"/>
  <c r="R246"/>
  <c r="A190"/>
  <c r="K194"/>
  <c r="AH73" i="4"/>
  <c r="W111" i="3"/>
  <c r="X385"/>
  <c r="S50" i="5"/>
  <c r="F133" i="4"/>
  <c r="N342" i="3"/>
  <c r="R238"/>
  <c r="G51" i="5"/>
  <c r="AH133" i="4"/>
  <c r="Z342" i="3"/>
  <c r="B239"/>
  <c r="S54" i="5"/>
  <c r="F138" i="4"/>
  <c r="R346" i="3"/>
  <c r="T242"/>
  <c r="G55" i="5"/>
  <c r="AH138" i="4"/>
  <c r="B347" i="3"/>
  <c r="D243"/>
  <c r="O55" i="5"/>
  <c r="F139" i="4"/>
  <c r="L347" i="3"/>
  <c r="P243"/>
  <c r="G59" i="5"/>
  <c r="AG143" i="4"/>
  <c r="D351" i="3"/>
  <c r="H247"/>
  <c r="K93"/>
  <c r="N197"/>
  <c r="G224" i="4"/>
  <c r="J168" i="3"/>
  <c r="R66"/>
  <c r="Q147"/>
  <c r="F162"/>
  <c r="A369" i="4"/>
  <c r="L61" i="3"/>
  <c r="G53" i="7"/>
  <c r="G93" i="17"/>
  <c r="A378" i="5"/>
  <c r="E141" i="6"/>
  <c r="T358" i="3"/>
  <c r="AF94" i="4"/>
  <c r="J294" i="3"/>
  <c r="J38" i="4"/>
  <c r="F88" i="17"/>
  <c r="A104"/>
  <c r="A208" i="13"/>
  <c r="G404" i="5"/>
  <c r="T396"/>
  <c r="B242"/>
  <c r="Q188"/>
  <c r="C87" i="7"/>
  <c r="P387" i="5"/>
  <c r="A229"/>
  <c r="M179"/>
  <c r="H115" i="6"/>
  <c r="H96"/>
  <c r="AE338" i="4"/>
  <c r="J277"/>
  <c r="H109" i="6"/>
  <c r="H90"/>
  <c r="F331" i="4"/>
  <c r="C270"/>
  <c r="AF275"/>
  <c r="A172"/>
  <c r="V180" i="3"/>
  <c r="F93"/>
  <c r="P139" i="5"/>
  <c r="E232" i="4"/>
  <c r="R60" i="3"/>
  <c r="L150"/>
  <c r="D140" i="5"/>
  <c r="AI232" i="4"/>
  <c r="Z60" i="3"/>
  <c r="W151"/>
  <c r="P143" i="5"/>
  <c r="AI238" i="4"/>
  <c r="T63" i="3"/>
  <c r="N164"/>
  <c r="D144" i="5"/>
  <c r="J239" i="4"/>
  <c r="B64" i="3"/>
  <c r="X165"/>
  <c r="L144" i="5"/>
  <c r="D240" i="4"/>
  <c r="J64" i="3"/>
  <c r="I167"/>
  <c r="D148" i="5"/>
  <c r="B246" i="4"/>
  <c r="D67" i="3"/>
  <c r="Z179"/>
  <c r="X128"/>
  <c r="P146"/>
  <c r="C409"/>
  <c r="S262"/>
  <c r="C89"/>
  <c r="A14"/>
  <c r="Z25"/>
  <c r="Y326"/>
  <c r="AF119" i="4"/>
  <c r="U15" i="3"/>
  <c r="AI135" i="4"/>
  <c r="D176" i="3"/>
  <c r="AH381" i="4"/>
  <c r="U65" i="3"/>
  <c r="AH322" i="4"/>
  <c r="P233" i="3"/>
  <c r="C101"/>
  <c r="C275"/>
  <c r="O391"/>
  <c r="A120"/>
  <c r="F178" i="13"/>
  <c r="E309" i="3"/>
  <c r="A366" i="6"/>
  <c r="G129"/>
  <c r="P108" i="5"/>
  <c r="A408" i="6"/>
  <c r="S308" i="5"/>
  <c r="C120" i="6"/>
  <c r="J241"/>
  <c r="S221"/>
  <c r="G37"/>
  <c r="P16" i="5"/>
  <c r="J233" i="6"/>
  <c r="S215"/>
  <c r="G31"/>
  <c r="P10" i="5"/>
  <c r="B70"/>
  <c r="E122" i="4"/>
  <c r="W333" i="3"/>
  <c r="L273"/>
  <c r="C273" i="4"/>
  <c r="D181"/>
  <c r="E188" i="3"/>
  <c r="I136"/>
  <c r="AE273" i="4"/>
  <c r="AF181"/>
  <c r="N188" i="3"/>
  <c r="R136"/>
  <c r="C278" i="4"/>
  <c r="D186"/>
  <c r="R191" i="3"/>
  <c r="W139"/>
  <c r="AE278" i="4"/>
  <c r="AE186"/>
  <c r="A192" i="3"/>
  <c r="F140"/>
  <c r="C279" i="4"/>
  <c r="C187"/>
  <c r="J192" i="3"/>
  <c r="O140"/>
  <c r="AE283" i="4"/>
  <c r="J191"/>
  <c r="O195" i="3"/>
  <c r="S143"/>
  <c r="U372"/>
  <c r="X234"/>
  <c r="M156" i="5"/>
  <c r="E41" i="3"/>
  <c r="M405"/>
  <c r="T213"/>
  <c r="K366"/>
  <c r="T170" i="5"/>
  <c r="G129" i="3"/>
  <c r="B88" i="12"/>
  <c r="J414" i="4"/>
  <c r="P374" i="6"/>
  <c r="AE112" i="4"/>
  <c r="D180" i="7"/>
  <c r="AH34" i="4"/>
  <c r="U278" i="3"/>
  <c r="AI230" i="4"/>
  <c r="H67" i="20"/>
  <c r="I645" i="17"/>
  <c r="B173"/>
  <c r="G16"/>
  <c r="C30" i="6"/>
  <c r="L9" i="5"/>
  <c r="C260" i="7"/>
  <c r="A22" i="6"/>
  <c r="O16" i="5"/>
  <c r="T363" i="6"/>
  <c r="O122"/>
  <c r="L351" i="5"/>
  <c r="I122"/>
  <c r="O116" i="6"/>
  <c r="C305"/>
  <c r="B373" i="3"/>
  <c r="S393" i="5"/>
  <c r="AH108" i="4"/>
  <c r="F373" i="3"/>
  <c r="A59" i="4"/>
  <c r="P373" i="3"/>
  <c r="R265"/>
  <c r="K11" i="5"/>
  <c r="P271" i="3"/>
  <c r="I131" i="4"/>
  <c r="J239" i="3"/>
  <c r="F36" i="4"/>
  <c r="D45" i="3"/>
  <c r="D207"/>
  <c r="C76" i="4"/>
  <c r="A74" i="3"/>
  <c r="Q357" i="5"/>
  <c r="C215" i="3"/>
  <c r="R292"/>
  <c r="Q279"/>
  <c r="E228" i="6"/>
  <c r="M337" i="5"/>
  <c r="E319"/>
  <c r="B105" i="17"/>
  <c r="C30" i="15"/>
  <c r="Q340" i="5"/>
  <c r="I322"/>
  <c r="C112" i="17"/>
  <c r="B8" i="16"/>
  <c r="A344" i="5"/>
  <c r="M325"/>
  <c r="D119" i="17"/>
  <c r="B16" i="16"/>
  <c r="E347" i="5"/>
  <c r="Q328"/>
  <c r="E126" i="17"/>
  <c r="B24" i="16"/>
  <c r="I350" i="5"/>
  <c r="A332"/>
  <c r="G76" i="17"/>
  <c r="D14" i="14"/>
  <c r="H101" i="7"/>
  <c r="B224" i="20"/>
  <c r="I156" i="17"/>
  <c r="A10" i="15"/>
  <c r="H102" i="7"/>
  <c r="D8" i="17"/>
  <c r="A43" i="6"/>
  <c r="F254" i="5"/>
  <c r="M288"/>
  <c r="F215" i="13"/>
  <c r="Q33" i="6"/>
  <c r="B245" i="5"/>
  <c r="G236"/>
  <c r="E136" i="17"/>
  <c r="M24" i="6"/>
  <c r="J236"/>
  <c r="C227" i="5"/>
  <c r="F143" i="17"/>
  <c r="A25" i="6"/>
  <c r="E1" i="19"/>
  <c r="E108" i="24"/>
  <c r="E977" i="17"/>
  <c r="C14" i="16"/>
  <c r="F14" i="13"/>
  <c r="F27" i="9"/>
  <c r="F11" i="20"/>
  <c r="E5" i="14"/>
  <c r="G215" i="12"/>
  <c r="H284" i="7"/>
  <c r="A37" i="20"/>
  <c r="B163" i="17"/>
  <c r="F28" i="15"/>
  <c r="H109" i="7"/>
  <c r="A45" i="20"/>
  <c r="A164" i="17"/>
  <c r="B1" i="16"/>
  <c r="H110" i="7"/>
  <c r="C65" i="17"/>
  <c r="E46" i="6"/>
  <c r="J257" i="5"/>
  <c r="E314"/>
  <c r="C2" i="16"/>
  <c r="A37" i="6"/>
  <c r="F248" i="5"/>
  <c r="F247"/>
  <c r="D193" i="17"/>
  <c r="Q27" i="6"/>
  <c r="B239" i="5"/>
  <c r="G230"/>
  <c r="E200" i="17"/>
  <c r="E28" i="6"/>
  <c r="F22" i="13"/>
  <c r="H27" i="16"/>
  <c r="N260" i="5"/>
  <c r="F242"/>
  <c r="R245"/>
  <c r="N237"/>
  <c r="G150" i="17"/>
  <c r="I25" i="6"/>
  <c r="N239"/>
  <c r="S227" i="5"/>
  <c r="F1" i="11"/>
  <c r="R129" i="6"/>
  <c r="S357" i="5"/>
  <c r="F337" i="4"/>
  <c r="A42" i="12"/>
  <c r="R123" i="6"/>
  <c r="S351" i="5"/>
  <c r="AJ329" i="4"/>
  <c r="D365" i="5"/>
  <c r="A41" i="4"/>
  <c r="Z377" i="3"/>
  <c r="T202"/>
  <c r="K27" i="5"/>
  <c r="AI99" i="4"/>
  <c r="N267" i="3"/>
  <c r="F79"/>
  <c r="O30" i="5"/>
  <c r="G100" i="4"/>
  <c r="V267" i="3"/>
  <c r="N79"/>
  <c r="K59" i="5"/>
  <c r="AI104" i="4"/>
  <c r="P270" i="3"/>
  <c r="H82"/>
  <c r="O62" i="5"/>
  <c r="G105" i="4"/>
  <c r="X270" i="3"/>
  <c r="P82"/>
  <c r="S65" i="5"/>
  <c r="AI105" i="4"/>
  <c r="F271" i="3"/>
  <c r="X82"/>
  <c r="O94" i="5"/>
  <c r="G110" i="4"/>
  <c r="Z273" i="3"/>
  <c r="R85"/>
  <c r="H376"/>
  <c r="D206" i="5"/>
  <c r="T144" i="3"/>
  <c r="V43"/>
  <c r="I343"/>
  <c r="J139" i="4"/>
  <c r="T183" i="5"/>
  <c r="W25" i="3"/>
  <c r="I322"/>
  <c r="B59" i="13"/>
  <c r="K395" i="5"/>
  <c r="O224"/>
  <c r="E8" i="15"/>
  <c r="I193" i="4"/>
  <c r="N316" i="3"/>
  <c r="AF117" i="4"/>
  <c r="T266" i="3"/>
  <c r="B28" i="4"/>
  <c r="B45" i="7"/>
  <c r="E301" i="6"/>
  <c r="Q413" i="5"/>
  <c r="M266"/>
  <c r="S401"/>
  <c r="G391" i="4"/>
  <c r="H21" i="12"/>
  <c r="N164" i="6"/>
  <c r="O392" i="5"/>
  <c r="B380" i="4"/>
  <c r="P231" i="6"/>
  <c r="C290" i="5"/>
  <c r="G101" i="6"/>
  <c r="P80" i="5"/>
  <c r="D11" i="7"/>
  <c r="C284" i="5"/>
  <c r="G95" i="6"/>
  <c r="P74" i="5"/>
  <c r="H357" i="4"/>
  <c r="D201"/>
  <c r="O399" i="3"/>
  <c r="B339"/>
  <c r="D352" i="4"/>
  <c r="AF23"/>
  <c r="G252" i="3"/>
  <c r="P192"/>
  <c r="AE352" i="4"/>
  <c r="D24"/>
  <c r="Q252" i="3"/>
  <c r="Y192"/>
  <c r="A357" i="4"/>
  <c r="AF28"/>
  <c r="I256" i="3"/>
  <c r="D196"/>
  <c r="I357" i="4"/>
  <c r="D29"/>
  <c r="U256" i="3"/>
  <c r="M196"/>
  <c r="A358" i="4"/>
  <c r="AF29"/>
  <c r="E257" i="3"/>
  <c r="V196"/>
  <c r="H362" i="4"/>
  <c r="C34"/>
  <c r="W260" i="3"/>
  <c r="J200"/>
  <c r="Y51"/>
  <c r="Q313"/>
  <c r="C87" i="12"/>
  <c r="K214" i="3"/>
  <c r="V237"/>
  <c r="Q346"/>
  <c r="H61" i="4"/>
  <c r="E350" i="3"/>
  <c r="W35"/>
  <c r="H389" i="17"/>
  <c r="D404" i="4"/>
  <c r="A327" i="5"/>
  <c r="J134"/>
  <c r="AF178" i="4"/>
  <c r="M140" i="3"/>
  <c r="AE22" i="4"/>
  <c r="F214" i="3"/>
  <c r="AI44" i="4"/>
  <c r="D215" i="7"/>
  <c r="Q326" i="6"/>
  <c r="H279" i="4"/>
  <c r="AF256"/>
  <c r="C405" i="5"/>
  <c r="F395" i="4"/>
  <c r="A105" i="12"/>
  <c r="R167" i="6"/>
  <c r="S395" i="5"/>
  <c r="A384" i="4"/>
  <c r="H257" i="6"/>
  <c r="G293" i="5"/>
  <c r="K104" i="6"/>
  <c r="T83" i="5"/>
  <c r="C182" i="7"/>
  <c r="G287" i="5"/>
  <c r="K98" i="6"/>
  <c r="T77" i="5"/>
  <c r="A389" i="4"/>
  <c r="D205"/>
  <c r="U402" i="3"/>
  <c r="J342"/>
  <c r="C81" i="23"/>
  <c r="I802" i="17"/>
  <c r="E10" i="28"/>
  <c r="P289" i="6"/>
  <c r="C224" i="20"/>
  <c r="L318" i="6"/>
  <c r="C288" i="20"/>
  <c r="P321" i="6"/>
  <c r="B203" i="23"/>
  <c r="T324" i="6"/>
  <c r="C98" i="23"/>
  <c r="D204" i="13"/>
  <c r="D30"/>
  <c r="D101" i="6"/>
  <c r="H203" i="23"/>
  <c r="H215" i="13"/>
  <c r="D38"/>
  <c r="H104" i="6"/>
  <c r="A402" i="17"/>
  <c r="H231" i="13"/>
  <c r="D46"/>
  <c r="L107" i="6"/>
  <c r="B858" i="17"/>
  <c r="B6" i="15"/>
  <c r="D54" i="13"/>
  <c r="P110" i="6"/>
  <c r="B440" i="17"/>
  <c r="F27" i="15"/>
  <c r="D62" i="13"/>
  <c r="T113" i="6"/>
  <c r="D116" i="20"/>
  <c r="D180" i="13"/>
  <c r="E162" i="7"/>
  <c r="D282" i="6"/>
  <c r="F522" i="17"/>
  <c r="D197" i="12"/>
  <c r="E163" i="7"/>
  <c r="L282" i="6"/>
  <c r="H270"/>
  <c r="D258" i="5"/>
  <c r="I99"/>
  <c r="A50"/>
  <c r="D261" i="6"/>
  <c r="T248" i="5"/>
  <c r="E90"/>
  <c r="Q40"/>
  <c r="T251" i="6"/>
  <c r="P239" i="5"/>
  <c r="A81"/>
  <c r="M31"/>
  <c r="H252" i="6"/>
  <c r="E778" i="17"/>
  <c r="C32"/>
  <c r="B150" i="7"/>
  <c r="C452" i="17"/>
  <c r="C178" i="13"/>
  <c r="A34" i="9"/>
  <c r="I398" i="6"/>
  <c r="D403" i="17"/>
  <c r="C123" i="13"/>
  <c r="C33" i="9"/>
  <c r="H355" i="6"/>
  <c r="F629" i="17"/>
  <c r="D204" i="12"/>
  <c r="E170" i="7"/>
  <c r="H285" i="6"/>
  <c r="A658" i="17"/>
  <c r="D205" i="12"/>
  <c r="E171" i="7"/>
  <c r="P285" i="6"/>
  <c r="L273"/>
  <c r="H261" i="5"/>
  <c r="M102"/>
  <c r="E53"/>
  <c r="H264" i="6"/>
  <c r="D252" i="5"/>
  <c r="I93"/>
  <c r="A44"/>
  <c r="D255" i="6"/>
  <c r="T242" i="5"/>
  <c r="E84"/>
  <c r="Q34"/>
  <c r="L255" i="6"/>
  <c r="G24" i="7"/>
  <c r="G291"/>
  <c r="G117"/>
  <c r="N54" i="5"/>
  <c r="P249"/>
  <c r="A91"/>
  <c r="M41"/>
  <c r="P252" i="6"/>
  <c r="L240" i="5"/>
  <c r="Q81"/>
  <c r="I32"/>
  <c r="E381"/>
  <c r="A176" i="6"/>
  <c r="J187" i="5"/>
  <c r="N137"/>
  <c r="E375"/>
  <c r="A170" i="6"/>
  <c r="J181" i="5"/>
  <c r="N131"/>
  <c r="D136"/>
  <c r="AE226" i="4"/>
  <c r="X57" i="3"/>
  <c r="B235" i="17"/>
  <c r="J401" i="4"/>
  <c r="E49"/>
  <c r="S291" i="3"/>
  <c r="F725" i="17"/>
  <c r="B402" i="4"/>
  <c r="AG49"/>
  <c r="E292" i="3"/>
  <c r="C16" i="15"/>
  <c r="I406" i="4"/>
  <c r="E54"/>
  <c r="W295" i="3"/>
  <c r="B50" i="16"/>
  <c r="A407" i="4"/>
  <c r="AG54"/>
  <c r="G296" i="3"/>
  <c r="B114" i="16"/>
  <c r="I407" i="4"/>
  <c r="E55"/>
  <c r="Q296" i="3"/>
  <c r="A121" i="17"/>
  <c r="AJ411" i="4"/>
  <c r="AE59"/>
  <c r="I300" i="3"/>
  <c r="H276" i="6"/>
  <c r="E164" i="3"/>
  <c r="K183"/>
  <c r="V365"/>
  <c r="P159"/>
  <c r="Q110"/>
  <c r="B22"/>
  <c r="A34"/>
  <c r="L343"/>
  <c r="I20" i="4"/>
  <c r="R233" i="5"/>
  <c r="J209" i="6"/>
  <c r="F95"/>
  <c r="G294" i="4"/>
  <c r="H34"/>
  <c r="W393" i="3"/>
  <c r="P121" i="5"/>
  <c r="D47" i="3"/>
  <c r="E907" i="17"/>
  <c r="D301"/>
  <c r="A4" i="15"/>
  <c r="F115" i="12"/>
  <c r="A220" i="6"/>
  <c r="J231" i="5"/>
  <c r="N181"/>
  <c r="A416"/>
  <c r="Q210" i="6"/>
  <c r="F222" i="5"/>
  <c r="A675" i="17"/>
  <c r="A125" i="6"/>
  <c r="F336" i="5"/>
  <c r="G330" i="4"/>
  <c r="B477" i="17"/>
  <c r="A119" i="6"/>
  <c r="F330" i="5"/>
  <c r="A323" i="4"/>
  <c r="M407" i="6"/>
  <c r="AH266" i="4"/>
  <c r="S360" i="3"/>
  <c r="H182"/>
  <c r="R37" i="6"/>
  <c r="AG105" i="4"/>
  <c r="G250" i="3"/>
  <c r="Y61"/>
  <c r="B41" i="6"/>
  <c r="E106" i="4"/>
  <c r="O250" i="3"/>
  <c r="G62"/>
  <c r="R69" i="6"/>
  <c r="AG110" i="4"/>
  <c r="I253" i="3"/>
  <c r="A65"/>
  <c r="B73" i="6"/>
  <c r="E111" i="4"/>
  <c r="Q253" i="3"/>
  <c r="I65"/>
  <c r="F76" i="6"/>
  <c r="AG111" i="4"/>
  <c r="Y253" i="3"/>
  <c r="Q65"/>
  <c r="B105" i="6"/>
  <c r="D116" i="4"/>
  <c r="S256" i="3"/>
  <c r="K68"/>
  <c r="J28" i="4"/>
  <c r="X34" i="3"/>
  <c r="E9"/>
  <c r="W257"/>
  <c r="Q363" i="5"/>
  <c r="J54" i="3"/>
  <c r="H123"/>
  <c r="H179"/>
  <c r="A47"/>
  <c r="F68"/>
  <c r="S207" i="5"/>
  <c r="C183" i="6"/>
  <c r="E19"/>
  <c r="C59" i="5"/>
  <c r="AG239" i="4"/>
  <c r="F218" i="3"/>
  <c r="L70" i="5"/>
  <c r="Q196" i="3"/>
  <c r="A910" i="17"/>
  <c r="I633"/>
  <c r="B76"/>
  <c r="E175" i="12"/>
  <c r="E223" i="6"/>
  <c r="N234" i="5"/>
  <c r="R184"/>
  <c r="D6" i="6"/>
  <c r="A214"/>
  <c r="J225" i="5"/>
  <c r="F902" i="17"/>
  <c r="E128" i="6"/>
  <c r="J339" i="5"/>
  <c r="F334" i="4"/>
  <c r="A534" i="17"/>
  <c r="E122" i="6"/>
  <c r="J333" i="5"/>
  <c r="A327" i="4"/>
  <c r="B138" i="7"/>
  <c r="AH270" i="4"/>
  <c r="E363" i="3"/>
  <c r="C185"/>
  <c r="B59" i="23"/>
  <c r="F31" i="20"/>
  <c r="E522" i="17"/>
  <c r="H294"/>
  <c r="G685"/>
  <c r="H358"/>
  <c r="C968"/>
  <c r="I365"/>
  <c r="B71" i="20"/>
  <c r="A373" i="17"/>
  <c r="E16" i="24"/>
  <c r="B63" i="12"/>
  <c r="C2" i="9"/>
  <c r="E160" i="5"/>
  <c r="Q141"/>
  <c r="A76" i="12"/>
  <c r="C10" i="9"/>
  <c r="I163" i="5"/>
  <c r="A145"/>
  <c r="G88" i="12"/>
  <c r="C18" i="9"/>
  <c r="M166" i="5"/>
  <c r="E148"/>
  <c r="E101" i="12"/>
  <c r="C26" i="9"/>
  <c r="Q169" i="5"/>
  <c r="I151"/>
  <c r="D114" i="12"/>
  <c r="C34" i="9"/>
  <c r="A173" i="5"/>
  <c r="M154"/>
  <c r="G35" i="12"/>
  <c r="E114"/>
  <c r="I320" i="6"/>
  <c r="D392" i="17"/>
  <c r="A30"/>
  <c r="B116" i="12"/>
  <c r="Q320" i="6"/>
  <c r="N389"/>
  <c r="N76"/>
  <c r="O304" i="5"/>
  <c r="I271" i="4"/>
  <c r="F261" i="7"/>
  <c r="J67" i="6"/>
  <c r="K295" i="5"/>
  <c r="C260" i="4"/>
  <c r="F77" i="7"/>
  <c r="F58" i="6"/>
  <c r="G286" i="5"/>
  <c r="AH248" i="4"/>
  <c r="F85" i="7"/>
  <c r="N58" i="6"/>
  <c r="D184" i="13"/>
  <c r="D42"/>
  <c r="C752" i="17"/>
  <c r="C253"/>
  <c r="A173" i="13"/>
  <c r="C194" i="7"/>
  <c r="G556" i="17"/>
  <c r="H191"/>
  <c r="A118" i="13"/>
  <c r="D47" i="7"/>
  <c r="F398" i="17"/>
  <c r="C36"/>
  <c r="B135" i="12"/>
  <c r="M323" i="6"/>
  <c r="E399" i="17"/>
  <c r="B37"/>
  <c r="B139" i="12"/>
  <c r="A324" i="6"/>
  <c r="F415"/>
  <c r="R79"/>
  <c r="S307" i="5"/>
  <c r="H275" i="4"/>
  <c r="D13" i="9"/>
  <c r="N70" i="6"/>
  <c r="O298" i="5"/>
  <c r="B264" i="4"/>
  <c r="F141" i="7"/>
  <c r="J61" i="6"/>
  <c r="K289" i="5"/>
  <c r="AG252" i="4"/>
  <c r="F149" i="7"/>
  <c r="R61" i="6"/>
  <c r="M354"/>
  <c r="M262"/>
  <c r="R218" i="5"/>
  <c r="J200"/>
  <c r="G296"/>
  <c r="B261" i="4"/>
  <c r="F93" i="7"/>
  <c r="B59" i="6"/>
  <c r="C287" i="5"/>
  <c r="AH249" i="4"/>
  <c r="C92" i="7"/>
  <c r="G180" i="6"/>
  <c r="D409" i="5"/>
  <c r="AE379" i="4"/>
  <c r="C52" i="7"/>
  <c r="G174" i="6"/>
  <c r="D403" i="5"/>
  <c r="E372" i="4"/>
  <c r="AJ398"/>
  <c r="AH70"/>
  <c r="G291" i="3"/>
  <c r="T230"/>
  <c r="B248" i="5"/>
  <c r="AG129" i="4"/>
  <c r="P151" i="3"/>
  <c r="F100"/>
  <c r="N249" i="5"/>
  <c r="E130" i="4"/>
  <c r="Y151" i="3"/>
  <c r="N100"/>
  <c r="E274" i="5"/>
  <c r="AG134" i="4"/>
  <c r="C155" i="3"/>
  <c r="H103"/>
  <c r="I277" i="5"/>
  <c r="E135" i="4"/>
  <c r="L155" i="3"/>
  <c r="Q103"/>
  <c r="M280" i="5"/>
  <c r="AG135" i="4"/>
  <c r="V155" i="3"/>
  <c r="Z103"/>
  <c r="I309" i="5"/>
  <c r="E140" i="4"/>
  <c r="Z158" i="3"/>
  <c r="D107"/>
  <c r="C202"/>
  <c r="V136"/>
  <c r="J394" i="4"/>
  <c r="O7" i="3"/>
  <c r="T157"/>
  <c r="I284"/>
  <c r="S244"/>
  <c r="H23" i="6"/>
  <c r="C150" i="3"/>
  <c r="B226" i="13"/>
  <c r="I236" i="4"/>
  <c r="T380" i="6"/>
  <c r="J69"/>
  <c r="B260" i="3"/>
  <c r="C32" i="5"/>
  <c r="O223" i="3"/>
  <c r="C62" i="5"/>
  <c r="R133" i="3"/>
  <c r="C31" i="16"/>
  <c r="I233" i="17"/>
  <c r="Q65" i="6"/>
  <c r="A57"/>
  <c r="O39"/>
  <c r="D19" i="5"/>
  <c r="N232" i="6"/>
  <c r="C215"/>
  <c r="K30"/>
  <c r="T9" i="5"/>
  <c r="H352" i="6"/>
  <c r="D340" i="5"/>
  <c r="I181"/>
  <c r="A132"/>
  <c r="H346" i="6"/>
  <c r="D334" i="5"/>
  <c r="I175"/>
  <c r="A126"/>
  <c r="K130"/>
  <c r="AF232" i="4"/>
  <c r="O61" i="3"/>
  <c r="H320"/>
  <c r="AD394" i="4"/>
  <c r="C54"/>
  <c r="X276" i="3"/>
  <c r="N176"/>
  <c r="B395" i="4"/>
  <c r="AE54"/>
  <c r="H277" i="3"/>
  <c r="W176"/>
  <c r="I399" i="4"/>
  <c r="B59"/>
  <c r="Z280" i="3"/>
  <c r="A180"/>
  <c r="A400" i="4"/>
  <c r="J59"/>
  <c r="L281" i="3"/>
  <c r="J180"/>
  <c r="I400" i="4"/>
  <c r="A60"/>
  <c r="V281" i="3"/>
  <c r="T180"/>
  <c r="AJ404" i="4"/>
  <c r="H64"/>
  <c r="N285" i="3"/>
  <c r="X183"/>
  <c r="L13"/>
  <c r="N53"/>
  <c r="AJ64" i="4"/>
  <c r="Y414" i="3"/>
  <c r="O407"/>
  <c r="D159"/>
  <c r="D76"/>
  <c r="F225" i="4"/>
  <c r="T48" i="6"/>
  <c r="D728" i="17"/>
  <c r="A64" i="5"/>
  <c r="C198" i="13"/>
  <c r="I61" i="6"/>
  <c r="A96" i="3"/>
  <c r="A237" i="5"/>
  <c r="U129" i="3"/>
  <c r="G255" i="4"/>
  <c r="O280" i="3"/>
  <c r="C95" i="16"/>
  <c r="B697" i="17"/>
  <c r="I91" i="6"/>
  <c r="M82"/>
  <c r="S42"/>
  <c r="H22" i="5"/>
  <c r="N236" i="6"/>
  <c r="G218"/>
  <c r="O33"/>
  <c r="D13" i="5"/>
  <c r="L355" i="6"/>
  <c r="H343" i="5"/>
  <c r="M184"/>
  <c r="E135"/>
  <c r="L349" i="6"/>
  <c r="H337" i="5"/>
  <c r="M178"/>
  <c r="E129"/>
  <c r="O133"/>
  <c r="B238" i="4"/>
  <c r="A64" i="3"/>
  <c r="P323"/>
  <c r="B69" i="20"/>
  <c r="A90" i="12"/>
  <c r="F110" i="20"/>
  <c r="F351" i="17"/>
  <c r="E176" i="20"/>
  <c r="F415" i="17"/>
  <c r="E240" i="20"/>
  <c r="G422" i="17"/>
  <c r="B8" i="23"/>
  <c r="H429" i="17"/>
  <c r="O251" i="6"/>
  <c r="E1" i="12"/>
  <c r="G11" i="10"/>
  <c r="P330" i="5"/>
  <c r="G277" i="6"/>
  <c r="D9" i="12"/>
  <c r="F5" i="11"/>
  <c r="T333" i="5"/>
  <c r="S302" i="6"/>
  <c r="D17" i="12"/>
  <c r="E8"/>
  <c r="D337" i="5"/>
  <c r="K328" i="6"/>
  <c r="D25" i="12"/>
  <c r="E16"/>
  <c r="H340" i="5"/>
  <c r="C354" i="6"/>
  <c r="D33" i="12"/>
  <c r="E24"/>
  <c r="L343" i="5"/>
  <c r="I402" i="6"/>
  <c r="H100" i="13"/>
  <c r="A1" i="8"/>
  <c r="G108" i="5"/>
  <c r="D387" i="17"/>
  <c r="E402" i="6"/>
  <c r="H9" i="8"/>
  <c r="K111" i="5"/>
  <c r="E114" i="7"/>
  <c r="S99" i="5"/>
  <c r="L199"/>
  <c r="T319" i="3"/>
  <c r="X323"/>
  <c r="R324"/>
  <c r="Q98"/>
  <c r="J351" i="4"/>
  <c r="R275" i="6"/>
  <c r="M250" i="5"/>
  <c r="AE344" i="4"/>
  <c r="H409" i="3"/>
  <c r="L413"/>
  <c r="F414"/>
  <c r="M334"/>
  <c r="D157" i="5"/>
  <c r="J301" i="6"/>
  <c r="A273" i="5"/>
  <c r="J348" i="4"/>
  <c r="B293"/>
  <c r="AG200"/>
  <c r="A203" i="3"/>
  <c r="K150"/>
  <c r="J293" i="4"/>
  <c r="E201"/>
  <c r="K203" i="3"/>
  <c r="T150"/>
  <c r="B298" i="4"/>
  <c r="AG205"/>
  <c r="C207" i="3"/>
  <c r="X153"/>
  <c r="J298" i="4"/>
  <c r="E206"/>
  <c r="O207" i="3"/>
  <c r="H154"/>
  <c r="A299" i="4"/>
  <c r="AG206"/>
  <c r="Y207" i="3"/>
  <c r="Q154"/>
  <c r="I303" i="4"/>
  <c r="E211"/>
  <c r="Q211" i="3"/>
  <c r="U157"/>
  <c r="R9"/>
  <c r="J333"/>
  <c r="B337" i="5"/>
  <c r="W63" i="3"/>
  <c r="K66"/>
  <c r="Z344"/>
  <c r="J60" i="4"/>
  <c r="G140" i="3"/>
  <c r="M378"/>
  <c r="J320" i="4"/>
  <c r="O319" i="5"/>
  <c r="Y271" i="3"/>
  <c r="Q353" i="5"/>
  <c r="S197" i="3"/>
  <c r="AG169" i="4"/>
  <c r="G2" i="8"/>
  <c r="AF312" i="4"/>
  <c r="B126" i="7"/>
  <c r="D402" i="6"/>
  <c r="G10" i="8"/>
  <c r="J316" i="4"/>
  <c r="D148" i="12"/>
  <c r="E302" i="4"/>
  <c r="C11" i="5"/>
  <c r="H143" i="3"/>
  <c r="U146"/>
  <c r="N147"/>
  <c r="I276"/>
  <c r="R215" i="5"/>
  <c r="G180" i="7"/>
  <c r="S51" i="5"/>
  <c r="L151"/>
  <c r="N270" i="3"/>
  <c r="R274"/>
  <c r="L275"/>
  <c r="B27"/>
  <c r="F190" i="5"/>
  <c r="G244" i="7"/>
  <c r="C55" i="5"/>
  <c r="P154"/>
  <c r="AG324" i="4"/>
  <c r="AJ233"/>
  <c r="G229" i="3"/>
  <c r="X172"/>
  <c r="E325" i="4"/>
  <c r="AE234"/>
  <c r="S229" i="3"/>
  <c r="G173"/>
  <c r="AE329" i="4"/>
  <c r="AE240"/>
  <c r="K233" i="3"/>
  <c r="L176"/>
  <c r="C330" i="4"/>
  <c r="F241"/>
  <c r="U233" i="3"/>
  <c r="U176"/>
  <c r="AE330" i="4"/>
  <c r="AI241"/>
  <c r="E234" i="3"/>
  <c r="D177"/>
  <c r="B335" i="4"/>
  <c r="AH247"/>
  <c r="W237" i="3"/>
  <c r="H180"/>
  <c r="J29"/>
  <c r="U175"/>
  <c r="Q125" i="6"/>
  <c r="F133" i="3"/>
  <c r="D78"/>
  <c r="T167"/>
  <c r="AI76" i="4"/>
  <c r="C247" i="3"/>
  <c r="L18"/>
  <c r="N122" i="5"/>
  <c r="O330" i="6"/>
  <c r="J245" i="3"/>
  <c r="B244" i="5"/>
  <c r="G355" i="3"/>
  <c r="C123" i="4"/>
  <c r="G1" i="8"/>
  <c r="B125" i="5"/>
  <c r="H37" i="9"/>
  <c r="O401" i="6"/>
  <c r="F9" i="8"/>
  <c r="F128" i="5"/>
  <c r="F240" i="17"/>
  <c r="N116" i="5"/>
  <c r="S215"/>
  <c r="H344" i="3"/>
  <c r="J348"/>
  <c r="F349"/>
  <c r="W15"/>
  <c r="N75" i="6"/>
  <c r="F89" i="12"/>
  <c r="E378" i="5"/>
  <c r="D365" i="4"/>
  <c r="J101" i="3"/>
  <c r="P104"/>
  <c r="H105"/>
  <c r="E97"/>
  <c r="K126" i="6"/>
  <c r="F153" i="12"/>
  <c r="Q403" i="5"/>
  <c r="D369" i="4"/>
  <c r="A356"/>
  <c r="AF27"/>
  <c r="O255" i="3"/>
  <c r="K195"/>
  <c r="I356" i="4"/>
  <c r="D28"/>
  <c r="Y255" i="3"/>
  <c r="T195"/>
  <c r="AJ360" i="4"/>
  <c r="AE32"/>
  <c r="Q259" i="3"/>
  <c r="D199"/>
  <c r="H361" i="4"/>
  <c r="C33"/>
  <c r="A260" i="3"/>
  <c r="P199"/>
  <c r="AJ361" i="4"/>
  <c r="AE33"/>
  <c r="M260" i="3"/>
  <c r="Z199"/>
  <c r="G366" i="4"/>
  <c r="C38"/>
  <c r="E264" i="3"/>
  <c r="R203"/>
  <c r="F56"/>
  <c r="I333"/>
  <c r="I731" i="17"/>
  <c r="O227" i="3"/>
  <c r="B264"/>
  <c r="W372"/>
  <c r="D93" i="4"/>
  <c r="P15" i="3"/>
  <c r="C39"/>
  <c r="P318" i="5"/>
  <c r="R102"/>
  <c r="F383" i="3"/>
  <c r="O246" i="5"/>
  <c r="L268" i="3"/>
  <c r="A140" i="4"/>
  <c r="F292" i="7"/>
  <c r="AG332" i="4"/>
  <c r="H45" i="16"/>
  <c r="F401" i="6"/>
  <c r="E8" i="8"/>
  <c r="AF336" i="4"/>
  <c r="T332" i="6"/>
  <c r="H322" i="4"/>
  <c r="R27" i="5"/>
  <c r="G143" i="3"/>
  <c r="T146"/>
  <c r="L147"/>
  <c r="E64"/>
  <c r="P339" i="5"/>
  <c r="F232" i="17"/>
  <c r="N68" i="5"/>
  <c r="S167"/>
  <c r="B295" i="3"/>
  <c r="D299"/>
  <c r="Z299"/>
  <c r="Q274"/>
  <c r="E153" i="6"/>
  <c r="B665" i="17"/>
  <c r="R71" i="5"/>
  <c r="C171"/>
  <c r="AD387" i="4"/>
  <c r="H59"/>
  <c r="U281" i="3"/>
  <c r="H221"/>
  <c r="B388" i="4"/>
  <c r="AI59"/>
  <c r="E282" i="3"/>
  <c r="T221"/>
  <c r="J392" i="4"/>
  <c r="F64"/>
  <c r="W285" i="3"/>
  <c r="L225"/>
  <c r="B393" i="4"/>
  <c r="AH64"/>
  <c r="I286" i="3"/>
  <c r="V225"/>
  <c r="J393" i="4"/>
  <c r="F65"/>
  <c r="S286" i="3"/>
  <c r="F226"/>
  <c r="A398" i="4"/>
  <c r="AH69"/>
  <c r="K290" i="3"/>
  <c r="X229"/>
  <c r="T119"/>
  <c r="I123" i="4"/>
  <c r="C19" i="3"/>
  <c r="O332"/>
  <c r="Q135"/>
  <c r="B321"/>
  <c r="AJ109" i="4"/>
  <c r="O213" i="3"/>
  <c r="H79"/>
  <c r="N161" i="6"/>
  <c r="AJ305" i="4"/>
  <c r="G186" i="3"/>
  <c r="S17" i="6"/>
  <c r="P386" i="3"/>
  <c r="J313" i="4"/>
  <c r="E291" i="7"/>
  <c r="I141" i="5"/>
  <c r="E514" i="17"/>
  <c r="H40" i="9"/>
  <c r="D7" i="8"/>
  <c r="M144" i="5"/>
  <c r="E289" i="7"/>
  <c r="A133" i="5"/>
  <c r="N232"/>
  <c r="G344" i="3"/>
  <c r="I348"/>
  <c r="E349"/>
  <c r="T68"/>
  <c r="N409" i="5"/>
  <c r="R345" i="6"/>
  <c r="AJ262" i="4"/>
  <c r="AI385"/>
  <c r="I101" i="3"/>
  <c r="O104"/>
  <c r="G105"/>
  <c r="F15"/>
  <c r="O417" i="5"/>
  <c r="O386" i="6"/>
  <c r="AI266" i="4"/>
  <c r="AH389"/>
  <c r="R6" i="5"/>
  <c r="C91" i="4"/>
  <c r="A308" i="3"/>
  <c r="P247"/>
  <c r="F7" i="5"/>
  <c r="AE91" i="4"/>
  <c r="M308" i="3"/>
  <c r="Z247"/>
  <c r="R10" i="5"/>
  <c r="C96" i="4"/>
  <c r="E312" i="3"/>
  <c r="R251"/>
  <c r="F11" i="5"/>
  <c r="AD96" i="4"/>
  <c r="O312" i="3"/>
  <c r="B252"/>
  <c r="N11" i="5"/>
  <c r="B97" i="4"/>
  <c r="Y312" i="3"/>
  <c r="N252"/>
  <c r="N15" i="5"/>
  <c r="H101" i="4"/>
  <c r="Q316" i="3"/>
  <c r="F256"/>
  <c r="W211"/>
  <c r="AI139" i="4"/>
  <c r="P28" i="3"/>
  <c r="V9"/>
  <c r="J335"/>
  <c r="M163"/>
  <c r="AF126" i="4"/>
  <c r="T241" i="3"/>
  <c r="W159"/>
  <c r="L191" i="6"/>
  <c r="E145" i="5"/>
  <c r="K304" i="3"/>
  <c r="D36" i="6"/>
  <c r="I209" i="3"/>
  <c r="L74" i="5"/>
  <c r="H109" i="13"/>
  <c r="D321" i="5"/>
  <c r="C123" i="7"/>
  <c r="H164" i="13"/>
  <c r="H173"/>
  <c r="H324" i="5"/>
  <c r="C67" i="13"/>
  <c r="P312" i="5"/>
  <c r="E44"/>
  <c r="F150" i="3"/>
  <c r="T153"/>
  <c r="L154"/>
  <c r="B257"/>
  <c r="H326" i="6"/>
  <c r="F4" i="10"/>
  <c r="A85" i="5"/>
  <c r="N184"/>
  <c r="A295" i="3"/>
  <c r="C299"/>
  <c r="Y299"/>
  <c r="B392"/>
  <c r="D275" i="6"/>
  <c r="G379"/>
  <c r="E88" i="5"/>
  <c r="R187"/>
  <c r="F71"/>
  <c r="AG122" i="4"/>
  <c r="I334" i="3"/>
  <c r="V273"/>
  <c r="F73" i="5"/>
  <c r="E123" i="4"/>
  <c r="S334" i="3"/>
  <c r="F274"/>
  <c r="F87" i="5"/>
  <c r="AF127" i="4"/>
  <c r="K338" i="3"/>
  <c r="X277"/>
  <c r="F89" i="5"/>
  <c r="D128" i="4"/>
  <c r="U338" i="3"/>
  <c r="J278"/>
  <c r="J90" i="5"/>
  <c r="AF128" i="4"/>
  <c r="G339" i="3"/>
  <c r="T278"/>
  <c r="F105" i="5"/>
  <c r="D133" i="4"/>
  <c r="Y342" i="3"/>
  <c r="L282"/>
  <c r="S390"/>
  <c r="C156" i="4"/>
  <c r="M93" i="3"/>
  <c r="N29"/>
  <c r="Q156"/>
  <c r="A321"/>
  <c r="I143" i="4"/>
  <c r="X13" i="3"/>
  <c r="Q258"/>
  <c r="R174" i="5"/>
  <c r="AH399" i="4"/>
  <c r="W402" i="3"/>
  <c r="D16" i="15"/>
  <c r="M327" i="3"/>
  <c r="D228" i="5"/>
  <c r="H58" i="13"/>
  <c r="K112" i="6"/>
  <c r="H36" i="9"/>
  <c r="H113" i="13"/>
  <c r="H122"/>
  <c r="O115" i="6"/>
  <c r="F353" i="17"/>
  <c r="C104" i="6"/>
  <c r="M316" i="5"/>
  <c r="J352" i="3"/>
  <c r="N356"/>
  <c r="H357"/>
  <c r="C83" i="4"/>
  <c r="H94" i="17"/>
  <c r="E8" i="13"/>
  <c r="P264" i="5"/>
  <c r="B406" i="4"/>
  <c r="A108" i="3"/>
  <c r="O111"/>
  <c r="G112"/>
  <c r="D117"/>
  <c r="C768" i="17"/>
  <c r="E72" i="13"/>
  <c r="T267" i="5"/>
  <c r="B410" i="4"/>
  <c r="N173" i="5"/>
  <c r="J154" i="4"/>
  <c r="O360" i="3"/>
  <c r="B300"/>
  <c r="N175" i="5"/>
  <c r="B155" i="4"/>
  <c r="Y360" i="3"/>
  <c r="N300"/>
  <c r="N189" i="5"/>
  <c r="H159" i="4"/>
  <c r="Q364" i="3"/>
  <c r="F304"/>
  <c r="N191" i="5"/>
  <c r="AJ159" i="4"/>
  <c r="C365" i="3"/>
  <c r="P304"/>
  <c r="R192" i="5"/>
  <c r="H160" i="4"/>
  <c r="M365" i="3"/>
  <c r="Z304"/>
  <c r="N207" i="5"/>
  <c r="AI164" i="4"/>
  <c r="E369" i="3"/>
  <c r="R308"/>
  <c r="D170"/>
  <c r="G172" i="4"/>
  <c r="S374" i="3"/>
  <c r="N56"/>
  <c r="X359"/>
  <c r="AF103" i="4"/>
  <c r="E160"/>
  <c r="P33" i="3"/>
  <c r="Q363"/>
  <c r="D169" i="7"/>
  <c r="A305" i="5"/>
  <c r="H140" i="4"/>
  <c r="C163" i="3"/>
  <c r="AG50" i="4"/>
  <c r="B397"/>
  <c r="H222" i="13"/>
  <c r="C321" i="5"/>
  <c r="H41" i="16"/>
  <c r="A182" i="13"/>
  <c r="A8"/>
  <c r="G324" i="5"/>
  <c r="T354" i="6"/>
  <c r="O312" i="5"/>
  <c r="G15" i="6"/>
  <c r="C174" i="3"/>
  <c r="P177"/>
  <c r="I178"/>
  <c r="AG310" i="4"/>
  <c r="H38" i="5"/>
  <c r="B31" i="16"/>
  <c r="C56" i="6"/>
  <c r="A201" i="5"/>
  <c r="D303" i="3"/>
  <c r="H307"/>
  <c r="B308"/>
  <c r="E81" i="4"/>
  <c r="Q140" i="5"/>
  <c r="B95" i="16"/>
  <c r="G59" i="6"/>
  <c r="E204" i="5"/>
  <c r="AE266" i="4"/>
  <c r="C186"/>
  <c r="U386" i="3"/>
  <c r="J326"/>
  <c r="C269" i="4"/>
  <c r="AD186"/>
  <c r="G387" i="3"/>
  <c r="T326"/>
  <c r="J286" i="4"/>
  <c r="A191"/>
  <c r="Y390" i="3"/>
  <c r="L330"/>
  <c r="B289" i="4"/>
  <c r="I191"/>
  <c r="I391" i="3"/>
  <c r="V330"/>
  <c r="J290" i="4"/>
  <c r="A192"/>
  <c r="S391" i="3"/>
  <c r="H331"/>
  <c r="E318" i="4"/>
  <c r="F196"/>
  <c r="K395" i="3"/>
  <c r="Z334"/>
  <c r="P133"/>
  <c r="B189" i="4"/>
  <c r="O249" i="3"/>
  <c r="M120"/>
  <c r="P156"/>
  <c r="A120" i="4"/>
  <c r="AE396"/>
  <c r="G67" i="3"/>
  <c r="Q15"/>
  <c r="R201" i="6"/>
  <c r="S135" i="5"/>
  <c r="F93" i="4"/>
  <c r="Z83" i="3"/>
  <c r="AG244" i="4"/>
  <c r="K142" i="5"/>
  <c r="M239" i="6"/>
  <c r="B352"/>
  <c r="L107" i="5"/>
  <c r="D89"/>
  <c r="O382"/>
  <c r="AF367" i="4"/>
  <c r="H2" i="13"/>
  <c r="J145" i="6"/>
  <c r="K373" i="5"/>
  <c r="F356" i="4"/>
  <c r="M282" i="6"/>
  <c r="S270" i="5"/>
  <c r="C82" i="6"/>
  <c r="L61" i="5"/>
  <c r="D270" i="7"/>
  <c r="S264" i="5"/>
  <c r="C76" i="6"/>
  <c r="L55" i="5"/>
  <c r="M318"/>
  <c r="AG177" i="4"/>
  <c r="W379" i="3"/>
  <c r="J319"/>
  <c r="AF328" i="4"/>
  <c r="F239"/>
  <c r="O232" i="3"/>
  <c r="S175"/>
  <c r="D329" i="4"/>
  <c r="AJ239"/>
  <c r="Y232" i="3"/>
  <c r="B176"/>
  <c r="J333" i="4"/>
  <c r="AH245"/>
  <c r="Q236" i="3"/>
  <c r="G179"/>
  <c r="B334" i="4"/>
  <c r="I246"/>
  <c r="C237" i="3"/>
  <c r="P179"/>
  <c r="J334" i="4"/>
  <c r="D247"/>
  <c r="M237" i="3"/>
  <c r="Y179"/>
  <c r="AJ338" i="4"/>
  <c r="E10"/>
  <c r="E241" i="3"/>
  <c r="C183"/>
  <c r="V31"/>
  <c r="M195"/>
  <c r="A334" i="5"/>
  <c r="M144" i="3"/>
  <c r="V97"/>
  <c r="H190"/>
  <c r="J108" i="4"/>
  <c r="A339" i="3"/>
  <c r="X20"/>
  <c r="A227" i="7"/>
  <c r="O54" i="5"/>
  <c r="P182"/>
  <c r="A9" i="13"/>
  <c r="G207" i="4"/>
  <c r="F757" i="17"/>
  <c r="D98" i="4"/>
  <c r="B87" i="3"/>
  <c r="F88" i="4"/>
  <c r="E252" i="6"/>
  <c r="N352"/>
  <c r="J116" i="5"/>
  <c r="B98"/>
  <c r="K283"/>
  <c r="Q397"/>
  <c r="E38" i="9"/>
  <c r="F46" i="6"/>
  <c r="G274" i="5"/>
  <c r="E324"/>
  <c r="B7" i="7"/>
  <c r="K167" i="6"/>
  <c r="H396" i="5"/>
  <c r="AG363" i="4"/>
  <c r="P406" i="6"/>
  <c r="K161"/>
  <c r="H390" i="5"/>
  <c r="G356" i="4"/>
  <c r="D383"/>
  <c r="A55"/>
  <c r="C278" i="3"/>
  <c r="P217"/>
  <c r="S226" i="5"/>
  <c r="AJ113" i="4"/>
  <c r="I140" i="3"/>
  <c r="J90"/>
  <c r="G227" i="5"/>
  <c r="H114" i="4"/>
  <c r="R140" i="3"/>
  <c r="R90"/>
  <c r="S230" i="5"/>
  <c r="AI118" i="4"/>
  <c r="W143" i="3"/>
  <c r="L93"/>
  <c r="G231" i="5"/>
  <c r="G119" i="4"/>
  <c r="F144" i="3"/>
  <c r="T93"/>
  <c r="O231" i="5"/>
  <c r="AI119" i="4"/>
  <c r="O144" i="3"/>
  <c r="B94"/>
  <c r="G235" i="5"/>
  <c r="F124" i="4"/>
  <c r="S147" i="3"/>
  <c r="V96"/>
  <c r="L156"/>
  <c r="X413"/>
  <c r="D268" i="4"/>
  <c r="W373" i="3"/>
  <c r="T112"/>
  <c r="X181"/>
  <c r="Y165"/>
  <c r="T5" i="6"/>
  <c r="C105" i="3"/>
  <c r="AH329" i="4"/>
  <c r="AI388"/>
  <c r="H203"/>
  <c r="R48" i="5"/>
  <c r="D175" i="3"/>
  <c r="E323" i="4"/>
  <c r="D4" i="11"/>
  <c r="A182" i="12"/>
  <c r="T387" i="5"/>
  <c r="A26" i="7"/>
  <c r="I352" i="6"/>
  <c r="E311" i="4"/>
  <c r="H288"/>
  <c r="G408" i="5"/>
  <c r="E399" i="4"/>
  <c r="H159" i="13"/>
  <c r="B171" i="6"/>
  <c r="C399" i="5"/>
  <c r="AI387" i="4"/>
  <c r="T282" i="6"/>
  <c r="K296" i="5"/>
  <c r="O107" i="6"/>
  <c r="D87" i="5"/>
  <c r="T234" i="6"/>
  <c r="K290" i="5"/>
  <c r="O101" i="6"/>
  <c r="D81" i="5"/>
  <c r="A8"/>
  <c r="D209" i="4"/>
  <c r="C406" i="3"/>
  <c r="P345"/>
  <c r="AJ359" i="4"/>
  <c r="AE31"/>
  <c r="U258" i="3"/>
  <c r="J198"/>
  <c r="H360" i="4"/>
  <c r="C32"/>
  <c r="G259" i="3"/>
  <c r="T198"/>
  <c r="AI364" i="4"/>
  <c r="AE36"/>
  <c r="Y262" i="3"/>
  <c r="L202"/>
  <c r="G365" i="4"/>
  <c r="C37"/>
  <c r="I263" i="3"/>
  <c r="V202"/>
  <c r="AI365" i="4"/>
  <c r="AE37"/>
  <c r="S263" i="3"/>
  <c r="H203"/>
  <c r="G370" i="4"/>
  <c r="B42"/>
  <c r="K267" i="3"/>
  <c r="Z206"/>
  <c r="K62"/>
  <c r="A353"/>
  <c r="Z6"/>
  <c r="Q240"/>
  <c r="J290"/>
  <c r="C399"/>
  <c r="AH124" i="4"/>
  <c r="W41" i="3"/>
  <c r="J42"/>
  <c r="G91" i="12"/>
  <c r="C157" i="5"/>
  <c r="AF340" i="4"/>
  <c r="B79" i="13"/>
  <c r="J160" i="4"/>
  <c r="S161" i="3"/>
  <c r="C51" i="4"/>
  <c r="L223" i="3"/>
  <c r="D41" i="4"/>
  <c r="L252" i="6"/>
  <c r="R373"/>
  <c r="AF322" i="4"/>
  <c r="AJ299"/>
  <c r="C309" i="5"/>
  <c r="AJ276" i="4"/>
  <c r="D37" i="9"/>
  <c r="R71" i="6"/>
  <c r="S299" i="5"/>
  <c r="J265" i="4"/>
  <c r="D177" i="7"/>
  <c r="C193" i="6"/>
  <c r="K8"/>
  <c r="G395" i="4"/>
  <c r="D137" i="7"/>
  <c r="C187" i="6"/>
  <c r="T415" i="5"/>
  <c r="AJ387" i="4"/>
  <c r="AF414"/>
  <c r="AF86"/>
  <c r="I304" i="3"/>
  <c r="X243"/>
  <c r="M344" i="5"/>
  <c r="AF145" i="4"/>
  <c r="V162" i="3"/>
  <c r="A111"/>
  <c r="Q347" i="5"/>
  <c r="D146" i="4"/>
  <c r="F163" i="3"/>
  <c r="J111"/>
  <c r="M376" i="5"/>
  <c r="AE150" i="4"/>
  <c r="J166" i="3"/>
  <c r="N114"/>
  <c r="Q379" i="5"/>
  <c r="C151" i="4"/>
  <c r="S166" i="3"/>
  <c r="X114"/>
  <c r="A383" i="5"/>
  <c r="AE151" i="4"/>
  <c r="B167" i="3"/>
  <c r="G115"/>
  <c r="Q411" i="5"/>
  <c r="B156" i="4"/>
  <c r="F170" i="3"/>
  <c r="K118"/>
  <c r="Q254"/>
  <c r="S231"/>
  <c r="I294" i="4"/>
  <c r="O17" i="3"/>
  <c r="Q203"/>
  <c r="K389"/>
  <c r="M323"/>
  <c r="H55" i="7"/>
  <c r="C195" i="3"/>
  <c r="G161" i="6"/>
  <c r="AF251" i="4"/>
  <c r="E188"/>
  <c r="H222" i="5"/>
  <c r="Y328" i="3"/>
  <c r="D261" i="4"/>
  <c r="H17" i="12"/>
  <c r="B156"/>
  <c r="G179" i="6"/>
  <c r="H27" i="7"/>
  <c r="H16" i="8"/>
  <c r="S123" i="5"/>
  <c r="K105"/>
  <c r="R20" i="6"/>
  <c r="G16" i="5"/>
  <c r="H159" i="12"/>
  <c r="N196" i="6"/>
  <c r="N11"/>
  <c r="C7" i="5"/>
  <c r="G283" i="6"/>
  <c r="C322" i="5"/>
  <c r="G133" i="6"/>
  <c r="P112" i="5"/>
  <c r="G235" i="6"/>
  <c r="C316" i="5"/>
  <c r="G127" i="6"/>
  <c r="P106" i="5"/>
  <c r="Q212"/>
  <c r="B245" i="4"/>
  <c r="D208" i="3"/>
  <c r="X371"/>
  <c r="J391" i="4"/>
  <c r="F63"/>
  <c r="C285" i="3"/>
  <c r="P224"/>
  <c r="B392" i="4"/>
  <c r="AH63"/>
  <c r="M285" i="3"/>
  <c r="Z224"/>
  <c r="I396" i="4"/>
  <c r="F68"/>
  <c r="E289" i="3"/>
  <c r="R228"/>
  <c r="A397" i="4"/>
  <c r="AH68"/>
  <c r="O289" i="3"/>
  <c r="D229"/>
  <c r="I397" i="4"/>
  <c r="F69"/>
  <c r="A290" i="3"/>
  <c r="N229"/>
  <c r="AJ401" i="4"/>
  <c r="AG73"/>
  <c r="S293" i="3"/>
  <c r="F233"/>
  <c r="A131"/>
  <c r="F155" i="4"/>
  <c r="R36" i="3"/>
  <c r="S345"/>
  <c r="D158"/>
  <c r="T340"/>
  <c r="AE141" i="4"/>
  <c r="W344" i="3"/>
  <c r="U85"/>
  <c r="G159" i="12"/>
  <c r="G208" i="5"/>
  <c r="S19"/>
  <c r="C8" i="15"/>
  <c r="I113" i="4"/>
  <c r="J103" i="3"/>
  <c r="E245" i="4"/>
  <c r="Z380" i="3"/>
  <c r="A232" i="4"/>
  <c r="S252" i="6"/>
  <c r="I374"/>
  <c r="E133" i="5"/>
  <c r="Q114"/>
  <c r="O334"/>
  <c r="AG308" i="4"/>
  <c r="C36" i="9"/>
  <c r="J97" i="6"/>
  <c r="K325" i="5"/>
  <c r="G297" i="4"/>
  <c r="B237" i="6"/>
  <c r="O218"/>
  <c r="C34"/>
  <c r="L13" i="5"/>
  <c r="B30" i="9"/>
  <c r="O212" i="6"/>
  <c r="C28"/>
  <c r="L7" i="5"/>
  <c r="F57"/>
  <c r="F118" i="4"/>
  <c r="Q330" i="3"/>
  <c r="D270"/>
  <c r="D269" i="4"/>
  <c r="F177"/>
  <c r="J185" i="3"/>
  <c r="N133"/>
  <c r="AF269" i="4"/>
  <c r="AH177"/>
  <c r="S185" i="3"/>
  <c r="W133"/>
  <c r="C274" i="4"/>
  <c r="D182"/>
  <c r="W188" i="3"/>
  <c r="B137"/>
  <c r="AE274" i="4"/>
  <c r="AF182"/>
  <c r="F189" i="3"/>
  <c r="K137"/>
  <c r="C275" i="4"/>
  <c r="D183"/>
  <c r="O189" i="3"/>
  <c r="T137"/>
  <c r="AE279" i="4"/>
  <c r="AE187"/>
  <c r="T192" i="3"/>
  <c r="X140"/>
  <c r="Q359"/>
  <c r="F215"/>
  <c r="G351" i="4"/>
  <c r="X37" i="3"/>
  <c r="Y352"/>
  <c r="X188"/>
  <c r="AF107" i="4"/>
  <c r="O224" i="3"/>
  <c r="S299"/>
  <c r="I34" i="6"/>
  <c r="J101" i="5"/>
  <c r="E141" i="4"/>
  <c r="P246" i="5"/>
  <c r="T248" i="3"/>
  <c r="A264" i="4"/>
  <c r="B60" i="17"/>
  <c r="A143" i="13"/>
  <c r="S387" i="5"/>
  <c r="G26" i="7"/>
  <c r="G17" i="8"/>
  <c r="AI331" i="4"/>
  <c r="D309"/>
  <c r="J46" i="6"/>
  <c r="S41" i="5"/>
  <c r="G218" i="12"/>
  <c r="F222" i="6"/>
  <c r="F37"/>
  <c r="O32" i="5"/>
  <c r="F295" i="6"/>
  <c r="O347" i="5"/>
  <c r="S158" i="6"/>
  <c r="H138" i="5"/>
  <c r="F247" i="6"/>
  <c r="O341" i="5"/>
  <c r="S152" i="6"/>
  <c r="H132" i="5"/>
  <c r="T7"/>
  <c r="B36" i="4"/>
  <c r="V227" i="3"/>
  <c r="D398"/>
  <c r="B10" i="5"/>
  <c r="C95" i="4"/>
  <c r="I311" i="3"/>
  <c r="V250"/>
  <c r="J10" i="5"/>
  <c r="AE95" i="4"/>
  <c r="S311" i="3"/>
  <c r="H251"/>
  <c r="B14" i="5"/>
  <c r="AJ99" i="4"/>
  <c r="K315" i="3"/>
  <c r="Z254"/>
  <c r="J14" i="5"/>
  <c r="H100" i="4"/>
  <c r="W315" i="3"/>
  <c r="J255"/>
  <c r="F15" i="5"/>
  <c r="AJ100" i="4"/>
  <c r="G316" i="3"/>
  <c r="T255"/>
  <c r="B20" i="5"/>
  <c r="H105" i="4"/>
  <c r="Y319" i="3"/>
  <c r="L259"/>
  <c r="Y224"/>
  <c r="I171" i="4"/>
  <c r="R54" i="3"/>
  <c r="H12"/>
  <c r="P361"/>
  <c r="E183"/>
  <c r="H158" i="4"/>
  <c r="M320" i="3"/>
  <c r="C171"/>
  <c r="B4" i="13"/>
  <c r="AF309" i="4"/>
  <c r="G122" i="5"/>
  <c r="C457" i="17"/>
  <c r="AH66" i="4"/>
  <c r="L271" i="3"/>
  <c r="A194" i="4"/>
  <c r="V190" i="3"/>
  <c r="AE184" i="4"/>
  <c r="R264" i="6"/>
  <c r="D375"/>
  <c r="C322" i="4"/>
  <c r="G299"/>
  <c r="G360" i="5"/>
  <c r="E340" i="4"/>
  <c r="E25" i="12"/>
  <c r="B123" i="6"/>
  <c r="C351" i="5"/>
  <c r="A329" i="4"/>
  <c r="R295" i="6"/>
  <c r="K248" i="5"/>
  <c r="O59" i="6"/>
  <c r="D39" i="5"/>
  <c r="J275" i="6"/>
  <c r="K242" i="5"/>
  <c r="O53" i="6"/>
  <c r="D33" i="5"/>
  <c r="N159"/>
  <c r="B150" i="4"/>
  <c r="W356" i="3"/>
  <c r="J296"/>
  <c r="A301" i="4"/>
  <c r="AG208"/>
  <c r="O209" i="3"/>
  <c r="A156"/>
  <c r="I301" i="4"/>
  <c r="E209"/>
  <c r="A210" i="3"/>
  <c r="J156"/>
  <c r="A306" i="4"/>
  <c r="AD213"/>
  <c r="S213" i="3"/>
  <c r="O159"/>
  <c r="I306" i="4"/>
  <c r="B214"/>
  <c r="C214" i="3"/>
  <c r="X159"/>
  <c r="AJ306" i="4"/>
  <c r="J214"/>
  <c r="M214" i="3"/>
  <c r="G160"/>
  <c r="H311" i="4"/>
  <c r="A219"/>
  <c r="E218" i="3"/>
  <c r="K163"/>
  <c r="P14"/>
  <c r="T372"/>
  <c r="P106" i="6"/>
  <c r="W76" i="3"/>
  <c r="U137"/>
  <c r="N397"/>
  <c r="AJ123" i="4"/>
  <c r="G288" i="3"/>
  <c r="U404"/>
  <c r="G64" i="6"/>
  <c r="E335" i="4"/>
  <c r="D94"/>
  <c r="D17" i="6"/>
  <c r="X366" i="3"/>
  <c r="S281" i="5"/>
  <c r="F59" i="17"/>
  <c r="G53" i="13"/>
  <c r="N179" i="6"/>
  <c r="F25" i="7"/>
  <c r="F16" i="8"/>
  <c r="N140" i="5"/>
  <c r="F122"/>
  <c r="B72" i="6"/>
  <c r="K67" i="5"/>
  <c r="F195" i="12"/>
  <c r="R268" i="5"/>
  <c r="R62" i="6"/>
  <c r="G58" i="5"/>
  <c r="M295" i="6"/>
  <c r="G373" i="5"/>
  <c r="K184" i="6"/>
  <c r="T163" i="5"/>
  <c r="M247" i="6"/>
  <c r="G367" i="5"/>
  <c r="K178" i="6"/>
  <c r="T157" i="5"/>
  <c r="P212"/>
  <c r="AG67" i="4"/>
  <c r="N247" i="3"/>
  <c r="F59"/>
  <c r="B84" i="5"/>
  <c r="AG126" i="4"/>
  <c r="O337" i="3"/>
  <c r="D277"/>
  <c r="B86" i="5"/>
  <c r="E127" i="4"/>
  <c r="A338" i="3"/>
  <c r="N277"/>
  <c r="B100" i="5"/>
  <c r="AF131" i="4"/>
  <c r="S341" i="3"/>
  <c r="F281"/>
  <c r="B102" i="5"/>
  <c r="D132" i="4"/>
  <c r="C342" i="3"/>
  <c r="P281"/>
  <c r="F103" i="5"/>
  <c r="AF132" i="4"/>
  <c r="M342" i="3"/>
  <c r="B282"/>
  <c r="B118" i="5"/>
  <c r="D137" i="4"/>
  <c r="E346" i="3"/>
  <c r="T285"/>
  <c r="W10"/>
  <c r="AF187" i="4"/>
  <c r="J193" i="3"/>
  <c r="Z31"/>
  <c r="D179"/>
  <c r="S340"/>
  <c r="D175" i="4"/>
  <c r="J16" i="3"/>
  <c r="S271"/>
  <c r="D460" i="17"/>
  <c r="AE372" i="4"/>
  <c r="C199" i="5"/>
  <c r="F83"/>
  <c r="D20" i="4"/>
  <c r="B57" i="3"/>
  <c r="AE147" i="4"/>
  <c r="H347" i="3"/>
  <c r="C138" i="4"/>
  <c r="E265" i="6"/>
  <c r="C399"/>
  <c r="D133" i="5"/>
  <c r="P114"/>
  <c r="S385"/>
  <c r="AF371" i="4"/>
  <c r="B19" i="12"/>
  <c r="N148" i="6"/>
  <c r="O376" i="5"/>
  <c r="E360" i="4"/>
  <c r="E308" i="6"/>
  <c r="C274" i="5"/>
  <c r="G85" i="6"/>
  <c r="P64" i="5"/>
  <c r="E260" i="6"/>
  <c r="C268" i="5"/>
  <c r="G79" i="6"/>
  <c r="P58" i="5"/>
  <c r="H249" i="4"/>
  <c r="AE181"/>
  <c r="C383" i="3"/>
  <c r="R322"/>
  <c r="AD332" i="4"/>
  <c r="I244"/>
  <c r="W235" i="3"/>
  <c r="N178"/>
  <c r="B333" i="4"/>
  <c r="D245"/>
  <c r="G236" i="3"/>
  <c r="X178"/>
  <c r="I337" i="4"/>
  <c r="AG8"/>
  <c r="Y239" i="3"/>
  <c r="B182"/>
  <c r="AJ337" i="4"/>
  <c r="E9"/>
  <c r="I240" i="3"/>
  <c r="K182"/>
  <c r="H338" i="4"/>
  <c r="AG9"/>
  <c r="U240" i="3"/>
  <c r="T182"/>
  <c r="AH342" i="4"/>
  <c r="E14"/>
  <c r="M244" i="3"/>
  <c r="X185"/>
  <c r="H34"/>
  <c r="E215"/>
  <c r="P125" i="6"/>
  <c r="S155" i="3"/>
  <c r="O119"/>
  <c r="I215"/>
  <c r="F140" i="4"/>
  <c r="A11" i="3"/>
  <c r="J23"/>
  <c r="F253" i="5"/>
  <c r="A169"/>
  <c r="I47" i="4"/>
  <c r="E36" i="6"/>
  <c r="Q189" i="3"/>
  <c r="C53" i="6"/>
  <c r="F63" i="12"/>
  <c r="F112" i="13"/>
  <c r="N388" i="5"/>
  <c r="E24" i="7"/>
  <c r="E15" i="8"/>
  <c r="AI351" i="4"/>
  <c r="G329"/>
  <c r="N97" i="6"/>
  <c r="C93" i="5"/>
  <c r="E255" i="12"/>
  <c r="J294" i="5"/>
  <c r="J88" i="6"/>
  <c r="S83" i="5"/>
  <c r="A166" i="7"/>
  <c r="S398" i="5"/>
  <c r="C210" i="6"/>
  <c r="L189" i="5"/>
  <c r="A46" i="7"/>
  <c r="S392" i="5"/>
  <c r="C204" i="6"/>
  <c r="L183" i="5"/>
  <c r="G24"/>
  <c r="G99" i="4"/>
  <c r="F267" i="3"/>
  <c r="X78"/>
  <c r="J186" i="5"/>
  <c r="I158" i="4"/>
  <c r="W363" i="3"/>
  <c r="J303"/>
  <c r="J188" i="5"/>
  <c r="AJ158" i="4"/>
  <c r="G364" i="3"/>
  <c r="T303"/>
  <c r="J202" i="5"/>
  <c r="G163" i="4"/>
  <c r="Y367" i="3"/>
  <c r="L307"/>
  <c r="J204" i="5"/>
  <c r="AI163" i="4"/>
  <c r="I368" i="3"/>
  <c r="X307"/>
  <c r="N205" i="5"/>
  <c r="G164" i="4"/>
  <c r="U368" i="3"/>
  <c r="H308"/>
  <c r="J220" i="5"/>
  <c r="AH168" i="4"/>
  <c r="M372" i="3"/>
  <c r="Z311"/>
  <c r="C218"/>
  <c r="AG203" i="4"/>
  <c r="U24" i="3"/>
  <c r="Y62"/>
  <c r="D386"/>
  <c r="H135" i="4"/>
  <c r="AH191"/>
  <c r="I36" i="3"/>
  <c r="U376"/>
  <c r="F390" i="17"/>
  <c r="R45" i="5"/>
  <c r="AI329" i="4"/>
  <c r="F211" i="5"/>
  <c r="C210" i="4"/>
  <c r="M185" i="3"/>
  <c r="AI100" i="4"/>
  <c r="V99" i="3"/>
  <c r="I91" i="4"/>
  <c r="A90" i="7"/>
  <c r="R399" i="6"/>
  <c r="AE342" i="4"/>
  <c r="B320"/>
  <c r="K411" i="5"/>
  <c r="E403" i="4"/>
  <c r="A57" i="13"/>
  <c r="F174" i="6"/>
  <c r="G402" i="5"/>
  <c r="AI391" i="4"/>
  <c r="L308" i="6"/>
  <c r="O299" i="5"/>
  <c r="S110" i="6"/>
  <c r="H90" i="5"/>
  <c r="L260" i="6"/>
  <c r="O293" i="5"/>
  <c r="S104" i="6"/>
  <c r="H84" i="5"/>
  <c r="M33"/>
  <c r="B213" i="4"/>
  <c r="K409" i="3"/>
  <c r="X348"/>
  <c r="AI363" i="4"/>
  <c r="AE35"/>
  <c r="C262" i="3"/>
  <c r="P201"/>
  <c r="G364" i="4"/>
  <c r="C36"/>
  <c r="M262" i="3"/>
  <c r="B202"/>
  <c r="AI368" i="4"/>
  <c r="AE40"/>
  <c r="E266" i="3"/>
  <c r="T205"/>
  <c r="G369" i="4"/>
  <c r="C41"/>
  <c r="Q266" i="3"/>
  <c r="D206"/>
  <c r="AI369" i="4"/>
  <c r="AD41"/>
  <c r="A267" i="3"/>
  <c r="N206"/>
  <c r="G374" i="4"/>
  <c r="A46"/>
  <c r="S270" i="3"/>
  <c r="F210"/>
  <c r="C69"/>
  <c r="S372"/>
  <c r="J24"/>
  <c r="U253"/>
  <c r="P316"/>
  <c r="X202"/>
  <c r="J156" i="4"/>
  <c r="E92" i="3"/>
  <c r="I46"/>
  <c r="Q200" i="5"/>
  <c r="H374"/>
  <c r="J240" i="4"/>
  <c r="G19" i="8"/>
  <c r="U307" i="3"/>
  <c r="H71" i="6"/>
  <c r="E123" i="12"/>
  <c r="E89" i="13"/>
  <c r="I180" i="6"/>
  <c r="G53" i="12"/>
  <c r="D14" i="8"/>
  <c r="A157" i="5"/>
  <c r="M138"/>
  <c r="F123" i="6"/>
  <c r="O118" i="5"/>
  <c r="C62" i="13"/>
  <c r="B320" i="5"/>
  <c r="B114" i="6"/>
  <c r="K109" i="5"/>
  <c r="H167" i="7"/>
  <c r="J11" i="6"/>
  <c r="K239" i="5"/>
  <c r="D215"/>
  <c r="H47" i="7"/>
  <c r="L5" i="6"/>
  <c r="O229"/>
  <c r="D209" i="5"/>
  <c r="C229"/>
  <c r="C131" i="4"/>
  <c r="X286" i="3"/>
  <c r="P98"/>
  <c r="J282" i="4"/>
  <c r="A190"/>
  <c r="C390" i="3"/>
  <c r="P329"/>
  <c r="B285" i="4"/>
  <c r="I190"/>
  <c r="M390" i="3"/>
  <c r="B330"/>
  <c r="H306" i="4"/>
  <c r="AI194"/>
  <c r="E394" i="3"/>
  <c r="T333"/>
  <c r="G310" i="4"/>
  <c r="G195"/>
  <c r="Q394" i="3"/>
  <c r="D334"/>
  <c r="F314" i="4"/>
  <c r="AH195"/>
  <c r="A395" i="3"/>
  <c r="N334"/>
  <c r="AE349" i="4"/>
  <c r="D200"/>
  <c r="S398" i="3"/>
  <c r="F338"/>
  <c r="D156"/>
  <c r="H220" i="4"/>
  <c r="H160" i="3"/>
  <c r="S131"/>
  <c r="C179"/>
  <c r="AG151" i="4"/>
  <c r="D14" i="5"/>
  <c r="T73" i="3"/>
  <c r="C18"/>
  <c r="H329" i="6"/>
  <c r="B97" i="5"/>
  <c r="F62"/>
  <c r="AF344" i="4"/>
  <c r="AG163"/>
  <c r="Z340" i="3"/>
  <c r="G54" i="4"/>
  <c r="N240" i="3"/>
  <c r="E108" i="4"/>
  <c r="H91" i="7"/>
  <c r="A361" i="6"/>
  <c r="K149" i="5"/>
  <c r="C131"/>
  <c r="B24" i="6"/>
  <c r="K19" i="5"/>
  <c r="H223" i="12"/>
  <c r="R199" i="6"/>
  <c r="R14"/>
  <c r="G10" i="5"/>
  <c r="S308" i="6"/>
  <c r="G325" i="5"/>
  <c r="K136" i="6"/>
  <c r="T115" i="5"/>
  <c r="S260" i="6"/>
  <c r="G319" i="5"/>
  <c r="K130" i="6"/>
  <c r="T109" i="5"/>
  <c r="R242"/>
  <c r="D8" i="4"/>
  <c r="P210" i="3"/>
  <c r="D375"/>
  <c r="I395" i="4"/>
  <c r="F67"/>
  <c r="I288" i="3"/>
  <c r="X227"/>
  <c r="A396" i="4"/>
  <c r="AH67"/>
  <c r="U288" i="3"/>
  <c r="H228"/>
  <c r="H400" i="4"/>
  <c r="E72"/>
  <c r="M292" i="3"/>
  <c r="Z231"/>
  <c r="AJ400" i="4"/>
  <c r="AG72"/>
  <c r="W292" i="3"/>
  <c r="J232"/>
  <c r="H401" i="4"/>
  <c r="E73"/>
  <c r="G293" i="3"/>
  <c r="V232"/>
  <c r="AI405" i="4"/>
  <c r="AG77"/>
  <c r="Y296" i="3"/>
  <c r="N236"/>
  <c r="H142"/>
  <c r="AH186" i="4"/>
  <c r="X67" i="3"/>
  <c r="U358"/>
  <c r="Q180"/>
  <c r="L360"/>
  <c r="F173" i="4"/>
  <c r="F19" i="3"/>
  <c r="S93"/>
  <c r="B231" i="7"/>
  <c r="G191" i="6"/>
  <c r="AJ190" i="4"/>
  <c r="B40" i="3"/>
  <c r="A19" i="4"/>
  <c r="I58" i="17"/>
  <c r="D186" i="12"/>
  <c r="D149" i="13"/>
  <c r="H158" i="6"/>
  <c r="H49" i="12"/>
  <c r="G2" i="10"/>
  <c r="P336" i="5"/>
  <c r="H318"/>
  <c r="R148" i="6"/>
  <c r="G144" i="5"/>
  <c r="B63" i="13"/>
  <c r="N345" i="5"/>
  <c r="N139" i="6"/>
  <c r="C135" i="5"/>
  <c r="G166" i="7"/>
  <c r="B37" i="6"/>
  <c r="C265" i="5"/>
  <c r="E252"/>
  <c r="G46" i="7"/>
  <c r="B31" i="6"/>
  <c r="C259" i="5"/>
  <c r="P234"/>
  <c r="B41"/>
  <c r="AH162" i="4"/>
  <c r="P306" i="3"/>
  <c r="L120"/>
  <c r="A88" i="5"/>
  <c r="H221" i="4"/>
  <c r="I416" i="3"/>
  <c r="X355"/>
  <c r="E91" i="5"/>
  <c r="AJ221" i="4"/>
  <c r="U416" i="3"/>
  <c r="H356"/>
  <c r="A120" i="5"/>
  <c r="G226" i="4"/>
  <c r="F199" i="3"/>
  <c r="Z359"/>
  <c r="E123" i="5"/>
  <c r="AI226" i="4"/>
  <c r="N199" i="3"/>
  <c r="J360"/>
  <c r="I126" i="5"/>
  <c r="G227" i="4"/>
  <c r="V199" i="3"/>
  <c r="V360"/>
  <c r="E155" i="5"/>
  <c r="D233" i="4"/>
  <c r="P202" i="3"/>
  <c r="N364"/>
  <c r="H359"/>
  <c r="H240" i="4"/>
  <c r="N18" i="3"/>
  <c r="U225"/>
  <c r="C386"/>
  <c r="AJ167" i="4"/>
  <c r="T218" i="5"/>
  <c r="J150" i="3"/>
  <c r="Q38"/>
  <c r="H283" i="7"/>
  <c r="J199" i="5"/>
  <c r="N164"/>
  <c r="A100"/>
  <c r="C117" i="4"/>
  <c r="K96" i="3"/>
  <c r="F7" i="4"/>
  <c r="B398" i="3"/>
  <c r="AG281" i="4"/>
  <c r="G90" i="7"/>
  <c r="T360" i="6"/>
  <c r="C363" i="4"/>
  <c r="AE340"/>
  <c r="N49" i="6"/>
  <c r="C45" i="5"/>
  <c r="F26" i="13"/>
  <c r="J225" i="6"/>
  <c r="J40"/>
  <c r="S35" i="5"/>
  <c r="R320" i="6"/>
  <c r="S350" i="5"/>
  <c r="C162" i="6"/>
  <c r="L141" i="5"/>
  <c r="R272" i="6"/>
  <c r="S344" i="5"/>
  <c r="C156" i="6"/>
  <c r="L135" i="5"/>
  <c r="L33"/>
  <c r="B40" i="4"/>
  <c r="H230" i="3"/>
  <c r="L401"/>
  <c r="F13" i="5"/>
  <c r="AJ98" i="4"/>
  <c r="Q314" i="3"/>
  <c r="D254"/>
  <c r="N13" i="5"/>
  <c r="H99" i="4"/>
  <c r="A315" i="3"/>
  <c r="N254"/>
  <c r="J18" i="5"/>
  <c r="AJ103" i="4"/>
  <c r="S318" i="3"/>
  <c r="F258"/>
  <c r="R18" i="5"/>
  <c r="H104" i="4"/>
  <c r="C319" i="3"/>
  <c r="R258"/>
  <c r="F19" i="5"/>
  <c r="AJ104" i="4"/>
  <c r="O319" i="3"/>
  <c r="B259"/>
  <c r="J28" i="5"/>
  <c r="H109" i="4"/>
  <c r="G323" i="3"/>
  <c r="T262"/>
  <c r="C238"/>
  <c r="AI202" i="4"/>
  <c r="G116" i="3"/>
  <c r="T14"/>
  <c r="X387"/>
  <c r="W202"/>
  <c r="AJ189" i="4"/>
  <c r="Q68" i="3"/>
  <c r="J182"/>
  <c r="Q26" i="6"/>
  <c r="B38"/>
  <c r="I144" i="4"/>
  <c r="P44" i="3"/>
  <c r="AJ208" i="4"/>
  <c r="P178" i="3"/>
  <c r="C187" i="12"/>
  <c r="D215" i="13"/>
  <c r="T366" i="5"/>
  <c r="L369"/>
  <c r="F155" i="6"/>
  <c r="O150" i="5"/>
  <c r="B191" i="13"/>
  <c r="B352" i="5"/>
  <c r="B146" i="6"/>
  <c r="K141" i="5"/>
  <c r="F2" i="8"/>
  <c r="J43" i="6"/>
  <c r="K271" i="5"/>
  <c r="Q301"/>
  <c r="G174" i="7"/>
  <c r="J37" i="6"/>
  <c r="K265" i="5"/>
  <c r="Q253"/>
  <c r="F92"/>
  <c r="AG170" i="4"/>
  <c r="N311" i="3"/>
  <c r="B126"/>
  <c r="E139" i="5"/>
  <c r="AJ229" i="4"/>
  <c r="B201" i="3"/>
  <c r="L362"/>
  <c r="I142" i="5"/>
  <c r="AE230" i="4"/>
  <c r="J201" i="3"/>
  <c r="V362"/>
  <c r="E171" i="5"/>
  <c r="J236" i="4"/>
  <c r="D204" i="3"/>
  <c r="N366"/>
  <c r="I174" i="5"/>
  <c r="D237" i="4"/>
  <c r="L204" i="3"/>
  <c r="Z366"/>
  <c r="M177" i="5"/>
  <c r="AI237" i="4"/>
  <c r="T204" i="3"/>
  <c r="J367"/>
  <c r="I206" i="5"/>
  <c r="AG243" i="4"/>
  <c r="N207" i="3"/>
  <c r="B371"/>
  <c r="T411"/>
  <c r="D64" i="4"/>
  <c r="J50" i="3"/>
  <c r="A252"/>
  <c r="P57"/>
  <c r="C232" i="4"/>
  <c r="G259"/>
  <c r="W172" i="3"/>
  <c r="T45"/>
  <c r="F466" i="17"/>
  <c r="T241" i="5"/>
  <c r="L131"/>
  <c r="A337" i="6"/>
  <c r="H65" i="4"/>
  <c r="W380" i="3"/>
  <c r="J224" i="4"/>
  <c r="T129" i="3"/>
  <c r="E183" i="4"/>
  <c r="B291" i="6"/>
  <c r="F5" i="21"/>
  <c r="E535" i="17"/>
  <c r="A379"/>
  <c r="G264" i="5"/>
  <c r="A249"/>
  <c r="H403" i="6"/>
  <c r="B27"/>
  <c r="C255" i="5"/>
  <c r="P230"/>
  <c r="H380" i="6"/>
  <c r="G148"/>
  <c r="D377" i="5"/>
  <c r="F340" i="4"/>
  <c r="H368" i="6"/>
  <c r="G142"/>
  <c r="D371" i="5"/>
  <c r="AJ332" i="4"/>
  <c r="H359"/>
  <c r="C31"/>
  <c r="K258" i="3"/>
  <c r="X197"/>
  <c r="O207" i="5"/>
  <c r="D90" i="4"/>
  <c r="L123" i="3"/>
  <c r="L399"/>
  <c r="C208" i="5"/>
  <c r="AF90" i="4"/>
  <c r="V123" i="3"/>
  <c r="X399"/>
  <c r="O211" i="5"/>
  <c r="D95" i="4"/>
  <c r="Z126" i="3"/>
  <c r="P403"/>
  <c r="C212" i="5"/>
  <c r="AF95" i="4"/>
  <c r="I127" i="3"/>
  <c r="Z403"/>
  <c r="K212" i="5"/>
  <c r="D96" i="4"/>
  <c r="R127" i="3"/>
  <c r="J404"/>
  <c r="C216" i="5"/>
  <c r="I100" i="4"/>
  <c r="V130" i="3"/>
  <c r="B408"/>
  <c r="S90"/>
  <c r="J256"/>
  <c r="O123" i="5"/>
  <c r="C295" i="3"/>
  <c r="W64"/>
  <c r="Y53"/>
  <c r="X362"/>
  <c r="N231" i="6"/>
  <c r="N60" i="3"/>
  <c r="G400"/>
  <c r="W167"/>
  <c r="J82"/>
  <c r="P122"/>
  <c r="G127"/>
  <c r="C294"/>
  <c r="W403"/>
  <c r="S326"/>
  <c r="I173"/>
  <c r="A22"/>
  <c r="R16"/>
  <c r="G408" i="4"/>
  <c r="O277" i="3"/>
  <c r="S160" i="6"/>
  <c r="R180"/>
  <c r="G176" i="5"/>
  <c r="G193" i="17"/>
  <c r="N377" i="5"/>
  <c r="N171" i="6"/>
  <c r="C167" i="5"/>
  <c r="F1" i="8"/>
  <c r="B69" i="6"/>
  <c r="C297" i="5"/>
  <c r="B262" i="4"/>
  <c r="F173" i="7"/>
  <c r="B63" i="6"/>
  <c r="C291" i="5"/>
  <c r="AF254" i="4"/>
  <c r="F292"/>
  <c r="C202"/>
  <c r="F331" i="3"/>
  <c r="O148"/>
  <c r="J329" i="4"/>
  <c r="AE24"/>
  <c r="T220" i="3"/>
  <c r="R388"/>
  <c r="H333" i="4"/>
  <c r="C25"/>
  <c r="B221" i="3"/>
  <c r="D389"/>
  <c r="AG368" i="4"/>
  <c r="AE29"/>
  <c r="V223" i="3"/>
  <c r="V392"/>
  <c r="AG372" i="4"/>
  <c r="C30"/>
  <c r="D224" i="3"/>
  <c r="F393"/>
  <c r="AG376" i="4"/>
  <c r="AD30"/>
  <c r="L224" i="3"/>
  <c r="P393"/>
  <c r="D412" i="4"/>
  <c r="B35"/>
  <c r="F227" i="3"/>
  <c r="H397"/>
  <c r="Z272"/>
  <c r="A81" i="4"/>
  <c r="P17" i="3"/>
  <c r="C357"/>
  <c r="R236"/>
  <c r="AG10" i="4"/>
  <c r="C82" i="5"/>
  <c r="U273" i="3"/>
  <c r="G92"/>
  <c r="B882" i="17"/>
  <c r="H344" i="5"/>
  <c r="E309" i="4"/>
  <c r="H10" i="8"/>
  <c r="F18" i="4"/>
  <c r="U365" i="3"/>
  <c r="AI177" i="4"/>
  <c r="Z275" i="3"/>
  <c r="E136" i="4"/>
  <c r="I303" i="6"/>
  <c r="B116" i="7"/>
  <c r="N167" i="5"/>
  <c r="F149"/>
  <c r="S289"/>
  <c r="E253" i="4"/>
  <c r="S402" i="6"/>
  <c r="N52"/>
  <c r="O280" i="5"/>
  <c r="I375"/>
  <c r="D49" i="7"/>
  <c r="S173" i="6"/>
  <c r="P402" i="5"/>
  <c r="AG371" i="4"/>
  <c r="D9" i="7"/>
  <c r="S167" i="6"/>
  <c r="P396" i="5"/>
  <c r="E364" i="4"/>
  <c r="B391"/>
  <c r="AH62"/>
  <c r="Q284" i="3"/>
  <c r="F224"/>
  <c r="G233" i="5"/>
  <c r="AH121" i="4"/>
  <c r="Z145" i="3"/>
  <c r="H95"/>
  <c r="O233" i="5"/>
  <c r="F122" i="4"/>
  <c r="I146" i="3"/>
  <c r="P95"/>
  <c r="J238" i="5"/>
  <c r="AH126" i="4"/>
  <c r="M149" i="3"/>
  <c r="J98"/>
  <c r="B240" i="5"/>
  <c r="F127" i="4"/>
  <c r="V149" i="3"/>
  <c r="R98"/>
  <c r="N241" i="5"/>
  <c r="AG127" i="4"/>
  <c r="E150" i="3"/>
  <c r="Z98"/>
  <c r="E258" i="5"/>
  <c r="E132" i="4"/>
  <c r="J153" i="3"/>
  <c r="T101"/>
  <c r="Y178"/>
  <c r="G93"/>
  <c r="AE331" i="4"/>
  <c r="E400" i="3"/>
  <c r="G135"/>
  <c r="W231"/>
  <c r="I205"/>
  <c r="I23" i="6"/>
  <c r="P127" i="3"/>
  <c r="H201"/>
  <c r="G84"/>
  <c r="A248"/>
  <c r="H225"/>
  <c r="S310"/>
  <c r="AJ68" i="4"/>
  <c r="G225" i="3"/>
  <c r="C231"/>
  <c r="F218" i="4"/>
  <c r="N80" i="3"/>
  <c r="A67"/>
  <c r="AG113" i="4"/>
  <c r="G181" i="5"/>
  <c r="K369"/>
  <c r="J206" i="6"/>
  <c r="S201" i="5"/>
  <c r="E194" i="17"/>
  <c r="F403" i="5"/>
  <c r="F197" i="6"/>
  <c r="O192" i="5"/>
  <c r="E292" i="7"/>
  <c r="N94" i="6"/>
  <c r="O322" i="5"/>
  <c r="AI293" i="4"/>
  <c r="E172" i="7"/>
  <c r="N88" i="6"/>
  <c r="O316" i="5"/>
  <c r="H286" i="4"/>
  <c r="M108" i="5"/>
  <c r="AH235" i="4"/>
  <c r="X350" i="3"/>
  <c r="B171"/>
  <c r="D139" i="5"/>
  <c r="H56" i="4"/>
  <c r="L240" i="3"/>
  <c r="Z414"/>
  <c r="H142" i="5"/>
  <c r="AJ56" i="4"/>
  <c r="T240" i="3"/>
  <c r="J415"/>
  <c r="D171" i="5"/>
  <c r="F61" i="4"/>
  <c r="N243" i="3"/>
  <c r="F55"/>
  <c r="H174" i="5"/>
  <c r="AH61" i="4"/>
  <c r="V243" i="3"/>
  <c r="N55"/>
  <c r="L177" i="5"/>
  <c r="F62" i="4"/>
  <c r="D244" i="3"/>
  <c r="V55"/>
  <c r="H206" i="5"/>
  <c r="AG66" i="4"/>
  <c r="X246" i="3"/>
  <c r="P58"/>
  <c r="F103"/>
  <c r="AJ317" i="4"/>
  <c r="V52" i="3"/>
  <c r="K14"/>
  <c r="M78"/>
  <c r="AE27" i="4"/>
  <c r="C280"/>
  <c r="U378" i="3"/>
  <c r="R180"/>
  <c r="N341" i="6"/>
  <c r="G33"/>
  <c r="K45" i="5"/>
  <c r="H130" i="13"/>
  <c r="E208" i="4"/>
  <c r="J148" i="3"/>
  <c r="AG130" i="4"/>
  <c r="D101" i="3"/>
  <c r="AE89" i="4"/>
  <c r="P303" i="6"/>
  <c r="C198" i="7"/>
  <c r="AD385" i="4"/>
  <c r="AH362"/>
  <c r="K315" i="5"/>
  <c r="AJ284" i="4"/>
  <c r="J402" i="6"/>
  <c r="F78"/>
  <c r="G306" i="5"/>
  <c r="H273" i="4"/>
  <c r="C220" i="7"/>
  <c r="K199" i="6"/>
  <c r="S14"/>
  <c r="F403" i="4"/>
  <c r="C180" i="7"/>
  <c r="K193" i="6"/>
  <c r="S8"/>
  <c r="AI395" i="4"/>
  <c r="N9" i="5"/>
  <c r="AE94" i="4"/>
  <c r="Y310" i="3"/>
  <c r="L250"/>
  <c r="Q395" i="5"/>
  <c r="AE153" i="4"/>
  <c r="M168" i="3"/>
  <c r="Q116"/>
  <c r="A399" i="5"/>
  <c r="C154" i="4"/>
  <c r="V168" i="3"/>
  <c r="Z116"/>
  <c r="I250" i="4"/>
  <c r="J158"/>
  <c r="Z171" i="3"/>
  <c r="E120"/>
  <c r="AJ250" i="4"/>
  <c r="A159"/>
  <c r="I172" i="3"/>
  <c r="N120"/>
  <c r="H251" i="4"/>
  <c r="I159"/>
  <c r="R172" i="3"/>
  <c r="W120"/>
  <c r="AI255" i="4"/>
  <c r="AJ163"/>
  <c r="W175" i="3"/>
  <c r="A124"/>
  <c r="W280"/>
  <c r="G284"/>
  <c r="A290" i="4"/>
  <c r="M22" i="3"/>
  <c r="W229"/>
  <c r="B60"/>
  <c r="W362"/>
  <c r="B115" i="17"/>
  <c r="Y220" i="3"/>
  <c r="J411"/>
  <c r="G413"/>
  <c r="I244"/>
  <c r="X394"/>
  <c r="Z21"/>
  <c r="R34"/>
  <c r="W394"/>
  <c r="J112"/>
  <c r="L55" i="6"/>
  <c r="B120" i="3"/>
  <c r="G219"/>
  <c r="A367" i="4"/>
  <c r="T186" i="5"/>
  <c r="F161" i="6"/>
  <c r="B238"/>
  <c r="K227" i="5"/>
  <c r="D90" i="16"/>
  <c r="Q15" i="6"/>
  <c r="R222"/>
  <c r="G218" i="5"/>
  <c r="H117" i="13"/>
  <c r="F120" i="6"/>
  <c r="G348" i="5"/>
  <c r="J325" i="4"/>
  <c r="F24" i="12"/>
  <c r="F114" i="6"/>
  <c r="G342" i="5"/>
  <c r="C318" i="4"/>
  <c r="H288" i="5"/>
  <c r="B29" i="4"/>
  <c r="P370" i="3"/>
  <c r="O193"/>
  <c r="A350" i="4"/>
  <c r="C88"/>
  <c r="D260" i="3"/>
  <c r="V71"/>
  <c r="AI353" i="4"/>
  <c r="AE88"/>
  <c r="L260" i="3"/>
  <c r="D72"/>
  <c r="G389" i="4"/>
  <c r="B93"/>
  <c r="F263" i="3"/>
  <c r="X74"/>
  <c r="G393" i="4"/>
  <c r="J93"/>
  <c r="N263" i="3"/>
  <c r="F75"/>
  <c r="F397" i="4"/>
  <c r="B94"/>
  <c r="V263" i="3"/>
  <c r="N75"/>
  <c r="S17" i="5"/>
  <c r="H98" i="4"/>
  <c r="P266" i="3"/>
  <c r="H78"/>
  <c r="N297"/>
  <c r="H129" i="5"/>
  <c r="Z110" i="3"/>
  <c r="C34"/>
  <c r="O264"/>
  <c r="H44" i="4"/>
  <c r="C385"/>
  <c r="M18" i="3"/>
  <c r="Y282"/>
  <c r="F281" i="7"/>
  <c r="O135" i="6"/>
  <c r="K173" i="5"/>
  <c r="D15" i="13"/>
  <c r="AI161" i="4"/>
  <c r="T297" i="3"/>
  <c r="D84" i="4"/>
  <c r="F242" i="3"/>
  <c r="A43" i="4"/>
  <c r="C304" i="6"/>
  <c r="D200" i="7"/>
  <c r="I184" i="5"/>
  <c r="A166"/>
  <c r="C341"/>
  <c r="AE316" i="4"/>
  <c r="C5" i="10"/>
  <c r="R103" i="6"/>
  <c r="S331" i="5"/>
  <c r="F305" i="4"/>
  <c r="R245" i="6"/>
  <c r="C225"/>
  <c r="K40"/>
  <c r="T19" i="5"/>
  <c r="R237" i="6"/>
  <c r="C219"/>
  <c r="K34"/>
  <c r="T13" i="5"/>
  <c r="R82"/>
  <c r="E126" i="4"/>
  <c r="E337" i="3"/>
  <c r="R276"/>
  <c r="C277" i="4"/>
  <c r="D185"/>
  <c r="Z190" i="3"/>
  <c r="D139"/>
  <c r="AE277" i="4"/>
  <c r="AF185"/>
  <c r="I191" i="3"/>
  <c r="N139"/>
  <c r="C282" i="4"/>
  <c r="B190"/>
  <c r="M194" i="3"/>
  <c r="R142"/>
  <c r="AE282" i="4"/>
  <c r="J190"/>
  <c r="V194" i="3"/>
  <c r="A143"/>
  <c r="C283" i="4"/>
  <c r="B191"/>
  <c r="F195" i="3"/>
  <c r="J143"/>
  <c r="AE287" i="4"/>
  <c r="H195"/>
  <c r="M198" i="3"/>
  <c r="N146"/>
  <c r="W385"/>
  <c r="P254"/>
  <c r="H336" i="5"/>
  <c r="W44" i="3"/>
  <c r="Q13"/>
  <c r="Z239"/>
  <c r="B171" i="4"/>
  <c r="G395" i="3"/>
  <c r="A326"/>
  <c r="P272"/>
  <c r="V163"/>
  <c r="T79"/>
  <c r="D68" i="4"/>
  <c r="A179" i="3"/>
  <c r="I88"/>
  <c r="AI321" i="4"/>
  <c r="E293" i="3"/>
  <c r="G295"/>
  <c r="H306"/>
  <c r="E414"/>
  <c r="AE387" i="4"/>
  <c r="V33" i="3"/>
  <c r="F370" i="5"/>
  <c r="R261"/>
  <c r="I349"/>
  <c r="C90" i="16"/>
  <c r="I41" i="6"/>
  <c r="N252" i="5"/>
  <c r="Q275"/>
  <c r="H66" i="13"/>
  <c r="R145" i="6"/>
  <c r="S373" i="5"/>
  <c r="AH356" i="4"/>
  <c r="C19" i="12"/>
  <c r="R139" i="6"/>
  <c r="S367" i="5"/>
  <c r="I349" i="4"/>
  <c r="O79" i="6"/>
  <c r="AG60" i="4"/>
  <c r="H390" i="3"/>
  <c r="D219"/>
  <c r="K155" i="5"/>
  <c r="AG119" i="4"/>
  <c r="V279" i="3"/>
  <c r="N91"/>
  <c r="O158" i="5"/>
  <c r="E120" i="4"/>
  <c r="D280" i="3"/>
  <c r="V91"/>
  <c r="K187" i="5"/>
  <c r="AF124" i="4"/>
  <c r="X282" i="3"/>
  <c r="P94"/>
  <c r="O190" i="5"/>
  <c r="D125" i="4"/>
  <c r="F283" i="3"/>
  <c r="X94"/>
  <c r="S193" i="5"/>
  <c r="AF125" i="4"/>
  <c r="N283" i="3"/>
  <c r="F95"/>
  <c r="O222" i="5"/>
  <c r="C130" i="4"/>
  <c r="H286" i="3"/>
  <c r="Z97"/>
  <c r="E103"/>
  <c r="I338" i="4"/>
  <c r="O201" i="3"/>
  <c r="N68"/>
  <c r="V239"/>
  <c r="D61" i="4"/>
  <c r="M28" i="5"/>
  <c r="D39" i="3"/>
  <c r="Y387"/>
  <c r="H127" i="13"/>
  <c r="K267" i="5"/>
  <c r="H266" i="4"/>
  <c r="D8" i="15"/>
  <c r="F115" i="4"/>
  <c r="T97" i="3"/>
  <c r="J37" i="4"/>
  <c r="T399" i="3"/>
  <c r="H234" i="4"/>
  <c r="B316" i="6"/>
  <c r="B203" i="7"/>
  <c r="B385" i="4"/>
  <c r="F362"/>
  <c r="O366" i="5"/>
  <c r="A348" i="4"/>
  <c r="H188" i="13"/>
  <c r="J129" i="6"/>
  <c r="K357" i="5"/>
  <c r="AH336" i="4"/>
  <c r="B347" i="6"/>
  <c r="S254" i="5"/>
  <c r="C66" i="6"/>
  <c r="L45" i="5"/>
  <c r="B299" i="6"/>
  <c r="S248" i="5"/>
  <c r="C60" i="6"/>
  <c r="L39" i="5"/>
  <c r="F185"/>
  <c r="A158" i="4"/>
  <c r="K363" i="3"/>
  <c r="Z302"/>
  <c r="AJ308" i="4"/>
  <c r="I216"/>
  <c r="E216" i="3"/>
  <c r="R161"/>
  <c r="H309" i="4"/>
  <c r="A217"/>
  <c r="O216" i="3"/>
  <c r="A162"/>
  <c r="AI313" i="4"/>
  <c r="I221"/>
  <c r="G220" i="3"/>
  <c r="E165"/>
  <c r="G314" i="4"/>
  <c r="A222"/>
  <c r="Q220" i="3"/>
  <c r="N165"/>
  <c r="AH314" i="4"/>
  <c r="I222"/>
  <c r="C221" i="3"/>
  <c r="W165"/>
  <c r="E319" i="4"/>
  <c r="AJ226"/>
  <c r="U224" i="3"/>
  <c r="B169"/>
  <c r="N19"/>
  <c r="D412"/>
  <c r="K107" i="6"/>
  <c r="C90" i="3"/>
  <c r="W232"/>
  <c r="Y80"/>
  <c r="E187" i="4"/>
  <c r="T18" i="3"/>
  <c r="P8"/>
  <c r="X102"/>
  <c r="K353"/>
  <c r="AI24" i="4"/>
  <c r="O127" i="6"/>
  <c r="G168" i="4"/>
  <c r="AH117"/>
  <c r="K238" i="6"/>
  <c r="I19" i="3"/>
  <c r="H178"/>
  <c r="F162" i="4"/>
  <c r="E44" i="3"/>
  <c r="H74"/>
  <c r="P129"/>
  <c r="A162" i="6"/>
  <c r="J287" i="5"/>
  <c r="AJ269" i="4"/>
  <c r="B90" i="16"/>
  <c r="A67" i="6"/>
  <c r="F278" i="5"/>
  <c r="AD258" i="4"/>
  <c r="G12" i="14"/>
  <c r="J171" i="6"/>
  <c r="K399" i="5"/>
  <c r="G388" i="4"/>
  <c r="H37" i="12"/>
  <c r="J165" i="6"/>
  <c r="K393" i="5"/>
  <c r="B381" i="4"/>
  <c r="G288" i="5"/>
  <c r="I92" i="4"/>
  <c r="Z409" i="3"/>
  <c r="L245"/>
  <c r="AE370" i="4"/>
  <c r="I151"/>
  <c r="N299" i="3"/>
  <c r="I112"/>
  <c r="AE374" i="4"/>
  <c r="A152"/>
  <c r="V299" i="3"/>
  <c r="R112"/>
  <c r="C410" i="4"/>
  <c r="H156"/>
  <c r="P302" i="3"/>
  <c r="W115"/>
  <c r="AJ413" i="4"/>
  <c r="AJ156"/>
  <c r="X302" i="3"/>
  <c r="F116"/>
  <c r="AI417" i="4"/>
  <c r="H157"/>
  <c r="F303" i="3"/>
  <c r="O116"/>
  <c r="N34" i="5"/>
  <c r="AH161" i="4"/>
  <c r="Z305" i="3"/>
  <c r="S119"/>
  <c r="M297"/>
  <c r="C146" i="5"/>
  <c r="Q306" i="3"/>
  <c r="H141"/>
  <c r="J397"/>
  <c r="D298" i="4"/>
  <c r="L183" i="6"/>
  <c r="I79" i="3"/>
  <c r="F20"/>
  <c r="C58" i="13"/>
  <c r="S369" i="5"/>
  <c r="B11"/>
  <c r="E456" i="17"/>
  <c r="AF68" i="4"/>
  <c r="L211" i="3"/>
  <c r="F227" i="4"/>
  <c r="V166" i="3"/>
  <c r="AH217" i="4"/>
  <c r="I316" i="6"/>
  <c r="D282" i="7"/>
  <c r="H184" i="5"/>
  <c r="T165"/>
  <c r="G392"/>
  <c r="AD379" i="4"/>
  <c r="H137" i="13"/>
  <c r="B155" i="6"/>
  <c r="C383" i="5"/>
  <c r="D368" i="4"/>
  <c r="N362" i="6"/>
  <c r="K280" i="5"/>
  <c r="O91" i="6"/>
  <c r="D71" i="5"/>
  <c r="I311" i="6"/>
  <c r="K274" i="5"/>
  <c r="O85" i="6"/>
  <c r="D65" i="5"/>
  <c r="B281" i="4"/>
  <c r="J189"/>
  <c r="S389" i="3"/>
  <c r="F329"/>
  <c r="H340" i="4"/>
  <c r="AG11"/>
  <c r="K242" i="3"/>
  <c r="E184"/>
  <c r="AI340" i="4"/>
  <c r="E12"/>
  <c r="U242" i="3"/>
  <c r="N184"/>
  <c r="E345" i="4"/>
  <c r="AG16"/>
  <c r="M246" i="3"/>
  <c r="R187"/>
  <c r="AF345" i="4"/>
  <c r="E17"/>
  <c r="Y246" i="3"/>
  <c r="A188"/>
  <c r="D346" i="4"/>
  <c r="AG17"/>
  <c r="I247" i="3"/>
  <c r="J188"/>
  <c r="AF350" i="4"/>
  <c r="E22"/>
  <c r="A251" i="3"/>
  <c r="O191"/>
  <c r="N40"/>
  <c r="O254"/>
  <c r="K327" i="6"/>
  <c r="F178" i="3"/>
  <c r="O164"/>
  <c r="W267"/>
  <c r="F203" i="4"/>
  <c r="B66" i="3"/>
  <c r="H28"/>
  <c r="D297"/>
  <c r="Z29"/>
  <c r="L164" i="5"/>
  <c r="L67" i="3"/>
  <c r="F260" i="4"/>
  <c r="F55" i="5"/>
  <c r="X29" i="3"/>
  <c r="C74"/>
  <c r="D385"/>
  <c r="R37" i="5"/>
  <c r="F317" i="3"/>
  <c r="I329" i="4"/>
  <c r="L324" i="5"/>
  <c r="C262" i="4"/>
  <c r="N215" i="3"/>
  <c r="I9" i="4"/>
  <c r="E383"/>
  <c r="L267" i="3"/>
  <c r="I130" i="4"/>
  <c r="N238" i="3"/>
  <c r="AF80" i="4"/>
  <c r="F19" i="6"/>
  <c r="S108" i="3"/>
  <c r="I372" i="4"/>
  <c r="P267" i="3"/>
  <c r="S219"/>
  <c r="J230"/>
  <c r="K78"/>
  <c r="M146"/>
  <c r="AF388" i="4"/>
  <c r="T136" i="3"/>
  <c r="Q73"/>
  <c r="J331" i="4"/>
  <c r="G312" i="5"/>
  <c r="AJ280" i="4"/>
  <c r="R376" i="6"/>
  <c r="B75"/>
  <c r="C303" i="5"/>
  <c r="I269" i="4"/>
  <c r="B199" i="7"/>
  <c r="G196" i="6"/>
  <c r="O11"/>
  <c r="F399" i="4"/>
  <c r="B159" i="7"/>
  <c r="G190" i="6"/>
  <c r="Q5"/>
  <c r="AJ391" i="4"/>
  <c r="J6" i="5"/>
  <c r="AE90" i="4"/>
  <c r="Q307" i="3"/>
  <c r="D247"/>
  <c r="E370" i="5"/>
  <c r="AE149" i="4"/>
  <c r="R165" i="3"/>
  <c r="V113"/>
  <c r="I373" i="5"/>
  <c r="C150" i="4"/>
  <c r="A166" i="3"/>
  <c r="E114"/>
  <c r="E402" i="5"/>
  <c r="AE154" i="4"/>
  <c r="E169" i="3"/>
  <c r="J117"/>
  <c r="I405" i="5"/>
  <c r="C155" i="4"/>
  <c r="N169" i="3"/>
  <c r="S117"/>
  <c r="M408" i="5"/>
  <c r="AD155" i="4"/>
  <c r="W169" i="3"/>
  <c r="B118"/>
  <c r="AJ251" i="4"/>
  <c r="A160"/>
  <c r="B173" i="3"/>
  <c r="F121"/>
  <c r="S267"/>
  <c r="A258"/>
  <c r="E107" i="5"/>
  <c r="A20" i="3"/>
  <c r="U216"/>
  <c r="Q415"/>
  <c r="E343"/>
  <c r="G183" i="13"/>
  <c r="W207" i="3"/>
  <c r="A92" i="12"/>
  <c r="D115" i="5"/>
  <c r="B380" i="6"/>
  <c r="B95"/>
  <c r="J391" i="3"/>
  <c r="H143" i="5"/>
  <c r="Z326" i="3"/>
  <c r="K36" i="5"/>
  <c r="M90" i="3"/>
  <c r="I213" i="17"/>
  <c r="D484"/>
  <c r="F176" i="6"/>
  <c r="J167"/>
  <c r="T417" i="5"/>
  <c r="H390" i="4"/>
  <c r="D89" i="7"/>
  <c r="S179" i="6"/>
  <c r="P408" i="5"/>
  <c r="D379" i="4"/>
  <c r="D317" i="6"/>
  <c r="T304" i="5"/>
  <c r="E146"/>
  <c r="Q96"/>
  <c r="D311" i="6"/>
  <c r="T298" i="5"/>
  <c r="E140"/>
  <c r="Q90"/>
  <c r="G95"/>
  <c r="D188" i="4"/>
  <c r="B388" i="3"/>
  <c r="F284"/>
  <c r="E351" i="4"/>
  <c r="G10"/>
  <c r="V240" i="3"/>
  <c r="O145"/>
  <c r="AG351" i="4"/>
  <c r="AI10"/>
  <c r="F241" i="3"/>
  <c r="X145"/>
  <c r="B356" i="4"/>
  <c r="G15"/>
  <c r="X244" i="3"/>
  <c r="C149"/>
  <c r="J356" i="4"/>
  <c r="AI15"/>
  <c r="H245" i="3"/>
  <c r="L149"/>
  <c r="B357" i="4"/>
  <c r="G16"/>
  <c r="T245" i="3"/>
  <c r="U149"/>
  <c r="I361" i="4"/>
  <c r="AI20"/>
  <c r="L249" i="3"/>
  <c r="Y152"/>
  <c r="M312"/>
  <c r="E11"/>
  <c r="AG190" i="4"/>
  <c r="A218" i="3"/>
  <c r="C263"/>
  <c r="G59"/>
  <c r="T163"/>
  <c r="AI113" i="4"/>
  <c r="F51" i="6"/>
  <c r="X8" i="3"/>
  <c r="P349"/>
  <c r="C375"/>
  <c r="G36" i="4"/>
  <c r="W392" i="3"/>
  <c r="AG128" i="4"/>
  <c r="F289" i="3"/>
  <c r="K81"/>
  <c r="AG44" i="4"/>
  <c r="X152" i="3"/>
  <c r="B361" i="4"/>
  <c r="Q77" i="3"/>
  <c r="X24"/>
  <c r="I140" i="5"/>
  <c r="S337"/>
  <c r="AG312" i="4"/>
  <c r="F11" i="10"/>
  <c r="N100" i="6"/>
  <c r="O328" i="5"/>
  <c r="L99"/>
  <c r="R17" i="6"/>
  <c r="S245" i="5"/>
  <c r="L221"/>
  <c r="H175" i="7"/>
  <c r="R11" i="6"/>
  <c r="S239" i="5"/>
  <c r="L215"/>
  <c r="AI271" i="4"/>
  <c r="C139"/>
  <c r="V291" i="3"/>
  <c r="O103"/>
  <c r="B330" i="4"/>
  <c r="AG197"/>
  <c r="Q396" i="3"/>
  <c r="F336"/>
  <c r="A334" i="4"/>
  <c r="E198"/>
  <c r="C397" i="3"/>
  <c r="P336"/>
  <c r="F369" i="4"/>
  <c r="AF202"/>
  <c r="U400" i="3"/>
  <c r="H340"/>
  <c r="F373" i="4"/>
  <c r="D203"/>
  <c r="E401" i="3"/>
  <c r="R340"/>
  <c r="F377" i="4"/>
  <c r="AF203"/>
  <c r="O401" i="3"/>
  <c r="D341"/>
  <c r="AF412" i="4"/>
  <c r="D208"/>
  <c r="G405" i="3"/>
  <c r="V344"/>
  <c r="T201"/>
  <c r="H47" i="4"/>
  <c r="N348" i="3"/>
  <c r="F154"/>
  <c r="O228"/>
  <c r="AE214" i="4"/>
  <c r="H65" i="5"/>
  <c r="M316" i="3"/>
  <c r="W312"/>
  <c r="G181" i="13"/>
  <c r="B255" i="4"/>
  <c r="N185" i="5"/>
  <c r="AJ211" i="4"/>
  <c r="Z117" i="3"/>
  <c r="I134" i="4"/>
  <c r="K60" i="3"/>
  <c r="I376" i="4"/>
  <c r="H219" i="7"/>
  <c r="E412" i="6"/>
  <c r="O200" i="5"/>
  <c r="G182"/>
  <c r="O238"/>
  <c r="H214"/>
  <c r="I403" i="6"/>
  <c r="H413" i="5"/>
  <c r="K221"/>
  <c r="E33" i="12"/>
  <c r="O331" i="5"/>
  <c r="S142" i="6"/>
  <c r="AH308" i="4"/>
  <c r="J117" i="6"/>
  <c r="G301" i="4"/>
  <c r="A373" i="3"/>
  <c r="R165" i="6"/>
  <c r="J125" i="4"/>
  <c r="G74" i="3"/>
  <c r="J92" i="4"/>
  <c r="P74" i="3"/>
  <c r="Q265"/>
  <c r="B201" i="6"/>
  <c r="Z265" i="3"/>
  <c r="D170" i="5"/>
  <c r="Y77" i="3"/>
  <c r="AI68" i="4"/>
  <c r="T323" i="3"/>
  <c r="N196"/>
  <c r="R108"/>
  <c r="P286"/>
  <c r="N20"/>
  <c r="T110"/>
  <c r="M133"/>
  <c r="Z377" i="4" l="1"/>
  <c r="Y377"/>
  <c r="Y373"/>
  <c r="Z373"/>
  <c r="Y369"/>
  <c r="Z369"/>
  <c r="O334"/>
  <c r="X334"/>
  <c r="T334"/>
  <c r="S334"/>
  <c r="W334"/>
  <c r="N334"/>
  <c r="R334"/>
  <c r="Q334"/>
  <c r="V334"/>
  <c r="U334"/>
  <c r="P334"/>
  <c r="M334"/>
  <c r="L334"/>
  <c r="K334"/>
  <c r="X3" i="3"/>
  <c r="P160" i="4"/>
  <c r="M160"/>
  <c r="L160"/>
  <c r="R160"/>
  <c r="O160"/>
  <c r="X160"/>
  <c r="U160"/>
  <c r="Q160"/>
  <c r="S160"/>
  <c r="T160"/>
  <c r="K160"/>
  <c r="V160"/>
  <c r="W160"/>
  <c r="N160"/>
  <c r="Z399"/>
  <c r="Y399"/>
  <c r="Y260"/>
  <c r="Z260"/>
  <c r="Z203"/>
  <c r="Y203"/>
  <c r="Z227"/>
  <c r="Y227"/>
  <c r="X152"/>
  <c r="O152"/>
  <c r="Q152"/>
  <c r="U152"/>
  <c r="S152"/>
  <c r="N152"/>
  <c r="K152"/>
  <c r="V152"/>
  <c r="W152"/>
  <c r="T152"/>
  <c r="M152"/>
  <c r="P152"/>
  <c r="R152"/>
  <c r="L152"/>
  <c r="Z162"/>
  <c r="Y162"/>
  <c r="V222"/>
  <c r="M222"/>
  <c r="L222"/>
  <c r="Q222"/>
  <c r="X222"/>
  <c r="N222"/>
  <c r="O222"/>
  <c r="S222"/>
  <c r="K222"/>
  <c r="U222"/>
  <c r="P222"/>
  <c r="W222"/>
  <c r="T222"/>
  <c r="R222"/>
  <c r="Q217"/>
  <c r="W217"/>
  <c r="N217"/>
  <c r="T217"/>
  <c r="V217"/>
  <c r="L217"/>
  <c r="O217"/>
  <c r="M217"/>
  <c r="U217"/>
  <c r="S217"/>
  <c r="X217"/>
  <c r="P217"/>
  <c r="R217"/>
  <c r="K217"/>
  <c r="U158"/>
  <c r="S158"/>
  <c r="V158"/>
  <c r="X158"/>
  <c r="T158"/>
  <c r="R158"/>
  <c r="Q158"/>
  <c r="P158"/>
  <c r="K158"/>
  <c r="L158"/>
  <c r="O158"/>
  <c r="W158"/>
  <c r="N158"/>
  <c r="M158"/>
  <c r="W348"/>
  <c r="P348"/>
  <c r="Q348"/>
  <c r="L348"/>
  <c r="M348"/>
  <c r="V348"/>
  <c r="U348"/>
  <c r="X348"/>
  <c r="O348"/>
  <c r="S348"/>
  <c r="K348"/>
  <c r="R348"/>
  <c r="T348"/>
  <c r="N348"/>
  <c r="Z362"/>
  <c r="Y362"/>
  <c r="Z115"/>
  <c r="Y115"/>
  <c r="Z305"/>
  <c r="Y305"/>
  <c r="U43"/>
  <c r="S43"/>
  <c r="X43"/>
  <c r="N43"/>
  <c r="R43"/>
  <c r="Q43"/>
  <c r="V43"/>
  <c r="T43"/>
  <c r="K43"/>
  <c r="P43"/>
  <c r="W43"/>
  <c r="L43"/>
  <c r="O43"/>
  <c r="M43"/>
  <c r="Z397"/>
  <c r="Y397"/>
  <c r="K350"/>
  <c r="S350"/>
  <c r="M350"/>
  <c r="T350"/>
  <c r="R350"/>
  <c r="Q350"/>
  <c r="P350"/>
  <c r="L350"/>
  <c r="N350"/>
  <c r="O350"/>
  <c r="X350"/>
  <c r="U350"/>
  <c r="V350"/>
  <c r="W350"/>
  <c r="S367"/>
  <c r="T367"/>
  <c r="U367"/>
  <c r="V367"/>
  <c r="W367"/>
  <c r="N367"/>
  <c r="R367"/>
  <c r="L367"/>
  <c r="M367"/>
  <c r="X367"/>
  <c r="Q367"/>
  <c r="P367"/>
  <c r="O367"/>
  <c r="K367"/>
  <c r="V290"/>
  <c r="K290"/>
  <c r="T290"/>
  <c r="O290"/>
  <c r="P290"/>
  <c r="L290"/>
  <c r="S290"/>
  <c r="W290"/>
  <c r="X290"/>
  <c r="U290"/>
  <c r="R290"/>
  <c r="M290"/>
  <c r="Q290"/>
  <c r="N290"/>
  <c r="M159"/>
  <c r="L159"/>
  <c r="Q159"/>
  <c r="V159"/>
  <c r="U159"/>
  <c r="N159"/>
  <c r="P159"/>
  <c r="W159"/>
  <c r="K159"/>
  <c r="S159"/>
  <c r="O159"/>
  <c r="X159"/>
  <c r="T159"/>
  <c r="R159"/>
  <c r="Z403"/>
  <c r="Y403"/>
  <c r="Z62"/>
  <c r="Y62"/>
  <c r="Y61"/>
  <c r="Z61"/>
  <c r="Y218"/>
  <c r="Z218"/>
  <c r="Y127"/>
  <c r="Z127"/>
  <c r="Y122"/>
  <c r="Z122"/>
  <c r="Y18"/>
  <c r="Z18"/>
  <c r="Q81"/>
  <c r="M81"/>
  <c r="T81"/>
  <c r="X81"/>
  <c r="W81"/>
  <c r="R81"/>
  <c r="L81"/>
  <c r="O81"/>
  <c r="V81"/>
  <c r="K81"/>
  <c r="U81"/>
  <c r="P81"/>
  <c r="N81"/>
  <c r="S81"/>
  <c r="Z292"/>
  <c r="Y292"/>
  <c r="U368" i="6"/>
  <c r="Z340" i="4"/>
  <c r="Y340"/>
  <c r="U380" i="6"/>
  <c r="U403"/>
  <c r="Y7" i="4"/>
  <c r="Z7"/>
  <c r="U158" i="6"/>
  <c r="R19" i="4"/>
  <c r="N19"/>
  <c r="W19"/>
  <c r="M19"/>
  <c r="L19"/>
  <c r="Q19"/>
  <c r="P19"/>
  <c r="K19"/>
  <c r="T19"/>
  <c r="O19"/>
  <c r="S19"/>
  <c r="U19"/>
  <c r="X19"/>
  <c r="V19"/>
  <c r="Y173"/>
  <c r="Z173"/>
  <c r="V396"/>
  <c r="X396"/>
  <c r="N396"/>
  <c r="R396"/>
  <c r="W396"/>
  <c r="Q396"/>
  <c r="T396"/>
  <c r="U396"/>
  <c r="P396"/>
  <c r="O396"/>
  <c r="K396"/>
  <c r="M396"/>
  <c r="L396"/>
  <c r="S396"/>
  <c r="Y67"/>
  <c r="Z67"/>
  <c r="U329" i="6"/>
  <c r="Y314" i="4"/>
  <c r="Z314"/>
  <c r="Q190"/>
  <c r="X190"/>
  <c r="U190"/>
  <c r="S190"/>
  <c r="P190"/>
  <c r="M190"/>
  <c r="K190"/>
  <c r="R190"/>
  <c r="O190"/>
  <c r="W190"/>
  <c r="N190"/>
  <c r="V190"/>
  <c r="L190"/>
  <c r="T190"/>
  <c r="U71" i="6"/>
  <c r="M46" i="4"/>
  <c r="S46"/>
  <c r="N46"/>
  <c r="O46"/>
  <c r="Q46"/>
  <c r="L46"/>
  <c r="K46"/>
  <c r="P46"/>
  <c r="X46"/>
  <c r="U46"/>
  <c r="W46"/>
  <c r="V46"/>
  <c r="R46"/>
  <c r="T46"/>
  <c r="Z140"/>
  <c r="Y140"/>
  <c r="X219"/>
  <c r="S219"/>
  <c r="L219"/>
  <c r="M219"/>
  <c r="V219"/>
  <c r="R219"/>
  <c r="N219"/>
  <c r="Q219"/>
  <c r="W219"/>
  <c r="T219"/>
  <c r="K219"/>
  <c r="O219"/>
  <c r="P219"/>
  <c r="U219"/>
  <c r="X306"/>
  <c r="W306"/>
  <c r="S306"/>
  <c r="N306"/>
  <c r="V306"/>
  <c r="Q306"/>
  <c r="K306"/>
  <c r="T306"/>
  <c r="O306"/>
  <c r="P306"/>
  <c r="U306"/>
  <c r="M306"/>
  <c r="R306"/>
  <c r="L306"/>
  <c r="R301"/>
  <c r="N301"/>
  <c r="Q301"/>
  <c r="L301"/>
  <c r="U301"/>
  <c r="P301"/>
  <c r="O301"/>
  <c r="T301"/>
  <c r="X301"/>
  <c r="W301"/>
  <c r="S301"/>
  <c r="K301"/>
  <c r="M301"/>
  <c r="V301"/>
  <c r="K329"/>
  <c r="W329"/>
  <c r="X329"/>
  <c r="T329"/>
  <c r="S329"/>
  <c r="V329"/>
  <c r="M329"/>
  <c r="L329"/>
  <c r="R329"/>
  <c r="Q329"/>
  <c r="O329"/>
  <c r="U329"/>
  <c r="N329"/>
  <c r="P329"/>
  <c r="T194"/>
  <c r="X194"/>
  <c r="Q194"/>
  <c r="R194"/>
  <c r="N194"/>
  <c r="O194"/>
  <c r="V194"/>
  <c r="U194"/>
  <c r="K194"/>
  <c r="P194"/>
  <c r="W194"/>
  <c r="L194"/>
  <c r="S194"/>
  <c r="M194"/>
  <c r="T3" i="5"/>
  <c r="U264" i="4"/>
  <c r="S264"/>
  <c r="O264"/>
  <c r="W264"/>
  <c r="L264"/>
  <c r="R264"/>
  <c r="K264"/>
  <c r="N264"/>
  <c r="V264"/>
  <c r="M264"/>
  <c r="T264"/>
  <c r="Q264"/>
  <c r="P264"/>
  <c r="X264"/>
  <c r="Y177"/>
  <c r="Z177"/>
  <c r="Z118"/>
  <c r="Y118"/>
  <c r="L3" i="5"/>
  <c r="X232" i="4"/>
  <c r="U232"/>
  <c r="S232"/>
  <c r="V232"/>
  <c r="W232"/>
  <c r="N232"/>
  <c r="P232"/>
  <c r="M232"/>
  <c r="T232"/>
  <c r="R232"/>
  <c r="Q232"/>
  <c r="O232"/>
  <c r="K232"/>
  <c r="L232"/>
  <c r="Z155"/>
  <c r="Y155"/>
  <c r="Z69"/>
  <c r="Y69"/>
  <c r="K397"/>
  <c r="Q397"/>
  <c r="O397"/>
  <c r="X397"/>
  <c r="N397"/>
  <c r="S397"/>
  <c r="W397"/>
  <c r="T397"/>
  <c r="L397"/>
  <c r="V397"/>
  <c r="U397"/>
  <c r="R397"/>
  <c r="P397"/>
  <c r="M397"/>
  <c r="Z68"/>
  <c r="Y68"/>
  <c r="Z63"/>
  <c r="Y63"/>
  <c r="Y124"/>
  <c r="Z124"/>
  <c r="L55"/>
  <c r="T55"/>
  <c r="W55"/>
  <c r="V55"/>
  <c r="R55"/>
  <c r="U55"/>
  <c r="P55"/>
  <c r="M55"/>
  <c r="N55"/>
  <c r="O55"/>
  <c r="X55"/>
  <c r="K55"/>
  <c r="Q55"/>
  <c r="S55"/>
  <c r="Y88"/>
  <c r="Z88"/>
  <c r="Y239"/>
  <c r="Z239"/>
  <c r="Z356"/>
  <c r="Y356"/>
  <c r="Z93"/>
  <c r="Y93"/>
  <c r="U120"/>
  <c r="N120"/>
  <c r="O120"/>
  <c r="X120"/>
  <c r="L120"/>
  <c r="S120"/>
  <c r="W120"/>
  <c r="T120"/>
  <c r="M120"/>
  <c r="V120"/>
  <c r="R120"/>
  <c r="K120"/>
  <c r="Q120"/>
  <c r="P120"/>
  <c r="Z196"/>
  <c r="Y196"/>
  <c r="L192"/>
  <c r="M192"/>
  <c r="O192"/>
  <c r="R192"/>
  <c r="K192"/>
  <c r="Q192"/>
  <c r="N192"/>
  <c r="U192"/>
  <c r="V192"/>
  <c r="X192"/>
  <c r="T192"/>
  <c r="S192"/>
  <c r="W192"/>
  <c r="P192"/>
  <c r="V191"/>
  <c r="X191"/>
  <c r="U191"/>
  <c r="P191"/>
  <c r="M191"/>
  <c r="N191"/>
  <c r="Q191"/>
  <c r="S191"/>
  <c r="O191"/>
  <c r="T191"/>
  <c r="K191"/>
  <c r="W191"/>
  <c r="L191"/>
  <c r="R191"/>
  <c r="U326" i="6"/>
  <c r="T398" i="4"/>
  <c r="X398"/>
  <c r="P398"/>
  <c r="S398"/>
  <c r="L398"/>
  <c r="W398"/>
  <c r="R398"/>
  <c r="N398"/>
  <c r="V398"/>
  <c r="O398"/>
  <c r="U398"/>
  <c r="K398"/>
  <c r="M398"/>
  <c r="Q398"/>
  <c r="Z65"/>
  <c r="Y65"/>
  <c r="Z64"/>
  <c r="Y64"/>
  <c r="K140"/>
  <c r="M140"/>
  <c r="R140"/>
  <c r="L140"/>
  <c r="N140"/>
  <c r="P140"/>
  <c r="U140"/>
  <c r="V140"/>
  <c r="X140"/>
  <c r="T140"/>
  <c r="S140"/>
  <c r="Q140"/>
  <c r="W140"/>
  <c r="O140"/>
  <c r="K356"/>
  <c r="U356"/>
  <c r="X356"/>
  <c r="O356"/>
  <c r="L356"/>
  <c r="S356"/>
  <c r="R356"/>
  <c r="T356"/>
  <c r="V356"/>
  <c r="W356"/>
  <c r="Q356"/>
  <c r="N356"/>
  <c r="M356"/>
  <c r="P356"/>
  <c r="Y241"/>
  <c r="Z241"/>
  <c r="X299"/>
  <c r="O299"/>
  <c r="S299"/>
  <c r="U299"/>
  <c r="M299"/>
  <c r="R299"/>
  <c r="N299"/>
  <c r="Q299"/>
  <c r="V299"/>
  <c r="T299"/>
  <c r="K299"/>
  <c r="W299"/>
  <c r="P299"/>
  <c r="L299"/>
  <c r="Y225"/>
  <c r="Z225"/>
  <c r="R60"/>
  <c r="N60"/>
  <c r="W60"/>
  <c r="P60"/>
  <c r="Q60"/>
  <c r="U60"/>
  <c r="M60"/>
  <c r="V60"/>
  <c r="S60"/>
  <c r="L60"/>
  <c r="O60"/>
  <c r="T60"/>
  <c r="K60"/>
  <c r="X60"/>
  <c r="V400"/>
  <c r="M400"/>
  <c r="U400"/>
  <c r="R400"/>
  <c r="P400"/>
  <c r="X400"/>
  <c r="T400"/>
  <c r="Q400"/>
  <c r="W400"/>
  <c r="O400"/>
  <c r="S400"/>
  <c r="L400"/>
  <c r="N400"/>
  <c r="K400"/>
  <c r="U346" i="6"/>
  <c r="U352"/>
  <c r="U23"/>
  <c r="O3" i="3"/>
  <c r="U327" i="4"/>
  <c r="X327"/>
  <c r="P327"/>
  <c r="Q327"/>
  <c r="N327"/>
  <c r="K327"/>
  <c r="O327"/>
  <c r="T327"/>
  <c r="S327"/>
  <c r="W327"/>
  <c r="L327"/>
  <c r="R327"/>
  <c r="V327"/>
  <c r="M327"/>
  <c r="Y334"/>
  <c r="Z334"/>
  <c r="X323"/>
  <c r="P323"/>
  <c r="Q323"/>
  <c r="K323"/>
  <c r="O323"/>
  <c r="L323"/>
  <c r="T323"/>
  <c r="V323"/>
  <c r="U323"/>
  <c r="S323"/>
  <c r="M323"/>
  <c r="W323"/>
  <c r="R323"/>
  <c r="N323"/>
  <c r="U276" i="6"/>
  <c r="R407" i="4"/>
  <c r="U407"/>
  <c r="W407"/>
  <c r="V407"/>
  <c r="K407"/>
  <c r="P407"/>
  <c r="Q407"/>
  <c r="N407"/>
  <c r="L407"/>
  <c r="M407"/>
  <c r="O407"/>
  <c r="S407"/>
  <c r="T407"/>
  <c r="X407"/>
  <c r="U264" i="6"/>
  <c r="U285"/>
  <c r="U355"/>
  <c r="U252"/>
  <c r="U270"/>
  <c r="U104"/>
  <c r="R389" i="4"/>
  <c r="L389"/>
  <c r="M389"/>
  <c r="V389"/>
  <c r="Q389"/>
  <c r="U389"/>
  <c r="O389"/>
  <c r="X389"/>
  <c r="T389"/>
  <c r="W389"/>
  <c r="S389"/>
  <c r="K389"/>
  <c r="N389"/>
  <c r="P389"/>
  <c r="U257" i="6"/>
  <c r="Q384" i="4"/>
  <c r="N384"/>
  <c r="T384"/>
  <c r="V384"/>
  <c r="M384"/>
  <c r="L384"/>
  <c r="S384"/>
  <c r="X384"/>
  <c r="P384"/>
  <c r="U384"/>
  <c r="W384"/>
  <c r="O384"/>
  <c r="R384"/>
  <c r="K384"/>
  <c r="Z395"/>
  <c r="Y395"/>
  <c r="V358"/>
  <c r="W358"/>
  <c r="T358"/>
  <c r="K358"/>
  <c r="O358"/>
  <c r="Q358"/>
  <c r="S358"/>
  <c r="U358"/>
  <c r="M358"/>
  <c r="R358"/>
  <c r="L358"/>
  <c r="X358"/>
  <c r="P358"/>
  <c r="N358"/>
  <c r="V357"/>
  <c r="Q357"/>
  <c r="U357"/>
  <c r="L357"/>
  <c r="P357"/>
  <c r="O357"/>
  <c r="N357"/>
  <c r="X357"/>
  <c r="W357"/>
  <c r="S357"/>
  <c r="T357"/>
  <c r="M357"/>
  <c r="R357"/>
  <c r="K357"/>
  <c r="W41"/>
  <c r="P41"/>
  <c r="N41"/>
  <c r="K41"/>
  <c r="V41"/>
  <c r="T41"/>
  <c r="R41"/>
  <c r="Q41"/>
  <c r="M41"/>
  <c r="L41"/>
  <c r="O41"/>
  <c r="X41"/>
  <c r="U41"/>
  <c r="S41"/>
  <c r="Z337"/>
  <c r="Y337"/>
  <c r="Y36"/>
  <c r="Z36"/>
  <c r="W59"/>
  <c r="V59"/>
  <c r="N59"/>
  <c r="S59"/>
  <c r="P59"/>
  <c r="M59"/>
  <c r="L59"/>
  <c r="R59"/>
  <c r="X59"/>
  <c r="O59"/>
  <c r="Q59"/>
  <c r="T59"/>
  <c r="K59"/>
  <c r="U59"/>
  <c r="N172"/>
  <c r="L172"/>
  <c r="P172"/>
  <c r="W172"/>
  <c r="U172"/>
  <c r="R172"/>
  <c r="V172"/>
  <c r="M172"/>
  <c r="K172"/>
  <c r="Q172"/>
  <c r="O172"/>
  <c r="X172"/>
  <c r="T172"/>
  <c r="S172"/>
  <c r="Z331"/>
  <c r="Y331"/>
  <c r="U90" i="6"/>
  <c r="U109"/>
  <c r="U96"/>
  <c r="U115"/>
  <c r="W369" i="4"/>
  <c r="L369"/>
  <c r="R369"/>
  <c r="V369"/>
  <c r="M369"/>
  <c r="U369"/>
  <c r="Q369"/>
  <c r="X369"/>
  <c r="N369"/>
  <c r="S369"/>
  <c r="O369"/>
  <c r="P369"/>
  <c r="T369"/>
  <c r="K369"/>
  <c r="Z139"/>
  <c r="Y139"/>
  <c r="Z138"/>
  <c r="Y138"/>
  <c r="Y133"/>
  <c r="Z133"/>
  <c r="U159" i="6"/>
  <c r="Z31" i="4"/>
  <c r="Y31"/>
  <c r="V238"/>
  <c r="W238"/>
  <c r="L238"/>
  <c r="O238"/>
  <c r="M238"/>
  <c r="T238"/>
  <c r="R238"/>
  <c r="P238"/>
  <c r="U238"/>
  <c r="S238"/>
  <c r="Q238"/>
  <c r="X238"/>
  <c r="N238"/>
  <c r="K238"/>
  <c r="N97"/>
  <c r="T97"/>
  <c r="W97"/>
  <c r="Q97"/>
  <c r="R97"/>
  <c r="L97"/>
  <c r="M97"/>
  <c r="P97"/>
  <c r="U97"/>
  <c r="X97"/>
  <c r="K97"/>
  <c r="S97"/>
  <c r="O97"/>
  <c r="V97"/>
  <c r="Y53"/>
  <c r="Z53"/>
  <c r="Y206"/>
  <c r="Z206"/>
  <c r="Y205"/>
  <c r="Z205"/>
  <c r="Z200"/>
  <c r="Y200"/>
  <c r="R44"/>
  <c r="U44"/>
  <c r="M44"/>
  <c r="O44"/>
  <c r="Q44"/>
  <c r="N44"/>
  <c r="V44"/>
  <c r="X44"/>
  <c r="L44"/>
  <c r="S44"/>
  <c r="T44"/>
  <c r="K44"/>
  <c r="W44"/>
  <c r="P44"/>
  <c r="Z71"/>
  <c r="Y71"/>
  <c r="Y288"/>
  <c r="Z288"/>
  <c r="Y137"/>
  <c r="Z137"/>
  <c r="U50"/>
  <c r="S50"/>
  <c r="W50"/>
  <c r="P50"/>
  <c r="R50"/>
  <c r="N50"/>
  <c r="Q50"/>
  <c r="T50"/>
  <c r="V50"/>
  <c r="X50"/>
  <c r="L50"/>
  <c r="K50"/>
  <c r="O50"/>
  <c r="M50"/>
  <c r="P116"/>
  <c r="M116"/>
  <c r="K116"/>
  <c r="S116"/>
  <c r="O116"/>
  <c r="U116"/>
  <c r="N116"/>
  <c r="X116"/>
  <c r="R116"/>
  <c r="L116"/>
  <c r="W116"/>
  <c r="V116"/>
  <c r="Q116"/>
  <c r="T116"/>
  <c r="Z342"/>
  <c r="Y342"/>
  <c r="T337"/>
  <c r="O337"/>
  <c r="M337"/>
  <c r="L337"/>
  <c r="S337"/>
  <c r="W337"/>
  <c r="Q337"/>
  <c r="U337"/>
  <c r="K337"/>
  <c r="V337"/>
  <c r="P337"/>
  <c r="R337"/>
  <c r="N337"/>
  <c r="X337"/>
  <c r="Z84"/>
  <c r="Y84"/>
  <c r="O3" i="5"/>
  <c r="Y14" i="4"/>
  <c r="Z14"/>
  <c r="Q223"/>
  <c r="U223"/>
  <c r="N223"/>
  <c r="V223"/>
  <c r="W223"/>
  <c r="K223"/>
  <c r="S223"/>
  <c r="P223"/>
  <c r="M223"/>
  <c r="T223"/>
  <c r="R223"/>
  <c r="O223"/>
  <c r="X223"/>
  <c r="L223"/>
  <c r="Z315"/>
  <c r="Y315"/>
  <c r="S218"/>
  <c r="N218"/>
  <c r="W218"/>
  <c r="K218"/>
  <c r="L218"/>
  <c r="M218"/>
  <c r="Q218"/>
  <c r="T218"/>
  <c r="X218"/>
  <c r="O218"/>
  <c r="R218"/>
  <c r="U218"/>
  <c r="V218"/>
  <c r="P218"/>
  <c r="K305"/>
  <c r="S305"/>
  <c r="O305"/>
  <c r="T305"/>
  <c r="N305"/>
  <c r="W305"/>
  <c r="L305"/>
  <c r="R305"/>
  <c r="M305"/>
  <c r="V305"/>
  <c r="Q305"/>
  <c r="U305"/>
  <c r="X305"/>
  <c r="P305"/>
  <c r="U331"/>
  <c r="S331"/>
  <c r="V331"/>
  <c r="X331"/>
  <c r="K331"/>
  <c r="R331"/>
  <c r="W331"/>
  <c r="M331"/>
  <c r="N331"/>
  <c r="Q331"/>
  <c r="P331"/>
  <c r="L331"/>
  <c r="T331"/>
  <c r="O331"/>
  <c r="Y45"/>
  <c r="Z45"/>
  <c r="K177"/>
  <c r="T177"/>
  <c r="O177"/>
  <c r="L177"/>
  <c r="S177"/>
  <c r="W177"/>
  <c r="M177"/>
  <c r="U177"/>
  <c r="R177"/>
  <c r="V177"/>
  <c r="X177"/>
  <c r="N177"/>
  <c r="P177"/>
  <c r="Q177"/>
  <c r="U7" i="6"/>
  <c r="U307"/>
  <c r="Z92" i="4"/>
  <c r="Y92"/>
  <c r="U215"/>
  <c r="Q215"/>
  <c r="P215"/>
  <c r="T215"/>
  <c r="N215"/>
  <c r="O215"/>
  <c r="W215"/>
  <c r="K215"/>
  <c r="S215"/>
  <c r="X215"/>
  <c r="R215"/>
  <c r="L215"/>
  <c r="M215"/>
  <c r="V215"/>
  <c r="V303"/>
  <c r="W303"/>
  <c r="N303"/>
  <c r="R303"/>
  <c r="P303"/>
  <c r="M303"/>
  <c r="L303"/>
  <c r="O303"/>
  <c r="X303"/>
  <c r="T303"/>
  <c r="Q303"/>
  <c r="S303"/>
  <c r="K303"/>
  <c r="U303"/>
  <c r="M302"/>
  <c r="O302"/>
  <c r="R302"/>
  <c r="T302"/>
  <c r="X302"/>
  <c r="V302"/>
  <c r="U302"/>
  <c r="W302"/>
  <c r="Q302"/>
  <c r="K302"/>
  <c r="N302"/>
  <c r="P302"/>
  <c r="S302"/>
  <c r="L302"/>
  <c r="Z336"/>
  <c r="Y336"/>
  <c r="Q228"/>
  <c r="L228"/>
  <c r="M228"/>
  <c r="P228"/>
  <c r="S228"/>
  <c r="U228"/>
  <c r="O228"/>
  <c r="X228"/>
  <c r="T228"/>
  <c r="K228"/>
  <c r="R228"/>
  <c r="N228"/>
  <c r="W228"/>
  <c r="V228"/>
  <c r="X76"/>
  <c r="T76"/>
  <c r="W76"/>
  <c r="V76"/>
  <c r="R76"/>
  <c r="N76"/>
  <c r="P76"/>
  <c r="Q76"/>
  <c r="L76"/>
  <c r="U76"/>
  <c r="M76"/>
  <c r="O76"/>
  <c r="S76"/>
  <c r="K76"/>
  <c r="Z179"/>
  <c r="Y179"/>
  <c r="Y178"/>
  <c r="Z178"/>
  <c r="Z19"/>
  <c r="Y19"/>
  <c r="U244" i="6"/>
  <c r="U224" i="4"/>
  <c r="P224"/>
  <c r="M224"/>
  <c r="N224"/>
  <c r="R224"/>
  <c r="O224"/>
  <c r="X224"/>
  <c r="T224"/>
  <c r="Q224"/>
  <c r="S224"/>
  <c r="K224"/>
  <c r="L224"/>
  <c r="V224"/>
  <c r="W224"/>
  <c r="N110"/>
  <c r="O110"/>
  <c r="M110"/>
  <c r="L110"/>
  <c r="S110"/>
  <c r="P110"/>
  <c r="T110"/>
  <c r="R110"/>
  <c r="Q110"/>
  <c r="X110"/>
  <c r="U110"/>
  <c r="K110"/>
  <c r="V110"/>
  <c r="W110"/>
  <c r="X51"/>
  <c r="S51"/>
  <c r="U51"/>
  <c r="R51"/>
  <c r="V51"/>
  <c r="N51"/>
  <c r="Q51"/>
  <c r="P51"/>
  <c r="W51"/>
  <c r="L51"/>
  <c r="M51"/>
  <c r="O51"/>
  <c r="K51"/>
  <c r="T51"/>
  <c r="Z379"/>
  <c r="Y379"/>
  <c r="U400" i="6"/>
  <c r="U412"/>
  <c r="U314"/>
  <c r="Z78" i="4"/>
  <c r="Y78"/>
  <c r="K167"/>
  <c r="L167"/>
  <c r="X167"/>
  <c r="O167"/>
  <c r="R167"/>
  <c r="T167"/>
  <c r="U167"/>
  <c r="Q167"/>
  <c r="V167"/>
  <c r="M167"/>
  <c r="N167"/>
  <c r="S167"/>
  <c r="W167"/>
  <c r="P167"/>
  <c r="L166"/>
  <c r="T166"/>
  <c r="P166"/>
  <c r="W166"/>
  <c r="U166"/>
  <c r="R166"/>
  <c r="V166"/>
  <c r="X166"/>
  <c r="K166"/>
  <c r="M166"/>
  <c r="O166"/>
  <c r="S166"/>
  <c r="N166"/>
  <c r="Q166"/>
  <c r="P161"/>
  <c r="W161"/>
  <c r="L161"/>
  <c r="S161"/>
  <c r="O161"/>
  <c r="M161"/>
  <c r="U161"/>
  <c r="X161"/>
  <c r="N161"/>
  <c r="R161"/>
  <c r="V161"/>
  <c r="Q161"/>
  <c r="T161"/>
  <c r="K161"/>
  <c r="U344" i="6"/>
  <c r="U189"/>
  <c r="Y316" i="4"/>
  <c r="Z316"/>
  <c r="W193"/>
  <c r="X193"/>
  <c r="N193"/>
  <c r="V193"/>
  <c r="K193"/>
  <c r="T193"/>
  <c r="P193"/>
  <c r="O193"/>
  <c r="S193"/>
  <c r="L193"/>
  <c r="Q193"/>
  <c r="M193"/>
  <c r="U193"/>
  <c r="R193"/>
  <c r="Y135"/>
  <c r="Z135"/>
  <c r="Y134"/>
  <c r="Z134"/>
  <c r="Z129"/>
  <c r="Y129"/>
  <c r="U61" i="6"/>
  <c r="Z20" i="4"/>
  <c r="Y20"/>
  <c r="Y15"/>
  <c r="Z15"/>
  <c r="K226"/>
  <c r="S226"/>
  <c r="V226"/>
  <c r="M226"/>
  <c r="L226"/>
  <c r="P226"/>
  <c r="U226"/>
  <c r="N226"/>
  <c r="Q226"/>
  <c r="O226"/>
  <c r="T226"/>
  <c r="R226"/>
  <c r="W226"/>
  <c r="X226"/>
  <c r="P225"/>
  <c r="M225"/>
  <c r="L225"/>
  <c r="S225"/>
  <c r="X225"/>
  <c r="U225"/>
  <c r="V225"/>
  <c r="O225"/>
  <c r="N225"/>
  <c r="K225"/>
  <c r="Q225"/>
  <c r="W225"/>
  <c r="T225"/>
  <c r="R225"/>
  <c r="Y44"/>
  <c r="Z44"/>
  <c r="X360"/>
  <c r="N360"/>
  <c r="V360"/>
  <c r="W360"/>
  <c r="U360"/>
  <c r="R360"/>
  <c r="P360"/>
  <c r="M360"/>
  <c r="T360"/>
  <c r="Q360"/>
  <c r="S360"/>
  <c r="O360"/>
  <c r="K360"/>
  <c r="L360"/>
  <c r="R395"/>
  <c r="U395"/>
  <c r="M395"/>
  <c r="W395"/>
  <c r="Q395"/>
  <c r="N395"/>
  <c r="P395"/>
  <c r="L395"/>
  <c r="T395"/>
  <c r="O395"/>
  <c r="S395"/>
  <c r="K395"/>
  <c r="X395"/>
  <c r="V395"/>
  <c r="Q112"/>
  <c r="P112"/>
  <c r="L112"/>
  <c r="N112"/>
  <c r="O112"/>
  <c r="X112"/>
  <c r="U112"/>
  <c r="S112"/>
  <c r="W112"/>
  <c r="K112"/>
  <c r="M112"/>
  <c r="V112"/>
  <c r="R112"/>
  <c r="T112"/>
  <c r="K111"/>
  <c r="Q111"/>
  <c r="S111"/>
  <c r="U111"/>
  <c r="T111"/>
  <c r="V111"/>
  <c r="M111"/>
  <c r="N111"/>
  <c r="R111"/>
  <c r="P111"/>
  <c r="X111"/>
  <c r="L111"/>
  <c r="O111"/>
  <c r="W111"/>
  <c r="L106"/>
  <c r="T106"/>
  <c r="Q106"/>
  <c r="O106"/>
  <c r="S106"/>
  <c r="N106"/>
  <c r="X106"/>
  <c r="W106"/>
  <c r="R106"/>
  <c r="U106"/>
  <c r="M106"/>
  <c r="P106"/>
  <c r="K106"/>
  <c r="V106"/>
  <c r="P275"/>
  <c r="K275"/>
  <c r="T275"/>
  <c r="O275"/>
  <c r="S275"/>
  <c r="U275"/>
  <c r="X275"/>
  <c r="V275"/>
  <c r="R275"/>
  <c r="N275"/>
  <c r="W275"/>
  <c r="M275"/>
  <c r="L275"/>
  <c r="Q275"/>
  <c r="Z80"/>
  <c r="Y80"/>
  <c r="Y79"/>
  <c r="Z79"/>
  <c r="Y74"/>
  <c r="Z74"/>
  <c r="U263" i="6"/>
  <c r="U255"/>
  <c r="Y416" i="4"/>
  <c r="Z416"/>
  <c r="Y21"/>
  <c r="Z21"/>
  <c r="Z16"/>
  <c r="Y16"/>
  <c r="Z11"/>
  <c r="Y11"/>
  <c r="Z396"/>
  <c r="Y396"/>
  <c r="L180"/>
  <c r="K180"/>
  <c r="X180"/>
  <c r="U180"/>
  <c r="R180"/>
  <c r="P180"/>
  <c r="M180"/>
  <c r="N180"/>
  <c r="Q180"/>
  <c r="V180"/>
  <c r="W180"/>
  <c r="T180"/>
  <c r="S180"/>
  <c r="O180"/>
  <c r="T316"/>
  <c r="R316"/>
  <c r="O316"/>
  <c r="U316"/>
  <c r="K316"/>
  <c r="V316"/>
  <c r="X316"/>
  <c r="N316"/>
  <c r="S316"/>
  <c r="M316"/>
  <c r="W316"/>
  <c r="Q316"/>
  <c r="L316"/>
  <c r="P316"/>
  <c r="Y276"/>
  <c r="Z276"/>
  <c r="X195"/>
  <c r="P195"/>
  <c r="Q195"/>
  <c r="L195"/>
  <c r="O195"/>
  <c r="U195"/>
  <c r="T195"/>
  <c r="V195"/>
  <c r="N195"/>
  <c r="S195"/>
  <c r="M195"/>
  <c r="W195"/>
  <c r="R195"/>
  <c r="K195"/>
  <c r="Z257"/>
  <c r="Y257"/>
  <c r="N291"/>
  <c r="T291"/>
  <c r="O291"/>
  <c r="P291"/>
  <c r="K291"/>
  <c r="X291"/>
  <c r="U291"/>
  <c r="S291"/>
  <c r="V291"/>
  <c r="M291"/>
  <c r="L291"/>
  <c r="R291"/>
  <c r="W291"/>
  <c r="Q291"/>
  <c r="W287"/>
  <c r="O287"/>
  <c r="K287"/>
  <c r="V287"/>
  <c r="N287"/>
  <c r="U287"/>
  <c r="P287"/>
  <c r="M287"/>
  <c r="L287"/>
  <c r="S287"/>
  <c r="Q287"/>
  <c r="X287"/>
  <c r="T287"/>
  <c r="R287"/>
  <c r="L283"/>
  <c r="X283"/>
  <c r="S283"/>
  <c r="U283"/>
  <c r="V283"/>
  <c r="M283"/>
  <c r="N283"/>
  <c r="R283"/>
  <c r="W283"/>
  <c r="Q283"/>
  <c r="K283"/>
  <c r="T283"/>
  <c r="P283"/>
  <c r="O283"/>
  <c r="Z323"/>
  <c r="Y323"/>
  <c r="Z38"/>
  <c r="Y38"/>
  <c r="Z319"/>
  <c r="Y319"/>
  <c r="Y66"/>
  <c r="Z66"/>
  <c r="V114"/>
  <c r="N114"/>
  <c r="S114"/>
  <c r="W114"/>
  <c r="O114"/>
  <c r="T114"/>
  <c r="X114"/>
  <c r="P114"/>
  <c r="R114"/>
  <c r="L114"/>
  <c r="M114"/>
  <c r="Q114"/>
  <c r="K114"/>
  <c r="U114"/>
  <c r="U31" i="6"/>
  <c r="U349"/>
  <c r="Y394" i="4"/>
  <c r="Z394"/>
  <c r="Z99"/>
  <c r="Y99"/>
  <c r="P95"/>
  <c r="M95"/>
  <c r="L95"/>
  <c r="S95"/>
  <c r="O95"/>
  <c r="X95"/>
  <c r="K95"/>
  <c r="R95"/>
  <c r="Q95"/>
  <c r="W95"/>
  <c r="T95"/>
  <c r="V95"/>
  <c r="N95"/>
  <c r="U95"/>
  <c r="S94"/>
  <c r="O94"/>
  <c r="T94"/>
  <c r="L94"/>
  <c r="W94"/>
  <c r="K94"/>
  <c r="R94"/>
  <c r="V94"/>
  <c r="M94"/>
  <c r="N94"/>
  <c r="X94"/>
  <c r="P94"/>
  <c r="Q94"/>
  <c r="U94"/>
  <c r="U30"/>
  <c r="S30"/>
  <c r="O30"/>
  <c r="M30"/>
  <c r="T30"/>
  <c r="R30"/>
  <c r="Q30"/>
  <c r="K30"/>
  <c r="N30"/>
  <c r="P30"/>
  <c r="W30"/>
  <c r="L30"/>
  <c r="V30"/>
  <c r="X30"/>
  <c r="K382"/>
  <c r="U382"/>
  <c r="M382"/>
  <c r="Q382"/>
  <c r="R382"/>
  <c r="L382"/>
  <c r="W382"/>
  <c r="N382"/>
  <c r="X382"/>
  <c r="P382"/>
  <c r="S382"/>
  <c r="T382"/>
  <c r="V382"/>
  <c r="O382"/>
  <c r="Z389"/>
  <c r="Y389"/>
  <c r="X259"/>
  <c r="P259"/>
  <c r="Q259"/>
  <c r="L259"/>
  <c r="O259"/>
  <c r="U259"/>
  <c r="T259"/>
  <c r="V259"/>
  <c r="K259"/>
  <c r="S259"/>
  <c r="W259"/>
  <c r="M259"/>
  <c r="N259"/>
  <c r="R259"/>
  <c r="U34" i="6"/>
  <c r="U53"/>
  <c r="Y273" i="4"/>
  <c r="Z273"/>
  <c r="U40" i="6"/>
  <c r="U59"/>
  <c r="Y17" i="4"/>
  <c r="Z17"/>
  <c r="Z12"/>
  <c r="Y12"/>
  <c r="U370" i="6"/>
  <c r="Q165" i="4"/>
  <c r="V165"/>
  <c r="O165"/>
  <c r="P165"/>
  <c r="X165"/>
  <c r="R165"/>
  <c r="T165"/>
  <c r="W165"/>
  <c r="N165"/>
  <c r="L165"/>
  <c r="M165"/>
  <c r="S165"/>
  <c r="U165"/>
  <c r="K165"/>
  <c r="P292"/>
  <c r="M292"/>
  <c r="N292"/>
  <c r="K292"/>
  <c r="V292"/>
  <c r="X292"/>
  <c r="U292"/>
  <c r="S292"/>
  <c r="O292"/>
  <c r="L292"/>
  <c r="R292"/>
  <c r="W292"/>
  <c r="T292"/>
  <c r="Q292"/>
  <c r="Y301"/>
  <c r="Z301"/>
  <c r="K3" i="3"/>
  <c r="N341" i="4"/>
  <c r="Q341"/>
  <c r="V341"/>
  <c r="M341"/>
  <c r="K341"/>
  <c r="S341"/>
  <c r="O341"/>
  <c r="L341"/>
  <c r="T341"/>
  <c r="W341"/>
  <c r="U341"/>
  <c r="R341"/>
  <c r="P341"/>
  <c r="X341"/>
  <c r="O391"/>
  <c r="S391"/>
  <c r="R391"/>
  <c r="L391"/>
  <c r="W391"/>
  <c r="T391"/>
  <c r="V391"/>
  <c r="M391"/>
  <c r="U391"/>
  <c r="K391"/>
  <c r="P391"/>
  <c r="X391"/>
  <c r="N391"/>
  <c r="Q391"/>
  <c r="U188" i="6"/>
  <c r="J3"/>
  <c r="X362" i="4"/>
  <c r="Q362"/>
  <c r="R362"/>
  <c r="K362"/>
  <c r="M362"/>
  <c r="W362"/>
  <c r="N362"/>
  <c r="V362"/>
  <c r="O362"/>
  <c r="L362"/>
  <c r="U362"/>
  <c r="P362"/>
  <c r="S362"/>
  <c r="T362"/>
  <c r="U117"/>
  <c r="K117"/>
  <c r="P117"/>
  <c r="V117"/>
  <c r="L117"/>
  <c r="O117"/>
  <c r="X117"/>
  <c r="N117"/>
  <c r="S117"/>
  <c r="W117"/>
  <c r="M117"/>
  <c r="T117"/>
  <c r="R117"/>
  <c r="Q117"/>
  <c r="Y109"/>
  <c r="Z109"/>
  <c r="T61"/>
  <c r="Q61"/>
  <c r="P61"/>
  <c r="L61"/>
  <c r="V61"/>
  <c r="M61"/>
  <c r="N61"/>
  <c r="S61"/>
  <c r="O61"/>
  <c r="X61"/>
  <c r="U61"/>
  <c r="K61"/>
  <c r="R61"/>
  <c r="W61"/>
  <c r="Y325"/>
  <c r="Z325"/>
  <c r="Y320"/>
  <c r="Z320"/>
  <c r="U392" i="6"/>
  <c r="W300" i="4"/>
  <c r="R300"/>
  <c r="K300"/>
  <c r="M300"/>
  <c r="V300"/>
  <c r="Q300"/>
  <c r="L300"/>
  <c r="P300"/>
  <c r="X300"/>
  <c r="U300"/>
  <c r="S300"/>
  <c r="O300"/>
  <c r="N300"/>
  <c r="T300"/>
  <c r="Z123"/>
  <c r="Y123"/>
  <c r="Y360"/>
  <c r="Z360"/>
  <c r="Y249"/>
  <c r="Z249"/>
  <c r="Y184"/>
  <c r="Z184"/>
  <c r="U237" i="6"/>
  <c r="Y262" i="4"/>
  <c r="Z262"/>
  <c r="Y261"/>
  <c r="Z261"/>
  <c r="U218" i="6"/>
  <c r="U234"/>
  <c r="U224"/>
  <c r="U240"/>
  <c r="O372" i="4"/>
  <c r="T372"/>
  <c r="L372"/>
  <c r="V372"/>
  <c r="S372"/>
  <c r="U372"/>
  <c r="X372"/>
  <c r="W372"/>
  <c r="R372"/>
  <c r="K372"/>
  <c r="P372"/>
  <c r="M372"/>
  <c r="N372"/>
  <c r="Q372"/>
  <c r="Z233"/>
  <c r="Y233"/>
  <c r="U85"/>
  <c r="L85"/>
  <c r="W85"/>
  <c r="N85"/>
  <c r="R85"/>
  <c r="V85"/>
  <c r="X85"/>
  <c r="T85"/>
  <c r="Q85"/>
  <c r="P85"/>
  <c r="M85"/>
  <c r="K85"/>
  <c r="O85"/>
  <c r="S85"/>
  <c r="Q121"/>
  <c r="N121"/>
  <c r="K121"/>
  <c r="M121"/>
  <c r="W121"/>
  <c r="O121"/>
  <c r="L121"/>
  <c r="T121"/>
  <c r="V121"/>
  <c r="U121"/>
  <c r="P121"/>
  <c r="S121"/>
  <c r="X121"/>
  <c r="R121"/>
  <c r="M402"/>
  <c r="Q402"/>
  <c r="R402"/>
  <c r="U402"/>
  <c r="X402"/>
  <c r="V402"/>
  <c r="L402"/>
  <c r="W402"/>
  <c r="P402"/>
  <c r="T402"/>
  <c r="K402"/>
  <c r="O402"/>
  <c r="S402"/>
  <c r="N402"/>
  <c r="O231"/>
  <c r="T231"/>
  <c r="Q231"/>
  <c r="U231"/>
  <c r="V231"/>
  <c r="W231"/>
  <c r="N231"/>
  <c r="S231"/>
  <c r="P231"/>
  <c r="X231"/>
  <c r="L231"/>
  <c r="K231"/>
  <c r="M231"/>
  <c r="R231"/>
  <c r="Z113"/>
  <c r="Y113"/>
  <c r="Y3" i="3"/>
  <c r="Y23" i="4"/>
  <c r="Z23"/>
  <c r="L273"/>
  <c r="R273"/>
  <c r="O273"/>
  <c r="V273"/>
  <c r="K273"/>
  <c r="U273"/>
  <c r="P273"/>
  <c r="N273"/>
  <c r="Q273"/>
  <c r="M273"/>
  <c r="T273"/>
  <c r="S273"/>
  <c r="W273"/>
  <c r="X273"/>
  <c r="U80"/>
  <c r="K80"/>
  <c r="V80"/>
  <c r="X80"/>
  <c r="T80"/>
  <c r="R80"/>
  <c r="P80"/>
  <c r="W80"/>
  <c r="N80"/>
  <c r="Q80"/>
  <c r="M80"/>
  <c r="O80"/>
  <c r="S80"/>
  <c r="L80"/>
  <c r="W3" i="3"/>
  <c r="Z95" i="4"/>
  <c r="Y95"/>
  <c r="Y94"/>
  <c r="Z94"/>
  <c r="Z372"/>
  <c r="Y372"/>
  <c r="U320" i="6"/>
  <c r="X242" i="4"/>
  <c r="P242"/>
  <c r="S242"/>
  <c r="T242"/>
  <c r="M242"/>
  <c r="W242"/>
  <c r="R242"/>
  <c r="U242"/>
  <c r="Q242"/>
  <c r="V242"/>
  <c r="L242"/>
  <c r="K242"/>
  <c r="O242"/>
  <c r="N242"/>
  <c r="L234"/>
  <c r="K234"/>
  <c r="P234"/>
  <c r="O234"/>
  <c r="U234"/>
  <c r="R234"/>
  <c r="V234"/>
  <c r="M234"/>
  <c r="N234"/>
  <c r="S234"/>
  <c r="X234"/>
  <c r="W234"/>
  <c r="T234"/>
  <c r="Q234"/>
  <c r="P373"/>
  <c r="N373"/>
  <c r="O373"/>
  <c r="M373"/>
  <c r="L373"/>
  <c r="R373"/>
  <c r="W373"/>
  <c r="X373"/>
  <c r="U373"/>
  <c r="S373"/>
  <c r="Q373"/>
  <c r="V373"/>
  <c r="T373"/>
  <c r="K373"/>
  <c r="N68"/>
  <c r="Q68"/>
  <c r="P68"/>
  <c r="S68"/>
  <c r="U68"/>
  <c r="W68"/>
  <c r="V68"/>
  <c r="K68"/>
  <c r="T68"/>
  <c r="O68"/>
  <c r="X68"/>
  <c r="L68"/>
  <c r="R68"/>
  <c r="M68"/>
  <c r="U63"/>
  <c r="P63"/>
  <c r="W63"/>
  <c r="N63"/>
  <c r="Q63"/>
  <c r="O63"/>
  <c r="S63"/>
  <c r="L63"/>
  <c r="T63"/>
  <c r="X63"/>
  <c r="K63"/>
  <c r="R63"/>
  <c r="V63"/>
  <c r="M63"/>
  <c r="R339"/>
  <c r="U339"/>
  <c r="X339"/>
  <c r="V339"/>
  <c r="Q339"/>
  <c r="N339"/>
  <c r="M339"/>
  <c r="W339"/>
  <c r="K339"/>
  <c r="L339"/>
  <c r="P339"/>
  <c r="T339"/>
  <c r="S339"/>
  <c r="O339"/>
  <c r="U170" i="6"/>
  <c r="U195"/>
  <c r="Z202" i="4"/>
  <c r="Y202"/>
  <c r="Y201"/>
  <c r="Z201"/>
  <c r="X297"/>
  <c r="R297"/>
  <c r="K297"/>
  <c r="W297"/>
  <c r="Q297"/>
  <c r="T297"/>
  <c r="N297"/>
  <c r="V297"/>
  <c r="O297"/>
  <c r="L297"/>
  <c r="P297"/>
  <c r="M297"/>
  <c r="U297"/>
  <c r="S297"/>
  <c r="N354"/>
  <c r="M354"/>
  <c r="P354"/>
  <c r="S354"/>
  <c r="T354"/>
  <c r="W354"/>
  <c r="Q354"/>
  <c r="K354"/>
  <c r="L354"/>
  <c r="O354"/>
  <c r="R354"/>
  <c r="U354"/>
  <c r="X354"/>
  <c r="V354"/>
  <c r="X58"/>
  <c r="U58"/>
  <c r="K58"/>
  <c r="P58"/>
  <c r="M58"/>
  <c r="T58"/>
  <c r="S58"/>
  <c r="V58"/>
  <c r="W58"/>
  <c r="N58"/>
  <c r="Q58"/>
  <c r="O58"/>
  <c r="L58"/>
  <c r="R58"/>
  <c r="Y380"/>
  <c r="Z380"/>
  <c r="U330" i="6"/>
  <c r="U336"/>
  <c r="W163" i="4"/>
  <c r="T163"/>
  <c r="K163"/>
  <c r="M163"/>
  <c r="P163"/>
  <c r="U163"/>
  <c r="N163"/>
  <c r="R163"/>
  <c r="S163"/>
  <c r="Q163"/>
  <c r="V163"/>
  <c r="O163"/>
  <c r="L163"/>
  <c r="X163"/>
  <c r="Q162"/>
  <c r="V162"/>
  <c r="S162"/>
  <c r="U162"/>
  <c r="X162"/>
  <c r="P162"/>
  <c r="N162"/>
  <c r="M162"/>
  <c r="W162"/>
  <c r="R162"/>
  <c r="K162"/>
  <c r="O162"/>
  <c r="L162"/>
  <c r="T162"/>
  <c r="P244"/>
  <c r="K244"/>
  <c r="L244"/>
  <c r="O244"/>
  <c r="N244"/>
  <c r="R244"/>
  <c r="V244"/>
  <c r="X244"/>
  <c r="U244"/>
  <c r="Q244"/>
  <c r="M244"/>
  <c r="W244"/>
  <c r="S244"/>
  <c r="T244"/>
  <c r="Z243"/>
  <c r="Y243"/>
  <c r="Y180"/>
  <c r="Z180"/>
  <c r="Z363"/>
  <c r="Y363"/>
  <c r="Z131"/>
  <c r="Y131"/>
  <c r="Z130"/>
  <c r="Y130"/>
  <c r="Y322"/>
  <c r="Z322"/>
  <c r="P312"/>
  <c r="Q312"/>
  <c r="U312"/>
  <c r="T312"/>
  <c r="X312"/>
  <c r="O312"/>
  <c r="S312"/>
  <c r="L312"/>
  <c r="W312"/>
  <c r="K312"/>
  <c r="M312"/>
  <c r="V312"/>
  <c r="R312"/>
  <c r="N312"/>
  <c r="Z182"/>
  <c r="Y182"/>
  <c r="Z181"/>
  <c r="Y181"/>
  <c r="Z308"/>
  <c r="Y308"/>
  <c r="Z128"/>
  <c r="Y128"/>
  <c r="Q403"/>
  <c r="U403"/>
  <c r="W403"/>
  <c r="M403"/>
  <c r="N403"/>
  <c r="K403"/>
  <c r="P403"/>
  <c r="S403"/>
  <c r="T403"/>
  <c r="O403"/>
  <c r="R403"/>
  <c r="L403"/>
  <c r="X403"/>
  <c r="V403"/>
  <c r="U62"/>
  <c r="K62"/>
  <c r="O62"/>
  <c r="M62"/>
  <c r="N62"/>
  <c r="S62"/>
  <c r="P62"/>
  <c r="X62"/>
  <c r="T62"/>
  <c r="R62"/>
  <c r="V62"/>
  <c r="W62"/>
  <c r="L62"/>
  <c r="Q62"/>
  <c r="O254"/>
  <c r="X254"/>
  <c r="N254"/>
  <c r="S254"/>
  <c r="Q254"/>
  <c r="M254"/>
  <c r="T254"/>
  <c r="R254"/>
  <c r="W254"/>
  <c r="V254"/>
  <c r="L254"/>
  <c r="P254"/>
  <c r="K254"/>
  <c r="U254"/>
  <c r="Z145"/>
  <c r="Y145"/>
  <c r="Y85"/>
  <c r="Z85"/>
  <c r="M3" i="5"/>
  <c r="X288" i="4"/>
  <c r="O288"/>
  <c r="S288"/>
  <c r="N288"/>
  <c r="Q288"/>
  <c r="L288"/>
  <c r="U288"/>
  <c r="W288"/>
  <c r="V288"/>
  <c r="K288"/>
  <c r="M288"/>
  <c r="P288"/>
  <c r="R288"/>
  <c r="T288"/>
  <c r="Y381"/>
  <c r="Z381"/>
  <c r="Y30"/>
  <c r="Z30"/>
  <c r="U387" i="6"/>
  <c r="Z298" i="4"/>
  <c r="Y298"/>
  <c r="S119"/>
  <c r="T119"/>
  <c r="L119"/>
  <c r="V119"/>
  <c r="W119"/>
  <c r="U119"/>
  <c r="R119"/>
  <c r="P119"/>
  <c r="M119"/>
  <c r="N119"/>
  <c r="X119"/>
  <c r="O119"/>
  <c r="Q119"/>
  <c r="K119"/>
  <c r="T118"/>
  <c r="N118"/>
  <c r="Q118"/>
  <c r="W118"/>
  <c r="K118"/>
  <c r="S118"/>
  <c r="V118"/>
  <c r="M118"/>
  <c r="L118"/>
  <c r="R118"/>
  <c r="P118"/>
  <c r="X118"/>
  <c r="U118"/>
  <c r="O118"/>
  <c r="U186" i="6"/>
  <c r="U205"/>
  <c r="U192"/>
  <c r="U211"/>
  <c r="S246" i="4"/>
  <c r="L246"/>
  <c r="O246"/>
  <c r="U246"/>
  <c r="T246"/>
  <c r="X246"/>
  <c r="Q246"/>
  <c r="R246"/>
  <c r="N246"/>
  <c r="M246"/>
  <c r="P246"/>
  <c r="K246"/>
  <c r="W246"/>
  <c r="V246"/>
  <c r="Z345"/>
  <c r="Y345"/>
  <c r="Z245"/>
  <c r="Y245"/>
  <c r="L340"/>
  <c r="N340"/>
  <c r="W340"/>
  <c r="V340"/>
  <c r="K340"/>
  <c r="M340"/>
  <c r="P340"/>
  <c r="S340"/>
  <c r="U340"/>
  <c r="O340"/>
  <c r="X340"/>
  <c r="T340"/>
  <c r="R340"/>
  <c r="Q340"/>
  <c r="J3" i="3"/>
  <c r="Z364" i="4"/>
  <c r="Y364"/>
  <c r="R313"/>
  <c r="U313"/>
  <c r="M313"/>
  <c r="W313"/>
  <c r="K313"/>
  <c r="V313"/>
  <c r="P313"/>
  <c r="N313"/>
  <c r="T313"/>
  <c r="Q313"/>
  <c r="S313"/>
  <c r="L313"/>
  <c r="X313"/>
  <c r="O313"/>
  <c r="R308"/>
  <c r="N308"/>
  <c r="X308"/>
  <c r="W308"/>
  <c r="Q308"/>
  <c r="L308"/>
  <c r="V308"/>
  <c r="M308"/>
  <c r="U308"/>
  <c r="S308"/>
  <c r="P308"/>
  <c r="K308"/>
  <c r="T308"/>
  <c r="O308"/>
  <c r="U179" i="6"/>
  <c r="U273"/>
  <c r="Y246" i="4"/>
  <c r="Z246"/>
  <c r="P113"/>
  <c r="X113"/>
  <c r="K113"/>
  <c r="Q113"/>
  <c r="O113"/>
  <c r="N113"/>
  <c r="T113"/>
  <c r="W113"/>
  <c r="S113"/>
  <c r="L113"/>
  <c r="M113"/>
  <c r="V113"/>
  <c r="R113"/>
  <c r="U113"/>
  <c r="X411"/>
  <c r="S411"/>
  <c r="U411"/>
  <c r="M411"/>
  <c r="V411"/>
  <c r="R411"/>
  <c r="N411"/>
  <c r="Q411"/>
  <c r="W411"/>
  <c r="K411"/>
  <c r="L411"/>
  <c r="O411"/>
  <c r="P411"/>
  <c r="T411"/>
  <c r="O406"/>
  <c r="N406"/>
  <c r="U406"/>
  <c r="W406"/>
  <c r="V406"/>
  <c r="K406"/>
  <c r="X406"/>
  <c r="P406"/>
  <c r="R406"/>
  <c r="T406"/>
  <c r="Q406"/>
  <c r="M406"/>
  <c r="L406"/>
  <c r="S406"/>
  <c r="X99"/>
  <c r="V99"/>
  <c r="R99"/>
  <c r="U99"/>
  <c r="Q99"/>
  <c r="W99"/>
  <c r="K99"/>
  <c r="N99"/>
  <c r="O99"/>
  <c r="P99"/>
  <c r="T99"/>
  <c r="M99"/>
  <c r="S99"/>
  <c r="L99"/>
  <c r="P404"/>
  <c r="W404"/>
  <c r="T404"/>
  <c r="O404"/>
  <c r="X404"/>
  <c r="L404"/>
  <c r="R404"/>
  <c r="M404"/>
  <c r="V404"/>
  <c r="S404"/>
  <c r="N404"/>
  <c r="Q404"/>
  <c r="U404"/>
  <c r="K404"/>
  <c r="L399"/>
  <c r="X399"/>
  <c r="U399"/>
  <c r="Q399"/>
  <c r="V399"/>
  <c r="S399"/>
  <c r="N399"/>
  <c r="K399"/>
  <c r="P399"/>
  <c r="O399"/>
  <c r="R399"/>
  <c r="T399"/>
  <c r="W399"/>
  <c r="M399"/>
  <c r="U19" i="6"/>
  <c r="U306"/>
  <c r="Y26" i="4"/>
  <c r="Z26"/>
  <c r="P229"/>
  <c r="O229"/>
  <c r="N229"/>
  <c r="W229"/>
  <c r="X229"/>
  <c r="T229"/>
  <c r="S229"/>
  <c r="M229"/>
  <c r="L229"/>
  <c r="R229"/>
  <c r="V229"/>
  <c r="Q229"/>
  <c r="U229"/>
  <c r="K229"/>
  <c r="U101" i="6"/>
  <c r="Y335" i="4"/>
  <c r="Z335"/>
  <c r="V212"/>
  <c r="X212"/>
  <c r="T212"/>
  <c r="O212"/>
  <c r="W212"/>
  <c r="K212"/>
  <c r="R212"/>
  <c r="Q212"/>
  <c r="L212"/>
  <c r="N212"/>
  <c r="P212"/>
  <c r="M212"/>
  <c r="U212"/>
  <c r="S212"/>
  <c r="Y207"/>
  <c r="Z207"/>
  <c r="W310"/>
  <c r="Q310"/>
  <c r="R310"/>
  <c r="U310"/>
  <c r="M310"/>
  <c r="V310"/>
  <c r="L310"/>
  <c r="O310"/>
  <c r="P310"/>
  <c r="N310"/>
  <c r="T310"/>
  <c r="X310"/>
  <c r="S310"/>
  <c r="K310"/>
  <c r="P309"/>
  <c r="M309"/>
  <c r="T309"/>
  <c r="S309"/>
  <c r="O309"/>
  <c r="X309"/>
  <c r="L309"/>
  <c r="R309"/>
  <c r="Q309"/>
  <c r="W309"/>
  <c r="K309"/>
  <c r="N309"/>
  <c r="V309"/>
  <c r="U309"/>
  <c r="Y119"/>
  <c r="Z119"/>
  <c r="Z195"/>
  <c r="Y195"/>
  <c r="O174"/>
  <c r="M174"/>
  <c r="L174"/>
  <c r="S174"/>
  <c r="P174"/>
  <c r="K174"/>
  <c r="U174"/>
  <c r="W174"/>
  <c r="Q174"/>
  <c r="R174"/>
  <c r="N174"/>
  <c r="V174"/>
  <c r="X174"/>
  <c r="T174"/>
  <c r="O169"/>
  <c r="W169"/>
  <c r="K169"/>
  <c r="T169"/>
  <c r="Q169"/>
  <c r="S169"/>
  <c r="N169"/>
  <c r="M169"/>
  <c r="V169"/>
  <c r="R169"/>
  <c r="L169"/>
  <c r="P169"/>
  <c r="X169"/>
  <c r="U169"/>
  <c r="P47"/>
  <c r="M47"/>
  <c r="L47"/>
  <c r="Q47"/>
  <c r="O47"/>
  <c r="X47"/>
  <c r="T47"/>
  <c r="K47"/>
  <c r="S47"/>
  <c r="R47"/>
  <c r="U47"/>
  <c r="W47"/>
  <c r="V47"/>
  <c r="N47"/>
  <c r="V176"/>
  <c r="M176"/>
  <c r="N176"/>
  <c r="R176"/>
  <c r="Q176"/>
  <c r="P176"/>
  <c r="L176"/>
  <c r="U176"/>
  <c r="O176"/>
  <c r="X176"/>
  <c r="K176"/>
  <c r="S176"/>
  <c r="W176"/>
  <c r="T176"/>
  <c r="U39" i="6"/>
  <c r="Y384" i="4"/>
  <c r="Z384"/>
  <c r="T22"/>
  <c r="S22"/>
  <c r="O22"/>
  <c r="K22"/>
  <c r="L22"/>
  <c r="V22"/>
  <c r="M22"/>
  <c r="N22"/>
  <c r="Q22"/>
  <c r="X22"/>
  <c r="U22"/>
  <c r="R22"/>
  <c r="P22"/>
  <c r="W22"/>
  <c r="L374"/>
  <c r="V374"/>
  <c r="Q374"/>
  <c r="N374"/>
  <c r="U374"/>
  <c r="X374"/>
  <c r="P374"/>
  <c r="R374"/>
  <c r="K374"/>
  <c r="W374"/>
  <c r="S374"/>
  <c r="T374"/>
  <c r="M374"/>
  <c r="O374"/>
  <c r="O199"/>
  <c r="Q199"/>
  <c r="S199"/>
  <c r="T199"/>
  <c r="M199"/>
  <c r="K199"/>
  <c r="U199"/>
  <c r="V199"/>
  <c r="X199"/>
  <c r="N199"/>
  <c r="R199"/>
  <c r="P199"/>
  <c r="W199"/>
  <c r="L199"/>
  <c r="U214" i="6"/>
  <c r="U230"/>
  <c r="U406"/>
  <c r="U328"/>
  <c r="U316"/>
  <c r="Z306" i="4"/>
  <c r="Y306"/>
  <c r="U271"/>
  <c r="Q271"/>
  <c r="V271"/>
  <c r="L271"/>
  <c r="N271"/>
  <c r="O271"/>
  <c r="P271"/>
  <c r="T271"/>
  <c r="S271"/>
  <c r="M271"/>
  <c r="K271"/>
  <c r="R271"/>
  <c r="W271"/>
  <c r="X271"/>
  <c r="X267"/>
  <c r="V267"/>
  <c r="R267"/>
  <c r="U267"/>
  <c r="M267"/>
  <c r="W267"/>
  <c r="Q267"/>
  <c r="N267"/>
  <c r="P267"/>
  <c r="T267"/>
  <c r="K267"/>
  <c r="O267"/>
  <c r="S267"/>
  <c r="L267"/>
  <c r="Z302"/>
  <c r="Y302"/>
  <c r="W149"/>
  <c r="K149"/>
  <c r="R149"/>
  <c r="V149"/>
  <c r="X149"/>
  <c r="N149"/>
  <c r="Q149"/>
  <c r="P149"/>
  <c r="M149"/>
  <c r="T149"/>
  <c r="S149"/>
  <c r="O149"/>
  <c r="U149"/>
  <c r="L149"/>
  <c r="U271" i="6"/>
  <c r="U298"/>
  <c r="U304"/>
  <c r="N361" i="4"/>
  <c r="K361"/>
  <c r="O361"/>
  <c r="V361"/>
  <c r="R361"/>
  <c r="T361"/>
  <c r="M361"/>
  <c r="Q361"/>
  <c r="L361"/>
  <c r="X361"/>
  <c r="P361"/>
  <c r="S361"/>
  <c r="U361"/>
  <c r="W361"/>
  <c r="Z324"/>
  <c r="Y324"/>
  <c r="Z359"/>
  <c r="Y359"/>
  <c r="Z72"/>
  <c r="Y72"/>
  <c r="W7"/>
  <c r="P7"/>
  <c r="Q7"/>
  <c r="O7"/>
  <c r="M7"/>
  <c r="V7"/>
  <c r="R7"/>
  <c r="N7"/>
  <c r="U7"/>
  <c r="L7"/>
  <c r="K7"/>
  <c r="X7"/>
  <c r="S7"/>
  <c r="T7"/>
  <c r="U336"/>
  <c r="Q336"/>
  <c r="O336"/>
  <c r="W336"/>
  <c r="K336"/>
  <c r="S336"/>
  <c r="N336"/>
  <c r="T336"/>
  <c r="V336"/>
  <c r="M336"/>
  <c r="L336"/>
  <c r="R336"/>
  <c r="P336"/>
  <c r="X336"/>
  <c r="Y309"/>
  <c r="Z309"/>
  <c r="P48"/>
  <c r="Q48"/>
  <c r="U48"/>
  <c r="L48"/>
  <c r="X48"/>
  <c r="O48"/>
  <c r="S48"/>
  <c r="N48"/>
  <c r="W48"/>
  <c r="T48"/>
  <c r="M48"/>
  <c r="V48"/>
  <c r="R48"/>
  <c r="K48"/>
  <c r="U42" i="6"/>
  <c r="U67"/>
  <c r="Y149" i="4"/>
  <c r="Z149"/>
  <c r="M253"/>
  <c r="O253"/>
  <c r="L253"/>
  <c r="W253"/>
  <c r="X253"/>
  <c r="U253"/>
  <c r="K253"/>
  <c r="Q253"/>
  <c r="T253"/>
  <c r="P253"/>
  <c r="N253"/>
  <c r="V253"/>
  <c r="S253"/>
  <c r="R253"/>
  <c r="Y89"/>
  <c r="Z89"/>
  <c r="O255"/>
  <c r="S255"/>
  <c r="N255"/>
  <c r="L255"/>
  <c r="W255"/>
  <c r="R255"/>
  <c r="T255"/>
  <c r="M255"/>
  <c r="V255"/>
  <c r="U255"/>
  <c r="X255"/>
  <c r="P255"/>
  <c r="Q255"/>
  <c r="K255"/>
  <c r="Y41"/>
  <c r="Z41"/>
  <c r="U294" i="6"/>
  <c r="V368" i="4"/>
  <c r="M368"/>
  <c r="U368"/>
  <c r="R368"/>
  <c r="P368"/>
  <c r="Q368"/>
  <c r="N368"/>
  <c r="L368"/>
  <c r="X368"/>
  <c r="O368"/>
  <c r="S368"/>
  <c r="T368"/>
  <c r="W368"/>
  <c r="K368"/>
  <c r="Y343"/>
  <c r="Z343"/>
  <c r="Z275"/>
  <c r="Y275"/>
  <c r="Z10"/>
  <c r="Y10"/>
  <c r="T3" i="6"/>
  <c r="M79" i="4"/>
  <c r="R79"/>
  <c r="T79"/>
  <c r="Q79"/>
  <c r="P79"/>
  <c r="U79"/>
  <c r="S79"/>
  <c r="V79"/>
  <c r="K79"/>
  <c r="N79"/>
  <c r="X79"/>
  <c r="O79"/>
  <c r="L79"/>
  <c r="W79"/>
  <c r="T78"/>
  <c r="M78"/>
  <c r="L78"/>
  <c r="S78"/>
  <c r="Q78"/>
  <c r="W78"/>
  <c r="N78"/>
  <c r="R78"/>
  <c r="P78"/>
  <c r="X78"/>
  <c r="U78"/>
  <c r="K78"/>
  <c r="O78"/>
  <c r="V78"/>
  <c r="T73"/>
  <c r="R73"/>
  <c r="W73"/>
  <c r="X73"/>
  <c r="L73"/>
  <c r="Q73"/>
  <c r="S73"/>
  <c r="V73"/>
  <c r="K73"/>
  <c r="U73"/>
  <c r="O73"/>
  <c r="N73"/>
  <c r="P73"/>
  <c r="M73"/>
  <c r="Y326"/>
  <c r="Z326"/>
  <c r="Y321"/>
  <c r="Z321"/>
  <c r="Z212"/>
  <c r="Y212"/>
  <c r="U282" i="6"/>
  <c r="U288"/>
  <c r="U246"/>
  <c r="Y186" i="4"/>
  <c r="Z186"/>
  <c r="Y185"/>
  <c r="Z185"/>
  <c r="Y312"/>
  <c r="Z312"/>
  <c r="L37"/>
  <c r="K37"/>
  <c r="M37"/>
  <c r="U37"/>
  <c r="R37"/>
  <c r="V37"/>
  <c r="Q37"/>
  <c r="N37"/>
  <c r="O37"/>
  <c r="P37"/>
  <c r="T37"/>
  <c r="S37"/>
  <c r="W37"/>
  <c r="X37"/>
  <c r="Y386"/>
  <c r="Z386"/>
  <c r="O333"/>
  <c r="M333"/>
  <c r="T333"/>
  <c r="Q333"/>
  <c r="X333"/>
  <c r="W333"/>
  <c r="S333"/>
  <c r="N333"/>
  <c r="V333"/>
  <c r="U333"/>
  <c r="K333"/>
  <c r="P333"/>
  <c r="L333"/>
  <c r="R333"/>
  <c r="Y165"/>
  <c r="Z165"/>
  <c r="R173"/>
  <c r="N173"/>
  <c r="T173"/>
  <c r="U173"/>
  <c r="K173"/>
  <c r="P173"/>
  <c r="Q173"/>
  <c r="O173"/>
  <c r="X173"/>
  <c r="V173"/>
  <c r="S173"/>
  <c r="W173"/>
  <c r="M173"/>
  <c r="L173"/>
  <c r="U250" i="6"/>
  <c r="U256"/>
  <c r="N294" i="4"/>
  <c r="K294"/>
  <c r="W294"/>
  <c r="O294"/>
  <c r="L294"/>
  <c r="M294"/>
  <c r="V294"/>
  <c r="R294"/>
  <c r="U294"/>
  <c r="P294"/>
  <c r="Q294"/>
  <c r="T294"/>
  <c r="S294"/>
  <c r="X294"/>
  <c r="Z146"/>
  <c r="Y146"/>
  <c r="Y141"/>
  <c r="Z141"/>
  <c r="Z81"/>
  <c r="Y81"/>
  <c r="N284"/>
  <c r="K284"/>
  <c r="X284"/>
  <c r="U284"/>
  <c r="V284"/>
  <c r="R284"/>
  <c r="Q284"/>
  <c r="T284"/>
  <c r="W284"/>
  <c r="P284"/>
  <c r="S284"/>
  <c r="L284"/>
  <c r="O284"/>
  <c r="M284"/>
  <c r="U392"/>
  <c r="W392"/>
  <c r="O392"/>
  <c r="S392"/>
  <c r="K392"/>
  <c r="R392"/>
  <c r="N392"/>
  <c r="T392"/>
  <c r="V392"/>
  <c r="X392"/>
  <c r="L392"/>
  <c r="Q392"/>
  <c r="M392"/>
  <c r="P392"/>
  <c r="S241"/>
  <c r="Q241"/>
  <c r="W241"/>
  <c r="M241"/>
  <c r="V241"/>
  <c r="X241"/>
  <c r="R241"/>
  <c r="P241"/>
  <c r="N241"/>
  <c r="T241"/>
  <c r="O241"/>
  <c r="L241"/>
  <c r="K241"/>
  <c r="U241"/>
  <c r="Z252"/>
  <c r="Y252"/>
  <c r="K197"/>
  <c r="S197"/>
  <c r="W197"/>
  <c r="T197"/>
  <c r="U197"/>
  <c r="P197"/>
  <c r="L197"/>
  <c r="R197"/>
  <c r="V197"/>
  <c r="M197"/>
  <c r="N197"/>
  <c r="Q197"/>
  <c r="X197"/>
  <c r="O197"/>
  <c r="U58" i="6"/>
  <c r="U77"/>
  <c r="U64"/>
  <c r="U83"/>
  <c r="M260" i="4"/>
  <c r="V260"/>
  <c r="R260"/>
  <c r="L260"/>
  <c r="X260"/>
  <c r="K260"/>
  <c r="U260"/>
  <c r="W260"/>
  <c r="Q260"/>
  <c r="N260"/>
  <c r="P260"/>
  <c r="O260"/>
  <c r="S260"/>
  <c r="T260"/>
  <c r="U342" i="6"/>
  <c r="Z210" i="4"/>
  <c r="Y210"/>
  <c r="Z327"/>
  <c r="Y327"/>
  <c r="T69"/>
  <c r="V69"/>
  <c r="S69"/>
  <c r="L69"/>
  <c r="K69"/>
  <c r="P69"/>
  <c r="R69"/>
  <c r="N69"/>
  <c r="O69"/>
  <c r="X69"/>
  <c r="U69"/>
  <c r="Q69"/>
  <c r="W69"/>
  <c r="M69"/>
  <c r="U106" i="6"/>
  <c r="U125"/>
  <c r="U112"/>
  <c r="U131"/>
  <c r="Z97" i="4"/>
  <c r="Y97"/>
  <c r="Y37"/>
  <c r="Z37"/>
  <c r="L3" i="6"/>
  <c r="Z258" i="4"/>
  <c r="Y258"/>
  <c r="W179"/>
  <c r="P179"/>
  <c r="Q179"/>
  <c r="T179"/>
  <c r="O179"/>
  <c r="M179"/>
  <c r="L179"/>
  <c r="X179"/>
  <c r="U179"/>
  <c r="S179"/>
  <c r="V179"/>
  <c r="R179"/>
  <c r="K179"/>
  <c r="N179"/>
  <c r="Y417"/>
  <c r="Z417"/>
  <c r="W178"/>
  <c r="Q178"/>
  <c r="S178"/>
  <c r="L178"/>
  <c r="V178"/>
  <c r="M178"/>
  <c r="N178"/>
  <c r="K178"/>
  <c r="X178"/>
  <c r="T178"/>
  <c r="R178"/>
  <c r="O178"/>
  <c r="P178"/>
  <c r="U178"/>
  <c r="N198"/>
  <c r="V198"/>
  <c r="P198"/>
  <c r="U198"/>
  <c r="S198"/>
  <c r="Q198"/>
  <c r="W198"/>
  <c r="T198"/>
  <c r="K198"/>
  <c r="X198"/>
  <c r="O198"/>
  <c r="R198"/>
  <c r="L198"/>
  <c r="M198"/>
  <c r="Z188"/>
  <c r="Y188"/>
  <c r="Z147"/>
  <c r="Y147"/>
  <c r="N251"/>
  <c r="U251"/>
  <c r="V251"/>
  <c r="W251"/>
  <c r="S251"/>
  <c r="K251"/>
  <c r="X251"/>
  <c r="P251"/>
  <c r="R251"/>
  <c r="T251"/>
  <c r="M251"/>
  <c r="O251"/>
  <c r="Q251"/>
  <c r="L251"/>
  <c r="Y142"/>
  <c r="Z142"/>
  <c r="Y86"/>
  <c r="Z86"/>
  <c r="U160" i="6"/>
  <c r="Q70" i="4"/>
  <c r="V70"/>
  <c r="S70"/>
  <c r="T70"/>
  <c r="M70"/>
  <c r="K70"/>
  <c r="L70"/>
  <c r="P70"/>
  <c r="X70"/>
  <c r="N70"/>
  <c r="R70"/>
  <c r="O70"/>
  <c r="W70"/>
  <c r="U70"/>
  <c r="X417"/>
  <c r="K417"/>
  <c r="Q417"/>
  <c r="O417"/>
  <c r="S417"/>
  <c r="N417"/>
  <c r="T417"/>
  <c r="V417"/>
  <c r="W417"/>
  <c r="L417"/>
  <c r="R417"/>
  <c r="P417"/>
  <c r="M417"/>
  <c r="U417"/>
  <c r="U44" i="6"/>
  <c r="W123" i="4"/>
  <c r="V123"/>
  <c r="L123"/>
  <c r="R123"/>
  <c r="P123"/>
  <c r="M123"/>
  <c r="T123"/>
  <c r="Q123"/>
  <c r="O123"/>
  <c r="X123"/>
  <c r="U123"/>
  <c r="K123"/>
  <c r="N123"/>
  <c r="S123"/>
  <c r="U92" i="6"/>
  <c r="U82"/>
  <c r="Z189" i="4"/>
  <c r="Y189"/>
  <c r="Y152"/>
  <c r="Z152"/>
  <c r="O138"/>
  <c r="P138"/>
  <c r="T138"/>
  <c r="K138"/>
  <c r="V138"/>
  <c r="W138"/>
  <c r="N138"/>
  <c r="S138"/>
  <c r="Q138"/>
  <c r="M138"/>
  <c r="L138"/>
  <c r="X138"/>
  <c r="U138"/>
  <c r="R138"/>
  <c r="Z354"/>
  <c r="Y354"/>
  <c r="U278" i="6"/>
  <c r="U311"/>
  <c r="T56" i="4"/>
  <c r="N56"/>
  <c r="X56"/>
  <c r="O56"/>
  <c r="S56"/>
  <c r="L56"/>
  <c r="W56"/>
  <c r="U56"/>
  <c r="V56"/>
  <c r="M56"/>
  <c r="K56"/>
  <c r="R56"/>
  <c r="P56"/>
  <c r="Q56"/>
  <c r="T3" i="3"/>
  <c r="Z156" i="4"/>
  <c r="Y156"/>
  <c r="U117" i="6"/>
  <c r="U129"/>
  <c r="U74"/>
  <c r="U93"/>
  <c r="U80"/>
  <c r="U99"/>
  <c r="P401" i="4"/>
  <c r="X401"/>
  <c r="N401"/>
  <c r="S401"/>
  <c r="W401"/>
  <c r="M401"/>
  <c r="L401"/>
  <c r="R401"/>
  <c r="Q401"/>
  <c r="V401"/>
  <c r="K401"/>
  <c r="U401"/>
  <c r="O401"/>
  <c r="T401"/>
  <c r="P131"/>
  <c r="X131"/>
  <c r="L131"/>
  <c r="Q131"/>
  <c r="O131"/>
  <c r="T131"/>
  <c r="U131"/>
  <c r="V131"/>
  <c r="S131"/>
  <c r="N131"/>
  <c r="W131"/>
  <c r="M131"/>
  <c r="K131"/>
  <c r="R131"/>
  <c r="U10" i="6"/>
  <c r="U29"/>
  <c r="U16"/>
  <c r="U35"/>
  <c r="V342" i="4"/>
  <c r="W342"/>
  <c r="U342"/>
  <c r="P342"/>
  <c r="M342"/>
  <c r="K342"/>
  <c r="R342"/>
  <c r="O342"/>
  <c r="T342"/>
  <c r="L342"/>
  <c r="Q342"/>
  <c r="X342"/>
  <c r="N342"/>
  <c r="S342"/>
  <c r="Y353"/>
  <c r="Z353"/>
  <c r="U108" i="6"/>
  <c r="R3" i="5"/>
  <c r="Z83" i="4"/>
  <c r="Y83"/>
  <c r="Q3" i="6"/>
  <c r="S20" i="4"/>
  <c r="U20"/>
  <c r="V20"/>
  <c r="M20"/>
  <c r="K20"/>
  <c r="O20"/>
  <c r="X20"/>
  <c r="T20"/>
  <c r="R20"/>
  <c r="Q20"/>
  <c r="N20"/>
  <c r="L20"/>
  <c r="W20"/>
  <c r="P20"/>
  <c r="M124"/>
  <c r="T124"/>
  <c r="Q124"/>
  <c r="P124"/>
  <c r="W124"/>
  <c r="U124"/>
  <c r="S124"/>
  <c r="O124"/>
  <c r="N124"/>
  <c r="K124"/>
  <c r="V124"/>
  <c r="X124"/>
  <c r="L124"/>
  <c r="R124"/>
  <c r="Q3" i="5"/>
  <c r="U201" i="6"/>
  <c r="Y91" i="4"/>
  <c r="Z91"/>
  <c r="Y90"/>
  <c r="Z90"/>
  <c r="Y368"/>
  <c r="Z368"/>
  <c r="Z267"/>
  <c r="Y267"/>
  <c r="P393"/>
  <c r="V393"/>
  <c r="N393"/>
  <c r="R393"/>
  <c r="X393"/>
  <c r="T393"/>
  <c r="M393"/>
  <c r="O393"/>
  <c r="Q393"/>
  <c r="L393"/>
  <c r="S393"/>
  <c r="W393"/>
  <c r="K393"/>
  <c r="U393"/>
  <c r="R64"/>
  <c r="U64"/>
  <c r="W64"/>
  <c r="X64"/>
  <c r="T64"/>
  <c r="M64"/>
  <c r="P64"/>
  <c r="Q64"/>
  <c r="L64"/>
  <c r="V64"/>
  <c r="O64"/>
  <c r="N64"/>
  <c r="S64"/>
  <c r="K64"/>
  <c r="U138" i="6"/>
  <c r="U157"/>
  <c r="U144"/>
  <c r="U163"/>
  <c r="R311" i="4"/>
  <c r="U311"/>
  <c r="M311"/>
  <c r="P311"/>
  <c r="N311"/>
  <c r="O311"/>
  <c r="X311"/>
  <c r="K311"/>
  <c r="Q311"/>
  <c r="S311"/>
  <c r="L311"/>
  <c r="T311"/>
  <c r="W311"/>
  <c r="V311"/>
  <c r="U215" i="6"/>
  <c r="U183"/>
  <c r="U102"/>
  <c r="U121"/>
  <c r="Y32" i="4"/>
  <c r="Z32"/>
  <c r="T298"/>
  <c r="Q298"/>
  <c r="V298"/>
  <c r="L298"/>
  <c r="K298"/>
  <c r="O298"/>
  <c r="U298"/>
  <c r="R298"/>
  <c r="X298"/>
  <c r="N298"/>
  <c r="S298"/>
  <c r="P298"/>
  <c r="M298"/>
  <c r="W298"/>
  <c r="O3" i="6"/>
  <c r="Z374" i="4"/>
  <c r="Y374"/>
  <c r="U335" i="6"/>
  <c r="R168" i="4"/>
  <c r="U168"/>
  <c r="Q168"/>
  <c r="O168"/>
  <c r="T168"/>
  <c r="L168"/>
  <c r="X168"/>
  <c r="K168"/>
  <c r="S168"/>
  <c r="W168"/>
  <c r="V168"/>
  <c r="N168"/>
  <c r="M168"/>
  <c r="P168"/>
  <c r="O413"/>
  <c r="S413"/>
  <c r="L413"/>
  <c r="W413"/>
  <c r="V413"/>
  <c r="R413"/>
  <c r="U413"/>
  <c r="M413"/>
  <c r="Q413"/>
  <c r="T413"/>
  <c r="P413"/>
  <c r="X413"/>
  <c r="N413"/>
  <c r="K413"/>
  <c r="U60" i="6"/>
  <c r="R3" i="3"/>
  <c r="Z157" i="4"/>
  <c r="Y157"/>
  <c r="U361" i="6"/>
  <c r="U200"/>
  <c r="W12" i="4"/>
  <c r="V12"/>
  <c r="N12"/>
  <c r="M12"/>
  <c r="U12"/>
  <c r="R12"/>
  <c r="P12"/>
  <c r="Q12"/>
  <c r="K12"/>
  <c r="T12"/>
  <c r="X12"/>
  <c r="O12"/>
  <c r="S12"/>
  <c r="L12"/>
  <c r="Z6"/>
  <c r="Y6"/>
  <c r="U198" i="6"/>
  <c r="U217"/>
  <c r="C4"/>
  <c r="Z211" i="4"/>
  <c r="Y211"/>
  <c r="U125"/>
  <c r="X125"/>
  <c r="W125"/>
  <c r="S125"/>
  <c r="T125"/>
  <c r="R125"/>
  <c r="L125"/>
  <c r="Q125"/>
  <c r="P125"/>
  <c r="V125"/>
  <c r="N125"/>
  <c r="K125"/>
  <c r="M125"/>
  <c r="O125"/>
  <c r="N65"/>
  <c r="K65"/>
  <c r="L65"/>
  <c r="S65"/>
  <c r="X65"/>
  <c r="W65"/>
  <c r="P65"/>
  <c r="V65"/>
  <c r="U65"/>
  <c r="Q65"/>
  <c r="R65"/>
  <c r="M65"/>
  <c r="T65"/>
  <c r="O65"/>
  <c r="Z328"/>
  <c r="Y328"/>
  <c r="U73" i="6"/>
  <c r="Y33" i="4"/>
  <c r="Z33"/>
  <c r="L182"/>
  <c r="K182"/>
  <c r="P182"/>
  <c r="M182"/>
  <c r="U182"/>
  <c r="S182"/>
  <c r="W182"/>
  <c r="O182"/>
  <c r="T182"/>
  <c r="X182"/>
  <c r="V182"/>
  <c r="R182"/>
  <c r="N182"/>
  <c r="Q182"/>
  <c r="U388" i="6"/>
  <c r="U156"/>
  <c r="U262"/>
  <c r="K250" i="4"/>
  <c r="N250"/>
  <c r="V250"/>
  <c r="P250"/>
  <c r="L250"/>
  <c r="S250"/>
  <c r="X250"/>
  <c r="U250"/>
  <c r="Q250"/>
  <c r="M250"/>
  <c r="T250"/>
  <c r="R250"/>
  <c r="W250"/>
  <c r="O250"/>
  <c r="Y318"/>
  <c r="Z318"/>
  <c r="U405" i="6"/>
  <c r="U199"/>
  <c r="U167"/>
  <c r="Z228" i="4"/>
  <c r="Y228"/>
  <c r="U135" i="6"/>
  <c r="Q405" i="4"/>
  <c r="N405"/>
  <c r="O405"/>
  <c r="K405"/>
  <c r="L405"/>
  <c r="W405"/>
  <c r="V405"/>
  <c r="S405"/>
  <c r="T405"/>
  <c r="X405"/>
  <c r="R405"/>
  <c r="U405"/>
  <c r="M405"/>
  <c r="P405"/>
  <c r="R8"/>
  <c r="T8"/>
  <c r="U8"/>
  <c r="V8"/>
  <c r="X8"/>
  <c r="L8"/>
  <c r="Q8"/>
  <c r="W8"/>
  <c r="P8"/>
  <c r="S8"/>
  <c r="K8"/>
  <c r="M8"/>
  <c r="O8"/>
  <c r="N8"/>
  <c r="Y350"/>
  <c r="Z350"/>
  <c r="U204" i="6"/>
  <c r="W21" i="4"/>
  <c r="K21"/>
  <c r="R21"/>
  <c r="P21"/>
  <c r="X21"/>
  <c r="T21"/>
  <c r="Q21"/>
  <c r="V21"/>
  <c r="M21"/>
  <c r="N21"/>
  <c r="S21"/>
  <c r="O21"/>
  <c r="L21"/>
  <c r="U21"/>
  <c r="U70" i="6"/>
  <c r="U89"/>
  <c r="P318" i="4"/>
  <c r="W318"/>
  <c r="T318"/>
  <c r="R318"/>
  <c r="M318"/>
  <c r="O318"/>
  <c r="S318"/>
  <c r="L318"/>
  <c r="X318"/>
  <c r="U318"/>
  <c r="Q318"/>
  <c r="V318"/>
  <c r="N318"/>
  <c r="K318"/>
  <c r="Z329"/>
  <c r="Y329"/>
  <c r="U289" i="6"/>
  <c r="L3" i="3"/>
  <c r="Q377" i="4"/>
  <c r="O377"/>
  <c r="T377"/>
  <c r="S377"/>
  <c r="W377"/>
  <c r="X377"/>
  <c r="L377"/>
  <c r="R377"/>
  <c r="V377"/>
  <c r="M377"/>
  <c r="U377"/>
  <c r="P377"/>
  <c r="N377"/>
  <c r="K377"/>
  <c r="Z191"/>
  <c r="Y191"/>
  <c r="Z286"/>
  <c r="Y286"/>
  <c r="V126"/>
  <c r="K126"/>
  <c r="N126"/>
  <c r="M126"/>
  <c r="P126"/>
  <c r="S126"/>
  <c r="T126"/>
  <c r="W126"/>
  <c r="O126"/>
  <c r="L126"/>
  <c r="X126"/>
  <c r="Q126"/>
  <c r="R126"/>
  <c r="U126"/>
  <c r="H3" i="5"/>
  <c r="Z415" i="4"/>
  <c r="Y415"/>
  <c r="Z414"/>
  <c r="Y414"/>
  <c r="S410"/>
  <c r="N410"/>
  <c r="R410"/>
  <c r="O410"/>
  <c r="T410"/>
  <c r="Q410"/>
  <c r="V410"/>
  <c r="K410"/>
  <c r="L410"/>
  <c r="M410"/>
  <c r="P410"/>
  <c r="U410"/>
  <c r="X410"/>
  <c r="W410"/>
  <c r="Z98"/>
  <c r="Y98"/>
  <c r="Z383"/>
  <c r="Y383"/>
  <c r="R378"/>
  <c r="L378"/>
  <c r="M378"/>
  <c r="K378"/>
  <c r="N378"/>
  <c r="X378"/>
  <c r="P378"/>
  <c r="S378"/>
  <c r="U378"/>
  <c r="V378"/>
  <c r="W378"/>
  <c r="T378"/>
  <c r="O378"/>
  <c r="Q378"/>
  <c r="Y278"/>
  <c r="Z278"/>
  <c r="Y393"/>
  <c r="Z393"/>
  <c r="Y274"/>
  <c r="Z274"/>
  <c r="N145"/>
  <c r="M145"/>
  <c r="O145"/>
  <c r="S145"/>
  <c r="T145"/>
  <c r="W145"/>
  <c r="X145"/>
  <c r="L145"/>
  <c r="R145"/>
  <c r="V145"/>
  <c r="P145"/>
  <c r="U145"/>
  <c r="K145"/>
  <c r="Q145"/>
  <c r="Z352"/>
  <c r="Y352"/>
  <c r="Y351"/>
  <c r="Z351"/>
  <c r="Y346"/>
  <c r="Z346"/>
  <c r="Q344"/>
  <c r="U344"/>
  <c r="S344"/>
  <c r="K344"/>
  <c r="T344"/>
  <c r="W344"/>
  <c r="V344"/>
  <c r="N344"/>
  <c r="M344"/>
  <c r="P344"/>
  <c r="R344"/>
  <c r="L344"/>
  <c r="X344"/>
  <c r="O344"/>
  <c r="Z376"/>
  <c r="Y376"/>
  <c r="L355"/>
  <c r="S355"/>
  <c r="V355"/>
  <c r="M355"/>
  <c r="U355"/>
  <c r="R355"/>
  <c r="W355"/>
  <c r="Q355"/>
  <c r="N355"/>
  <c r="K355"/>
  <c r="P355"/>
  <c r="O355"/>
  <c r="T355"/>
  <c r="X355"/>
  <c r="K324"/>
  <c r="U324"/>
  <c r="X324"/>
  <c r="V324"/>
  <c r="R324"/>
  <c r="T324"/>
  <c r="W324"/>
  <c r="Q324"/>
  <c r="L324"/>
  <c r="P324"/>
  <c r="O324"/>
  <c r="S324"/>
  <c r="N324"/>
  <c r="M324"/>
  <c r="M257"/>
  <c r="V257"/>
  <c r="U257"/>
  <c r="P257"/>
  <c r="N257"/>
  <c r="K257"/>
  <c r="O257"/>
  <c r="Q257"/>
  <c r="T257"/>
  <c r="S257"/>
  <c r="X257"/>
  <c r="W257"/>
  <c r="R257"/>
  <c r="L257"/>
  <c r="U140" i="6"/>
  <c r="P207" i="4"/>
  <c r="O207"/>
  <c r="K207"/>
  <c r="T207"/>
  <c r="Q207"/>
  <c r="W207"/>
  <c r="S207"/>
  <c r="L207"/>
  <c r="X207"/>
  <c r="R207"/>
  <c r="U207"/>
  <c r="V207"/>
  <c r="M207"/>
  <c r="N207"/>
  <c r="Q202"/>
  <c r="V202"/>
  <c r="U202"/>
  <c r="N202"/>
  <c r="P202"/>
  <c r="W202"/>
  <c r="L202"/>
  <c r="R202"/>
  <c r="O202"/>
  <c r="M202"/>
  <c r="K202"/>
  <c r="X202"/>
  <c r="T202"/>
  <c r="S202"/>
  <c r="U79" i="6"/>
  <c r="Y255" i="4"/>
  <c r="Z255"/>
  <c r="U78" i="6"/>
  <c r="U97"/>
  <c r="O220" i="4"/>
  <c r="V220"/>
  <c r="S220"/>
  <c r="T220"/>
  <c r="M220"/>
  <c r="L220"/>
  <c r="R220"/>
  <c r="W220"/>
  <c r="K220"/>
  <c r="Q220"/>
  <c r="P220"/>
  <c r="U220"/>
  <c r="N220"/>
  <c r="X220"/>
  <c r="X216"/>
  <c r="O216"/>
  <c r="Q216"/>
  <c r="L216"/>
  <c r="S216"/>
  <c r="T216"/>
  <c r="K216"/>
  <c r="V216"/>
  <c r="W216"/>
  <c r="N216"/>
  <c r="M216"/>
  <c r="P216"/>
  <c r="R216"/>
  <c r="U216"/>
  <c r="L289"/>
  <c r="M289"/>
  <c r="Q289"/>
  <c r="R289"/>
  <c r="U289"/>
  <c r="X289"/>
  <c r="S289"/>
  <c r="K289"/>
  <c r="V289"/>
  <c r="P289"/>
  <c r="T289"/>
  <c r="N289"/>
  <c r="W289"/>
  <c r="O289"/>
  <c r="Z3" i="3"/>
  <c r="Y120" i="4"/>
  <c r="Z120"/>
  <c r="U98" i="6"/>
  <c r="U110"/>
  <c r="U325"/>
  <c r="U166"/>
  <c r="U185"/>
  <c r="Z375" i="4"/>
  <c r="Y375"/>
  <c r="Q268"/>
  <c r="V268"/>
  <c r="L268"/>
  <c r="K268"/>
  <c r="O268"/>
  <c r="P268"/>
  <c r="U268"/>
  <c r="S268"/>
  <c r="X268"/>
  <c r="N268"/>
  <c r="W268"/>
  <c r="M268"/>
  <c r="T268"/>
  <c r="R268"/>
  <c r="N3" i="3"/>
  <c r="Z371" i="4"/>
  <c r="Y371"/>
  <c r="U172" i="6"/>
  <c r="Z39" i="4"/>
  <c r="Y39"/>
  <c r="Z34"/>
  <c r="Y34"/>
  <c r="U122" i="6"/>
  <c r="U141"/>
  <c r="U128"/>
  <c r="U147"/>
  <c r="Q33" i="4"/>
  <c r="T33"/>
  <c r="N33"/>
  <c r="V33"/>
  <c r="W33"/>
  <c r="L33"/>
  <c r="R33"/>
  <c r="P33"/>
  <c r="M33"/>
  <c r="U33"/>
  <c r="X33"/>
  <c r="O33"/>
  <c r="S33"/>
  <c r="K33"/>
  <c r="Y411"/>
  <c r="Z411"/>
  <c r="Y232"/>
  <c r="Z232"/>
  <c r="T409"/>
  <c r="L409"/>
  <c r="P409"/>
  <c r="V409"/>
  <c r="U409"/>
  <c r="Q409"/>
  <c r="X409"/>
  <c r="K409"/>
  <c r="S409"/>
  <c r="M409"/>
  <c r="N409"/>
  <c r="R409"/>
  <c r="W409"/>
  <c r="O409"/>
  <c r="Z349"/>
  <c r="Y349"/>
  <c r="Q6"/>
  <c r="N6"/>
  <c r="O6"/>
  <c r="W6"/>
  <c r="U6"/>
  <c r="S6"/>
  <c r="R6"/>
  <c r="L6"/>
  <c r="M6"/>
  <c r="V6"/>
  <c r="K6"/>
  <c r="T6"/>
  <c r="P6"/>
  <c r="Z60"/>
  <c r="Y60"/>
  <c r="X270"/>
  <c r="V270"/>
  <c r="K270"/>
  <c r="N270"/>
  <c r="Q270"/>
  <c r="W270"/>
  <c r="L270"/>
  <c r="R270"/>
  <c r="M270"/>
  <c r="U270"/>
  <c r="S270"/>
  <c r="P270"/>
  <c r="O270"/>
  <c r="T270"/>
  <c r="P89"/>
  <c r="U89"/>
  <c r="R89"/>
  <c r="O89"/>
  <c r="M89"/>
  <c r="K89"/>
  <c r="W89"/>
  <c r="X89"/>
  <c r="N89"/>
  <c r="S89"/>
  <c r="Q89"/>
  <c r="V89"/>
  <c r="L89"/>
  <c r="T89"/>
  <c r="T10"/>
  <c r="S10"/>
  <c r="V10"/>
  <c r="X10"/>
  <c r="N10"/>
  <c r="R10"/>
  <c r="P10"/>
  <c r="Q10"/>
  <c r="U10"/>
  <c r="L10"/>
  <c r="O10"/>
  <c r="W10"/>
  <c r="K10"/>
  <c r="M10"/>
  <c r="U103" i="6"/>
  <c r="S3" i="5"/>
  <c r="P75" i="4"/>
  <c r="L75"/>
  <c r="T75"/>
  <c r="O75"/>
  <c r="S75"/>
  <c r="U75"/>
  <c r="V75"/>
  <c r="X75"/>
  <c r="K75"/>
  <c r="R75"/>
  <c r="W75"/>
  <c r="M75"/>
  <c r="N75"/>
  <c r="Q75"/>
  <c r="X74"/>
  <c r="L74"/>
  <c r="V74"/>
  <c r="O74"/>
  <c r="K74"/>
  <c r="U74"/>
  <c r="Q74"/>
  <c r="W74"/>
  <c r="N74"/>
  <c r="S74"/>
  <c r="M74"/>
  <c r="P74"/>
  <c r="R74"/>
  <c r="T74"/>
  <c r="W208"/>
  <c r="V208"/>
  <c r="Q208"/>
  <c r="P208"/>
  <c r="M208"/>
  <c r="O208"/>
  <c r="S208"/>
  <c r="L208"/>
  <c r="N208"/>
  <c r="K208"/>
  <c r="U208"/>
  <c r="X208"/>
  <c r="T208"/>
  <c r="R208"/>
  <c r="U416" i="6"/>
  <c r="Y43" i="4"/>
  <c r="Z43"/>
  <c r="Z42"/>
  <c r="Y42"/>
  <c r="U196" i="6"/>
  <c r="U164"/>
  <c r="R16" i="4"/>
  <c r="N16"/>
  <c r="W16"/>
  <c r="T16"/>
  <c r="Q16"/>
  <c r="P16"/>
  <c r="S16"/>
  <c r="V16"/>
  <c r="U16"/>
  <c r="L16"/>
  <c r="K16"/>
  <c r="O16"/>
  <c r="X16"/>
  <c r="M16"/>
  <c r="V364"/>
  <c r="K364"/>
  <c r="N364"/>
  <c r="W364"/>
  <c r="R364"/>
  <c r="L364"/>
  <c r="P364"/>
  <c r="M364"/>
  <c r="U364"/>
  <c r="S364"/>
  <c r="O364"/>
  <c r="X364"/>
  <c r="T364"/>
  <c r="Q364"/>
  <c r="M11"/>
  <c r="W11"/>
  <c r="Q11"/>
  <c r="N11"/>
  <c r="P11"/>
  <c r="T11"/>
  <c r="K11"/>
  <c r="O11"/>
  <c r="L11"/>
  <c r="S11"/>
  <c r="X11"/>
  <c r="V11"/>
  <c r="R11"/>
  <c r="U11"/>
  <c r="L363"/>
  <c r="N363"/>
  <c r="P363"/>
  <c r="W363"/>
  <c r="T363"/>
  <c r="O363"/>
  <c r="X363"/>
  <c r="U363"/>
  <c r="S363"/>
  <c r="M363"/>
  <c r="K363"/>
  <c r="R363"/>
  <c r="Q363"/>
  <c r="V363"/>
  <c r="Z407"/>
  <c r="Y407"/>
  <c r="Y96"/>
  <c r="Z96"/>
  <c r="U150" i="6"/>
  <c r="U169"/>
  <c r="O146" i="4"/>
  <c r="W146"/>
  <c r="K146"/>
  <c r="U146"/>
  <c r="V146"/>
  <c r="M146"/>
  <c r="T146"/>
  <c r="S146"/>
  <c r="P146"/>
  <c r="X146"/>
  <c r="L146"/>
  <c r="Q146"/>
  <c r="R146"/>
  <c r="N146"/>
  <c r="W141"/>
  <c r="S141"/>
  <c r="L141"/>
  <c r="U141"/>
  <c r="P141"/>
  <c r="T141"/>
  <c r="R141"/>
  <c r="V141"/>
  <c r="M141"/>
  <c r="N141"/>
  <c r="Q141"/>
  <c r="O141"/>
  <c r="X141"/>
  <c r="K141"/>
  <c r="Y269"/>
  <c r="Z269"/>
  <c r="Y268"/>
  <c r="Z268"/>
  <c r="U28" i="6"/>
  <c r="U340"/>
  <c r="M256" i="4"/>
  <c r="O256"/>
  <c r="R256"/>
  <c r="K256"/>
  <c r="Q256"/>
  <c r="N256"/>
  <c r="T256"/>
  <c r="V256"/>
  <c r="X256"/>
  <c r="L256"/>
  <c r="S256"/>
  <c r="P256"/>
  <c r="W256"/>
  <c r="U256"/>
  <c r="U308" i="6"/>
  <c r="U118"/>
  <c r="U137"/>
  <c r="L279" i="4"/>
  <c r="R279"/>
  <c r="V279"/>
  <c r="W279"/>
  <c r="U279"/>
  <c r="P279"/>
  <c r="Q279"/>
  <c r="N279"/>
  <c r="K279"/>
  <c r="O279"/>
  <c r="M279"/>
  <c r="T279"/>
  <c r="S279"/>
  <c r="X279"/>
  <c r="L128"/>
  <c r="O128"/>
  <c r="M128"/>
  <c r="T128"/>
  <c r="R128"/>
  <c r="Q128"/>
  <c r="K128"/>
  <c r="N128"/>
  <c r="X128"/>
  <c r="V128"/>
  <c r="S128"/>
  <c r="U128"/>
  <c r="W128"/>
  <c r="P128"/>
  <c r="Z229"/>
  <c r="Y229"/>
  <c r="W86"/>
  <c r="Q86"/>
  <c r="R86"/>
  <c r="L86"/>
  <c r="O86"/>
  <c r="T86"/>
  <c r="U86"/>
  <c r="V86"/>
  <c r="M86"/>
  <c r="N86"/>
  <c r="P86"/>
  <c r="X86"/>
  <c r="K86"/>
  <c r="S86"/>
  <c r="Z357"/>
  <c r="Y357"/>
  <c r="Z214"/>
  <c r="Y214"/>
  <c r="X209"/>
  <c r="W209"/>
  <c r="S209"/>
  <c r="L209"/>
  <c r="V209"/>
  <c r="Q209"/>
  <c r="U209"/>
  <c r="K209"/>
  <c r="O209"/>
  <c r="N209"/>
  <c r="M209"/>
  <c r="P209"/>
  <c r="R209"/>
  <c r="T209"/>
  <c r="P17"/>
  <c r="V17"/>
  <c r="N17"/>
  <c r="R17"/>
  <c r="M17"/>
  <c r="T17"/>
  <c r="X17"/>
  <c r="O17"/>
  <c r="S17"/>
  <c r="L17"/>
  <c r="Q17"/>
  <c r="W17"/>
  <c r="K17"/>
  <c r="U17"/>
  <c r="I3" i="6"/>
  <c r="U76"/>
  <c r="Z54" i="4"/>
  <c r="Y54"/>
  <c r="Z282"/>
  <c r="Y282"/>
  <c r="Y73"/>
  <c r="Z73"/>
  <c r="M28"/>
  <c r="P28"/>
  <c r="S28"/>
  <c r="L28"/>
  <c r="W28"/>
  <c r="V28"/>
  <c r="T28"/>
  <c r="X28"/>
  <c r="O28"/>
  <c r="K28"/>
  <c r="N28"/>
  <c r="R28"/>
  <c r="Q28"/>
  <c r="U28"/>
  <c r="W200"/>
  <c r="P200"/>
  <c r="S200"/>
  <c r="L200"/>
  <c r="M200"/>
  <c r="O200"/>
  <c r="U200"/>
  <c r="R200"/>
  <c r="N200"/>
  <c r="K200"/>
  <c r="X200"/>
  <c r="V200"/>
  <c r="Q200"/>
  <c r="T200"/>
  <c r="U180" i="6"/>
  <c r="U148"/>
  <c r="U116"/>
  <c r="W304" i="4"/>
  <c r="V304"/>
  <c r="R304"/>
  <c r="T304"/>
  <c r="Q304"/>
  <c r="P304"/>
  <c r="L304"/>
  <c r="N304"/>
  <c r="M304"/>
  <c r="O304"/>
  <c r="S304"/>
  <c r="U304"/>
  <c r="X304"/>
  <c r="K304"/>
  <c r="S92"/>
  <c r="T92"/>
  <c r="L92"/>
  <c r="Q92"/>
  <c r="U92"/>
  <c r="W92"/>
  <c r="P92"/>
  <c r="K92"/>
  <c r="R92"/>
  <c r="O92"/>
  <c r="N92"/>
  <c r="V92"/>
  <c r="M92"/>
  <c r="X92"/>
  <c r="U9" i="6"/>
  <c r="U20"/>
  <c r="Z57" i="4"/>
  <c r="Y57"/>
  <c r="Q137"/>
  <c r="V137"/>
  <c r="K137"/>
  <c r="U137"/>
  <c r="P137"/>
  <c r="O137"/>
  <c r="S137"/>
  <c r="N137"/>
  <c r="M137"/>
  <c r="T137"/>
  <c r="X137"/>
  <c r="W137"/>
  <c r="R137"/>
  <c r="L137"/>
  <c r="M3" i="6"/>
  <c r="U133"/>
  <c r="P3" i="3"/>
  <c r="P88" i="4"/>
  <c r="M88"/>
  <c r="L88"/>
  <c r="R88"/>
  <c r="O88"/>
  <c r="X88"/>
  <c r="T88"/>
  <c r="Q88"/>
  <c r="S88"/>
  <c r="N88"/>
  <c r="K88"/>
  <c r="V88"/>
  <c r="W88"/>
  <c r="U88"/>
  <c r="K87"/>
  <c r="N87"/>
  <c r="O87"/>
  <c r="M87"/>
  <c r="L87"/>
  <c r="S87"/>
  <c r="X87"/>
  <c r="R87"/>
  <c r="T87"/>
  <c r="W87"/>
  <c r="V87"/>
  <c r="U87"/>
  <c r="Q87"/>
  <c r="P87"/>
  <c r="L82"/>
  <c r="K82"/>
  <c r="W82"/>
  <c r="P82"/>
  <c r="N82"/>
  <c r="X82"/>
  <c r="Q82"/>
  <c r="R82"/>
  <c r="U82"/>
  <c r="M82"/>
  <c r="S82"/>
  <c r="T82"/>
  <c r="O82"/>
  <c r="V82"/>
  <c r="Y56"/>
  <c r="Z56"/>
  <c r="Z55"/>
  <c r="Y55"/>
  <c r="Y50"/>
  <c r="Z50"/>
  <c r="U151" i="6"/>
  <c r="Y230" i="4"/>
  <c r="Z230"/>
  <c r="U119" i="6"/>
  <c r="Z303" i="4"/>
  <c r="Y303"/>
  <c r="U132" i="6"/>
  <c r="V210" i="4"/>
  <c r="M210"/>
  <c r="L210"/>
  <c r="X210"/>
  <c r="P210"/>
  <c r="K210"/>
  <c r="U210"/>
  <c r="W210"/>
  <c r="T210"/>
  <c r="S210"/>
  <c r="Q210"/>
  <c r="O210"/>
  <c r="N210"/>
  <c r="R210"/>
  <c r="S205"/>
  <c r="W205"/>
  <c r="T205"/>
  <c r="N205"/>
  <c r="V205"/>
  <c r="K205"/>
  <c r="R205"/>
  <c r="P205"/>
  <c r="M205"/>
  <c r="L205"/>
  <c r="Q205"/>
  <c r="X205"/>
  <c r="O205"/>
  <c r="U205"/>
  <c r="U337" i="6"/>
  <c r="Q314" i="4"/>
  <c r="S314"/>
  <c r="U314"/>
  <c r="O314"/>
  <c r="M314"/>
  <c r="T314"/>
  <c r="K314"/>
  <c r="V314"/>
  <c r="X314"/>
  <c r="N314"/>
  <c r="R314"/>
  <c r="W314"/>
  <c r="P314"/>
  <c r="L314"/>
  <c r="W272"/>
  <c r="O272"/>
  <c r="Q272"/>
  <c r="L272"/>
  <c r="U272"/>
  <c r="K272"/>
  <c r="V272"/>
  <c r="X272"/>
  <c r="N272"/>
  <c r="S272"/>
  <c r="M272"/>
  <c r="P272"/>
  <c r="R272"/>
  <c r="T272"/>
  <c r="U333" i="6"/>
  <c r="H3" i="3"/>
  <c r="U84" i="4"/>
  <c r="L84"/>
  <c r="P84"/>
  <c r="M84"/>
  <c r="T84"/>
  <c r="S84"/>
  <c r="O84"/>
  <c r="W84"/>
  <c r="K84"/>
  <c r="V84"/>
  <c r="X84"/>
  <c r="N84"/>
  <c r="R84"/>
  <c r="Q84"/>
  <c r="Q83"/>
  <c r="N83"/>
  <c r="W83"/>
  <c r="X83"/>
  <c r="L83"/>
  <c r="K83"/>
  <c r="P83"/>
  <c r="S83"/>
  <c r="T83"/>
  <c r="O83"/>
  <c r="R83"/>
  <c r="U83"/>
  <c r="M83"/>
  <c r="V83"/>
  <c r="Z52"/>
  <c r="Y52"/>
  <c r="Y51"/>
  <c r="Z51"/>
  <c r="Y46"/>
  <c r="Z46"/>
  <c r="Y280"/>
  <c r="Z280"/>
  <c r="Z272"/>
  <c r="Y272"/>
  <c r="P25"/>
  <c r="Q25"/>
  <c r="U25"/>
  <c r="O25"/>
  <c r="M25"/>
  <c r="K25"/>
  <c r="S25"/>
  <c r="W25"/>
  <c r="X25"/>
  <c r="N25"/>
  <c r="R25"/>
  <c r="V25"/>
  <c r="T25"/>
  <c r="L25"/>
  <c r="Z310"/>
  <c r="Y310"/>
  <c r="Y114"/>
  <c r="Z114"/>
  <c r="Y284"/>
  <c r="Z284"/>
  <c r="Y151"/>
  <c r="Z151"/>
  <c r="Q186"/>
  <c r="W186"/>
  <c r="U186"/>
  <c r="K186"/>
  <c r="P186"/>
  <c r="V186"/>
  <c r="T186"/>
  <c r="R186"/>
  <c r="M186"/>
  <c r="N186"/>
  <c r="O186"/>
  <c r="X186"/>
  <c r="L186"/>
  <c r="S186"/>
  <c r="Q185"/>
  <c r="V185"/>
  <c r="N185"/>
  <c r="K185"/>
  <c r="O185"/>
  <c r="T185"/>
  <c r="R185"/>
  <c r="P185"/>
  <c r="X185"/>
  <c r="L185"/>
  <c r="S185"/>
  <c r="W185"/>
  <c r="M185"/>
  <c r="U185"/>
  <c r="U49" i="6"/>
  <c r="U343"/>
  <c r="Z28" i="4"/>
  <c r="Y28"/>
  <c r="Z27"/>
  <c r="Y27"/>
  <c r="Z402"/>
  <c r="Y402"/>
  <c r="T104"/>
  <c r="P104"/>
  <c r="M104"/>
  <c r="N104"/>
  <c r="R104"/>
  <c r="O104"/>
  <c r="Q104"/>
  <c r="L104"/>
  <c r="U104"/>
  <c r="X104"/>
  <c r="K104"/>
  <c r="S104"/>
  <c r="V104"/>
  <c r="W104"/>
  <c r="N103"/>
  <c r="K103"/>
  <c r="O103"/>
  <c r="L103"/>
  <c r="R103"/>
  <c r="V103"/>
  <c r="M103"/>
  <c r="Q103"/>
  <c r="X103"/>
  <c r="S103"/>
  <c r="W103"/>
  <c r="U103"/>
  <c r="P103"/>
  <c r="T103"/>
  <c r="Z295"/>
  <c r="Y295"/>
  <c r="P376"/>
  <c r="S376"/>
  <c r="N376"/>
  <c r="L376"/>
  <c r="X376"/>
  <c r="O376"/>
  <c r="K376"/>
  <c r="W376"/>
  <c r="R376"/>
  <c r="U376"/>
  <c r="V376"/>
  <c r="M376"/>
  <c r="T376"/>
  <c r="Q376"/>
  <c r="K23"/>
  <c r="N23"/>
  <c r="O23"/>
  <c r="X23"/>
  <c r="T23"/>
  <c r="S23"/>
  <c r="W23"/>
  <c r="L23"/>
  <c r="R23"/>
  <c r="V23"/>
  <c r="M23"/>
  <c r="U23"/>
  <c r="Q23"/>
  <c r="P23"/>
  <c r="R375"/>
  <c r="N375"/>
  <c r="X375"/>
  <c r="O375"/>
  <c r="K375"/>
  <c r="Q375"/>
  <c r="L375"/>
  <c r="T375"/>
  <c r="W375"/>
  <c r="V375"/>
  <c r="S375"/>
  <c r="U375"/>
  <c r="M375"/>
  <c r="P375"/>
  <c r="N18"/>
  <c r="K18"/>
  <c r="P18"/>
  <c r="W18"/>
  <c r="R18"/>
  <c r="U18"/>
  <c r="O18"/>
  <c r="T18"/>
  <c r="Q18"/>
  <c r="M18"/>
  <c r="L18"/>
  <c r="S18"/>
  <c r="V18"/>
  <c r="X18"/>
  <c r="U370"/>
  <c r="P370"/>
  <c r="W370"/>
  <c r="N370"/>
  <c r="S370"/>
  <c r="X370"/>
  <c r="O370"/>
  <c r="K370"/>
  <c r="M370"/>
  <c r="R370"/>
  <c r="Q370"/>
  <c r="T370"/>
  <c r="V370"/>
  <c r="L370"/>
  <c r="U220" i="6"/>
  <c r="U210"/>
  <c r="U229"/>
  <c r="R136" i="4"/>
  <c r="K136"/>
  <c r="U136"/>
  <c r="X136"/>
  <c r="V136"/>
  <c r="Q136"/>
  <c r="N136"/>
  <c r="W136"/>
  <c r="P136"/>
  <c r="S136"/>
  <c r="L136"/>
  <c r="O136"/>
  <c r="M136"/>
  <c r="T136"/>
  <c r="Y204"/>
  <c r="Z204"/>
  <c r="V322"/>
  <c r="X322"/>
  <c r="K322"/>
  <c r="R322"/>
  <c r="M322"/>
  <c r="T322"/>
  <c r="S322"/>
  <c r="P322"/>
  <c r="W322"/>
  <c r="N322"/>
  <c r="L322"/>
  <c r="Q322"/>
  <c r="O322"/>
  <c r="U322"/>
  <c r="Z333"/>
  <c r="Y333"/>
  <c r="N54"/>
  <c r="Q54"/>
  <c r="U54"/>
  <c r="T54"/>
  <c r="P54"/>
  <c r="M54"/>
  <c r="K54"/>
  <c r="S54"/>
  <c r="O54"/>
  <c r="X54"/>
  <c r="L54"/>
  <c r="R54"/>
  <c r="V54"/>
  <c r="W54"/>
  <c r="V49"/>
  <c r="M49"/>
  <c r="L49"/>
  <c r="R49"/>
  <c r="O49"/>
  <c r="X49"/>
  <c r="U49"/>
  <c r="S49"/>
  <c r="P49"/>
  <c r="Q49"/>
  <c r="N49"/>
  <c r="K49"/>
  <c r="W49"/>
  <c r="T49"/>
  <c r="K383"/>
  <c r="X383"/>
  <c r="W383"/>
  <c r="N383"/>
  <c r="R383"/>
  <c r="L383"/>
  <c r="Q383"/>
  <c r="S383"/>
  <c r="T383"/>
  <c r="V383"/>
  <c r="P383"/>
  <c r="M383"/>
  <c r="O383"/>
  <c r="U383"/>
  <c r="P203"/>
  <c r="K203"/>
  <c r="T203"/>
  <c r="O203"/>
  <c r="S203"/>
  <c r="U203"/>
  <c r="V203"/>
  <c r="X203"/>
  <c r="N203"/>
  <c r="R203"/>
  <c r="W203"/>
  <c r="M203"/>
  <c r="L203"/>
  <c r="Q203"/>
  <c r="T181"/>
  <c r="M181"/>
  <c r="V181"/>
  <c r="S181"/>
  <c r="L181"/>
  <c r="O181"/>
  <c r="X181"/>
  <c r="K181"/>
  <c r="R181"/>
  <c r="W181"/>
  <c r="Q181"/>
  <c r="U181"/>
  <c r="N181"/>
  <c r="P181"/>
  <c r="M189"/>
  <c r="N189"/>
  <c r="P189"/>
  <c r="X189"/>
  <c r="L189"/>
  <c r="S189"/>
  <c r="U189"/>
  <c r="R189"/>
  <c r="W189"/>
  <c r="T189"/>
  <c r="Q189"/>
  <c r="O189"/>
  <c r="K189"/>
  <c r="V189"/>
  <c r="N188"/>
  <c r="S188"/>
  <c r="O188"/>
  <c r="R188"/>
  <c r="L188"/>
  <c r="M188"/>
  <c r="T188"/>
  <c r="K188"/>
  <c r="V188"/>
  <c r="X188"/>
  <c r="U188"/>
  <c r="Q188"/>
  <c r="P188"/>
  <c r="W188"/>
  <c r="K3" i="5"/>
  <c r="Y187" i="4"/>
  <c r="Z187"/>
  <c r="U84" i="6"/>
  <c r="Z190" i="4"/>
  <c r="Y190"/>
  <c r="Y290"/>
  <c r="Z290"/>
  <c r="Z158"/>
  <c r="Y158"/>
  <c r="U22" i="6"/>
  <c r="U41"/>
  <c r="Z224" i="4"/>
  <c r="Y224"/>
  <c r="W326"/>
  <c r="U326"/>
  <c r="K326"/>
  <c r="P326"/>
  <c r="M326"/>
  <c r="T326"/>
  <c r="S326"/>
  <c r="O326"/>
  <c r="N326"/>
  <c r="R326"/>
  <c r="V326"/>
  <c r="X326"/>
  <c r="L326"/>
  <c r="Q326"/>
  <c r="O132"/>
  <c r="W132"/>
  <c r="N132"/>
  <c r="K132"/>
  <c r="X132"/>
  <c r="R132"/>
  <c r="U132"/>
  <c r="M132"/>
  <c r="V132"/>
  <c r="Q132"/>
  <c r="T132"/>
  <c r="S132"/>
  <c r="P132"/>
  <c r="L132"/>
  <c r="Z77"/>
  <c r="Y77"/>
  <c r="V187"/>
  <c r="W187"/>
  <c r="S187"/>
  <c r="L187"/>
  <c r="M187"/>
  <c r="P187"/>
  <c r="R187"/>
  <c r="K187"/>
  <c r="O187"/>
  <c r="X187"/>
  <c r="T187"/>
  <c r="Q187"/>
  <c r="U187"/>
  <c r="N187"/>
  <c r="Z294"/>
  <c r="Y294"/>
  <c r="S101"/>
  <c r="K101"/>
  <c r="W101"/>
  <c r="M101"/>
  <c r="N101"/>
  <c r="R101"/>
  <c r="Q101"/>
  <c r="T101"/>
  <c r="L101"/>
  <c r="P101"/>
  <c r="V101"/>
  <c r="U101"/>
  <c r="X101"/>
  <c r="O101"/>
  <c r="Z161"/>
  <c r="Y161"/>
  <c r="P385"/>
  <c r="S385"/>
  <c r="L385"/>
  <c r="W385"/>
  <c r="X385"/>
  <c r="U385"/>
  <c r="R385"/>
  <c r="Q385"/>
  <c r="M385"/>
  <c r="N385"/>
  <c r="V385"/>
  <c r="O385"/>
  <c r="K385"/>
  <c r="T385"/>
  <c r="Y58"/>
  <c r="Z58"/>
  <c r="Z238"/>
  <c r="Y238"/>
  <c r="U105"/>
  <c r="R105"/>
  <c r="O105"/>
  <c r="X105"/>
  <c r="K105"/>
  <c r="S105"/>
  <c r="P105"/>
  <c r="Q105"/>
  <c r="T105"/>
  <c r="N105"/>
  <c r="W105"/>
  <c r="L105"/>
  <c r="V105"/>
  <c r="M105"/>
  <c r="V27"/>
  <c r="M27"/>
  <c r="N27"/>
  <c r="R27"/>
  <c r="W27"/>
  <c r="Q27"/>
  <c r="K27"/>
  <c r="T27"/>
  <c r="P27"/>
  <c r="O27"/>
  <c r="L27"/>
  <c r="X27"/>
  <c r="U27"/>
  <c r="S27"/>
  <c r="M204"/>
  <c r="N204"/>
  <c r="R204"/>
  <c r="P204"/>
  <c r="Q204"/>
  <c r="T204"/>
  <c r="K204"/>
  <c r="W204"/>
  <c r="O204"/>
  <c r="S204"/>
  <c r="L204"/>
  <c r="X204"/>
  <c r="V204"/>
  <c r="U204"/>
  <c r="K143"/>
  <c r="N143"/>
  <c r="W143"/>
  <c r="P143"/>
  <c r="S143"/>
  <c r="M143"/>
  <c r="R143"/>
  <c r="X143"/>
  <c r="L143"/>
  <c r="O143"/>
  <c r="Q143"/>
  <c r="T143"/>
  <c r="U143"/>
  <c r="V143"/>
  <c r="U29"/>
  <c r="K29"/>
  <c r="P29"/>
  <c r="X29"/>
  <c r="T29"/>
  <c r="R29"/>
  <c r="V29"/>
  <c r="M29"/>
  <c r="L29"/>
  <c r="Q29"/>
  <c r="O29"/>
  <c r="S29"/>
  <c r="N29"/>
  <c r="W29"/>
  <c r="S24"/>
  <c r="T24"/>
  <c r="K24"/>
  <c r="V24"/>
  <c r="W24"/>
  <c r="L24"/>
  <c r="P24"/>
  <c r="M24"/>
  <c r="U24"/>
  <c r="R24"/>
  <c r="X24"/>
  <c r="O24"/>
  <c r="Q24"/>
  <c r="N24"/>
  <c r="Y111"/>
  <c r="Z111"/>
  <c r="Z106"/>
  <c r="Y106"/>
  <c r="Y101"/>
  <c r="Z101"/>
  <c r="U3" i="3"/>
  <c r="Z25" i="4"/>
  <c r="Y25"/>
  <c r="Y223"/>
  <c r="Z223"/>
  <c r="V227"/>
  <c r="M227"/>
  <c r="N227"/>
  <c r="R227"/>
  <c r="W227"/>
  <c r="Q227"/>
  <c r="L227"/>
  <c r="T227"/>
  <c r="P227"/>
  <c r="O227"/>
  <c r="U227"/>
  <c r="X227"/>
  <c r="S227"/>
  <c r="K227"/>
  <c r="T67"/>
  <c r="L67"/>
  <c r="V67"/>
  <c r="U67"/>
  <c r="S67"/>
  <c r="W67"/>
  <c r="M67"/>
  <c r="N67"/>
  <c r="R67"/>
  <c r="P67"/>
  <c r="X67"/>
  <c r="K67"/>
  <c r="Q67"/>
  <c r="O67"/>
  <c r="S133"/>
  <c r="W133"/>
  <c r="N133"/>
  <c r="K133"/>
  <c r="V133"/>
  <c r="U133"/>
  <c r="R133"/>
  <c r="P133"/>
  <c r="M133"/>
  <c r="T133"/>
  <c r="Q133"/>
  <c r="O133"/>
  <c r="X133"/>
  <c r="L133"/>
  <c r="U38"/>
  <c r="R38"/>
  <c r="P38"/>
  <c r="X38"/>
  <c r="T38"/>
  <c r="M38"/>
  <c r="S38"/>
  <c r="L38"/>
  <c r="Q38"/>
  <c r="O38"/>
  <c r="N38"/>
  <c r="K38"/>
  <c r="V38"/>
  <c r="W38"/>
  <c r="U381"/>
  <c r="S381"/>
  <c r="W381"/>
  <c r="R381"/>
  <c r="Q381"/>
  <c r="L381"/>
  <c r="P381"/>
  <c r="K381"/>
  <c r="T381"/>
  <c r="V381"/>
  <c r="X381"/>
  <c r="N381"/>
  <c r="O381"/>
  <c r="M381"/>
  <c r="Z392"/>
  <c r="Y392"/>
  <c r="Y160"/>
  <c r="Z160"/>
  <c r="P247"/>
  <c r="M247"/>
  <c r="U247"/>
  <c r="O247"/>
  <c r="X247"/>
  <c r="N247"/>
  <c r="Q247"/>
  <c r="S247"/>
  <c r="T247"/>
  <c r="K247"/>
  <c r="V247"/>
  <c r="W247"/>
  <c r="L247"/>
  <c r="R247"/>
  <c r="Z279"/>
  <c r="Y279"/>
  <c r="Z107"/>
  <c r="Y107"/>
  <c r="Z102"/>
  <c r="Y102"/>
  <c r="P416"/>
  <c r="M416"/>
  <c r="T416"/>
  <c r="R416"/>
  <c r="O416"/>
  <c r="X416"/>
  <c r="N416"/>
  <c r="Q416"/>
  <c r="S416"/>
  <c r="L416"/>
  <c r="K416"/>
  <c r="V416"/>
  <c r="W416"/>
  <c r="U416"/>
  <c r="U114" i="6"/>
  <c r="U212"/>
  <c r="J3" i="5"/>
  <c r="Y266" i="4"/>
  <c r="Z266"/>
  <c r="K153"/>
  <c r="P153"/>
  <c r="X153"/>
  <c r="N153"/>
  <c r="R153"/>
  <c r="W153"/>
  <c r="Q153"/>
  <c r="T153"/>
  <c r="L153"/>
  <c r="V153"/>
  <c r="S153"/>
  <c r="U153"/>
  <c r="O153"/>
  <c r="M153"/>
  <c r="U52" i="6"/>
  <c r="R39" i="4"/>
  <c r="T39"/>
  <c r="L39"/>
  <c r="Q39"/>
  <c r="V39"/>
  <c r="M39"/>
  <c r="U39"/>
  <c r="K39"/>
  <c r="X39"/>
  <c r="P39"/>
  <c r="S39"/>
  <c r="N39"/>
  <c r="W39"/>
  <c r="O39"/>
  <c r="L34"/>
  <c r="P34"/>
  <c r="N34"/>
  <c r="T34"/>
  <c r="Q34"/>
  <c r="O34"/>
  <c r="U34"/>
  <c r="R34"/>
  <c r="X34"/>
  <c r="W34"/>
  <c r="S34"/>
  <c r="K34"/>
  <c r="M34"/>
  <c r="V34"/>
  <c r="Z388"/>
  <c r="Y388"/>
  <c r="U100" i="6"/>
  <c r="Y219" i="4"/>
  <c r="Z219"/>
  <c r="Z259"/>
  <c r="Y259"/>
  <c r="U173" i="6"/>
  <c r="U321"/>
  <c r="Y344" i="4"/>
  <c r="Z344"/>
  <c r="U57" i="6"/>
  <c r="U13"/>
  <c r="U312"/>
  <c r="Z103" i="4"/>
  <c r="Y103"/>
  <c r="R93"/>
  <c r="L93"/>
  <c r="X93"/>
  <c r="P93"/>
  <c r="Q93"/>
  <c r="N93"/>
  <c r="O93"/>
  <c r="K93"/>
  <c r="U93"/>
  <c r="W93"/>
  <c r="S93"/>
  <c r="T93"/>
  <c r="M93"/>
  <c r="V93"/>
  <c r="Z236"/>
  <c r="Y236"/>
  <c r="L164"/>
  <c r="S164"/>
  <c r="V164"/>
  <c r="X164"/>
  <c r="U164"/>
  <c r="K164"/>
  <c r="R164"/>
  <c r="T164"/>
  <c r="M164"/>
  <c r="P164"/>
  <c r="Q164"/>
  <c r="N164"/>
  <c r="O164"/>
  <c r="W164"/>
  <c r="Y217"/>
  <c r="Z217"/>
  <c r="Y216"/>
  <c r="Z216"/>
  <c r="U40"/>
  <c r="P40"/>
  <c r="M40"/>
  <c r="T40"/>
  <c r="R40"/>
  <c r="O40"/>
  <c r="Q40"/>
  <c r="L40"/>
  <c r="N40"/>
  <c r="X40"/>
  <c r="S40"/>
  <c r="K40"/>
  <c r="W40"/>
  <c r="V40"/>
  <c r="P35"/>
  <c r="O35"/>
  <c r="K35"/>
  <c r="X35"/>
  <c r="S35"/>
  <c r="U35"/>
  <c r="M35"/>
  <c r="V35"/>
  <c r="R35"/>
  <c r="L35"/>
  <c r="Q35"/>
  <c r="W35"/>
  <c r="T35"/>
  <c r="N35"/>
  <c r="R408"/>
  <c r="L408"/>
  <c r="M408"/>
  <c r="O408"/>
  <c r="S408"/>
  <c r="T408"/>
  <c r="Q408"/>
  <c r="K408"/>
  <c r="N408"/>
  <c r="W408"/>
  <c r="V408"/>
  <c r="U408"/>
  <c r="X408"/>
  <c r="P408"/>
  <c r="U366"/>
  <c r="P366"/>
  <c r="M366"/>
  <c r="N366"/>
  <c r="R366"/>
  <c r="O366"/>
  <c r="X366"/>
  <c r="Q366"/>
  <c r="S366"/>
  <c r="W366"/>
  <c r="K366"/>
  <c r="T366"/>
  <c r="V366"/>
  <c r="L366"/>
  <c r="Z244"/>
  <c r="Y244"/>
  <c r="Q243"/>
  <c r="N243"/>
  <c r="P243"/>
  <c r="W243"/>
  <c r="L243"/>
  <c r="O243"/>
  <c r="X243"/>
  <c r="T243"/>
  <c r="K243"/>
  <c r="M243"/>
  <c r="U243"/>
  <c r="S243"/>
  <c r="V243"/>
  <c r="R243"/>
  <c r="K108"/>
  <c r="T108"/>
  <c r="M108"/>
  <c r="V108"/>
  <c r="R108"/>
  <c r="L108"/>
  <c r="W108"/>
  <c r="P108"/>
  <c r="Q108"/>
  <c r="N108"/>
  <c r="X108"/>
  <c r="O108"/>
  <c r="S108"/>
  <c r="U108"/>
  <c r="K107"/>
  <c r="R107"/>
  <c r="V107"/>
  <c r="Q107"/>
  <c r="N107"/>
  <c r="L107"/>
  <c r="W107"/>
  <c r="P107"/>
  <c r="T107"/>
  <c r="O107"/>
  <c r="M107"/>
  <c r="U107"/>
  <c r="S107"/>
  <c r="X107"/>
  <c r="U102"/>
  <c r="S102"/>
  <c r="P102"/>
  <c r="O102"/>
  <c r="T102"/>
  <c r="X102"/>
  <c r="V102"/>
  <c r="R102"/>
  <c r="L102"/>
  <c r="Q102"/>
  <c r="W102"/>
  <c r="N102"/>
  <c r="K102"/>
  <c r="M102"/>
  <c r="N3" i="5"/>
  <c r="Y100" i="4"/>
  <c r="Z100"/>
  <c r="Z163"/>
  <c r="Y163"/>
  <c r="Z104"/>
  <c r="Y104"/>
  <c r="U30" i="6"/>
  <c r="Y296" i="4"/>
  <c r="Z296"/>
  <c r="U322" i="6"/>
  <c r="U334"/>
  <c r="W343" i="4"/>
  <c r="O343"/>
  <c r="R343"/>
  <c r="L343"/>
  <c r="M343"/>
  <c r="T343"/>
  <c r="X343"/>
  <c r="V343"/>
  <c r="S343"/>
  <c r="U343"/>
  <c r="P343"/>
  <c r="Q343"/>
  <c r="N343"/>
  <c r="K343"/>
  <c r="M221"/>
  <c r="P221"/>
  <c r="Q221"/>
  <c r="T221"/>
  <c r="X221"/>
  <c r="V221"/>
  <c r="K221"/>
  <c r="L221"/>
  <c r="U221"/>
  <c r="O221"/>
  <c r="S221"/>
  <c r="W221"/>
  <c r="R221"/>
  <c r="N221"/>
  <c r="Y87"/>
  <c r="Z87"/>
  <c r="Z82"/>
  <c r="Y82"/>
  <c r="Y22"/>
  <c r="Z22"/>
  <c r="U233" i="6"/>
  <c r="X295" i="4"/>
  <c r="P295"/>
  <c r="S295"/>
  <c r="N295"/>
  <c r="W295"/>
  <c r="O295"/>
  <c r="R295"/>
  <c r="T295"/>
  <c r="L295"/>
  <c r="Q295"/>
  <c r="V295"/>
  <c r="M295"/>
  <c r="U295"/>
  <c r="K295"/>
  <c r="Y242"/>
  <c r="Z242"/>
  <c r="Y132"/>
  <c r="Z132"/>
  <c r="P139"/>
  <c r="T139"/>
  <c r="L139"/>
  <c r="O139"/>
  <c r="K139"/>
  <c r="S139"/>
  <c r="V139"/>
  <c r="X139"/>
  <c r="U139"/>
  <c r="R139"/>
  <c r="W139"/>
  <c r="M139"/>
  <c r="N139"/>
  <c r="Q139"/>
  <c r="L134"/>
  <c r="N134"/>
  <c r="X134"/>
  <c r="V134"/>
  <c r="S134"/>
  <c r="K134"/>
  <c r="M134"/>
  <c r="R134"/>
  <c r="U134"/>
  <c r="P134"/>
  <c r="W134"/>
  <c r="T134"/>
  <c r="Q134"/>
  <c r="O134"/>
  <c r="U356" i="6"/>
  <c r="H3"/>
  <c r="U6"/>
  <c r="U25"/>
  <c r="N15" i="4"/>
  <c r="L15"/>
  <c r="Q15"/>
  <c r="X15"/>
  <c r="T15"/>
  <c r="S15"/>
  <c r="W15"/>
  <c r="K15"/>
  <c r="R15"/>
  <c r="V15"/>
  <c r="M15"/>
  <c r="U15"/>
  <c r="P15"/>
  <c r="O15"/>
  <c r="N277"/>
  <c r="Q277"/>
  <c r="P277"/>
  <c r="M277"/>
  <c r="K277"/>
  <c r="O277"/>
  <c r="S277"/>
  <c r="T277"/>
  <c r="L277"/>
  <c r="W277"/>
  <c r="R277"/>
  <c r="U277"/>
  <c r="V277"/>
  <c r="X277"/>
  <c r="Z40"/>
  <c r="Y40"/>
  <c r="Z172"/>
  <c r="Y172"/>
  <c r="Z171"/>
  <c r="Y171"/>
  <c r="Y70"/>
  <c r="Z70"/>
  <c r="Z404"/>
  <c r="Y404"/>
  <c r="Z400"/>
  <c r="Y400"/>
  <c r="V266"/>
  <c r="O266"/>
  <c r="K266"/>
  <c r="U266"/>
  <c r="W266"/>
  <c r="M266"/>
  <c r="N266"/>
  <c r="X266"/>
  <c r="L266"/>
  <c r="Q266"/>
  <c r="R266"/>
  <c r="P266"/>
  <c r="S266"/>
  <c r="T266"/>
  <c r="X96"/>
  <c r="O96"/>
  <c r="Q96"/>
  <c r="N96"/>
  <c r="S96"/>
  <c r="L96"/>
  <c r="K96"/>
  <c r="W96"/>
  <c r="V96"/>
  <c r="U96"/>
  <c r="M96"/>
  <c r="P96"/>
  <c r="R96"/>
  <c r="T96"/>
  <c r="U12" i="6"/>
  <c r="W147" i="4"/>
  <c r="M147"/>
  <c r="N147"/>
  <c r="K147"/>
  <c r="P147"/>
  <c r="T147"/>
  <c r="S147"/>
  <c r="O147"/>
  <c r="L147"/>
  <c r="R147"/>
  <c r="V147"/>
  <c r="X147"/>
  <c r="U147"/>
  <c r="Q147"/>
  <c r="M142"/>
  <c r="U142"/>
  <c r="S142"/>
  <c r="T142"/>
  <c r="X142"/>
  <c r="K142"/>
  <c r="O142"/>
  <c r="W142"/>
  <c r="V142"/>
  <c r="R142"/>
  <c r="L142"/>
  <c r="P142"/>
  <c r="Q142"/>
  <c r="N142"/>
  <c r="Z365"/>
  <c r="Y365"/>
  <c r="R281"/>
  <c r="U281"/>
  <c r="M281"/>
  <c r="K281"/>
  <c r="X281"/>
  <c r="Q281"/>
  <c r="S281"/>
  <c r="N281"/>
  <c r="O281"/>
  <c r="W281"/>
  <c r="L281"/>
  <c r="T281"/>
  <c r="V281"/>
  <c r="P281"/>
  <c r="Z110"/>
  <c r="Y110"/>
  <c r="Y105"/>
  <c r="Z105"/>
  <c r="Y270"/>
  <c r="Z270"/>
  <c r="Y176"/>
  <c r="Z176"/>
  <c r="Z175"/>
  <c r="Y175"/>
  <c r="Y170"/>
  <c r="Z170"/>
  <c r="O353"/>
  <c r="M353"/>
  <c r="U353"/>
  <c r="S353"/>
  <c r="X353"/>
  <c r="R353"/>
  <c r="N353"/>
  <c r="V353"/>
  <c r="Q353"/>
  <c r="T353"/>
  <c r="K353"/>
  <c r="P353"/>
  <c r="W353"/>
  <c r="L353"/>
  <c r="Z247"/>
  <c r="Y247"/>
  <c r="Z29"/>
  <c r="Y29"/>
  <c r="Z117"/>
  <c r="Y117"/>
  <c r="Y385"/>
  <c r="Z385"/>
  <c r="X307"/>
  <c r="O307"/>
  <c r="K307"/>
  <c r="T307"/>
  <c r="M307"/>
  <c r="S307"/>
  <c r="U307"/>
  <c r="R307"/>
  <c r="V307"/>
  <c r="N307"/>
  <c r="Q307"/>
  <c r="P307"/>
  <c r="W307"/>
  <c r="L307"/>
  <c r="Z116"/>
  <c r="Y116"/>
  <c r="Y248"/>
  <c r="Z248"/>
  <c r="U177" i="6"/>
  <c r="M148" i="4"/>
  <c r="T148"/>
  <c r="R148"/>
  <c r="V148"/>
  <c r="Q148"/>
  <c r="K148"/>
  <c r="N148"/>
  <c r="P148"/>
  <c r="W148"/>
  <c r="L148"/>
  <c r="S148"/>
  <c r="O148"/>
  <c r="X148"/>
  <c r="U148"/>
  <c r="U366" i="6"/>
  <c r="Y49" i="4"/>
  <c r="Z49"/>
  <c r="W154"/>
  <c r="S154"/>
  <c r="U154"/>
  <c r="O154"/>
  <c r="V154"/>
  <c r="K154"/>
  <c r="L154"/>
  <c r="M154"/>
  <c r="P154"/>
  <c r="R154"/>
  <c r="N154"/>
  <c r="X154"/>
  <c r="Q154"/>
  <c r="T154"/>
  <c r="Z390"/>
  <c r="Y390"/>
  <c r="N262"/>
  <c r="R262"/>
  <c r="P262"/>
  <c r="W262"/>
  <c r="K262"/>
  <c r="Q262"/>
  <c r="X262"/>
  <c r="U262"/>
  <c r="S262"/>
  <c r="O262"/>
  <c r="L262"/>
  <c r="T262"/>
  <c r="V262"/>
  <c r="M262"/>
  <c r="Y265"/>
  <c r="Z265"/>
  <c r="N349"/>
  <c r="S349"/>
  <c r="P349"/>
  <c r="X349"/>
  <c r="L349"/>
  <c r="R349"/>
  <c r="V349"/>
  <c r="M349"/>
  <c r="U349"/>
  <c r="Q349"/>
  <c r="O349"/>
  <c r="K349"/>
  <c r="T349"/>
  <c r="W349"/>
  <c r="Z183"/>
  <c r="Y183"/>
  <c r="L115"/>
  <c r="S115"/>
  <c r="V115"/>
  <c r="R115"/>
  <c r="Q115"/>
  <c r="N115"/>
  <c r="W115"/>
  <c r="P115"/>
  <c r="K115"/>
  <c r="T115"/>
  <c r="O115"/>
  <c r="M115"/>
  <c r="U115"/>
  <c r="X115"/>
  <c r="Z271"/>
  <c r="Y271"/>
  <c r="Y168"/>
  <c r="Z168"/>
  <c r="X371"/>
  <c r="O371"/>
  <c r="U371"/>
  <c r="M371"/>
  <c r="S371"/>
  <c r="L371"/>
  <c r="R371"/>
  <c r="V371"/>
  <c r="N371"/>
  <c r="Q371"/>
  <c r="W371"/>
  <c r="P371"/>
  <c r="K371"/>
  <c r="T371"/>
  <c r="V213"/>
  <c r="L213"/>
  <c r="R213"/>
  <c r="P213"/>
  <c r="X213"/>
  <c r="U213"/>
  <c r="Q213"/>
  <c r="M213"/>
  <c r="O213"/>
  <c r="N213"/>
  <c r="S213"/>
  <c r="W213"/>
  <c r="T213"/>
  <c r="K213"/>
  <c r="N379"/>
  <c r="U379"/>
  <c r="W379"/>
  <c r="V379"/>
  <c r="L379"/>
  <c r="S379"/>
  <c r="P379"/>
  <c r="X379"/>
  <c r="T379"/>
  <c r="R379"/>
  <c r="M379"/>
  <c r="O379"/>
  <c r="Q379"/>
  <c r="K379"/>
  <c r="U154" i="6"/>
  <c r="T150" i="4"/>
  <c r="L150"/>
  <c r="P150"/>
  <c r="W150"/>
  <c r="N150"/>
  <c r="R150"/>
  <c r="V150"/>
  <c r="M150"/>
  <c r="K150"/>
  <c r="X150"/>
  <c r="S150"/>
  <c r="U150"/>
  <c r="Q150"/>
  <c r="O150"/>
  <c r="U38" i="6"/>
  <c r="O53" i="4"/>
  <c r="M53"/>
  <c r="L53"/>
  <c r="S53"/>
  <c r="W53"/>
  <c r="X53"/>
  <c r="U53"/>
  <c r="R53"/>
  <c r="V53"/>
  <c r="Q53"/>
  <c r="T53"/>
  <c r="K53"/>
  <c r="P53"/>
  <c r="N53"/>
  <c r="Y169"/>
  <c r="Z169"/>
  <c r="X45"/>
  <c r="T45"/>
  <c r="S45"/>
  <c r="M45"/>
  <c r="V45"/>
  <c r="R45"/>
  <c r="L45"/>
  <c r="Q45"/>
  <c r="P45"/>
  <c r="K45"/>
  <c r="N45"/>
  <c r="O45"/>
  <c r="W45"/>
  <c r="U45"/>
  <c r="Y222"/>
  <c r="Z222"/>
  <c r="U282"/>
  <c r="Q282"/>
  <c r="V282"/>
  <c r="M282"/>
  <c r="T282"/>
  <c r="S282"/>
  <c r="X282"/>
  <c r="P282"/>
  <c r="L282"/>
  <c r="K282"/>
  <c r="O282"/>
  <c r="N282"/>
  <c r="R282"/>
  <c r="W282"/>
  <c r="M278"/>
  <c r="O278"/>
  <c r="S278"/>
  <c r="N278"/>
  <c r="W278"/>
  <c r="P278"/>
  <c r="R278"/>
  <c r="U278"/>
  <c r="Q278"/>
  <c r="V278"/>
  <c r="K278"/>
  <c r="L278"/>
  <c r="X278"/>
  <c r="T278"/>
  <c r="M274"/>
  <c r="Q274"/>
  <c r="R274"/>
  <c r="T274"/>
  <c r="V274"/>
  <c r="L274"/>
  <c r="K274"/>
  <c r="O274"/>
  <c r="P274"/>
  <c r="S274"/>
  <c r="U274"/>
  <c r="X274"/>
  <c r="W274"/>
  <c r="N274"/>
  <c r="Y136"/>
  <c r="Z136"/>
  <c r="K352"/>
  <c r="L352"/>
  <c r="U352"/>
  <c r="X352"/>
  <c r="O352"/>
  <c r="Q352"/>
  <c r="T352"/>
  <c r="W352"/>
  <c r="S352"/>
  <c r="M352"/>
  <c r="R352"/>
  <c r="V352"/>
  <c r="N352"/>
  <c r="P352"/>
  <c r="Y76"/>
  <c r="Z76"/>
  <c r="Z75"/>
  <c r="Y75"/>
  <c r="Z313"/>
  <c r="Y313"/>
  <c r="X109"/>
  <c r="V109"/>
  <c r="R109"/>
  <c r="T109"/>
  <c r="Q109"/>
  <c r="N109"/>
  <c r="L109"/>
  <c r="P109"/>
  <c r="O109"/>
  <c r="U109"/>
  <c r="M109"/>
  <c r="W109"/>
  <c r="S109"/>
  <c r="K109"/>
  <c r="X157"/>
  <c r="V157"/>
  <c r="Q157"/>
  <c r="N157"/>
  <c r="M157"/>
  <c r="P157"/>
  <c r="K157"/>
  <c r="U157"/>
  <c r="O157"/>
  <c r="T157"/>
  <c r="S157"/>
  <c r="W157"/>
  <c r="R157"/>
  <c r="L157"/>
  <c r="U346"/>
  <c r="S346"/>
  <c r="W346"/>
  <c r="T346"/>
  <c r="R346"/>
  <c r="M346"/>
  <c r="Q346"/>
  <c r="N346"/>
  <c r="X346"/>
  <c r="V346"/>
  <c r="K346"/>
  <c r="L346"/>
  <c r="O346"/>
  <c r="P346"/>
  <c r="Z348"/>
  <c r="Y348"/>
  <c r="Z347"/>
  <c r="Y347"/>
  <c r="U71"/>
  <c r="P71"/>
  <c r="M71"/>
  <c r="N71"/>
  <c r="Q71"/>
  <c r="K71"/>
  <c r="O71"/>
  <c r="T71"/>
  <c r="S71"/>
  <c r="X71"/>
  <c r="L71"/>
  <c r="R71"/>
  <c r="V71"/>
  <c r="W71"/>
  <c r="K66"/>
  <c r="S66"/>
  <c r="X66"/>
  <c r="L66"/>
  <c r="R66"/>
  <c r="P66"/>
  <c r="V66"/>
  <c r="U66"/>
  <c r="N66"/>
  <c r="Q66"/>
  <c r="W66"/>
  <c r="T66"/>
  <c r="O66"/>
  <c r="M66"/>
  <c r="N248"/>
  <c r="S248"/>
  <c r="U248"/>
  <c r="T248"/>
  <c r="R248"/>
  <c r="P248"/>
  <c r="Q248"/>
  <c r="W248"/>
  <c r="L248"/>
  <c r="O248"/>
  <c r="K248"/>
  <c r="V248"/>
  <c r="M248"/>
  <c r="X248"/>
  <c r="Z341"/>
  <c r="Y341"/>
  <c r="U123" i="6"/>
  <c r="U111"/>
  <c r="Y412" i="4"/>
  <c r="Z412"/>
  <c r="Z291"/>
  <c r="Y291"/>
  <c r="Y126"/>
  <c r="Z126"/>
  <c r="Z287"/>
  <c r="Y287"/>
  <c r="Y24"/>
  <c r="Z24"/>
  <c r="O359"/>
  <c r="X359"/>
  <c r="L359"/>
  <c r="R359"/>
  <c r="W359"/>
  <c r="Q359"/>
  <c r="U359"/>
  <c r="V359"/>
  <c r="K359"/>
  <c r="N359"/>
  <c r="P359"/>
  <c r="M359"/>
  <c r="T359"/>
  <c r="S359"/>
  <c r="N387"/>
  <c r="S387"/>
  <c r="W387"/>
  <c r="M387"/>
  <c r="K387"/>
  <c r="R387"/>
  <c r="P387"/>
  <c r="X387"/>
  <c r="L387"/>
  <c r="Q387"/>
  <c r="O387"/>
  <c r="V387"/>
  <c r="U387"/>
  <c r="T387"/>
  <c r="Y401"/>
  <c r="Z401"/>
  <c r="M386"/>
  <c r="W386"/>
  <c r="R386"/>
  <c r="L386"/>
  <c r="P386"/>
  <c r="V386"/>
  <c r="T386"/>
  <c r="X386"/>
  <c r="K386"/>
  <c r="U386"/>
  <c r="O386"/>
  <c r="S386"/>
  <c r="N386"/>
  <c r="Q386"/>
  <c r="U245"/>
  <c r="O245"/>
  <c r="M245"/>
  <c r="N245"/>
  <c r="S245"/>
  <c r="W245"/>
  <c r="X245"/>
  <c r="T245"/>
  <c r="R245"/>
  <c r="Q245"/>
  <c r="L245"/>
  <c r="K245"/>
  <c r="V245"/>
  <c r="P245"/>
  <c r="Y231"/>
  <c r="Z231"/>
  <c r="U305" i="6"/>
  <c r="U284"/>
  <c r="L415" i="4"/>
  <c r="Q415"/>
  <c r="W415"/>
  <c r="N415"/>
  <c r="U415"/>
  <c r="V415"/>
  <c r="K415"/>
  <c r="S415"/>
  <c r="P415"/>
  <c r="M415"/>
  <c r="T415"/>
  <c r="R415"/>
  <c r="X415"/>
  <c r="O415"/>
  <c r="Z237"/>
  <c r="Y237"/>
  <c r="M230"/>
  <c r="L230"/>
  <c r="K230"/>
  <c r="Q230"/>
  <c r="O230"/>
  <c r="N230"/>
  <c r="R230"/>
  <c r="V230"/>
  <c r="W230"/>
  <c r="U230"/>
  <c r="P230"/>
  <c r="X230"/>
  <c r="T230"/>
  <c r="S230"/>
  <c r="Y317"/>
  <c r="Z317"/>
  <c r="L129"/>
  <c r="R129"/>
  <c r="O129"/>
  <c r="X129"/>
  <c r="U129"/>
  <c r="W129"/>
  <c r="Q129"/>
  <c r="K129"/>
  <c r="N129"/>
  <c r="P129"/>
  <c r="V129"/>
  <c r="T129"/>
  <c r="S129"/>
  <c r="M129"/>
  <c r="U54" i="6"/>
  <c r="Z194" i="4"/>
  <c r="Y194"/>
  <c r="W184"/>
  <c r="U184"/>
  <c r="M184"/>
  <c r="V184"/>
  <c r="R184"/>
  <c r="N184"/>
  <c r="Q184"/>
  <c r="P184"/>
  <c r="L184"/>
  <c r="T184"/>
  <c r="X184"/>
  <c r="O184"/>
  <c r="S184"/>
  <c r="K184"/>
  <c r="O296"/>
  <c r="S296"/>
  <c r="L296"/>
  <c r="U296"/>
  <c r="X296"/>
  <c r="K296"/>
  <c r="W296"/>
  <c r="V296"/>
  <c r="R296"/>
  <c r="T296"/>
  <c r="M296"/>
  <c r="P296"/>
  <c r="Q296"/>
  <c r="N296"/>
  <c r="U120" i="6"/>
  <c r="U139"/>
  <c r="U249"/>
  <c r="U127"/>
  <c r="U126"/>
  <c r="U145"/>
  <c r="Y256" i="4"/>
  <c r="Z256"/>
  <c r="U88" i="6"/>
  <c r="U107"/>
  <c r="U95"/>
  <c r="U94"/>
  <c r="U113"/>
  <c r="Y332" i="4"/>
  <c r="Z332"/>
  <c r="K317"/>
  <c r="T317"/>
  <c r="R317"/>
  <c r="N317"/>
  <c r="S317"/>
  <c r="U317"/>
  <c r="V317"/>
  <c r="Q317"/>
  <c r="P317"/>
  <c r="M317"/>
  <c r="O317"/>
  <c r="L317"/>
  <c r="X317"/>
  <c r="W317"/>
  <c r="U239" i="6"/>
  <c r="U66"/>
  <c r="U85"/>
  <c r="U299"/>
  <c r="U293"/>
  <c r="U50"/>
  <c r="U69"/>
  <c r="Z289" i="4"/>
  <c r="Y289"/>
  <c r="U56" i="6"/>
  <c r="U75"/>
  <c r="U63"/>
  <c r="Z285" i="4"/>
  <c r="Y285"/>
  <c r="U62" i="6"/>
  <c r="U81"/>
  <c r="Y281" i="4"/>
  <c r="Z281"/>
  <c r="U267" i="6"/>
  <c r="U47"/>
  <c r="U46"/>
  <c r="U65"/>
  <c r="U18"/>
  <c r="U37"/>
  <c r="U24"/>
  <c r="U43"/>
  <c r="U245"/>
  <c r="U21"/>
  <c r="U8"/>
  <c r="U27"/>
  <c r="U15"/>
  <c r="U14"/>
  <c r="U33"/>
  <c r="U176"/>
  <c r="W183" i="4"/>
  <c r="U183"/>
  <c r="K183"/>
  <c r="L183"/>
  <c r="O183"/>
  <c r="R183"/>
  <c r="N183"/>
  <c r="S183"/>
  <c r="M183"/>
  <c r="V183"/>
  <c r="P183"/>
  <c r="Q183"/>
  <c r="T183"/>
  <c r="X183"/>
  <c r="D5"/>
  <c r="Q214"/>
  <c r="X214"/>
  <c r="L214"/>
  <c r="R214"/>
  <c r="O214"/>
  <c r="V214"/>
  <c r="T214"/>
  <c r="N214"/>
  <c r="W214"/>
  <c r="P214"/>
  <c r="U214"/>
  <c r="M214"/>
  <c r="K214"/>
  <c r="S214"/>
  <c r="L155"/>
  <c r="K155"/>
  <c r="P155"/>
  <c r="O155"/>
  <c r="T155"/>
  <c r="M155"/>
  <c r="S155"/>
  <c r="U155"/>
  <c r="V155"/>
  <c r="X155"/>
  <c r="N155"/>
  <c r="R155"/>
  <c r="W155"/>
  <c r="Q155"/>
  <c r="Z59"/>
  <c r="Y59"/>
  <c r="U409" i="6"/>
  <c r="S280" i="4"/>
  <c r="U280"/>
  <c r="K280"/>
  <c r="V280"/>
  <c r="W280"/>
  <c r="N280"/>
  <c r="P280"/>
  <c r="M280"/>
  <c r="T280"/>
  <c r="R280"/>
  <c r="X280"/>
  <c r="O280"/>
  <c r="Q280"/>
  <c r="L280"/>
  <c r="Y143"/>
  <c r="Z143"/>
  <c r="Y408"/>
  <c r="Z408"/>
  <c r="U202" i="6"/>
  <c r="U221"/>
  <c r="U208"/>
  <c r="U227"/>
  <c r="X276" i="4"/>
  <c r="R276"/>
  <c r="N276"/>
  <c r="Q276"/>
  <c r="V276"/>
  <c r="T276"/>
  <c r="U276"/>
  <c r="P276"/>
  <c r="W276"/>
  <c r="L276"/>
  <c r="M276"/>
  <c r="O276"/>
  <c r="S276"/>
  <c r="K276"/>
  <c r="Y208"/>
  <c r="Z208"/>
  <c r="Y304"/>
  <c r="Z304"/>
  <c r="Y300"/>
  <c r="Z300"/>
  <c r="Y112"/>
  <c r="Z112"/>
  <c r="Z167"/>
  <c r="Y167"/>
  <c r="Y108"/>
  <c r="Z108"/>
  <c r="V3" i="3"/>
  <c r="P3" i="5"/>
  <c r="U375" i="6"/>
  <c r="U241"/>
  <c r="K135" i="4"/>
  <c r="N135"/>
  <c r="Q135"/>
  <c r="O135"/>
  <c r="L135"/>
  <c r="S135"/>
  <c r="W135"/>
  <c r="T135"/>
  <c r="R135"/>
  <c r="X135"/>
  <c r="V135"/>
  <c r="U135"/>
  <c r="M135"/>
  <c r="P135"/>
  <c r="Y48"/>
  <c r="Z48"/>
  <c r="Y47"/>
  <c r="Z47"/>
  <c r="U207" i="6"/>
  <c r="U206"/>
  <c r="U225"/>
  <c r="Z409" i="4"/>
  <c r="Y409"/>
  <c r="U231" i="6"/>
  <c r="T236" i="4"/>
  <c r="R236"/>
  <c r="W236"/>
  <c r="M236"/>
  <c r="K236"/>
  <c r="Q236"/>
  <c r="X236"/>
  <c r="P236"/>
  <c r="N236"/>
  <c r="S236"/>
  <c r="O236"/>
  <c r="U236"/>
  <c r="L236"/>
  <c r="V236"/>
  <c r="Z197"/>
  <c r="Y197"/>
  <c r="L42"/>
  <c r="R42"/>
  <c r="O42"/>
  <c r="X42"/>
  <c r="K42"/>
  <c r="P42"/>
  <c r="W42"/>
  <c r="N42"/>
  <c r="U42"/>
  <c r="Q42"/>
  <c r="T42"/>
  <c r="S42"/>
  <c r="V42"/>
  <c r="M42"/>
  <c r="P3" i="6"/>
  <c r="U310"/>
  <c r="S127" i="4"/>
  <c r="O127"/>
  <c r="T127"/>
  <c r="K127"/>
  <c r="W127"/>
  <c r="U127"/>
  <c r="R127"/>
  <c r="V127"/>
  <c r="X127"/>
  <c r="N127"/>
  <c r="M127"/>
  <c r="P127"/>
  <c r="Q127"/>
  <c r="L127"/>
  <c r="Q3" i="3"/>
  <c r="I3"/>
  <c r="M122" i="4"/>
  <c r="U122"/>
  <c r="X122"/>
  <c r="V122"/>
  <c r="R122"/>
  <c r="T122"/>
  <c r="P122"/>
  <c r="W122"/>
  <c r="N122"/>
  <c r="K122"/>
  <c r="Q122"/>
  <c r="O122"/>
  <c r="S122"/>
  <c r="L122"/>
  <c r="U266" i="6"/>
  <c r="U272"/>
  <c r="Z338" i="4"/>
  <c r="Y338"/>
  <c r="U414" i="6"/>
  <c r="L72" i="4"/>
  <c r="K72"/>
  <c r="V72"/>
  <c r="X72"/>
  <c r="U72"/>
  <c r="Q72"/>
  <c r="P72"/>
  <c r="W72"/>
  <c r="N72"/>
  <c r="S72"/>
  <c r="M72"/>
  <c r="O72"/>
  <c r="T72"/>
  <c r="R72"/>
  <c r="M156"/>
  <c r="V156"/>
  <c r="K156"/>
  <c r="L156"/>
  <c r="X156"/>
  <c r="P156"/>
  <c r="S156"/>
  <c r="U156"/>
  <c r="O156"/>
  <c r="W156"/>
  <c r="T156"/>
  <c r="R156"/>
  <c r="Q156"/>
  <c r="N156"/>
  <c r="Z413"/>
  <c r="Y413"/>
  <c r="Z226"/>
  <c r="Y226"/>
  <c r="U345"/>
  <c r="Q345"/>
  <c r="X345"/>
  <c r="N345"/>
  <c r="S345"/>
  <c r="M345"/>
  <c r="K345"/>
  <c r="R345"/>
  <c r="W345"/>
  <c r="O345"/>
  <c r="T345"/>
  <c r="L345"/>
  <c r="V345"/>
  <c r="P345"/>
  <c r="U373" i="6"/>
  <c r="U395"/>
  <c r="Y297" i="4"/>
  <c r="Z297"/>
  <c r="W320"/>
  <c r="O320"/>
  <c r="R320"/>
  <c r="K320"/>
  <c r="Q320"/>
  <c r="N320"/>
  <c r="U320"/>
  <c r="M320"/>
  <c r="V320"/>
  <c r="T320"/>
  <c r="X320"/>
  <c r="P320"/>
  <c r="S320"/>
  <c r="L320"/>
  <c r="Y293"/>
  <c r="Z293"/>
  <c r="U389" i="6"/>
  <c r="U411"/>
  <c r="U277"/>
  <c r="O265" i="4"/>
  <c r="N265"/>
  <c r="M265"/>
  <c r="P265"/>
  <c r="S265"/>
  <c r="T265"/>
  <c r="X265"/>
  <c r="W265"/>
  <c r="R265"/>
  <c r="L265"/>
  <c r="Q265"/>
  <c r="V265"/>
  <c r="K265"/>
  <c r="U265"/>
  <c r="L261"/>
  <c r="T261"/>
  <c r="P261"/>
  <c r="U261"/>
  <c r="R261"/>
  <c r="O261"/>
  <c r="M261"/>
  <c r="K261"/>
  <c r="S261"/>
  <c r="X261"/>
  <c r="W261"/>
  <c r="Q261"/>
  <c r="N261"/>
  <c r="V261"/>
  <c r="U357" i="6"/>
  <c r="U379"/>
  <c r="U363"/>
  <c r="I1" i="17"/>
  <c r="U385" i="6"/>
  <c r="U413"/>
  <c r="Z35" i="4"/>
  <c r="Y35"/>
  <c r="M77"/>
  <c r="P77"/>
  <c r="Q77"/>
  <c r="U77"/>
  <c r="O77"/>
  <c r="X77"/>
  <c r="T77"/>
  <c r="S77"/>
  <c r="K77"/>
  <c r="L77"/>
  <c r="W77"/>
  <c r="V77"/>
  <c r="R77"/>
  <c r="N77"/>
  <c r="K36"/>
  <c r="T36"/>
  <c r="R36"/>
  <c r="V36"/>
  <c r="M36"/>
  <c r="L36"/>
  <c r="Q36"/>
  <c r="P36"/>
  <c r="X36"/>
  <c r="U36"/>
  <c r="S36"/>
  <c r="O36"/>
  <c r="W36"/>
  <c r="N36"/>
  <c r="P31"/>
  <c r="M31"/>
  <c r="L31"/>
  <c r="S31"/>
  <c r="Q31"/>
  <c r="X31"/>
  <c r="T31"/>
  <c r="R31"/>
  <c r="W31"/>
  <c r="O31"/>
  <c r="K31"/>
  <c r="V31"/>
  <c r="N31"/>
  <c r="U31"/>
  <c r="R319"/>
  <c r="U319"/>
  <c r="X319"/>
  <c r="P319"/>
  <c r="N319"/>
  <c r="O319"/>
  <c r="Q319"/>
  <c r="L319"/>
  <c r="T319"/>
  <c r="W319"/>
  <c r="S319"/>
  <c r="K319"/>
  <c r="M319"/>
  <c r="V319"/>
  <c r="U11" i="6"/>
  <c r="U17"/>
  <c r="Z125" i="4"/>
  <c r="Y125"/>
  <c r="U228" i="6"/>
  <c r="Z263" i="4"/>
  <c r="Y263"/>
  <c r="Z330"/>
  <c r="Y330"/>
  <c r="Z240"/>
  <c r="Y240"/>
  <c r="U87" i="6"/>
  <c r="Z234" i="4"/>
  <c r="Y234"/>
  <c r="U55" i="6"/>
  <c r="U86"/>
  <c r="U105"/>
  <c r="Z283" i="4"/>
  <c r="Y283"/>
  <c r="U354" i="6"/>
  <c r="S269" i="4"/>
  <c r="W269"/>
  <c r="K269"/>
  <c r="T269"/>
  <c r="V269"/>
  <c r="N269"/>
  <c r="R269"/>
  <c r="P269"/>
  <c r="M269"/>
  <c r="L269"/>
  <c r="Q269"/>
  <c r="O269"/>
  <c r="X269"/>
  <c r="U269"/>
  <c r="Y209"/>
  <c r="Z209"/>
  <c r="Y9"/>
  <c r="Z9"/>
  <c r="Y144"/>
  <c r="Z144"/>
  <c r="T151"/>
  <c r="S151"/>
  <c r="X151"/>
  <c r="U151"/>
  <c r="R151"/>
  <c r="V151"/>
  <c r="M151"/>
  <c r="K151"/>
  <c r="Q151"/>
  <c r="P151"/>
  <c r="L151"/>
  <c r="N151"/>
  <c r="O151"/>
  <c r="W151"/>
  <c r="U261" i="6"/>
  <c r="R414" i="4"/>
  <c r="N414"/>
  <c r="X414"/>
  <c r="O414"/>
  <c r="L414"/>
  <c r="Q414"/>
  <c r="K414"/>
  <c r="U414"/>
  <c r="V414"/>
  <c r="W414"/>
  <c r="T414"/>
  <c r="S414"/>
  <c r="M414"/>
  <c r="P414"/>
  <c r="Y250"/>
  <c r="Z250"/>
  <c r="V286"/>
  <c r="O286"/>
  <c r="L286"/>
  <c r="T286"/>
  <c r="Q286"/>
  <c r="X286"/>
  <c r="K286"/>
  <c r="W286"/>
  <c r="R286"/>
  <c r="U286"/>
  <c r="M286"/>
  <c r="P286"/>
  <c r="S286"/>
  <c r="N286"/>
  <c r="O91"/>
  <c r="P91"/>
  <c r="T91"/>
  <c r="K91"/>
  <c r="X91"/>
  <c r="U91"/>
  <c r="S91"/>
  <c r="V91"/>
  <c r="M91"/>
  <c r="N91"/>
  <c r="R91"/>
  <c r="Q91"/>
  <c r="W91"/>
  <c r="L91"/>
  <c r="V90"/>
  <c r="N90"/>
  <c r="Q90"/>
  <c r="W90"/>
  <c r="M90"/>
  <c r="L90"/>
  <c r="K90"/>
  <c r="P90"/>
  <c r="X90"/>
  <c r="U90"/>
  <c r="S90"/>
  <c r="O90"/>
  <c r="T90"/>
  <c r="R90"/>
  <c r="U26"/>
  <c r="K26"/>
  <c r="W26"/>
  <c r="T26"/>
  <c r="S26"/>
  <c r="M26"/>
  <c r="Q26"/>
  <c r="R26"/>
  <c r="N26"/>
  <c r="X26"/>
  <c r="V26"/>
  <c r="L26"/>
  <c r="O26"/>
  <c r="P26"/>
  <c r="P175"/>
  <c r="W175"/>
  <c r="N175"/>
  <c r="X175"/>
  <c r="O175"/>
  <c r="Q175"/>
  <c r="K175"/>
  <c r="S175"/>
  <c r="L175"/>
  <c r="T175"/>
  <c r="V175"/>
  <c r="M175"/>
  <c r="U175"/>
  <c r="R175"/>
  <c r="V170"/>
  <c r="W170"/>
  <c r="U170"/>
  <c r="L170"/>
  <c r="O170"/>
  <c r="R170"/>
  <c r="K170"/>
  <c r="X170"/>
  <c r="Q170"/>
  <c r="S170"/>
  <c r="T170"/>
  <c r="M170"/>
  <c r="P170"/>
  <c r="N170"/>
  <c r="Z193"/>
  <c r="Y193"/>
  <c r="S3" i="3"/>
  <c r="Z13" i="4"/>
  <c r="Y13"/>
  <c r="Y8"/>
  <c r="Z8"/>
  <c r="Z253"/>
  <c r="Y253"/>
  <c r="U302" i="6"/>
  <c r="U182"/>
  <c r="Y221" i="4"/>
  <c r="Z221"/>
  <c r="Y220"/>
  <c r="Z220"/>
  <c r="U68" i="6"/>
  <c r="Z215" i="4"/>
  <c r="Y215"/>
  <c r="U36" i="6"/>
  <c r="U258"/>
  <c r="U134"/>
  <c r="U153"/>
  <c r="U369"/>
  <c r="P335" i="4"/>
  <c r="O335"/>
  <c r="S335"/>
  <c r="T335"/>
  <c r="M335"/>
  <c r="W335"/>
  <c r="R335"/>
  <c r="U335"/>
  <c r="X335"/>
  <c r="N335"/>
  <c r="V335"/>
  <c r="Q335"/>
  <c r="L335"/>
  <c r="K335"/>
  <c r="U91" i="6"/>
  <c r="P98" i="4"/>
  <c r="O98"/>
  <c r="R98"/>
  <c r="T98"/>
  <c r="X98"/>
  <c r="W98"/>
  <c r="N98"/>
  <c r="M98"/>
  <c r="Q98"/>
  <c r="S98"/>
  <c r="U98"/>
  <c r="V98"/>
  <c r="K98"/>
  <c r="L98"/>
  <c r="Z198"/>
  <c r="Y198"/>
  <c r="Y299"/>
  <c r="Z299"/>
  <c r="U371" i="6"/>
  <c r="N3"/>
  <c r="Y235" i="4"/>
  <c r="Z235"/>
  <c r="Z164"/>
  <c r="Y164"/>
  <c r="U26" i="6"/>
  <c r="U45"/>
  <c r="U32"/>
  <c r="U51"/>
  <c r="L100" i="4"/>
  <c r="Q100"/>
  <c r="O100"/>
  <c r="X100"/>
  <c r="N100"/>
  <c r="S100"/>
  <c r="K100"/>
  <c r="U100"/>
  <c r="W100"/>
  <c r="P100"/>
  <c r="R100"/>
  <c r="T100"/>
  <c r="V100"/>
  <c r="M100"/>
  <c r="Y154"/>
  <c r="Z154"/>
  <c r="Z153"/>
  <c r="Y153"/>
  <c r="N338"/>
  <c r="K338"/>
  <c r="Q338"/>
  <c r="O338"/>
  <c r="L338"/>
  <c r="R338"/>
  <c r="V338"/>
  <c r="M338"/>
  <c r="U338"/>
  <c r="S338"/>
  <c r="P338"/>
  <c r="X338"/>
  <c r="T338"/>
  <c r="W338"/>
  <c r="U404" i="6"/>
  <c r="L144" i="4"/>
  <c r="Q144"/>
  <c r="O144"/>
  <c r="M144"/>
  <c r="U144"/>
  <c r="S144"/>
  <c r="K144"/>
  <c r="T144"/>
  <c r="X144"/>
  <c r="V144"/>
  <c r="R144"/>
  <c r="N144"/>
  <c r="P144"/>
  <c r="W144"/>
  <c r="L263"/>
  <c r="Q263"/>
  <c r="O263"/>
  <c r="T263"/>
  <c r="K263"/>
  <c r="W263"/>
  <c r="U263"/>
  <c r="S263"/>
  <c r="V263"/>
  <c r="M263"/>
  <c r="N263"/>
  <c r="R263"/>
  <c r="P263"/>
  <c r="X263"/>
  <c r="T388"/>
  <c r="R388"/>
  <c r="W388"/>
  <c r="M388"/>
  <c r="N388"/>
  <c r="Q388"/>
  <c r="K388"/>
  <c r="P388"/>
  <c r="L388"/>
  <c r="S388"/>
  <c r="O388"/>
  <c r="V388"/>
  <c r="U388"/>
  <c r="X388"/>
  <c r="V237"/>
  <c r="P237"/>
  <c r="N237"/>
  <c r="O237"/>
  <c r="X237"/>
  <c r="U237"/>
  <c r="S237"/>
  <c r="M237"/>
  <c r="W237"/>
  <c r="R237"/>
  <c r="T237"/>
  <c r="Q237"/>
  <c r="L237"/>
  <c r="K237"/>
  <c r="U72" i="6"/>
  <c r="Q130" i="4"/>
  <c r="M130"/>
  <c r="T130"/>
  <c r="P130"/>
  <c r="O130"/>
  <c r="N130"/>
  <c r="K130"/>
  <c r="W130"/>
  <c r="V130"/>
  <c r="S130"/>
  <c r="L130"/>
  <c r="X130"/>
  <c r="U130"/>
  <c r="R130"/>
  <c r="Y382"/>
  <c r="Z382"/>
  <c r="U233"/>
  <c r="R233"/>
  <c r="P233"/>
  <c r="X233"/>
  <c r="N233"/>
  <c r="W233"/>
  <c r="T233"/>
  <c r="K233"/>
  <c r="V233"/>
  <c r="O233"/>
  <c r="L233"/>
  <c r="S233"/>
  <c r="Q233"/>
  <c r="M233"/>
  <c r="C2" i="17"/>
  <c r="S3" i="6"/>
  <c r="P249" i="4"/>
  <c r="T249"/>
  <c r="K249"/>
  <c r="W249"/>
  <c r="O249"/>
  <c r="L249"/>
  <c r="S249"/>
  <c r="Q249"/>
  <c r="X249"/>
  <c r="U249"/>
  <c r="R249"/>
  <c r="M249"/>
  <c r="V249"/>
  <c r="N249"/>
  <c r="L57"/>
  <c r="R57"/>
  <c r="P57"/>
  <c r="M57"/>
  <c r="U57"/>
  <c r="N57"/>
  <c r="S57"/>
  <c r="Q57"/>
  <c r="W57"/>
  <c r="O57"/>
  <c r="T57"/>
  <c r="K57"/>
  <c r="V57"/>
  <c r="X57"/>
  <c r="O52"/>
  <c r="N52"/>
  <c r="K52"/>
  <c r="V52"/>
  <c r="X52"/>
  <c r="U52"/>
  <c r="R52"/>
  <c r="W52"/>
  <c r="L52"/>
  <c r="Q52"/>
  <c r="M52"/>
  <c r="P52"/>
  <c r="S52"/>
  <c r="T52"/>
  <c r="U124" i="6"/>
  <c r="R258" i="4"/>
  <c r="U258"/>
  <c r="M258"/>
  <c r="Q258"/>
  <c r="K258"/>
  <c r="X258"/>
  <c r="S258"/>
  <c r="T258"/>
  <c r="V258"/>
  <c r="W258"/>
  <c r="N258"/>
  <c r="L258"/>
  <c r="O258"/>
  <c r="P258"/>
  <c r="U324" i="6"/>
  <c r="U292"/>
  <c r="U260"/>
  <c r="U48"/>
  <c r="Z166" i="4"/>
  <c r="Y166"/>
  <c r="Y213"/>
  <c r="Z213"/>
  <c r="Y148"/>
  <c r="Z148"/>
  <c r="U252"/>
  <c r="R252"/>
  <c r="W252"/>
  <c r="X252"/>
  <c r="N252"/>
  <c r="Q252"/>
  <c r="P252"/>
  <c r="M252"/>
  <c r="T252"/>
  <c r="S252"/>
  <c r="V252"/>
  <c r="L252"/>
  <c r="K252"/>
  <c r="O252"/>
  <c r="K315"/>
  <c r="U315"/>
  <c r="W315"/>
  <c r="V315"/>
  <c r="N315"/>
  <c r="S315"/>
  <c r="P315"/>
  <c r="X315"/>
  <c r="L315"/>
  <c r="R315"/>
  <c r="O315"/>
  <c r="M315"/>
  <c r="T315"/>
  <c r="Q315"/>
  <c r="R365"/>
  <c r="U365"/>
  <c r="Q365"/>
  <c r="V365"/>
  <c r="K365"/>
  <c r="T365"/>
  <c r="P365"/>
  <c r="O365"/>
  <c r="S365"/>
  <c r="N365"/>
  <c r="M365"/>
  <c r="W365"/>
  <c r="L365"/>
  <c r="X365"/>
  <c r="X293"/>
  <c r="V293"/>
  <c r="R293"/>
  <c r="T293"/>
  <c r="Q293"/>
  <c r="U293"/>
  <c r="K293"/>
  <c r="P293"/>
  <c r="O293"/>
  <c r="L293"/>
  <c r="M293"/>
  <c r="W293"/>
  <c r="S293"/>
  <c r="N293"/>
  <c r="U32"/>
  <c r="R32"/>
  <c r="O32"/>
  <c r="X32"/>
  <c r="T32"/>
  <c r="Q32"/>
  <c r="S32"/>
  <c r="N32"/>
  <c r="L32"/>
  <c r="V32"/>
  <c r="W32"/>
  <c r="K32"/>
  <c r="P32"/>
  <c r="M32"/>
  <c r="U383" i="6"/>
  <c r="U219"/>
  <c r="Z277" i="4"/>
  <c r="Y277"/>
  <c r="O14"/>
  <c r="Q14"/>
  <c r="R14"/>
  <c r="U14"/>
  <c r="W14"/>
  <c r="N14"/>
  <c r="M14"/>
  <c r="V14"/>
  <c r="S14"/>
  <c r="T14"/>
  <c r="P14"/>
  <c r="X14"/>
  <c r="L14"/>
  <c r="K14"/>
  <c r="Q171"/>
  <c r="V171"/>
  <c r="L171"/>
  <c r="N171"/>
  <c r="P171"/>
  <c r="W171"/>
  <c r="K171"/>
  <c r="O171"/>
  <c r="X171"/>
  <c r="T171"/>
  <c r="S171"/>
  <c r="M171"/>
  <c r="U171"/>
  <c r="R171"/>
  <c r="Z264"/>
  <c r="Y264"/>
  <c r="U362" i="6"/>
  <c r="U353"/>
  <c r="K240" i="4"/>
  <c r="R240"/>
  <c r="V240"/>
  <c r="M240"/>
  <c r="U240"/>
  <c r="S240"/>
  <c r="P240"/>
  <c r="Q240"/>
  <c r="N240"/>
  <c r="T240"/>
  <c r="X240"/>
  <c r="O240"/>
  <c r="L240"/>
  <c r="W240"/>
  <c r="Z251"/>
  <c r="Y251"/>
  <c r="U251" i="6"/>
  <c r="L239" i="4"/>
  <c r="Q239"/>
  <c r="S239"/>
  <c r="T239"/>
  <c r="U239"/>
  <c r="V239"/>
  <c r="W239"/>
  <c r="K239"/>
  <c r="R239"/>
  <c r="P239"/>
  <c r="M239"/>
  <c r="N239"/>
  <c r="O239"/>
  <c r="X239"/>
  <c r="O235"/>
  <c r="M235"/>
  <c r="U235"/>
  <c r="S235"/>
  <c r="X235"/>
  <c r="L235"/>
  <c r="R235"/>
  <c r="V235"/>
  <c r="Q235"/>
  <c r="N235"/>
  <c r="K235"/>
  <c r="W235"/>
  <c r="P235"/>
  <c r="T235"/>
  <c r="U374" i="6"/>
  <c r="U386"/>
  <c r="U398"/>
  <c r="U401"/>
  <c r="K332" i="4"/>
  <c r="R332"/>
  <c r="M332"/>
  <c r="Q332"/>
  <c r="U332"/>
  <c r="S332"/>
  <c r="W332"/>
  <c r="N332"/>
  <c r="L332"/>
  <c r="V332"/>
  <c r="P332"/>
  <c r="T332"/>
  <c r="O332"/>
  <c r="X332"/>
  <c r="V196"/>
  <c r="W196"/>
  <c r="L196"/>
  <c r="Q196"/>
  <c r="S196"/>
  <c r="P196"/>
  <c r="U196"/>
  <c r="O196"/>
  <c r="M196"/>
  <c r="T196"/>
  <c r="R196"/>
  <c r="X196"/>
  <c r="N196"/>
  <c r="K196"/>
  <c r="U360" i="6"/>
  <c r="Z339" i="4"/>
  <c r="Y339"/>
  <c r="L285"/>
  <c r="S285"/>
  <c r="O285"/>
  <c r="K285"/>
  <c r="N285"/>
  <c r="W285"/>
  <c r="U285"/>
  <c r="R285"/>
  <c r="V285"/>
  <c r="X285"/>
  <c r="T285"/>
  <c r="Q285"/>
  <c r="P285"/>
  <c r="M285"/>
  <c r="V325"/>
  <c r="U325"/>
  <c r="R325"/>
  <c r="P325"/>
  <c r="M325"/>
  <c r="K325"/>
  <c r="Q325"/>
  <c r="X325"/>
  <c r="O325"/>
  <c r="T325"/>
  <c r="S325"/>
  <c r="W325"/>
  <c r="N325"/>
  <c r="L325"/>
  <c r="M321"/>
  <c r="L321"/>
  <c r="R321"/>
  <c r="P321"/>
  <c r="X321"/>
  <c r="U321"/>
  <c r="O321"/>
  <c r="W321"/>
  <c r="N321"/>
  <c r="K321"/>
  <c r="Q321"/>
  <c r="V321"/>
  <c r="T321"/>
  <c r="S321"/>
  <c r="Z192"/>
  <c r="Y192"/>
  <c r="Y174"/>
  <c r="Z174"/>
  <c r="Y367"/>
  <c r="Z367"/>
  <c r="I3" i="5"/>
  <c r="U162" i="6"/>
  <c r="U181"/>
  <c r="Z370" i="4"/>
  <c r="Y370"/>
  <c r="Z366"/>
  <c r="Y366"/>
  <c r="U168" i="6"/>
  <c r="U187"/>
  <c r="Z121" i="4"/>
  <c r="Y121"/>
  <c r="Y199"/>
  <c r="Z199"/>
  <c r="Y159"/>
  <c r="Z159"/>
  <c r="Z254"/>
  <c r="Y254"/>
  <c r="P13"/>
  <c r="W13"/>
  <c r="T13"/>
  <c r="R13"/>
  <c r="O13"/>
  <c r="M13"/>
  <c r="L13"/>
  <c r="Q13"/>
  <c r="X13"/>
  <c r="V13"/>
  <c r="N13"/>
  <c r="S13"/>
  <c r="K13"/>
  <c r="U13"/>
  <c r="M3" i="3"/>
  <c r="R211" i="4"/>
  <c r="U211"/>
  <c r="M211"/>
  <c r="W211"/>
  <c r="Q211"/>
  <c r="N211"/>
  <c r="P211"/>
  <c r="K211"/>
  <c r="L211"/>
  <c r="O211"/>
  <c r="S211"/>
  <c r="T211"/>
  <c r="X211"/>
  <c r="V211"/>
  <c r="V206"/>
  <c r="W206"/>
  <c r="U206"/>
  <c r="K206"/>
  <c r="P206"/>
  <c r="M206"/>
  <c r="N206"/>
  <c r="R206"/>
  <c r="X206"/>
  <c r="T206"/>
  <c r="S206"/>
  <c r="Q206"/>
  <c r="O206"/>
  <c r="L206"/>
  <c r="P201"/>
  <c r="W201"/>
  <c r="K201"/>
  <c r="U201"/>
  <c r="V201"/>
  <c r="T201"/>
  <c r="Q201"/>
  <c r="M201"/>
  <c r="N201"/>
  <c r="S201"/>
  <c r="O201"/>
  <c r="X201"/>
  <c r="L201"/>
  <c r="R201"/>
  <c r="N9"/>
  <c r="S9"/>
  <c r="Q9"/>
  <c r="X9"/>
  <c r="L9"/>
  <c r="R9"/>
  <c r="W9"/>
  <c r="P9"/>
  <c r="U9"/>
  <c r="K9"/>
  <c r="V9"/>
  <c r="T9"/>
  <c r="O9"/>
  <c r="M9"/>
  <c r="Z150"/>
  <c r="Y150"/>
  <c r="U332" i="6"/>
  <c r="U350"/>
  <c r="U300"/>
  <c r="U318"/>
  <c r="U327"/>
  <c r="U290"/>
  <c r="U296"/>
  <c r="U317"/>
  <c r="U274"/>
  <c r="U280"/>
  <c r="U301"/>
  <c r="U268"/>
  <c r="U286"/>
  <c r="U295"/>
  <c r="U279"/>
  <c r="U226"/>
  <c r="U242"/>
  <c r="U248"/>
  <c r="U269"/>
  <c r="U339"/>
  <c r="U236"/>
  <c r="U254"/>
  <c r="I12" i="44"/>
  <c r="U216" i="6"/>
  <c r="U232"/>
  <c r="U253"/>
  <c r="U323"/>
  <c r="U345"/>
  <c r="U223"/>
  <c r="Y410" i="4"/>
  <c r="Z410"/>
  <c r="U222" i="6"/>
  <c r="U238"/>
  <c r="Y406" i="4"/>
  <c r="Z406"/>
  <c r="U247" i="6"/>
  <c r="U194"/>
  <c r="U213"/>
  <c r="U275"/>
  <c r="U297"/>
  <c r="S394" i="4"/>
  <c r="O394"/>
  <c r="L394"/>
  <c r="U394"/>
  <c r="V394"/>
  <c r="W394"/>
  <c r="T394"/>
  <c r="R394"/>
  <c r="P394"/>
  <c r="X394"/>
  <c r="N394"/>
  <c r="Q394"/>
  <c r="M394"/>
  <c r="K394"/>
  <c r="Z405"/>
  <c r="Y405"/>
  <c r="U351" i="6"/>
  <c r="U178"/>
  <c r="U197"/>
  <c r="Q390" i="4"/>
  <c r="W390"/>
  <c r="N390"/>
  <c r="V390"/>
  <c r="L390"/>
  <c r="U390"/>
  <c r="M390"/>
  <c r="P390"/>
  <c r="S390"/>
  <c r="T390"/>
  <c r="O390"/>
  <c r="X390"/>
  <c r="K390"/>
  <c r="R390"/>
  <c r="U303" i="6"/>
  <c r="U175"/>
  <c r="T412" i="4"/>
  <c r="S412"/>
  <c r="R412"/>
  <c r="Q412"/>
  <c r="L412"/>
  <c r="W412"/>
  <c r="P412"/>
  <c r="K412"/>
  <c r="U412"/>
  <c r="O412"/>
  <c r="X412"/>
  <c r="N412"/>
  <c r="V412"/>
  <c r="M412"/>
  <c r="U174" i="6"/>
  <c r="U193"/>
  <c r="U319"/>
  <c r="U146"/>
  <c r="U165"/>
  <c r="U152"/>
  <c r="U171"/>
  <c r="U259"/>
  <c r="U281"/>
  <c r="U341"/>
  <c r="U130"/>
  <c r="U149"/>
  <c r="U136"/>
  <c r="U155"/>
  <c r="U243"/>
  <c r="U265"/>
  <c r="U143"/>
  <c r="U142"/>
  <c r="U161"/>
  <c r="Y387" i="4"/>
  <c r="Z387"/>
  <c r="U287" i="6"/>
  <c r="U347"/>
  <c r="U315"/>
  <c r="U235"/>
  <c r="U415"/>
  <c r="U397"/>
  <c r="U391"/>
  <c r="U399"/>
  <c r="K380" i="4"/>
  <c r="T380"/>
  <c r="O380"/>
  <c r="S380"/>
  <c r="U380"/>
  <c r="X380"/>
  <c r="W380"/>
  <c r="R380"/>
  <c r="N380"/>
  <c r="M380"/>
  <c r="V380"/>
  <c r="Q380"/>
  <c r="L380"/>
  <c r="P380"/>
  <c r="Y391"/>
  <c r="Z391"/>
  <c r="U393" i="6"/>
  <c r="U377"/>
  <c r="U367"/>
  <c r="U407"/>
  <c r="U381"/>
  <c r="R3"/>
  <c r="Z398" i="4"/>
  <c r="Y398"/>
  <c r="U365" i="6"/>
  <c r="Z355" i="4"/>
  <c r="Y355"/>
  <c r="N351"/>
  <c r="U351"/>
  <c r="P351"/>
  <c r="L351"/>
  <c r="S351"/>
  <c r="M351"/>
  <c r="Q351"/>
  <c r="R351"/>
  <c r="K351"/>
  <c r="X351"/>
  <c r="O351"/>
  <c r="T351"/>
  <c r="V351"/>
  <c r="W351"/>
  <c r="V347"/>
  <c r="M347"/>
  <c r="K347"/>
  <c r="R347"/>
  <c r="W347"/>
  <c r="Q347"/>
  <c r="N347"/>
  <c r="L347"/>
  <c r="P347"/>
  <c r="O347"/>
  <c r="T347"/>
  <c r="X347"/>
  <c r="U347"/>
  <c r="S347"/>
  <c r="Y358"/>
  <c r="Z358"/>
  <c r="N328"/>
  <c r="U328"/>
  <c r="M328"/>
  <c r="V328"/>
  <c r="Q328"/>
  <c r="T328"/>
  <c r="X328"/>
  <c r="P328"/>
  <c r="L328"/>
  <c r="W328"/>
  <c r="O328"/>
  <c r="S328"/>
  <c r="K328"/>
  <c r="R328"/>
  <c r="K3" i="6"/>
  <c r="U402"/>
  <c r="U378"/>
  <c r="U384"/>
  <c r="U396"/>
  <c r="Z361" i="4"/>
  <c r="Y361"/>
  <c r="U372" i="6"/>
  <c r="U408"/>
  <c r="U364"/>
  <c r="U376"/>
  <c r="Z311" i="4"/>
  <c r="Y311"/>
  <c r="U394" i="6"/>
  <c r="Y307" i="4"/>
  <c r="Z307"/>
  <c r="W330"/>
  <c r="O330"/>
  <c r="N330"/>
  <c r="V330"/>
  <c r="M330"/>
  <c r="U330"/>
  <c r="S330"/>
  <c r="K330"/>
  <c r="L330"/>
  <c r="Q330"/>
  <c r="T330"/>
  <c r="X330"/>
  <c r="R330"/>
  <c r="P330"/>
  <c r="U382" i="6"/>
  <c r="U410"/>
  <c r="U184"/>
  <c r="U203"/>
  <c r="U291"/>
  <c r="U313"/>
  <c r="U191"/>
  <c r="U190"/>
  <c r="U209"/>
  <c r="Y378" i="4"/>
  <c r="Z378"/>
  <c r="U390" i="6"/>
  <c r="U348"/>
  <c r="U338"/>
  <c r="I15" i="44"/>
  <c r="U359" i="6"/>
  <c r="I9" i="44"/>
  <c r="B25"/>
  <c r="H25"/>
  <c r="H26"/>
  <c r="A27"/>
  <c r="H28"/>
  <c r="H24"/>
  <c r="J24"/>
  <c r="H27"/>
  <c r="H29"/>
  <c r="G24"/>
  <c r="I24"/>
  <c r="A26"/>
  <c r="F24"/>
  <c r="A28"/>
  <c r="A25"/>
  <c r="I7"/>
  <c r="U358" i="6"/>
  <c r="U331"/>
  <c r="U309"/>
  <c r="U283"/>
  <c r="I13" i="44"/>
  <c r="A43"/>
  <c r="I8"/>
  <c r="I16"/>
  <c r="I3"/>
  <c r="I14"/>
  <c r="I6"/>
  <c r="I5"/>
  <c r="I11"/>
  <c r="I2"/>
  <c r="I18"/>
  <c r="I17"/>
  <c r="I10"/>
  <c r="I4"/>
  <c r="R960" i="4"/>
  <c r="R896"/>
  <c r="R832"/>
  <c r="R768"/>
  <c r="R704"/>
  <c r="R640"/>
  <c r="R576"/>
  <c r="R512"/>
  <c r="R448"/>
  <c r="R971"/>
  <c r="R907"/>
  <c r="R843"/>
  <c r="R779"/>
  <c r="R715"/>
  <c r="R651"/>
  <c r="R587"/>
  <c r="R523"/>
  <c r="R459"/>
  <c r="R988"/>
  <c r="R924"/>
  <c r="R860"/>
  <c r="R796"/>
  <c r="R732"/>
  <c r="R668"/>
  <c r="R604"/>
  <c r="R540"/>
  <c r="R476"/>
  <c r="R997"/>
  <c r="R933"/>
  <c r="R869"/>
  <c r="R805"/>
  <c r="R741"/>
  <c r="R677"/>
  <c r="R613"/>
  <c r="R549"/>
  <c r="R485"/>
  <c r="R421"/>
  <c r="R943"/>
  <c r="R879"/>
  <c r="R815"/>
  <c r="R751"/>
  <c r="R687"/>
  <c r="R623"/>
  <c r="R559"/>
  <c r="R495"/>
  <c r="R431"/>
  <c r="R858"/>
  <c r="R689"/>
  <c r="R518"/>
  <c r="R926"/>
  <c r="R754"/>
  <c r="R585"/>
  <c r="R993"/>
  <c r="R822"/>
  <c r="R650"/>
  <c r="R481"/>
  <c r="R889"/>
  <c r="R718"/>
  <c r="R546"/>
  <c r="R977"/>
  <c r="R806"/>
  <c r="R634"/>
  <c r="R465"/>
  <c r="R894"/>
  <c r="R722"/>
  <c r="R553"/>
  <c r="R982"/>
  <c r="R810"/>
  <c r="R641"/>
  <c r="R470"/>
  <c r="R878"/>
  <c r="R706"/>
  <c r="R537"/>
  <c r="R968"/>
  <c r="R904"/>
  <c r="R840"/>
  <c r="R776"/>
  <c r="R712"/>
  <c r="R648"/>
  <c r="R584"/>
  <c r="R520"/>
  <c r="R456"/>
  <c r="R979"/>
  <c r="R915"/>
  <c r="R851"/>
  <c r="R787"/>
  <c r="R723"/>
  <c r="R659"/>
  <c r="R595"/>
  <c r="R531"/>
  <c r="R467"/>
  <c r="R996"/>
  <c r="R932"/>
  <c r="R868"/>
  <c r="R804"/>
  <c r="R740"/>
  <c r="R676"/>
  <c r="R612"/>
  <c r="R548"/>
  <c r="R484"/>
  <c r="R420"/>
  <c r="R941"/>
  <c r="R877"/>
  <c r="R813"/>
  <c r="R749"/>
  <c r="R685"/>
  <c r="R621"/>
  <c r="R557"/>
  <c r="R493"/>
  <c r="R429"/>
  <c r="R951"/>
  <c r="R887"/>
  <c r="R823"/>
  <c r="R759"/>
  <c r="R695"/>
  <c r="R631"/>
  <c r="R567"/>
  <c r="R503"/>
  <c r="R439"/>
  <c r="R881"/>
  <c r="R710"/>
  <c r="R538"/>
  <c r="R946"/>
  <c r="R777"/>
  <c r="R606"/>
  <c r="R434"/>
  <c r="R842"/>
  <c r="R673"/>
  <c r="R502"/>
  <c r="R910"/>
  <c r="R738"/>
  <c r="R569"/>
  <c r="R998"/>
  <c r="R826"/>
  <c r="R657"/>
  <c r="R486"/>
  <c r="R914"/>
  <c r="R745"/>
  <c r="R574"/>
  <c r="R1002"/>
  <c r="R833"/>
  <c r="R662"/>
  <c r="R490"/>
  <c r="R898"/>
  <c r="R729"/>
  <c r="R558"/>
  <c r="R976"/>
  <c r="R912"/>
  <c r="R848"/>
  <c r="R784"/>
  <c r="R720"/>
  <c r="R656"/>
  <c r="R592"/>
  <c r="R528"/>
  <c r="R464"/>
  <c r="R987"/>
  <c r="R923"/>
  <c r="R859"/>
  <c r="R795"/>
  <c r="R731"/>
  <c r="R667"/>
  <c r="R603"/>
  <c r="R539"/>
  <c r="R475"/>
  <c r="R1004"/>
  <c r="R940"/>
  <c r="R876"/>
  <c r="R812"/>
  <c r="R748"/>
  <c r="R684"/>
  <c r="R620"/>
  <c r="R556"/>
  <c r="R492"/>
  <c r="R428"/>
  <c r="R949"/>
  <c r="R885"/>
  <c r="R821"/>
  <c r="R757"/>
  <c r="R693"/>
  <c r="R629"/>
  <c r="R565"/>
  <c r="R501"/>
  <c r="R437"/>
  <c r="R959"/>
  <c r="R895"/>
  <c r="R831"/>
  <c r="R767"/>
  <c r="R703"/>
  <c r="R639"/>
  <c r="R575"/>
  <c r="R511"/>
  <c r="R447"/>
  <c r="R902"/>
  <c r="R730"/>
  <c r="R561"/>
  <c r="R969"/>
  <c r="R798"/>
  <c r="R626"/>
  <c r="R457"/>
  <c r="R865"/>
  <c r="R694"/>
  <c r="R522"/>
  <c r="R930"/>
  <c r="R761"/>
  <c r="R590"/>
  <c r="R418"/>
  <c r="R849"/>
  <c r="R678"/>
  <c r="R506"/>
  <c r="R937"/>
  <c r="R766"/>
  <c r="R594"/>
  <c r="R425"/>
  <c r="R854"/>
  <c r="R682"/>
  <c r="R513"/>
  <c r="R921"/>
  <c r="R750"/>
  <c r="R578"/>
  <c r="R984"/>
  <c r="R920"/>
  <c r="R856"/>
  <c r="R792"/>
  <c r="R728"/>
  <c r="R664"/>
  <c r="R600"/>
  <c r="R536"/>
  <c r="R472"/>
  <c r="R995"/>
  <c r="R931"/>
  <c r="R867"/>
  <c r="R803"/>
  <c r="R739"/>
  <c r="R675"/>
  <c r="R611"/>
  <c r="R547"/>
  <c r="R483"/>
  <c r="R419"/>
  <c r="R948"/>
  <c r="R884"/>
  <c r="R820"/>
  <c r="R756"/>
  <c r="R692"/>
  <c r="R628"/>
  <c r="R564"/>
  <c r="R500"/>
  <c r="R436"/>
  <c r="R957"/>
  <c r="R893"/>
  <c r="R829"/>
  <c r="R765"/>
  <c r="R701"/>
  <c r="R637"/>
  <c r="R573"/>
  <c r="R509"/>
  <c r="R445"/>
  <c r="R967"/>
  <c r="R903"/>
  <c r="R839"/>
  <c r="R775"/>
  <c r="R711"/>
  <c r="R647"/>
  <c r="R583"/>
  <c r="R519"/>
  <c r="R455"/>
  <c r="R922"/>
  <c r="R753"/>
  <c r="R582"/>
  <c r="R990"/>
  <c r="R818"/>
  <c r="R649"/>
  <c r="R478"/>
  <c r="R886"/>
  <c r="R714"/>
  <c r="R545"/>
  <c r="R953"/>
  <c r="R782"/>
  <c r="R610"/>
  <c r="R441"/>
  <c r="R870"/>
  <c r="R698"/>
  <c r="R529"/>
  <c r="R958"/>
  <c r="R786"/>
  <c r="R617"/>
  <c r="R446"/>
  <c r="R874"/>
  <c r="R705"/>
  <c r="R534"/>
  <c r="R942"/>
  <c r="R770"/>
  <c r="R601"/>
  <c r="R430"/>
  <c r="R992"/>
  <c r="R928"/>
  <c r="R864"/>
  <c r="R800"/>
  <c r="R736"/>
  <c r="R672"/>
  <c r="R608"/>
  <c r="R544"/>
  <c r="R480"/>
  <c r="R1003"/>
  <c r="R939"/>
  <c r="R875"/>
  <c r="R811"/>
  <c r="R747"/>
  <c r="R683"/>
  <c r="R619"/>
  <c r="R555"/>
  <c r="R491"/>
  <c r="R427"/>
  <c r="R956"/>
  <c r="R892"/>
  <c r="R828"/>
  <c r="R764"/>
  <c r="R700"/>
  <c r="R636"/>
  <c r="R572"/>
  <c r="R508"/>
  <c r="R444"/>
  <c r="R965"/>
  <c r="R901"/>
  <c r="R837"/>
  <c r="R773"/>
  <c r="R709"/>
  <c r="R645"/>
  <c r="R581"/>
  <c r="R517"/>
  <c r="R453"/>
  <c r="R975"/>
  <c r="R911"/>
  <c r="R847"/>
  <c r="R783"/>
  <c r="R719"/>
  <c r="R655"/>
  <c r="R591"/>
  <c r="R527"/>
  <c r="R463"/>
  <c r="R945"/>
  <c r="R774"/>
  <c r="R602"/>
  <c r="R433"/>
  <c r="R841"/>
  <c r="R670"/>
  <c r="R498"/>
  <c r="R906"/>
  <c r="R737"/>
  <c r="R566"/>
  <c r="R974"/>
  <c r="R802"/>
  <c r="R633"/>
  <c r="R462"/>
  <c r="R890"/>
  <c r="R721"/>
  <c r="R550"/>
  <c r="R978"/>
  <c r="R809"/>
  <c r="R638"/>
  <c r="R466"/>
  <c r="R897"/>
  <c r="R726"/>
  <c r="R554"/>
  <c r="R962"/>
  <c r="R793"/>
  <c r="R622"/>
  <c r="R450"/>
  <c r="R1000"/>
  <c r="R936"/>
  <c r="R872"/>
  <c r="R808"/>
  <c r="R744"/>
  <c r="R680"/>
  <c r="R616"/>
  <c r="R552"/>
  <c r="R488"/>
  <c r="R424"/>
  <c r="R947"/>
  <c r="R883"/>
  <c r="R819"/>
  <c r="R755"/>
  <c r="R691"/>
  <c r="R627"/>
  <c r="R563"/>
  <c r="R499"/>
  <c r="R435"/>
  <c r="R964"/>
  <c r="R900"/>
  <c r="R836"/>
  <c r="R772"/>
  <c r="R708"/>
  <c r="R644"/>
  <c r="R580"/>
  <c r="R516"/>
  <c r="R452"/>
  <c r="R973"/>
  <c r="R909"/>
  <c r="R845"/>
  <c r="R781"/>
  <c r="R717"/>
  <c r="R653"/>
  <c r="R589"/>
  <c r="R525"/>
  <c r="R461"/>
  <c r="R983"/>
  <c r="R919"/>
  <c r="R855"/>
  <c r="R791"/>
  <c r="R727"/>
  <c r="R663"/>
  <c r="R599"/>
  <c r="R535"/>
  <c r="R471"/>
  <c r="R966"/>
  <c r="R794"/>
  <c r="R625"/>
  <c r="R454"/>
  <c r="R862"/>
  <c r="R690"/>
  <c r="R521"/>
  <c r="R929"/>
  <c r="R758"/>
  <c r="R586"/>
  <c r="R994"/>
  <c r="R825"/>
  <c r="R654"/>
  <c r="R482"/>
  <c r="R913"/>
  <c r="R742"/>
  <c r="R570"/>
  <c r="R1001"/>
  <c r="R830"/>
  <c r="R658"/>
  <c r="R489"/>
  <c r="R918"/>
  <c r="R746"/>
  <c r="R577"/>
  <c r="R985"/>
  <c r="R814"/>
  <c r="R642"/>
  <c r="R473"/>
  <c r="R944"/>
  <c r="R880"/>
  <c r="R816"/>
  <c r="R752"/>
  <c r="R688"/>
  <c r="R624"/>
  <c r="R560"/>
  <c r="R496"/>
  <c r="R432"/>
  <c r="R955"/>
  <c r="R891"/>
  <c r="R827"/>
  <c r="R763"/>
  <c r="R699"/>
  <c r="R635"/>
  <c r="R571"/>
  <c r="R507"/>
  <c r="R443"/>
  <c r="R972"/>
  <c r="R908"/>
  <c r="R844"/>
  <c r="R780"/>
  <c r="R716"/>
  <c r="R652"/>
  <c r="R588"/>
  <c r="R524"/>
  <c r="R460"/>
  <c r="R981"/>
  <c r="R917"/>
  <c r="R853"/>
  <c r="R789"/>
  <c r="R725"/>
  <c r="R661"/>
  <c r="R597"/>
  <c r="R533"/>
  <c r="R469"/>
  <c r="R991"/>
  <c r="R927"/>
  <c r="R863"/>
  <c r="R799"/>
  <c r="R735"/>
  <c r="R671"/>
  <c r="R607"/>
  <c r="R543"/>
  <c r="R479"/>
  <c r="R986"/>
  <c r="R817"/>
  <c r="R646"/>
  <c r="R474"/>
  <c r="R882"/>
  <c r="R713"/>
  <c r="R542"/>
  <c r="R950"/>
  <c r="R778"/>
  <c r="R609"/>
  <c r="R438"/>
  <c r="R846"/>
  <c r="R674"/>
  <c r="R505"/>
  <c r="R934"/>
  <c r="R762"/>
  <c r="R593"/>
  <c r="R422"/>
  <c r="R850"/>
  <c r="R681"/>
  <c r="R510"/>
  <c r="R938"/>
  <c r="R769"/>
  <c r="R598"/>
  <c r="R426"/>
  <c r="R834"/>
  <c r="R665"/>
  <c r="R494"/>
  <c r="R952"/>
  <c r="R888"/>
  <c r="R824"/>
  <c r="R760"/>
  <c r="R696"/>
  <c r="R632"/>
  <c r="R568"/>
  <c r="R504"/>
  <c r="R440"/>
  <c r="R963"/>
  <c r="R899"/>
  <c r="R835"/>
  <c r="R771"/>
  <c r="R707"/>
  <c r="R643"/>
  <c r="R579"/>
  <c r="R515"/>
  <c r="R451"/>
  <c r="R980"/>
  <c r="R916"/>
  <c r="R852"/>
  <c r="R788"/>
  <c r="R724"/>
  <c r="R660"/>
  <c r="R596"/>
  <c r="R532"/>
  <c r="R468"/>
  <c r="R989"/>
  <c r="R925"/>
  <c r="R861"/>
  <c r="R797"/>
  <c r="R733"/>
  <c r="R669"/>
  <c r="R605"/>
  <c r="R541"/>
  <c r="R477"/>
  <c r="R999"/>
  <c r="R935"/>
  <c r="R871"/>
  <c r="R807"/>
  <c r="R743"/>
  <c r="R679"/>
  <c r="R615"/>
  <c r="R551"/>
  <c r="R487"/>
  <c r="R423"/>
  <c r="R838"/>
  <c r="R666"/>
  <c r="R497"/>
  <c r="R905"/>
  <c r="R734"/>
  <c r="R562"/>
  <c r="R970"/>
  <c r="R801"/>
  <c r="R630"/>
  <c r="R458"/>
  <c r="R866"/>
  <c r="R697"/>
  <c r="R526"/>
  <c r="R954"/>
  <c r="R785"/>
  <c r="R614"/>
  <c r="R442"/>
  <c r="R873"/>
  <c r="R702"/>
  <c r="R530"/>
  <c r="R961"/>
  <c r="R790"/>
  <c r="R618"/>
  <c r="R449"/>
  <c r="R857"/>
  <c r="R686"/>
  <c r="R514"/>
  <c r="S999"/>
  <c r="S935"/>
  <c r="S871"/>
  <c r="S969"/>
  <c r="S905"/>
  <c r="S841"/>
  <c r="S777"/>
  <c r="S713"/>
  <c r="S649"/>
  <c r="S585"/>
  <c r="S521"/>
  <c r="S457"/>
  <c r="S979"/>
  <c r="S915"/>
  <c r="S851"/>
  <c r="S787"/>
  <c r="S723"/>
  <c r="S659"/>
  <c r="S595"/>
  <c r="S531"/>
  <c r="S467"/>
  <c r="S980"/>
  <c r="S877"/>
  <c r="S786"/>
  <c r="S701"/>
  <c r="S615"/>
  <c r="S530"/>
  <c r="S445"/>
  <c r="S933"/>
  <c r="S832"/>
  <c r="S748"/>
  <c r="S662"/>
  <c r="S576"/>
  <c r="S492"/>
  <c r="S986"/>
  <c r="S884"/>
  <c r="S791"/>
  <c r="S706"/>
  <c r="S621"/>
  <c r="S535"/>
  <c r="S450"/>
  <c r="S949"/>
  <c r="S846"/>
  <c r="S760"/>
  <c r="S676"/>
  <c r="S590"/>
  <c r="S504"/>
  <c r="S420"/>
  <c r="S912"/>
  <c r="S815"/>
  <c r="S730"/>
  <c r="S645"/>
  <c r="S559"/>
  <c r="S474"/>
  <c r="S978"/>
  <c r="S876"/>
  <c r="S784"/>
  <c r="S700"/>
  <c r="S614"/>
  <c r="S528"/>
  <c r="S444"/>
  <c r="S746"/>
  <c r="S994"/>
  <c r="S628"/>
  <c r="S842"/>
  <c r="S501"/>
  <c r="S680"/>
  <c r="S906"/>
  <c r="S554"/>
  <c r="S776"/>
  <c r="S436"/>
  <c r="S650"/>
  <c r="S878"/>
  <c r="S532"/>
  <c r="S943"/>
  <c r="S879"/>
  <c r="S977"/>
  <c r="S913"/>
  <c r="S849"/>
  <c r="S785"/>
  <c r="S721"/>
  <c r="S657"/>
  <c r="S593"/>
  <c r="S529"/>
  <c r="S465"/>
  <c r="S987"/>
  <c r="S923"/>
  <c r="S859"/>
  <c r="S795"/>
  <c r="S731"/>
  <c r="S667"/>
  <c r="S603"/>
  <c r="S539"/>
  <c r="S475"/>
  <c r="S992"/>
  <c r="S890"/>
  <c r="S797"/>
  <c r="S711"/>
  <c r="S626"/>
  <c r="S541"/>
  <c r="S455"/>
  <c r="S946"/>
  <c r="S844"/>
  <c r="S758"/>
  <c r="S672"/>
  <c r="S588"/>
  <c r="S502"/>
  <c r="S998"/>
  <c r="S896"/>
  <c r="S802"/>
  <c r="S717"/>
  <c r="S631"/>
  <c r="S546"/>
  <c r="S461"/>
  <c r="S962"/>
  <c r="S860"/>
  <c r="S772"/>
  <c r="S686"/>
  <c r="S600"/>
  <c r="S516"/>
  <c r="S430"/>
  <c r="S925"/>
  <c r="S826"/>
  <c r="S741"/>
  <c r="S655"/>
  <c r="S570"/>
  <c r="S485"/>
  <c r="S990"/>
  <c r="S888"/>
  <c r="S796"/>
  <c r="S710"/>
  <c r="S624"/>
  <c r="S540"/>
  <c r="S454"/>
  <c r="S789"/>
  <c r="S447"/>
  <c r="S670"/>
  <c r="S893"/>
  <c r="S543"/>
  <c r="S724"/>
  <c r="S957"/>
  <c r="S597"/>
  <c r="S820"/>
  <c r="S478"/>
  <c r="S693"/>
  <c r="S930"/>
  <c r="S574"/>
  <c r="S951"/>
  <c r="S887"/>
  <c r="S985"/>
  <c r="S921"/>
  <c r="S857"/>
  <c r="S793"/>
  <c r="S729"/>
  <c r="S665"/>
  <c r="S601"/>
  <c r="S537"/>
  <c r="S473"/>
  <c r="S995"/>
  <c r="S931"/>
  <c r="S867"/>
  <c r="S803"/>
  <c r="S739"/>
  <c r="S675"/>
  <c r="S611"/>
  <c r="S547"/>
  <c r="S483"/>
  <c r="S419"/>
  <c r="S902"/>
  <c r="S807"/>
  <c r="S722"/>
  <c r="S637"/>
  <c r="S551"/>
  <c r="S466"/>
  <c r="S958"/>
  <c r="S856"/>
  <c r="S768"/>
  <c r="S684"/>
  <c r="S598"/>
  <c r="S512"/>
  <c r="S428"/>
  <c r="S909"/>
  <c r="S813"/>
  <c r="S727"/>
  <c r="S642"/>
  <c r="S557"/>
  <c r="S471"/>
  <c r="S974"/>
  <c r="S872"/>
  <c r="S782"/>
  <c r="S696"/>
  <c r="S612"/>
  <c r="S526"/>
  <c r="S440"/>
  <c r="S938"/>
  <c r="S837"/>
  <c r="S751"/>
  <c r="S666"/>
  <c r="S581"/>
  <c r="S495"/>
  <c r="S1004"/>
  <c r="S901"/>
  <c r="S806"/>
  <c r="S720"/>
  <c r="S636"/>
  <c r="S550"/>
  <c r="S464"/>
  <c r="S831"/>
  <c r="S490"/>
  <c r="S712"/>
  <c r="S944"/>
  <c r="S586"/>
  <c r="S766"/>
  <c r="S424"/>
  <c r="S639"/>
  <c r="S866"/>
  <c r="S520"/>
  <c r="S735"/>
  <c r="S981"/>
  <c r="S616"/>
  <c r="S959"/>
  <c r="S895"/>
  <c r="S993"/>
  <c r="S929"/>
  <c r="S865"/>
  <c r="S801"/>
  <c r="S737"/>
  <c r="S673"/>
  <c r="S609"/>
  <c r="S545"/>
  <c r="S481"/>
  <c r="S1003"/>
  <c r="S939"/>
  <c r="S875"/>
  <c r="S811"/>
  <c r="S747"/>
  <c r="S683"/>
  <c r="S619"/>
  <c r="S555"/>
  <c r="S491"/>
  <c r="S427"/>
  <c r="S916"/>
  <c r="S818"/>
  <c r="S733"/>
  <c r="S647"/>
  <c r="S562"/>
  <c r="S477"/>
  <c r="S972"/>
  <c r="S869"/>
  <c r="S780"/>
  <c r="S694"/>
  <c r="S608"/>
  <c r="S524"/>
  <c r="S438"/>
  <c r="S922"/>
  <c r="S823"/>
  <c r="S738"/>
  <c r="S653"/>
  <c r="S567"/>
  <c r="S482"/>
  <c r="S988"/>
  <c r="S885"/>
  <c r="S792"/>
  <c r="S708"/>
  <c r="S622"/>
  <c r="S536"/>
  <c r="S452"/>
  <c r="S950"/>
  <c r="S848"/>
  <c r="S762"/>
  <c r="S677"/>
  <c r="S591"/>
  <c r="S506"/>
  <c r="S421"/>
  <c r="S914"/>
  <c r="S816"/>
  <c r="S732"/>
  <c r="S646"/>
  <c r="S560"/>
  <c r="S476"/>
  <c r="S880"/>
  <c r="S533"/>
  <c r="S756"/>
  <c r="S996"/>
  <c r="S629"/>
  <c r="S808"/>
  <c r="S468"/>
  <c r="S682"/>
  <c r="S917"/>
  <c r="S564"/>
  <c r="S778"/>
  <c r="S437"/>
  <c r="S660"/>
  <c r="S967"/>
  <c r="S903"/>
  <c r="S1001"/>
  <c r="S937"/>
  <c r="S873"/>
  <c r="S809"/>
  <c r="S745"/>
  <c r="S681"/>
  <c r="S617"/>
  <c r="S553"/>
  <c r="S489"/>
  <c r="S425"/>
  <c r="S947"/>
  <c r="S883"/>
  <c r="S819"/>
  <c r="S755"/>
  <c r="S691"/>
  <c r="S627"/>
  <c r="S563"/>
  <c r="S499"/>
  <c r="S435"/>
  <c r="S928"/>
  <c r="S829"/>
  <c r="S743"/>
  <c r="S658"/>
  <c r="S573"/>
  <c r="S487"/>
  <c r="S984"/>
  <c r="S882"/>
  <c r="S790"/>
  <c r="S704"/>
  <c r="S620"/>
  <c r="S534"/>
  <c r="S448"/>
  <c r="S934"/>
  <c r="S834"/>
  <c r="S749"/>
  <c r="S663"/>
  <c r="S578"/>
  <c r="S493"/>
  <c r="S1000"/>
  <c r="S898"/>
  <c r="S804"/>
  <c r="S718"/>
  <c r="S632"/>
  <c r="S548"/>
  <c r="S462"/>
  <c r="S964"/>
  <c r="S861"/>
  <c r="S773"/>
  <c r="S687"/>
  <c r="S602"/>
  <c r="S517"/>
  <c r="S431"/>
  <c r="S926"/>
  <c r="S828"/>
  <c r="S742"/>
  <c r="S656"/>
  <c r="S572"/>
  <c r="S486"/>
  <c r="S932"/>
  <c r="S575"/>
  <c r="S798"/>
  <c r="S456"/>
  <c r="S671"/>
  <c r="S853"/>
  <c r="S510"/>
  <c r="S725"/>
  <c r="S968"/>
  <c r="S606"/>
  <c r="S821"/>
  <c r="S479"/>
  <c r="S702"/>
  <c r="S975"/>
  <c r="S911"/>
  <c r="S847"/>
  <c r="S945"/>
  <c r="S881"/>
  <c r="S817"/>
  <c r="S753"/>
  <c r="S689"/>
  <c r="S625"/>
  <c r="S561"/>
  <c r="S497"/>
  <c r="S433"/>
  <c r="S955"/>
  <c r="S891"/>
  <c r="S827"/>
  <c r="S763"/>
  <c r="S699"/>
  <c r="S635"/>
  <c r="S571"/>
  <c r="S507"/>
  <c r="S443"/>
  <c r="S941"/>
  <c r="S839"/>
  <c r="S754"/>
  <c r="S669"/>
  <c r="S583"/>
  <c r="S498"/>
  <c r="S997"/>
  <c r="S894"/>
  <c r="S800"/>
  <c r="S716"/>
  <c r="S630"/>
  <c r="S544"/>
  <c r="S460"/>
  <c r="S948"/>
  <c r="S845"/>
  <c r="S759"/>
  <c r="S674"/>
  <c r="S589"/>
  <c r="S503"/>
  <c r="S418"/>
  <c r="S910"/>
  <c r="S814"/>
  <c r="S728"/>
  <c r="S644"/>
  <c r="S558"/>
  <c r="S472"/>
  <c r="S976"/>
  <c r="S874"/>
  <c r="S783"/>
  <c r="S698"/>
  <c r="S613"/>
  <c r="S527"/>
  <c r="S442"/>
  <c r="S940"/>
  <c r="S838"/>
  <c r="S752"/>
  <c r="S668"/>
  <c r="S582"/>
  <c r="S496"/>
  <c r="S982"/>
  <c r="S618"/>
  <c r="S840"/>
  <c r="S500"/>
  <c r="S714"/>
  <c r="S904"/>
  <c r="S552"/>
  <c r="S767"/>
  <c r="S426"/>
  <c r="S648"/>
  <c r="S868"/>
  <c r="S522"/>
  <c r="S744"/>
  <c r="S983"/>
  <c r="S919"/>
  <c r="S855"/>
  <c r="S953"/>
  <c r="S889"/>
  <c r="S825"/>
  <c r="S761"/>
  <c r="S697"/>
  <c r="S633"/>
  <c r="S569"/>
  <c r="S505"/>
  <c r="S441"/>
  <c r="S963"/>
  <c r="S899"/>
  <c r="S835"/>
  <c r="S771"/>
  <c r="S707"/>
  <c r="S643"/>
  <c r="S579"/>
  <c r="S515"/>
  <c r="S451"/>
  <c r="S954"/>
  <c r="S852"/>
  <c r="S765"/>
  <c r="S679"/>
  <c r="S594"/>
  <c r="S509"/>
  <c r="S423"/>
  <c r="S908"/>
  <c r="S812"/>
  <c r="S726"/>
  <c r="S640"/>
  <c r="S556"/>
  <c r="S470"/>
  <c r="S960"/>
  <c r="S858"/>
  <c r="S770"/>
  <c r="S685"/>
  <c r="S599"/>
  <c r="S514"/>
  <c r="S429"/>
  <c r="S924"/>
  <c r="S824"/>
  <c r="S740"/>
  <c r="S654"/>
  <c r="S568"/>
  <c r="S484"/>
  <c r="S989"/>
  <c r="S886"/>
  <c r="S794"/>
  <c r="S709"/>
  <c r="S623"/>
  <c r="S538"/>
  <c r="S453"/>
  <c r="S952"/>
  <c r="S850"/>
  <c r="S764"/>
  <c r="S678"/>
  <c r="S592"/>
  <c r="S508"/>
  <c r="S422"/>
  <c r="S661"/>
  <c r="S892"/>
  <c r="S542"/>
  <c r="S757"/>
  <c r="S956"/>
  <c r="S596"/>
  <c r="S810"/>
  <c r="S469"/>
  <c r="S692"/>
  <c r="S918"/>
  <c r="S565"/>
  <c r="S788"/>
  <c r="S446"/>
  <c r="S991"/>
  <c r="S927"/>
  <c r="S863"/>
  <c r="S961"/>
  <c r="S897"/>
  <c r="S833"/>
  <c r="S769"/>
  <c r="S705"/>
  <c r="S641"/>
  <c r="S577"/>
  <c r="S513"/>
  <c r="S449"/>
  <c r="S971"/>
  <c r="S907"/>
  <c r="S843"/>
  <c r="S779"/>
  <c r="S715"/>
  <c r="S651"/>
  <c r="S587"/>
  <c r="S523"/>
  <c r="S459"/>
  <c r="S966"/>
  <c r="S864"/>
  <c r="S775"/>
  <c r="S690"/>
  <c r="S605"/>
  <c r="S519"/>
  <c r="S434"/>
  <c r="S920"/>
  <c r="S822"/>
  <c r="S736"/>
  <c r="S652"/>
  <c r="S566"/>
  <c r="S480"/>
  <c r="S973"/>
  <c r="S870"/>
  <c r="S781"/>
  <c r="S695"/>
  <c r="S610"/>
  <c r="S525"/>
  <c r="S439"/>
  <c r="S936"/>
  <c r="S836"/>
  <c r="S750"/>
  <c r="S664"/>
  <c r="S580"/>
  <c r="S494"/>
  <c r="S1002"/>
  <c r="S900"/>
  <c r="S805"/>
  <c r="S719"/>
  <c r="S634"/>
  <c r="S549"/>
  <c r="S463"/>
  <c r="S965"/>
  <c r="S862"/>
  <c r="S774"/>
  <c r="S688"/>
  <c r="S604"/>
  <c r="S518"/>
  <c r="S432"/>
  <c r="S703"/>
  <c r="S942"/>
  <c r="S584"/>
  <c r="S799"/>
  <c r="S458"/>
  <c r="S638"/>
  <c r="S854"/>
  <c r="S511"/>
  <c r="S734"/>
  <c r="S970"/>
  <c r="S607"/>
  <c r="S830"/>
  <c r="S488"/>
  <c r="W985"/>
  <c r="W921"/>
  <c r="W857"/>
  <c r="W793"/>
  <c r="W729"/>
  <c r="W665"/>
  <c r="W601"/>
  <c r="W537"/>
  <c r="W473"/>
  <c r="W994"/>
  <c r="W930"/>
  <c r="W866"/>
  <c r="W802"/>
  <c r="W738"/>
  <c r="W674"/>
  <c r="W610"/>
  <c r="W546"/>
  <c r="W482"/>
  <c r="W418"/>
  <c r="W947"/>
  <c r="W883"/>
  <c r="W819"/>
  <c r="W755"/>
  <c r="W691"/>
  <c r="W627"/>
  <c r="W563"/>
  <c r="W499"/>
  <c r="W435"/>
  <c r="W964"/>
  <c r="W900"/>
  <c r="W836"/>
  <c r="W772"/>
  <c r="W708"/>
  <c r="W644"/>
  <c r="W580"/>
  <c r="W516"/>
  <c r="W452"/>
  <c r="W973"/>
  <c r="W909"/>
  <c r="W845"/>
  <c r="W781"/>
  <c r="W717"/>
  <c r="W653"/>
  <c r="W589"/>
  <c r="W525"/>
  <c r="W461"/>
  <c r="W983"/>
  <c r="W919"/>
  <c r="W855"/>
  <c r="W791"/>
  <c r="W727"/>
  <c r="W663"/>
  <c r="W599"/>
  <c r="W535"/>
  <c r="W471"/>
  <c r="W992"/>
  <c r="W928"/>
  <c r="W864"/>
  <c r="W800"/>
  <c r="W736"/>
  <c r="W672"/>
  <c r="W608"/>
  <c r="W544"/>
  <c r="W480"/>
  <c r="W950"/>
  <c r="W438"/>
  <c r="W510"/>
  <c r="W582"/>
  <c r="W654"/>
  <c r="W734"/>
  <c r="W806"/>
  <c r="W686"/>
  <c r="W534"/>
  <c r="W662"/>
  <c r="W993"/>
  <c r="W929"/>
  <c r="W865"/>
  <c r="W801"/>
  <c r="W737"/>
  <c r="W673"/>
  <c r="W609"/>
  <c r="W545"/>
  <c r="W481"/>
  <c r="W1002"/>
  <c r="W938"/>
  <c r="W874"/>
  <c r="W810"/>
  <c r="W746"/>
  <c r="W682"/>
  <c r="W618"/>
  <c r="W554"/>
  <c r="W490"/>
  <c r="W426"/>
  <c r="W955"/>
  <c r="W891"/>
  <c r="W827"/>
  <c r="W763"/>
  <c r="W699"/>
  <c r="W635"/>
  <c r="W571"/>
  <c r="W507"/>
  <c r="W443"/>
  <c r="W972"/>
  <c r="W908"/>
  <c r="W844"/>
  <c r="W780"/>
  <c r="W716"/>
  <c r="W652"/>
  <c r="W588"/>
  <c r="W524"/>
  <c r="W460"/>
  <c r="W981"/>
  <c r="W917"/>
  <c r="W853"/>
  <c r="W789"/>
  <c r="W725"/>
  <c r="W661"/>
  <c r="W597"/>
  <c r="W533"/>
  <c r="W469"/>
  <c r="W991"/>
  <c r="W927"/>
  <c r="W863"/>
  <c r="W799"/>
  <c r="W735"/>
  <c r="W671"/>
  <c r="W607"/>
  <c r="W543"/>
  <c r="W479"/>
  <c r="W1000"/>
  <c r="W936"/>
  <c r="W872"/>
  <c r="W808"/>
  <c r="W744"/>
  <c r="W680"/>
  <c r="W616"/>
  <c r="W552"/>
  <c r="W488"/>
  <c r="W424"/>
  <c r="W502"/>
  <c r="W574"/>
  <c r="W646"/>
  <c r="W718"/>
  <c r="W798"/>
  <c r="W870"/>
  <c r="W942"/>
  <c r="W790"/>
  <c r="W918"/>
  <c r="W1001"/>
  <c r="W937"/>
  <c r="W873"/>
  <c r="W809"/>
  <c r="W745"/>
  <c r="W681"/>
  <c r="W617"/>
  <c r="W553"/>
  <c r="W489"/>
  <c r="W425"/>
  <c r="W946"/>
  <c r="W882"/>
  <c r="W818"/>
  <c r="W754"/>
  <c r="W690"/>
  <c r="W626"/>
  <c r="W562"/>
  <c r="W498"/>
  <c r="W434"/>
  <c r="W963"/>
  <c r="W899"/>
  <c r="W835"/>
  <c r="W771"/>
  <c r="W707"/>
  <c r="W643"/>
  <c r="W579"/>
  <c r="W515"/>
  <c r="W451"/>
  <c r="W980"/>
  <c r="W916"/>
  <c r="W852"/>
  <c r="W788"/>
  <c r="W724"/>
  <c r="W660"/>
  <c r="W596"/>
  <c r="W532"/>
  <c r="W468"/>
  <c r="W989"/>
  <c r="W925"/>
  <c r="W861"/>
  <c r="W797"/>
  <c r="W733"/>
  <c r="W669"/>
  <c r="W605"/>
  <c r="W541"/>
  <c r="W477"/>
  <c r="W999"/>
  <c r="W935"/>
  <c r="W871"/>
  <c r="W807"/>
  <c r="W743"/>
  <c r="W679"/>
  <c r="W615"/>
  <c r="W551"/>
  <c r="W487"/>
  <c r="W423"/>
  <c r="W944"/>
  <c r="W880"/>
  <c r="W816"/>
  <c r="W752"/>
  <c r="W688"/>
  <c r="W624"/>
  <c r="W560"/>
  <c r="W496"/>
  <c r="W432"/>
  <c r="W566"/>
  <c r="W638"/>
  <c r="W710"/>
  <c r="W782"/>
  <c r="W862"/>
  <c r="W934"/>
  <c r="W422"/>
  <c r="W494"/>
  <c r="W622"/>
  <c r="W945"/>
  <c r="W881"/>
  <c r="W817"/>
  <c r="W753"/>
  <c r="W689"/>
  <c r="W625"/>
  <c r="W561"/>
  <c r="W497"/>
  <c r="W433"/>
  <c r="W954"/>
  <c r="W890"/>
  <c r="W826"/>
  <c r="W762"/>
  <c r="W698"/>
  <c r="W634"/>
  <c r="W570"/>
  <c r="W506"/>
  <c r="W442"/>
  <c r="W971"/>
  <c r="W907"/>
  <c r="W843"/>
  <c r="W779"/>
  <c r="W715"/>
  <c r="W651"/>
  <c r="W587"/>
  <c r="W523"/>
  <c r="W459"/>
  <c r="W988"/>
  <c r="W924"/>
  <c r="W860"/>
  <c r="W796"/>
  <c r="W732"/>
  <c r="W668"/>
  <c r="W604"/>
  <c r="W540"/>
  <c r="W476"/>
  <c r="W997"/>
  <c r="W933"/>
  <c r="W869"/>
  <c r="W805"/>
  <c r="W741"/>
  <c r="W677"/>
  <c r="W613"/>
  <c r="W549"/>
  <c r="W485"/>
  <c r="W421"/>
  <c r="W943"/>
  <c r="W879"/>
  <c r="W815"/>
  <c r="W751"/>
  <c r="W687"/>
  <c r="W623"/>
  <c r="W559"/>
  <c r="W495"/>
  <c r="W431"/>
  <c r="W952"/>
  <c r="W888"/>
  <c r="W824"/>
  <c r="W760"/>
  <c r="W696"/>
  <c r="W632"/>
  <c r="W568"/>
  <c r="W504"/>
  <c r="W440"/>
  <c r="W630"/>
  <c r="W702"/>
  <c r="W774"/>
  <c r="W846"/>
  <c r="W926"/>
  <c r="W998"/>
  <c r="W486"/>
  <c r="W750"/>
  <c r="W878"/>
  <c r="W953"/>
  <c r="W889"/>
  <c r="W825"/>
  <c r="W761"/>
  <c r="W697"/>
  <c r="W633"/>
  <c r="W569"/>
  <c r="W505"/>
  <c r="W441"/>
  <c r="W962"/>
  <c r="W898"/>
  <c r="W834"/>
  <c r="W770"/>
  <c r="W706"/>
  <c r="W642"/>
  <c r="W578"/>
  <c r="W514"/>
  <c r="W450"/>
  <c r="W979"/>
  <c r="W915"/>
  <c r="W851"/>
  <c r="W787"/>
  <c r="W723"/>
  <c r="W659"/>
  <c r="W595"/>
  <c r="W531"/>
  <c r="W467"/>
  <c r="W996"/>
  <c r="W932"/>
  <c r="W868"/>
  <c r="W804"/>
  <c r="W740"/>
  <c r="W676"/>
  <c r="W612"/>
  <c r="W548"/>
  <c r="W484"/>
  <c r="W420"/>
  <c r="W941"/>
  <c r="W877"/>
  <c r="W813"/>
  <c r="W749"/>
  <c r="W685"/>
  <c r="W621"/>
  <c r="W557"/>
  <c r="W493"/>
  <c r="W429"/>
  <c r="W951"/>
  <c r="W887"/>
  <c r="W823"/>
  <c r="W759"/>
  <c r="W695"/>
  <c r="W631"/>
  <c r="W567"/>
  <c r="W503"/>
  <c r="W439"/>
  <c r="W960"/>
  <c r="W896"/>
  <c r="W832"/>
  <c r="W768"/>
  <c r="W704"/>
  <c r="W640"/>
  <c r="W576"/>
  <c r="W512"/>
  <c r="W448"/>
  <c r="W694"/>
  <c r="W766"/>
  <c r="W838"/>
  <c r="W910"/>
  <c r="W990"/>
  <c r="W478"/>
  <c r="W550"/>
  <c r="W470"/>
  <c r="W598"/>
  <c r="W961"/>
  <c r="W897"/>
  <c r="W833"/>
  <c r="W769"/>
  <c r="W705"/>
  <c r="W641"/>
  <c r="W577"/>
  <c r="W513"/>
  <c r="W449"/>
  <c r="W970"/>
  <c r="W906"/>
  <c r="W842"/>
  <c r="W778"/>
  <c r="W714"/>
  <c r="W650"/>
  <c r="W586"/>
  <c r="W522"/>
  <c r="W458"/>
  <c r="W987"/>
  <c r="W923"/>
  <c r="W859"/>
  <c r="W795"/>
  <c r="W731"/>
  <c r="W667"/>
  <c r="W603"/>
  <c r="W539"/>
  <c r="W475"/>
  <c r="W1004"/>
  <c r="W940"/>
  <c r="W876"/>
  <c r="W812"/>
  <c r="W748"/>
  <c r="W684"/>
  <c r="W620"/>
  <c r="W556"/>
  <c r="W492"/>
  <c r="W428"/>
  <c r="W949"/>
  <c r="W885"/>
  <c r="W821"/>
  <c r="W757"/>
  <c r="W693"/>
  <c r="W629"/>
  <c r="W565"/>
  <c r="W501"/>
  <c r="W437"/>
  <c r="W959"/>
  <c r="W895"/>
  <c r="W831"/>
  <c r="W767"/>
  <c r="W703"/>
  <c r="W639"/>
  <c r="W575"/>
  <c r="W511"/>
  <c r="W447"/>
  <c r="W968"/>
  <c r="W904"/>
  <c r="W840"/>
  <c r="W776"/>
  <c r="W712"/>
  <c r="W648"/>
  <c r="W584"/>
  <c r="W520"/>
  <c r="W456"/>
  <c r="W758"/>
  <c r="W830"/>
  <c r="W902"/>
  <c r="W974"/>
  <c r="W462"/>
  <c r="W542"/>
  <c r="W614"/>
  <c r="W726"/>
  <c r="W854"/>
  <c r="W969"/>
  <c r="W905"/>
  <c r="W841"/>
  <c r="W777"/>
  <c r="W713"/>
  <c r="W649"/>
  <c r="W585"/>
  <c r="W521"/>
  <c r="W457"/>
  <c r="W978"/>
  <c r="W914"/>
  <c r="W850"/>
  <c r="W786"/>
  <c r="W722"/>
  <c r="W658"/>
  <c r="W594"/>
  <c r="W530"/>
  <c r="W466"/>
  <c r="W995"/>
  <c r="W931"/>
  <c r="W867"/>
  <c r="W803"/>
  <c r="W739"/>
  <c r="W675"/>
  <c r="W611"/>
  <c r="W547"/>
  <c r="W483"/>
  <c r="W419"/>
  <c r="W948"/>
  <c r="W884"/>
  <c r="W820"/>
  <c r="W756"/>
  <c r="W692"/>
  <c r="W628"/>
  <c r="W564"/>
  <c r="W500"/>
  <c r="W436"/>
  <c r="W957"/>
  <c r="W893"/>
  <c r="W829"/>
  <c r="W765"/>
  <c r="W701"/>
  <c r="W637"/>
  <c r="W573"/>
  <c r="W509"/>
  <c r="W445"/>
  <c r="W967"/>
  <c r="W903"/>
  <c r="W839"/>
  <c r="W775"/>
  <c r="W711"/>
  <c r="W647"/>
  <c r="W583"/>
  <c r="W519"/>
  <c r="W455"/>
  <c r="W976"/>
  <c r="W912"/>
  <c r="W848"/>
  <c r="W784"/>
  <c r="W720"/>
  <c r="W656"/>
  <c r="W592"/>
  <c r="W528"/>
  <c r="W464"/>
  <c r="W822"/>
  <c r="W894"/>
  <c r="W966"/>
  <c r="W454"/>
  <c r="W526"/>
  <c r="W606"/>
  <c r="W678"/>
  <c r="W982"/>
  <c r="W558"/>
  <c r="W977"/>
  <c r="W913"/>
  <c r="W849"/>
  <c r="W785"/>
  <c r="W721"/>
  <c r="W657"/>
  <c r="W593"/>
  <c r="W529"/>
  <c r="W465"/>
  <c r="W986"/>
  <c r="W922"/>
  <c r="W858"/>
  <c r="W794"/>
  <c r="W730"/>
  <c r="W666"/>
  <c r="W602"/>
  <c r="W538"/>
  <c r="W474"/>
  <c r="W1003"/>
  <c r="W939"/>
  <c r="W875"/>
  <c r="W811"/>
  <c r="W747"/>
  <c r="W683"/>
  <c r="W619"/>
  <c r="W555"/>
  <c r="W491"/>
  <c r="W427"/>
  <c r="W956"/>
  <c r="W892"/>
  <c r="W828"/>
  <c r="W764"/>
  <c r="W700"/>
  <c r="W636"/>
  <c r="W572"/>
  <c r="W508"/>
  <c r="W444"/>
  <c r="W965"/>
  <c r="W901"/>
  <c r="W837"/>
  <c r="W773"/>
  <c r="W709"/>
  <c r="W645"/>
  <c r="W581"/>
  <c r="W517"/>
  <c r="W453"/>
  <c r="W975"/>
  <c r="W911"/>
  <c r="W847"/>
  <c r="W783"/>
  <c r="W719"/>
  <c r="W655"/>
  <c r="W591"/>
  <c r="W527"/>
  <c r="W463"/>
  <c r="W984"/>
  <c r="W920"/>
  <c r="W856"/>
  <c r="W792"/>
  <c r="W728"/>
  <c r="W664"/>
  <c r="W600"/>
  <c r="W536"/>
  <c r="W472"/>
  <c r="W886"/>
  <c r="W958"/>
  <c r="W446"/>
  <c r="W518"/>
  <c r="W590"/>
  <c r="W670"/>
  <c r="W742"/>
  <c r="W430"/>
  <c r="W814"/>
  <c r="K976"/>
  <c r="K912"/>
  <c r="K848"/>
  <c r="K784"/>
  <c r="K720"/>
  <c r="K656"/>
  <c r="K592"/>
  <c r="K528"/>
  <c r="K464"/>
  <c r="K985"/>
  <c r="K921"/>
  <c r="K857"/>
  <c r="K793"/>
  <c r="K729"/>
  <c r="K665"/>
  <c r="K601"/>
  <c r="K537"/>
  <c r="K473"/>
  <c r="K990"/>
  <c r="K906"/>
  <c r="K820"/>
  <c r="K734"/>
  <c r="K650"/>
  <c r="K564"/>
  <c r="K478"/>
  <c r="K981"/>
  <c r="K895"/>
  <c r="K811"/>
  <c r="K725"/>
  <c r="K639"/>
  <c r="K555"/>
  <c r="K469"/>
  <c r="K972"/>
  <c r="K886"/>
  <c r="K802"/>
  <c r="K716"/>
  <c r="K630"/>
  <c r="K546"/>
  <c r="K460"/>
  <c r="K963"/>
  <c r="K877"/>
  <c r="K791"/>
  <c r="K707"/>
  <c r="K621"/>
  <c r="K535"/>
  <c r="K451"/>
  <c r="K955"/>
  <c r="K869"/>
  <c r="K783"/>
  <c r="K699"/>
  <c r="K613"/>
  <c r="K527"/>
  <c r="K443"/>
  <c r="K946"/>
  <c r="K860"/>
  <c r="K774"/>
  <c r="K690"/>
  <c r="K604"/>
  <c r="K518"/>
  <c r="K434"/>
  <c r="K935"/>
  <c r="K851"/>
  <c r="K765"/>
  <c r="K679"/>
  <c r="K595"/>
  <c r="K509"/>
  <c r="K423"/>
  <c r="K922"/>
  <c r="K762"/>
  <c r="K686"/>
  <c r="K612"/>
  <c r="K538"/>
  <c r="K462"/>
  <c r="K984"/>
  <c r="K920"/>
  <c r="K856"/>
  <c r="K792"/>
  <c r="K728"/>
  <c r="K664"/>
  <c r="K600"/>
  <c r="K536"/>
  <c r="K472"/>
  <c r="K993"/>
  <c r="K929"/>
  <c r="K865"/>
  <c r="K801"/>
  <c r="K737"/>
  <c r="K673"/>
  <c r="K609"/>
  <c r="K545"/>
  <c r="K481"/>
  <c r="K1002"/>
  <c r="K916"/>
  <c r="K830"/>
  <c r="K746"/>
  <c r="K660"/>
  <c r="K574"/>
  <c r="K490"/>
  <c r="K991"/>
  <c r="K907"/>
  <c r="K821"/>
  <c r="K735"/>
  <c r="K651"/>
  <c r="K565"/>
  <c r="K479"/>
  <c r="K982"/>
  <c r="K898"/>
  <c r="K812"/>
  <c r="K726"/>
  <c r="K642"/>
  <c r="K556"/>
  <c r="K470"/>
  <c r="K973"/>
  <c r="K887"/>
  <c r="K803"/>
  <c r="K717"/>
  <c r="K631"/>
  <c r="K547"/>
  <c r="K461"/>
  <c r="K965"/>
  <c r="K879"/>
  <c r="K795"/>
  <c r="K709"/>
  <c r="K623"/>
  <c r="K539"/>
  <c r="K453"/>
  <c r="K956"/>
  <c r="K870"/>
  <c r="K786"/>
  <c r="K700"/>
  <c r="K614"/>
  <c r="K530"/>
  <c r="K444"/>
  <c r="K947"/>
  <c r="K861"/>
  <c r="K775"/>
  <c r="K691"/>
  <c r="K605"/>
  <c r="K519"/>
  <c r="K435"/>
  <c r="K484"/>
  <c r="K846"/>
  <c r="K772"/>
  <c r="K698"/>
  <c r="K622"/>
  <c r="K548"/>
  <c r="K474"/>
  <c r="K992"/>
  <c r="K928"/>
  <c r="K864"/>
  <c r="K800"/>
  <c r="K736"/>
  <c r="K672"/>
  <c r="K608"/>
  <c r="K544"/>
  <c r="K480"/>
  <c r="K1001"/>
  <c r="K937"/>
  <c r="K873"/>
  <c r="K809"/>
  <c r="K745"/>
  <c r="K681"/>
  <c r="K617"/>
  <c r="K553"/>
  <c r="K489"/>
  <c r="K425"/>
  <c r="K926"/>
  <c r="K842"/>
  <c r="K756"/>
  <c r="K670"/>
  <c r="K586"/>
  <c r="K500"/>
  <c r="K1003"/>
  <c r="K917"/>
  <c r="K831"/>
  <c r="K747"/>
  <c r="K661"/>
  <c r="K575"/>
  <c r="K491"/>
  <c r="K994"/>
  <c r="K908"/>
  <c r="K822"/>
  <c r="K738"/>
  <c r="K652"/>
  <c r="K566"/>
  <c r="K482"/>
  <c r="K983"/>
  <c r="K899"/>
  <c r="K813"/>
  <c r="K727"/>
  <c r="K643"/>
  <c r="K557"/>
  <c r="K471"/>
  <c r="K975"/>
  <c r="K891"/>
  <c r="K805"/>
  <c r="K719"/>
  <c r="K635"/>
  <c r="K549"/>
  <c r="K463"/>
  <c r="K966"/>
  <c r="K882"/>
  <c r="K796"/>
  <c r="K710"/>
  <c r="K626"/>
  <c r="K540"/>
  <c r="K454"/>
  <c r="K957"/>
  <c r="K871"/>
  <c r="K787"/>
  <c r="K701"/>
  <c r="K615"/>
  <c r="K531"/>
  <c r="K445"/>
  <c r="K570"/>
  <c r="K932"/>
  <c r="K858"/>
  <c r="K782"/>
  <c r="K708"/>
  <c r="K634"/>
  <c r="K558"/>
  <c r="K1000"/>
  <c r="K936"/>
  <c r="K872"/>
  <c r="K808"/>
  <c r="K744"/>
  <c r="K680"/>
  <c r="K616"/>
  <c r="K552"/>
  <c r="K488"/>
  <c r="K424"/>
  <c r="K945"/>
  <c r="K881"/>
  <c r="K817"/>
  <c r="K753"/>
  <c r="K689"/>
  <c r="K625"/>
  <c r="K561"/>
  <c r="K497"/>
  <c r="K433"/>
  <c r="K938"/>
  <c r="K852"/>
  <c r="K766"/>
  <c r="K682"/>
  <c r="K596"/>
  <c r="K510"/>
  <c r="K426"/>
  <c r="K927"/>
  <c r="K843"/>
  <c r="K757"/>
  <c r="K671"/>
  <c r="K587"/>
  <c r="K501"/>
  <c r="K1004"/>
  <c r="K918"/>
  <c r="K834"/>
  <c r="K748"/>
  <c r="K662"/>
  <c r="K578"/>
  <c r="K492"/>
  <c r="K995"/>
  <c r="K909"/>
  <c r="K823"/>
  <c r="K739"/>
  <c r="K653"/>
  <c r="K567"/>
  <c r="K483"/>
  <c r="K987"/>
  <c r="K901"/>
  <c r="K815"/>
  <c r="K731"/>
  <c r="K645"/>
  <c r="K559"/>
  <c r="K475"/>
  <c r="K978"/>
  <c r="K892"/>
  <c r="K806"/>
  <c r="K722"/>
  <c r="K636"/>
  <c r="K550"/>
  <c r="K466"/>
  <c r="K967"/>
  <c r="K883"/>
  <c r="K797"/>
  <c r="K711"/>
  <c r="K627"/>
  <c r="K541"/>
  <c r="K455"/>
  <c r="K654"/>
  <c r="K494"/>
  <c r="K942"/>
  <c r="K868"/>
  <c r="K794"/>
  <c r="K718"/>
  <c r="K644"/>
  <c r="K944"/>
  <c r="K880"/>
  <c r="K816"/>
  <c r="K752"/>
  <c r="K688"/>
  <c r="K624"/>
  <c r="K560"/>
  <c r="K496"/>
  <c r="K432"/>
  <c r="K953"/>
  <c r="K889"/>
  <c r="K825"/>
  <c r="K761"/>
  <c r="K697"/>
  <c r="K633"/>
  <c r="K569"/>
  <c r="K505"/>
  <c r="K441"/>
  <c r="K948"/>
  <c r="K862"/>
  <c r="K778"/>
  <c r="K692"/>
  <c r="K606"/>
  <c r="K522"/>
  <c r="K436"/>
  <c r="K939"/>
  <c r="K853"/>
  <c r="K767"/>
  <c r="K683"/>
  <c r="K597"/>
  <c r="K511"/>
  <c r="K427"/>
  <c r="K930"/>
  <c r="K844"/>
  <c r="K758"/>
  <c r="K674"/>
  <c r="K588"/>
  <c r="K502"/>
  <c r="K418"/>
  <c r="K919"/>
  <c r="K835"/>
  <c r="K749"/>
  <c r="K663"/>
  <c r="K579"/>
  <c r="K493"/>
  <c r="K997"/>
  <c r="K911"/>
  <c r="K827"/>
  <c r="K741"/>
  <c r="K655"/>
  <c r="K571"/>
  <c r="K485"/>
  <c r="K988"/>
  <c r="K902"/>
  <c r="K818"/>
  <c r="K732"/>
  <c r="K646"/>
  <c r="K562"/>
  <c r="K476"/>
  <c r="K979"/>
  <c r="K893"/>
  <c r="K807"/>
  <c r="K723"/>
  <c r="K637"/>
  <c r="K551"/>
  <c r="K467"/>
  <c r="K740"/>
  <c r="K580"/>
  <c r="K420"/>
  <c r="K954"/>
  <c r="K878"/>
  <c r="K804"/>
  <c r="K730"/>
  <c r="K952"/>
  <c r="K888"/>
  <c r="K824"/>
  <c r="K760"/>
  <c r="K696"/>
  <c r="K632"/>
  <c r="K568"/>
  <c r="K504"/>
  <c r="K440"/>
  <c r="K961"/>
  <c r="K897"/>
  <c r="K833"/>
  <c r="K769"/>
  <c r="K705"/>
  <c r="K641"/>
  <c r="K577"/>
  <c r="K513"/>
  <c r="K449"/>
  <c r="K958"/>
  <c r="K874"/>
  <c r="K788"/>
  <c r="K702"/>
  <c r="K618"/>
  <c r="K532"/>
  <c r="K446"/>
  <c r="K949"/>
  <c r="K863"/>
  <c r="K779"/>
  <c r="K693"/>
  <c r="K607"/>
  <c r="K523"/>
  <c r="K437"/>
  <c r="K940"/>
  <c r="K854"/>
  <c r="K770"/>
  <c r="K684"/>
  <c r="K598"/>
  <c r="K514"/>
  <c r="K428"/>
  <c r="K931"/>
  <c r="K845"/>
  <c r="K759"/>
  <c r="K675"/>
  <c r="K589"/>
  <c r="K503"/>
  <c r="K419"/>
  <c r="K923"/>
  <c r="K837"/>
  <c r="K751"/>
  <c r="K667"/>
  <c r="K581"/>
  <c r="K495"/>
  <c r="K998"/>
  <c r="K914"/>
  <c r="K828"/>
  <c r="K742"/>
  <c r="K658"/>
  <c r="K572"/>
  <c r="K486"/>
  <c r="K989"/>
  <c r="K903"/>
  <c r="K819"/>
  <c r="K733"/>
  <c r="K647"/>
  <c r="K563"/>
  <c r="K477"/>
  <c r="K826"/>
  <c r="K666"/>
  <c r="K506"/>
  <c r="K430"/>
  <c r="K964"/>
  <c r="K890"/>
  <c r="K814"/>
  <c r="K960"/>
  <c r="K896"/>
  <c r="K832"/>
  <c r="K768"/>
  <c r="K704"/>
  <c r="K640"/>
  <c r="K576"/>
  <c r="K512"/>
  <c r="K448"/>
  <c r="K969"/>
  <c r="K905"/>
  <c r="K841"/>
  <c r="K777"/>
  <c r="K713"/>
  <c r="K649"/>
  <c r="K585"/>
  <c r="K521"/>
  <c r="K457"/>
  <c r="K970"/>
  <c r="K884"/>
  <c r="K798"/>
  <c r="K714"/>
  <c r="K628"/>
  <c r="K542"/>
  <c r="K458"/>
  <c r="K959"/>
  <c r="K875"/>
  <c r="K789"/>
  <c r="K703"/>
  <c r="K619"/>
  <c r="K533"/>
  <c r="K447"/>
  <c r="K950"/>
  <c r="K866"/>
  <c r="K780"/>
  <c r="K694"/>
  <c r="K610"/>
  <c r="K524"/>
  <c r="K438"/>
  <c r="K941"/>
  <c r="K855"/>
  <c r="K771"/>
  <c r="K685"/>
  <c r="K599"/>
  <c r="K515"/>
  <c r="K429"/>
  <c r="K933"/>
  <c r="K847"/>
  <c r="K763"/>
  <c r="K677"/>
  <c r="K591"/>
  <c r="K507"/>
  <c r="K421"/>
  <c r="K924"/>
  <c r="K838"/>
  <c r="K754"/>
  <c r="K668"/>
  <c r="K582"/>
  <c r="K498"/>
  <c r="K999"/>
  <c r="K915"/>
  <c r="K829"/>
  <c r="K743"/>
  <c r="K659"/>
  <c r="K573"/>
  <c r="K487"/>
  <c r="K910"/>
  <c r="K750"/>
  <c r="K590"/>
  <c r="K516"/>
  <c r="K442"/>
  <c r="K974"/>
  <c r="K900"/>
  <c r="K968"/>
  <c r="K904"/>
  <c r="K840"/>
  <c r="K776"/>
  <c r="K712"/>
  <c r="K648"/>
  <c r="K584"/>
  <c r="K520"/>
  <c r="K456"/>
  <c r="K977"/>
  <c r="K913"/>
  <c r="K849"/>
  <c r="K785"/>
  <c r="K721"/>
  <c r="K657"/>
  <c r="K593"/>
  <c r="K529"/>
  <c r="K465"/>
  <c r="K980"/>
  <c r="K894"/>
  <c r="K810"/>
  <c r="K724"/>
  <c r="K638"/>
  <c r="K554"/>
  <c r="K468"/>
  <c r="K971"/>
  <c r="K885"/>
  <c r="K799"/>
  <c r="K715"/>
  <c r="K629"/>
  <c r="K543"/>
  <c r="K459"/>
  <c r="K962"/>
  <c r="K876"/>
  <c r="K790"/>
  <c r="K706"/>
  <c r="K620"/>
  <c r="K534"/>
  <c r="K450"/>
  <c r="K951"/>
  <c r="K867"/>
  <c r="K781"/>
  <c r="K695"/>
  <c r="K611"/>
  <c r="K525"/>
  <c r="K439"/>
  <c r="K943"/>
  <c r="K859"/>
  <c r="K773"/>
  <c r="K687"/>
  <c r="K603"/>
  <c r="K517"/>
  <c r="K431"/>
  <c r="K934"/>
  <c r="K850"/>
  <c r="K764"/>
  <c r="K678"/>
  <c r="K594"/>
  <c r="K508"/>
  <c r="K422"/>
  <c r="K925"/>
  <c r="K839"/>
  <c r="K755"/>
  <c r="K669"/>
  <c r="K583"/>
  <c r="K499"/>
  <c r="K996"/>
  <c r="K836"/>
  <c r="K676"/>
  <c r="K602"/>
  <c r="K526"/>
  <c r="K452"/>
  <c r="K986"/>
  <c r="O960"/>
  <c r="O896"/>
  <c r="O832"/>
  <c r="O768"/>
  <c r="O704"/>
  <c r="O640"/>
  <c r="O576"/>
  <c r="O512"/>
  <c r="O448"/>
  <c r="O971"/>
  <c r="O907"/>
  <c r="O843"/>
  <c r="O779"/>
  <c r="O715"/>
  <c r="O651"/>
  <c r="O587"/>
  <c r="O523"/>
  <c r="O459"/>
  <c r="O988"/>
  <c r="O924"/>
  <c r="O860"/>
  <c r="O796"/>
  <c r="O732"/>
  <c r="O668"/>
  <c r="O604"/>
  <c r="O540"/>
  <c r="O476"/>
  <c r="O997"/>
  <c r="O933"/>
  <c r="O869"/>
  <c r="O805"/>
  <c r="O741"/>
  <c r="O677"/>
  <c r="O613"/>
  <c r="O549"/>
  <c r="O485"/>
  <c r="O421"/>
  <c r="O943"/>
  <c r="O879"/>
  <c r="O815"/>
  <c r="O751"/>
  <c r="O687"/>
  <c r="O623"/>
  <c r="O559"/>
  <c r="O495"/>
  <c r="O431"/>
  <c r="O858"/>
  <c r="O689"/>
  <c r="O518"/>
  <c r="O926"/>
  <c r="O754"/>
  <c r="O585"/>
  <c r="O993"/>
  <c r="O822"/>
  <c r="O650"/>
  <c r="O481"/>
  <c r="O889"/>
  <c r="O718"/>
  <c r="O546"/>
  <c r="O977"/>
  <c r="O806"/>
  <c r="O634"/>
  <c r="O465"/>
  <c r="O682"/>
  <c r="O809"/>
  <c r="O921"/>
  <c r="O470"/>
  <c r="O594"/>
  <c r="O769"/>
  <c r="O942"/>
  <c r="O490"/>
  <c r="O617"/>
  <c r="O729"/>
  <c r="O968"/>
  <c r="O904"/>
  <c r="O840"/>
  <c r="O776"/>
  <c r="O712"/>
  <c r="O648"/>
  <c r="O584"/>
  <c r="O520"/>
  <c r="O456"/>
  <c r="O979"/>
  <c r="O915"/>
  <c r="O851"/>
  <c r="O787"/>
  <c r="O723"/>
  <c r="O659"/>
  <c r="O595"/>
  <c r="O531"/>
  <c r="O467"/>
  <c r="O996"/>
  <c r="O932"/>
  <c r="O868"/>
  <c r="O804"/>
  <c r="O740"/>
  <c r="O676"/>
  <c r="O612"/>
  <c r="O548"/>
  <c r="O484"/>
  <c r="O420"/>
  <c r="O941"/>
  <c r="O877"/>
  <c r="O813"/>
  <c r="O749"/>
  <c r="O685"/>
  <c r="O621"/>
  <c r="O557"/>
  <c r="O493"/>
  <c r="O429"/>
  <c r="O951"/>
  <c r="O887"/>
  <c r="O823"/>
  <c r="O759"/>
  <c r="O695"/>
  <c r="O631"/>
  <c r="O567"/>
  <c r="O503"/>
  <c r="O439"/>
  <c r="O881"/>
  <c r="O710"/>
  <c r="O538"/>
  <c r="O946"/>
  <c r="O777"/>
  <c r="O606"/>
  <c r="O434"/>
  <c r="O842"/>
  <c r="O673"/>
  <c r="O502"/>
  <c r="O910"/>
  <c r="O738"/>
  <c r="O569"/>
  <c r="O998"/>
  <c r="O826"/>
  <c r="O657"/>
  <c r="O486"/>
  <c r="O745"/>
  <c r="O857"/>
  <c r="O982"/>
  <c r="O530"/>
  <c r="O642"/>
  <c r="O830"/>
  <c r="O1002"/>
  <c r="O553"/>
  <c r="O665"/>
  <c r="O790"/>
  <c r="O976"/>
  <c r="O912"/>
  <c r="O848"/>
  <c r="O784"/>
  <c r="O720"/>
  <c r="O656"/>
  <c r="O592"/>
  <c r="O528"/>
  <c r="O464"/>
  <c r="O987"/>
  <c r="O923"/>
  <c r="O859"/>
  <c r="O795"/>
  <c r="O731"/>
  <c r="O667"/>
  <c r="O603"/>
  <c r="O539"/>
  <c r="O475"/>
  <c r="O1004"/>
  <c r="O940"/>
  <c r="O876"/>
  <c r="O812"/>
  <c r="O748"/>
  <c r="O684"/>
  <c r="O620"/>
  <c r="O556"/>
  <c r="O492"/>
  <c r="O428"/>
  <c r="O949"/>
  <c r="O885"/>
  <c r="O821"/>
  <c r="O757"/>
  <c r="O693"/>
  <c r="O629"/>
  <c r="O565"/>
  <c r="O501"/>
  <c r="O437"/>
  <c r="O959"/>
  <c r="O895"/>
  <c r="O831"/>
  <c r="O767"/>
  <c r="O703"/>
  <c r="O639"/>
  <c r="O575"/>
  <c r="O511"/>
  <c r="O447"/>
  <c r="O902"/>
  <c r="O730"/>
  <c r="O561"/>
  <c r="O969"/>
  <c r="O798"/>
  <c r="O626"/>
  <c r="O457"/>
  <c r="O865"/>
  <c r="O694"/>
  <c r="O522"/>
  <c r="O930"/>
  <c r="O761"/>
  <c r="O590"/>
  <c r="O418"/>
  <c r="O849"/>
  <c r="O678"/>
  <c r="O506"/>
  <c r="O793"/>
  <c r="O918"/>
  <c r="O466"/>
  <c r="O578"/>
  <c r="O705"/>
  <c r="O878"/>
  <c r="O426"/>
  <c r="O601"/>
  <c r="O726"/>
  <c r="O850"/>
  <c r="O984"/>
  <c r="O920"/>
  <c r="O856"/>
  <c r="O792"/>
  <c r="O728"/>
  <c r="O664"/>
  <c r="O600"/>
  <c r="O536"/>
  <c r="O472"/>
  <c r="O995"/>
  <c r="O931"/>
  <c r="O867"/>
  <c r="O803"/>
  <c r="O739"/>
  <c r="O675"/>
  <c r="O611"/>
  <c r="O547"/>
  <c r="O483"/>
  <c r="O419"/>
  <c r="O948"/>
  <c r="O884"/>
  <c r="O820"/>
  <c r="O756"/>
  <c r="O692"/>
  <c r="O628"/>
  <c r="O564"/>
  <c r="O500"/>
  <c r="O436"/>
  <c r="O957"/>
  <c r="O893"/>
  <c r="O829"/>
  <c r="O765"/>
  <c r="O701"/>
  <c r="O637"/>
  <c r="O573"/>
  <c r="O509"/>
  <c r="O445"/>
  <c r="O967"/>
  <c r="O903"/>
  <c r="O839"/>
  <c r="O775"/>
  <c r="O711"/>
  <c r="O647"/>
  <c r="O583"/>
  <c r="O519"/>
  <c r="O455"/>
  <c r="O922"/>
  <c r="O753"/>
  <c r="O582"/>
  <c r="O990"/>
  <c r="O818"/>
  <c r="O649"/>
  <c r="O478"/>
  <c r="O886"/>
  <c r="O714"/>
  <c r="O545"/>
  <c r="O953"/>
  <c r="O782"/>
  <c r="O610"/>
  <c r="O441"/>
  <c r="O870"/>
  <c r="O698"/>
  <c r="O529"/>
  <c r="O854"/>
  <c r="O978"/>
  <c r="O514"/>
  <c r="O641"/>
  <c r="O766"/>
  <c r="O938"/>
  <c r="O489"/>
  <c r="O662"/>
  <c r="O786"/>
  <c r="O898"/>
  <c r="O449"/>
  <c r="O992"/>
  <c r="O928"/>
  <c r="O864"/>
  <c r="O800"/>
  <c r="O736"/>
  <c r="O672"/>
  <c r="O608"/>
  <c r="O544"/>
  <c r="O480"/>
  <c r="O1003"/>
  <c r="O939"/>
  <c r="O875"/>
  <c r="O811"/>
  <c r="O747"/>
  <c r="O683"/>
  <c r="O619"/>
  <c r="O555"/>
  <c r="O491"/>
  <c r="O427"/>
  <c r="O956"/>
  <c r="O892"/>
  <c r="O828"/>
  <c r="O764"/>
  <c r="O700"/>
  <c r="O636"/>
  <c r="O572"/>
  <c r="O508"/>
  <c r="O444"/>
  <c r="O965"/>
  <c r="O901"/>
  <c r="O837"/>
  <c r="O773"/>
  <c r="O709"/>
  <c r="O645"/>
  <c r="O581"/>
  <c r="O517"/>
  <c r="O453"/>
  <c r="O975"/>
  <c r="O911"/>
  <c r="O847"/>
  <c r="O783"/>
  <c r="O719"/>
  <c r="O655"/>
  <c r="O591"/>
  <c r="O527"/>
  <c r="O463"/>
  <c r="O945"/>
  <c r="O774"/>
  <c r="O602"/>
  <c r="O433"/>
  <c r="O841"/>
  <c r="O670"/>
  <c r="O498"/>
  <c r="O906"/>
  <c r="O737"/>
  <c r="O566"/>
  <c r="O974"/>
  <c r="O802"/>
  <c r="O633"/>
  <c r="O462"/>
  <c r="O890"/>
  <c r="O721"/>
  <c r="O550"/>
  <c r="O914"/>
  <c r="O450"/>
  <c r="O577"/>
  <c r="O702"/>
  <c r="O814"/>
  <c r="O1001"/>
  <c r="O537"/>
  <c r="O722"/>
  <c r="O834"/>
  <c r="O961"/>
  <c r="O510"/>
  <c r="O1000"/>
  <c r="O936"/>
  <c r="O872"/>
  <c r="O808"/>
  <c r="O744"/>
  <c r="O680"/>
  <c r="O616"/>
  <c r="O552"/>
  <c r="O488"/>
  <c r="O424"/>
  <c r="O947"/>
  <c r="O883"/>
  <c r="O819"/>
  <c r="O755"/>
  <c r="O691"/>
  <c r="O627"/>
  <c r="O563"/>
  <c r="O499"/>
  <c r="O435"/>
  <c r="O964"/>
  <c r="O900"/>
  <c r="O836"/>
  <c r="O772"/>
  <c r="O708"/>
  <c r="O644"/>
  <c r="O580"/>
  <c r="O516"/>
  <c r="O452"/>
  <c r="O973"/>
  <c r="O909"/>
  <c r="O845"/>
  <c r="O781"/>
  <c r="O717"/>
  <c r="O653"/>
  <c r="O589"/>
  <c r="O525"/>
  <c r="O461"/>
  <c r="O983"/>
  <c r="O919"/>
  <c r="O855"/>
  <c r="O791"/>
  <c r="O727"/>
  <c r="O663"/>
  <c r="O599"/>
  <c r="O535"/>
  <c r="O471"/>
  <c r="O966"/>
  <c r="O794"/>
  <c r="O625"/>
  <c r="O454"/>
  <c r="O862"/>
  <c r="O690"/>
  <c r="O521"/>
  <c r="O929"/>
  <c r="O758"/>
  <c r="O586"/>
  <c r="O994"/>
  <c r="O825"/>
  <c r="O654"/>
  <c r="O482"/>
  <c r="O913"/>
  <c r="O742"/>
  <c r="O570"/>
  <c r="O962"/>
  <c r="O513"/>
  <c r="O638"/>
  <c r="O750"/>
  <c r="O874"/>
  <c r="O425"/>
  <c r="O598"/>
  <c r="O770"/>
  <c r="O897"/>
  <c r="O446"/>
  <c r="O558"/>
  <c r="O944"/>
  <c r="O880"/>
  <c r="O816"/>
  <c r="O752"/>
  <c r="O688"/>
  <c r="O624"/>
  <c r="O560"/>
  <c r="O496"/>
  <c r="O432"/>
  <c r="O955"/>
  <c r="O891"/>
  <c r="O827"/>
  <c r="O763"/>
  <c r="O699"/>
  <c r="O635"/>
  <c r="O571"/>
  <c r="O507"/>
  <c r="O443"/>
  <c r="O972"/>
  <c r="O908"/>
  <c r="O844"/>
  <c r="O780"/>
  <c r="O716"/>
  <c r="O652"/>
  <c r="O588"/>
  <c r="O524"/>
  <c r="O460"/>
  <c r="O981"/>
  <c r="O917"/>
  <c r="O853"/>
  <c r="O789"/>
  <c r="O725"/>
  <c r="O661"/>
  <c r="O597"/>
  <c r="O533"/>
  <c r="O469"/>
  <c r="O991"/>
  <c r="O927"/>
  <c r="O863"/>
  <c r="O799"/>
  <c r="O735"/>
  <c r="O671"/>
  <c r="O607"/>
  <c r="O543"/>
  <c r="O479"/>
  <c r="O986"/>
  <c r="O817"/>
  <c r="O646"/>
  <c r="O474"/>
  <c r="O882"/>
  <c r="O713"/>
  <c r="O542"/>
  <c r="O950"/>
  <c r="O778"/>
  <c r="O609"/>
  <c r="O438"/>
  <c r="O846"/>
  <c r="O674"/>
  <c r="O505"/>
  <c r="O934"/>
  <c r="O762"/>
  <c r="O593"/>
  <c r="O422"/>
  <c r="O574"/>
  <c r="O686"/>
  <c r="O810"/>
  <c r="O937"/>
  <c r="O473"/>
  <c r="O658"/>
  <c r="O833"/>
  <c r="O958"/>
  <c r="O494"/>
  <c r="O618"/>
  <c r="O952"/>
  <c r="O888"/>
  <c r="O824"/>
  <c r="O760"/>
  <c r="O696"/>
  <c r="O632"/>
  <c r="O568"/>
  <c r="O504"/>
  <c r="O440"/>
  <c r="O963"/>
  <c r="O899"/>
  <c r="O835"/>
  <c r="O771"/>
  <c r="O707"/>
  <c r="O643"/>
  <c r="O579"/>
  <c r="O515"/>
  <c r="O451"/>
  <c r="O980"/>
  <c r="O916"/>
  <c r="O852"/>
  <c r="O788"/>
  <c r="O724"/>
  <c r="O660"/>
  <c r="O596"/>
  <c r="O532"/>
  <c r="O468"/>
  <c r="O989"/>
  <c r="O925"/>
  <c r="O861"/>
  <c r="O797"/>
  <c r="O733"/>
  <c r="O669"/>
  <c r="O605"/>
  <c r="O541"/>
  <c r="O477"/>
  <c r="O999"/>
  <c r="O935"/>
  <c r="O871"/>
  <c r="O807"/>
  <c r="O743"/>
  <c r="O679"/>
  <c r="O615"/>
  <c r="O551"/>
  <c r="O487"/>
  <c r="O423"/>
  <c r="O838"/>
  <c r="O666"/>
  <c r="O497"/>
  <c r="O905"/>
  <c r="O734"/>
  <c r="O562"/>
  <c r="O970"/>
  <c r="O801"/>
  <c r="O630"/>
  <c r="O458"/>
  <c r="O866"/>
  <c r="O697"/>
  <c r="O526"/>
  <c r="O954"/>
  <c r="O785"/>
  <c r="O614"/>
  <c r="O442"/>
  <c r="O622"/>
  <c r="O746"/>
  <c r="O873"/>
  <c r="O985"/>
  <c r="O534"/>
  <c r="O706"/>
  <c r="O894"/>
  <c r="O430"/>
  <c r="O554"/>
  <c r="O681"/>
  <c r="U951"/>
  <c r="U887"/>
  <c r="U823"/>
  <c r="U759"/>
  <c r="U695"/>
  <c r="U631"/>
  <c r="U567"/>
  <c r="U503"/>
  <c r="U439"/>
  <c r="U960"/>
  <c r="U969"/>
  <c r="U905"/>
  <c r="U841"/>
  <c r="U777"/>
  <c r="U713"/>
  <c r="U649"/>
  <c r="U585"/>
  <c r="U521"/>
  <c r="U457"/>
  <c r="U979"/>
  <c r="U915"/>
  <c r="U851"/>
  <c r="U787"/>
  <c r="U723"/>
  <c r="U659"/>
  <c r="U595"/>
  <c r="U531"/>
  <c r="U467"/>
  <c r="U988"/>
  <c r="U874"/>
  <c r="U772"/>
  <c r="U669"/>
  <c r="U566"/>
  <c r="U464"/>
  <c r="U926"/>
  <c r="U824"/>
  <c r="U959"/>
  <c r="U895"/>
  <c r="U831"/>
  <c r="U767"/>
  <c r="U703"/>
  <c r="U639"/>
  <c r="U575"/>
  <c r="U511"/>
  <c r="U447"/>
  <c r="U968"/>
  <c r="U977"/>
  <c r="U913"/>
  <c r="U849"/>
  <c r="U785"/>
  <c r="U721"/>
  <c r="U657"/>
  <c r="U593"/>
  <c r="U529"/>
  <c r="U465"/>
  <c r="U987"/>
  <c r="U923"/>
  <c r="U859"/>
  <c r="U795"/>
  <c r="U731"/>
  <c r="U667"/>
  <c r="U603"/>
  <c r="U539"/>
  <c r="U475"/>
  <c r="U1004"/>
  <c r="U886"/>
  <c r="U784"/>
  <c r="U682"/>
  <c r="U580"/>
  <c r="U477"/>
  <c r="U941"/>
  <c r="U837"/>
  <c r="U967"/>
  <c r="U903"/>
  <c r="U839"/>
  <c r="U775"/>
  <c r="U711"/>
  <c r="U647"/>
  <c r="U583"/>
  <c r="U519"/>
  <c r="U455"/>
  <c r="U976"/>
  <c r="U985"/>
  <c r="U921"/>
  <c r="U857"/>
  <c r="U793"/>
  <c r="U729"/>
  <c r="U665"/>
  <c r="U601"/>
  <c r="U537"/>
  <c r="U473"/>
  <c r="U995"/>
  <c r="U931"/>
  <c r="U867"/>
  <c r="U803"/>
  <c r="U739"/>
  <c r="U675"/>
  <c r="U611"/>
  <c r="U547"/>
  <c r="U483"/>
  <c r="U419"/>
  <c r="U900"/>
  <c r="U797"/>
  <c r="U694"/>
  <c r="U592"/>
  <c r="U490"/>
  <c r="U957"/>
  <c r="U850"/>
  <c r="U975"/>
  <c r="U911"/>
  <c r="U847"/>
  <c r="U783"/>
  <c r="U719"/>
  <c r="U655"/>
  <c r="U591"/>
  <c r="U527"/>
  <c r="U463"/>
  <c r="U984"/>
  <c r="U993"/>
  <c r="U929"/>
  <c r="U865"/>
  <c r="U801"/>
  <c r="U737"/>
  <c r="U673"/>
  <c r="U609"/>
  <c r="U545"/>
  <c r="U481"/>
  <c r="U1003"/>
  <c r="U939"/>
  <c r="U875"/>
  <c r="U811"/>
  <c r="U747"/>
  <c r="U683"/>
  <c r="U619"/>
  <c r="U555"/>
  <c r="U491"/>
  <c r="U427"/>
  <c r="U912"/>
  <c r="U810"/>
  <c r="U708"/>
  <c r="U605"/>
  <c r="U502"/>
  <c r="U973"/>
  <c r="U862"/>
  <c r="U983"/>
  <c r="U919"/>
  <c r="U855"/>
  <c r="U791"/>
  <c r="U727"/>
  <c r="U663"/>
  <c r="U599"/>
  <c r="U535"/>
  <c r="U471"/>
  <c r="U992"/>
  <c r="U1001"/>
  <c r="U937"/>
  <c r="U873"/>
  <c r="U809"/>
  <c r="U745"/>
  <c r="U681"/>
  <c r="U617"/>
  <c r="U553"/>
  <c r="U489"/>
  <c r="U425"/>
  <c r="U947"/>
  <c r="U883"/>
  <c r="U819"/>
  <c r="U755"/>
  <c r="U691"/>
  <c r="U627"/>
  <c r="U563"/>
  <c r="U499"/>
  <c r="U435"/>
  <c r="U925"/>
  <c r="U822"/>
  <c r="U720"/>
  <c r="U618"/>
  <c r="U516"/>
  <c r="U989"/>
  <c r="U876"/>
  <c r="U991"/>
  <c r="U927"/>
  <c r="U863"/>
  <c r="U799"/>
  <c r="U735"/>
  <c r="U671"/>
  <c r="U607"/>
  <c r="U543"/>
  <c r="U479"/>
  <c r="U1000"/>
  <c r="U936"/>
  <c r="U945"/>
  <c r="U881"/>
  <c r="U817"/>
  <c r="U753"/>
  <c r="U689"/>
  <c r="U625"/>
  <c r="U561"/>
  <c r="U497"/>
  <c r="U433"/>
  <c r="U955"/>
  <c r="U891"/>
  <c r="U827"/>
  <c r="U763"/>
  <c r="U699"/>
  <c r="U635"/>
  <c r="U571"/>
  <c r="U507"/>
  <c r="U443"/>
  <c r="U940"/>
  <c r="U836"/>
  <c r="U733"/>
  <c r="U630"/>
  <c r="U528"/>
  <c r="U426"/>
  <c r="U888"/>
  <c r="U999"/>
  <c r="U935"/>
  <c r="U871"/>
  <c r="U807"/>
  <c r="U743"/>
  <c r="U679"/>
  <c r="U615"/>
  <c r="U551"/>
  <c r="U487"/>
  <c r="U423"/>
  <c r="U944"/>
  <c r="U953"/>
  <c r="U889"/>
  <c r="U825"/>
  <c r="U761"/>
  <c r="U697"/>
  <c r="U633"/>
  <c r="U569"/>
  <c r="U505"/>
  <c r="U441"/>
  <c r="U963"/>
  <c r="U899"/>
  <c r="U835"/>
  <c r="U771"/>
  <c r="U707"/>
  <c r="U643"/>
  <c r="U579"/>
  <c r="U515"/>
  <c r="U451"/>
  <c r="U956"/>
  <c r="U848"/>
  <c r="U746"/>
  <c r="U644"/>
  <c r="U541"/>
  <c r="U438"/>
  <c r="U901"/>
  <c r="U943"/>
  <c r="U879"/>
  <c r="U815"/>
  <c r="U751"/>
  <c r="U687"/>
  <c r="U623"/>
  <c r="U559"/>
  <c r="U495"/>
  <c r="U431"/>
  <c r="U952"/>
  <c r="U961"/>
  <c r="U897"/>
  <c r="U833"/>
  <c r="U769"/>
  <c r="U705"/>
  <c r="U641"/>
  <c r="U577"/>
  <c r="U513"/>
  <c r="U449"/>
  <c r="U971"/>
  <c r="U907"/>
  <c r="U843"/>
  <c r="U779"/>
  <c r="U715"/>
  <c r="U651"/>
  <c r="U587"/>
  <c r="U523"/>
  <c r="U459"/>
  <c r="U972"/>
  <c r="U861"/>
  <c r="U758"/>
  <c r="U656"/>
  <c r="U554"/>
  <c r="U452"/>
  <c r="U914"/>
  <c r="U722"/>
  <c r="U620"/>
  <c r="U517"/>
  <c r="U990"/>
  <c r="U877"/>
  <c r="U774"/>
  <c r="U672"/>
  <c r="U570"/>
  <c r="U468"/>
  <c r="U930"/>
  <c r="U828"/>
  <c r="U725"/>
  <c r="U622"/>
  <c r="U520"/>
  <c r="U418"/>
  <c r="U893"/>
  <c r="U790"/>
  <c r="U688"/>
  <c r="U586"/>
  <c r="U484"/>
  <c r="U965"/>
  <c r="U856"/>
  <c r="U754"/>
  <c r="U652"/>
  <c r="U549"/>
  <c r="U446"/>
  <c r="U922"/>
  <c r="U820"/>
  <c r="U717"/>
  <c r="U614"/>
  <c r="U512"/>
  <c r="U1002"/>
  <c r="U885"/>
  <c r="U782"/>
  <c r="U680"/>
  <c r="U578"/>
  <c r="U476"/>
  <c r="U734"/>
  <c r="U632"/>
  <c r="U530"/>
  <c r="U428"/>
  <c r="U890"/>
  <c r="U788"/>
  <c r="U685"/>
  <c r="U582"/>
  <c r="U480"/>
  <c r="U946"/>
  <c r="U840"/>
  <c r="U738"/>
  <c r="U636"/>
  <c r="U533"/>
  <c r="U430"/>
  <c r="U906"/>
  <c r="U804"/>
  <c r="U701"/>
  <c r="U598"/>
  <c r="U496"/>
  <c r="U981"/>
  <c r="U869"/>
  <c r="U766"/>
  <c r="U664"/>
  <c r="U562"/>
  <c r="U460"/>
  <c r="U934"/>
  <c r="U832"/>
  <c r="U730"/>
  <c r="U628"/>
  <c r="U525"/>
  <c r="U422"/>
  <c r="U898"/>
  <c r="U796"/>
  <c r="U693"/>
  <c r="U590"/>
  <c r="U488"/>
  <c r="U748"/>
  <c r="U645"/>
  <c r="U542"/>
  <c r="U440"/>
  <c r="U902"/>
  <c r="U800"/>
  <c r="U698"/>
  <c r="U596"/>
  <c r="U493"/>
  <c r="U962"/>
  <c r="U853"/>
  <c r="U750"/>
  <c r="U648"/>
  <c r="U546"/>
  <c r="U444"/>
  <c r="U918"/>
  <c r="U816"/>
  <c r="U714"/>
  <c r="U612"/>
  <c r="U509"/>
  <c r="U997"/>
  <c r="U882"/>
  <c r="U780"/>
  <c r="U677"/>
  <c r="U574"/>
  <c r="U472"/>
  <c r="U950"/>
  <c r="U845"/>
  <c r="U742"/>
  <c r="U640"/>
  <c r="U538"/>
  <c r="U436"/>
  <c r="U910"/>
  <c r="U808"/>
  <c r="U706"/>
  <c r="U604"/>
  <c r="U501"/>
  <c r="U760"/>
  <c r="U658"/>
  <c r="U556"/>
  <c r="U453"/>
  <c r="U916"/>
  <c r="U813"/>
  <c r="U710"/>
  <c r="U608"/>
  <c r="U506"/>
  <c r="U978"/>
  <c r="U866"/>
  <c r="U764"/>
  <c r="U661"/>
  <c r="U558"/>
  <c r="U456"/>
  <c r="U932"/>
  <c r="U829"/>
  <c r="U726"/>
  <c r="U624"/>
  <c r="U522"/>
  <c r="U420"/>
  <c r="U894"/>
  <c r="U792"/>
  <c r="U690"/>
  <c r="U588"/>
  <c r="U485"/>
  <c r="U966"/>
  <c r="U858"/>
  <c r="U756"/>
  <c r="U653"/>
  <c r="U550"/>
  <c r="U448"/>
  <c r="U924"/>
  <c r="U821"/>
  <c r="U718"/>
  <c r="U616"/>
  <c r="U514"/>
  <c r="U773"/>
  <c r="U670"/>
  <c r="U568"/>
  <c r="U466"/>
  <c r="U928"/>
  <c r="U826"/>
  <c r="U724"/>
  <c r="U621"/>
  <c r="U518"/>
  <c r="U994"/>
  <c r="U878"/>
  <c r="U776"/>
  <c r="U674"/>
  <c r="U572"/>
  <c r="U469"/>
  <c r="U948"/>
  <c r="U842"/>
  <c r="U740"/>
  <c r="U637"/>
  <c r="U534"/>
  <c r="U432"/>
  <c r="U908"/>
  <c r="U805"/>
  <c r="U702"/>
  <c r="U600"/>
  <c r="U498"/>
  <c r="U982"/>
  <c r="U870"/>
  <c r="U768"/>
  <c r="U666"/>
  <c r="U564"/>
  <c r="U461"/>
  <c r="U938"/>
  <c r="U834"/>
  <c r="U732"/>
  <c r="U629"/>
  <c r="U526"/>
  <c r="U424"/>
  <c r="U786"/>
  <c r="U684"/>
  <c r="U581"/>
  <c r="U478"/>
  <c r="U942"/>
  <c r="U838"/>
  <c r="U736"/>
  <c r="U634"/>
  <c r="U532"/>
  <c r="U429"/>
  <c r="U892"/>
  <c r="U789"/>
  <c r="U686"/>
  <c r="U584"/>
  <c r="U482"/>
  <c r="U964"/>
  <c r="U854"/>
  <c r="U752"/>
  <c r="U650"/>
  <c r="U548"/>
  <c r="U445"/>
  <c r="U920"/>
  <c r="U818"/>
  <c r="U716"/>
  <c r="U613"/>
  <c r="U510"/>
  <c r="U998"/>
  <c r="U884"/>
  <c r="U781"/>
  <c r="U678"/>
  <c r="U576"/>
  <c r="U474"/>
  <c r="U954"/>
  <c r="U846"/>
  <c r="U744"/>
  <c r="U642"/>
  <c r="U540"/>
  <c r="U437"/>
  <c r="U798"/>
  <c r="U696"/>
  <c r="U594"/>
  <c r="U492"/>
  <c r="U958"/>
  <c r="U852"/>
  <c r="U749"/>
  <c r="U646"/>
  <c r="U544"/>
  <c r="U442"/>
  <c r="U904"/>
  <c r="U802"/>
  <c r="U700"/>
  <c r="U597"/>
  <c r="U494"/>
  <c r="U980"/>
  <c r="U868"/>
  <c r="U765"/>
  <c r="U662"/>
  <c r="U560"/>
  <c r="U458"/>
  <c r="U933"/>
  <c r="U830"/>
  <c r="U728"/>
  <c r="U626"/>
  <c r="U524"/>
  <c r="U421"/>
  <c r="U896"/>
  <c r="U794"/>
  <c r="U692"/>
  <c r="U589"/>
  <c r="U486"/>
  <c r="U970"/>
  <c r="U860"/>
  <c r="U757"/>
  <c r="U654"/>
  <c r="U552"/>
  <c r="U450"/>
  <c r="U812"/>
  <c r="U709"/>
  <c r="U606"/>
  <c r="U504"/>
  <c r="U974"/>
  <c r="U864"/>
  <c r="U762"/>
  <c r="U660"/>
  <c r="U557"/>
  <c r="U454"/>
  <c r="U917"/>
  <c r="U814"/>
  <c r="U712"/>
  <c r="U610"/>
  <c r="U508"/>
  <c r="U996"/>
  <c r="U880"/>
  <c r="U778"/>
  <c r="U676"/>
  <c r="U573"/>
  <c r="U470"/>
  <c r="U949"/>
  <c r="U844"/>
  <c r="U741"/>
  <c r="U638"/>
  <c r="U536"/>
  <c r="U434"/>
  <c r="U909"/>
  <c r="U806"/>
  <c r="U704"/>
  <c r="U602"/>
  <c r="U500"/>
  <c r="U986"/>
  <c r="U872"/>
  <c r="U770"/>
  <c r="U668"/>
  <c r="U565"/>
  <c r="U462"/>
  <c r="Y1001"/>
  <c r="Y937"/>
  <c r="Y873"/>
  <c r="Y809"/>
  <c r="Y745"/>
  <c r="Y681"/>
  <c r="Y617"/>
  <c r="Y553"/>
  <c r="Y489"/>
  <c r="Y425"/>
  <c r="Y946"/>
  <c r="Y882"/>
  <c r="Y818"/>
  <c r="Y754"/>
  <c r="Y690"/>
  <c r="Y626"/>
  <c r="Y562"/>
  <c r="Y498"/>
  <c r="Y434"/>
  <c r="Y963"/>
  <c r="Y899"/>
  <c r="Y835"/>
  <c r="Y771"/>
  <c r="Y707"/>
  <c r="Y643"/>
  <c r="Y579"/>
  <c r="Y515"/>
  <c r="Y451"/>
  <c r="Y980"/>
  <c r="Y916"/>
  <c r="Y852"/>
  <c r="Y788"/>
  <c r="Y724"/>
  <c r="Y660"/>
  <c r="Y596"/>
  <c r="Y532"/>
  <c r="Y468"/>
  <c r="Y989"/>
  <c r="Y925"/>
  <c r="Y861"/>
  <c r="Y797"/>
  <c r="Y733"/>
  <c r="Y669"/>
  <c r="Y605"/>
  <c r="Y541"/>
  <c r="Y477"/>
  <c r="Y999"/>
  <c r="Y935"/>
  <c r="Y871"/>
  <c r="Y807"/>
  <c r="Y743"/>
  <c r="Y679"/>
  <c r="Y615"/>
  <c r="Y551"/>
  <c r="Y487"/>
  <c r="Y423"/>
  <c r="Y944"/>
  <c r="Y880"/>
  <c r="Y816"/>
  <c r="Y752"/>
  <c r="Y688"/>
  <c r="Y624"/>
  <c r="Y560"/>
  <c r="Y496"/>
  <c r="Y432"/>
  <c r="Y614"/>
  <c r="Y686"/>
  <c r="Y758"/>
  <c r="Y830"/>
  <c r="Y902"/>
  <c r="Y974"/>
  <c r="Y462"/>
  <c r="Y534"/>
  <c r="Y606"/>
  <c r="Y945"/>
  <c r="Y881"/>
  <c r="Y817"/>
  <c r="Y753"/>
  <c r="Y689"/>
  <c r="Y625"/>
  <c r="Y561"/>
  <c r="Y497"/>
  <c r="Y433"/>
  <c r="Y954"/>
  <c r="Y890"/>
  <c r="Y826"/>
  <c r="Y762"/>
  <c r="Y698"/>
  <c r="Y634"/>
  <c r="Y570"/>
  <c r="Y506"/>
  <c r="Y442"/>
  <c r="Y971"/>
  <c r="Y907"/>
  <c r="Y843"/>
  <c r="Y779"/>
  <c r="Y715"/>
  <c r="Y651"/>
  <c r="Y587"/>
  <c r="Y523"/>
  <c r="Y459"/>
  <c r="Y988"/>
  <c r="Y924"/>
  <c r="Y860"/>
  <c r="Y796"/>
  <c r="Y732"/>
  <c r="Y668"/>
  <c r="Y604"/>
  <c r="Y540"/>
  <c r="Y476"/>
  <c r="Y997"/>
  <c r="Y933"/>
  <c r="Y869"/>
  <c r="Y805"/>
  <c r="Y741"/>
  <c r="Y677"/>
  <c r="Y613"/>
  <c r="Y549"/>
  <c r="Y485"/>
  <c r="Y421"/>
  <c r="Y943"/>
  <c r="Y879"/>
  <c r="Y815"/>
  <c r="Y751"/>
  <c r="Y687"/>
  <c r="Y623"/>
  <c r="Y559"/>
  <c r="Y495"/>
  <c r="Y431"/>
  <c r="Y952"/>
  <c r="Y888"/>
  <c r="Y824"/>
  <c r="Y760"/>
  <c r="Y696"/>
  <c r="Y632"/>
  <c r="Y568"/>
  <c r="Y504"/>
  <c r="Y440"/>
  <c r="Y678"/>
  <c r="Y750"/>
  <c r="Y822"/>
  <c r="Y894"/>
  <c r="Y966"/>
  <c r="Y454"/>
  <c r="Y526"/>
  <c r="Y598"/>
  <c r="Y670"/>
  <c r="Y953"/>
  <c r="Y889"/>
  <c r="Y825"/>
  <c r="Y761"/>
  <c r="Y697"/>
  <c r="Y633"/>
  <c r="Y569"/>
  <c r="Y505"/>
  <c r="Y441"/>
  <c r="Y962"/>
  <c r="Y898"/>
  <c r="Y834"/>
  <c r="Y770"/>
  <c r="Y706"/>
  <c r="Y642"/>
  <c r="Y578"/>
  <c r="Y514"/>
  <c r="Y450"/>
  <c r="Y979"/>
  <c r="Y915"/>
  <c r="Y851"/>
  <c r="Y787"/>
  <c r="Y723"/>
  <c r="Y659"/>
  <c r="Y595"/>
  <c r="Y531"/>
  <c r="Y467"/>
  <c r="Y996"/>
  <c r="Y932"/>
  <c r="Y868"/>
  <c r="Y804"/>
  <c r="Y740"/>
  <c r="Y676"/>
  <c r="Y612"/>
  <c r="Y548"/>
  <c r="Y484"/>
  <c r="Y420"/>
  <c r="Y941"/>
  <c r="Y877"/>
  <c r="Y813"/>
  <c r="Y749"/>
  <c r="Y685"/>
  <c r="Y621"/>
  <c r="Y557"/>
  <c r="Y493"/>
  <c r="Y429"/>
  <c r="Y951"/>
  <c r="Y887"/>
  <c r="Y823"/>
  <c r="Y759"/>
  <c r="Y695"/>
  <c r="Y631"/>
  <c r="Y567"/>
  <c r="Y503"/>
  <c r="Y439"/>
  <c r="Y960"/>
  <c r="Y896"/>
  <c r="Y832"/>
  <c r="Y768"/>
  <c r="Y704"/>
  <c r="Y640"/>
  <c r="Y576"/>
  <c r="Y512"/>
  <c r="Y448"/>
  <c r="Y742"/>
  <c r="Y814"/>
  <c r="Y886"/>
  <c r="Y958"/>
  <c r="Y446"/>
  <c r="Y518"/>
  <c r="Y590"/>
  <c r="Y662"/>
  <c r="Y734"/>
  <c r="Y961"/>
  <c r="Y897"/>
  <c r="Y833"/>
  <c r="Y769"/>
  <c r="Y705"/>
  <c r="Y641"/>
  <c r="Y577"/>
  <c r="Y513"/>
  <c r="Y449"/>
  <c r="Y970"/>
  <c r="Y906"/>
  <c r="Y842"/>
  <c r="Y778"/>
  <c r="Y714"/>
  <c r="Y650"/>
  <c r="Y586"/>
  <c r="Y522"/>
  <c r="Y458"/>
  <c r="Y987"/>
  <c r="Y923"/>
  <c r="Y859"/>
  <c r="Y795"/>
  <c r="Y731"/>
  <c r="Y667"/>
  <c r="Y603"/>
  <c r="Y539"/>
  <c r="Y475"/>
  <c r="Y1004"/>
  <c r="Y940"/>
  <c r="Y876"/>
  <c r="Y812"/>
  <c r="Y748"/>
  <c r="Y684"/>
  <c r="Y620"/>
  <c r="Y556"/>
  <c r="Y492"/>
  <c r="Y428"/>
  <c r="Y949"/>
  <c r="Y885"/>
  <c r="Y821"/>
  <c r="Y757"/>
  <c r="Y693"/>
  <c r="Y629"/>
  <c r="Y565"/>
  <c r="Y501"/>
  <c r="Y437"/>
  <c r="Y959"/>
  <c r="Y895"/>
  <c r="Y831"/>
  <c r="Y767"/>
  <c r="Y703"/>
  <c r="Y639"/>
  <c r="Y575"/>
  <c r="Y511"/>
  <c r="Y447"/>
  <c r="Y968"/>
  <c r="Y904"/>
  <c r="Y840"/>
  <c r="Y776"/>
  <c r="Y712"/>
  <c r="Y648"/>
  <c r="Y584"/>
  <c r="Y520"/>
  <c r="Y456"/>
  <c r="Y806"/>
  <c r="Y878"/>
  <c r="Y950"/>
  <c r="Y438"/>
  <c r="Y510"/>
  <c r="Y582"/>
  <c r="Y654"/>
  <c r="Y726"/>
  <c r="Y798"/>
  <c r="Y969"/>
  <c r="Y905"/>
  <c r="Y841"/>
  <c r="Y777"/>
  <c r="Y713"/>
  <c r="Y649"/>
  <c r="Y585"/>
  <c r="Y521"/>
  <c r="Y457"/>
  <c r="Y978"/>
  <c r="Y914"/>
  <c r="Y850"/>
  <c r="Y786"/>
  <c r="Y722"/>
  <c r="Y658"/>
  <c r="Y594"/>
  <c r="Y530"/>
  <c r="Y466"/>
  <c r="Y995"/>
  <c r="Y931"/>
  <c r="Y867"/>
  <c r="Y803"/>
  <c r="Y739"/>
  <c r="Y675"/>
  <c r="Y611"/>
  <c r="Y547"/>
  <c r="Y483"/>
  <c r="Y419"/>
  <c r="Y948"/>
  <c r="Y884"/>
  <c r="Y820"/>
  <c r="Y756"/>
  <c r="Y692"/>
  <c r="Y628"/>
  <c r="Y564"/>
  <c r="Y500"/>
  <c r="Y436"/>
  <c r="Y957"/>
  <c r="Y893"/>
  <c r="Y829"/>
  <c r="Y765"/>
  <c r="Y701"/>
  <c r="Y637"/>
  <c r="Y573"/>
  <c r="Y509"/>
  <c r="Y445"/>
  <c r="Y967"/>
  <c r="Y903"/>
  <c r="Y839"/>
  <c r="Y775"/>
  <c r="Y711"/>
  <c r="Y647"/>
  <c r="Y583"/>
  <c r="Y519"/>
  <c r="Y455"/>
  <c r="Y976"/>
  <c r="Y912"/>
  <c r="Y848"/>
  <c r="Y784"/>
  <c r="Y720"/>
  <c r="Y656"/>
  <c r="Y592"/>
  <c r="Y528"/>
  <c r="Y464"/>
  <c r="Y870"/>
  <c r="Y942"/>
  <c r="Y430"/>
  <c r="Y502"/>
  <c r="Y574"/>
  <c r="Y646"/>
  <c r="Y718"/>
  <c r="Y790"/>
  <c r="Y862"/>
  <c r="Y977"/>
  <c r="Y913"/>
  <c r="Y849"/>
  <c r="Y785"/>
  <c r="Y721"/>
  <c r="Y657"/>
  <c r="Y593"/>
  <c r="Y529"/>
  <c r="Y465"/>
  <c r="Y986"/>
  <c r="Y922"/>
  <c r="Y858"/>
  <c r="Y794"/>
  <c r="Y730"/>
  <c r="Y666"/>
  <c r="Y602"/>
  <c r="Y538"/>
  <c r="Y474"/>
  <c r="Y1003"/>
  <c r="Y939"/>
  <c r="Y875"/>
  <c r="Y811"/>
  <c r="Y747"/>
  <c r="Y683"/>
  <c r="Y619"/>
  <c r="Y555"/>
  <c r="Y491"/>
  <c r="Y427"/>
  <c r="Y956"/>
  <c r="Y892"/>
  <c r="Y828"/>
  <c r="Y764"/>
  <c r="Y700"/>
  <c r="Y636"/>
  <c r="Y572"/>
  <c r="Y508"/>
  <c r="Y444"/>
  <c r="Y965"/>
  <c r="Y901"/>
  <c r="Y837"/>
  <c r="Y773"/>
  <c r="Y709"/>
  <c r="Y645"/>
  <c r="Y581"/>
  <c r="Y517"/>
  <c r="Y453"/>
  <c r="Y975"/>
  <c r="Y911"/>
  <c r="Y847"/>
  <c r="Y783"/>
  <c r="Y719"/>
  <c r="Y655"/>
  <c r="Y591"/>
  <c r="Y527"/>
  <c r="Y463"/>
  <c r="Y984"/>
  <c r="Y920"/>
  <c r="Y856"/>
  <c r="Y792"/>
  <c r="Y728"/>
  <c r="Y664"/>
  <c r="Y600"/>
  <c r="Y536"/>
  <c r="Y472"/>
  <c r="Y934"/>
  <c r="Y422"/>
  <c r="Y494"/>
  <c r="Y566"/>
  <c r="Y638"/>
  <c r="Y710"/>
  <c r="Y782"/>
  <c r="Y854"/>
  <c r="Y926"/>
  <c r="Y985"/>
  <c r="Y921"/>
  <c r="Y857"/>
  <c r="Y793"/>
  <c r="Y729"/>
  <c r="Y665"/>
  <c r="Y601"/>
  <c r="Y537"/>
  <c r="Y473"/>
  <c r="Y994"/>
  <c r="Y930"/>
  <c r="Y866"/>
  <c r="Y802"/>
  <c r="Y738"/>
  <c r="Y674"/>
  <c r="Y610"/>
  <c r="Y546"/>
  <c r="Y482"/>
  <c r="Y418"/>
  <c r="Y947"/>
  <c r="Y883"/>
  <c r="Y819"/>
  <c r="Y755"/>
  <c r="Y691"/>
  <c r="Y627"/>
  <c r="Y563"/>
  <c r="Y499"/>
  <c r="Y435"/>
  <c r="Y964"/>
  <c r="Y900"/>
  <c r="Y836"/>
  <c r="Y772"/>
  <c r="Y708"/>
  <c r="Y644"/>
  <c r="Y580"/>
  <c r="Y516"/>
  <c r="Y452"/>
  <c r="Y973"/>
  <c r="Y909"/>
  <c r="Y845"/>
  <c r="Y781"/>
  <c r="Y717"/>
  <c r="Y653"/>
  <c r="Y589"/>
  <c r="Y525"/>
  <c r="Y461"/>
  <c r="Y983"/>
  <c r="Y919"/>
  <c r="Y855"/>
  <c r="Y791"/>
  <c r="Y727"/>
  <c r="Y663"/>
  <c r="Y599"/>
  <c r="Y535"/>
  <c r="Y471"/>
  <c r="Y992"/>
  <c r="Y928"/>
  <c r="Y864"/>
  <c r="Y800"/>
  <c r="Y736"/>
  <c r="Y672"/>
  <c r="Y608"/>
  <c r="Y544"/>
  <c r="Y480"/>
  <c r="Y998"/>
  <c r="Y486"/>
  <c r="Y558"/>
  <c r="Y630"/>
  <c r="Y702"/>
  <c r="Y774"/>
  <c r="Y846"/>
  <c r="Y918"/>
  <c r="Y990"/>
  <c r="Y478"/>
  <c r="Y993"/>
  <c r="Y929"/>
  <c r="Y865"/>
  <c r="Y801"/>
  <c r="Y737"/>
  <c r="Y673"/>
  <c r="Y609"/>
  <c r="Y545"/>
  <c r="Y481"/>
  <c r="Y1002"/>
  <c r="Y938"/>
  <c r="Y874"/>
  <c r="Y810"/>
  <c r="Y746"/>
  <c r="Y682"/>
  <c r="Y618"/>
  <c r="Y554"/>
  <c r="Y490"/>
  <c r="Y426"/>
  <c r="Y955"/>
  <c r="Y891"/>
  <c r="Y827"/>
  <c r="Y763"/>
  <c r="Y699"/>
  <c r="Y635"/>
  <c r="Y571"/>
  <c r="Y507"/>
  <c r="Y443"/>
  <c r="Y972"/>
  <c r="Y908"/>
  <c r="Y844"/>
  <c r="Y780"/>
  <c r="Y716"/>
  <c r="Y652"/>
  <c r="Y588"/>
  <c r="Y524"/>
  <c r="Y460"/>
  <c r="Y981"/>
  <c r="Y917"/>
  <c r="Y853"/>
  <c r="Y789"/>
  <c r="Y725"/>
  <c r="Y661"/>
  <c r="Y597"/>
  <c r="Y533"/>
  <c r="Y469"/>
  <c r="Y991"/>
  <c r="Y927"/>
  <c r="Y863"/>
  <c r="Y799"/>
  <c r="Y735"/>
  <c r="Y671"/>
  <c r="Y607"/>
  <c r="Y543"/>
  <c r="Y479"/>
  <c r="Y1000"/>
  <c r="Y936"/>
  <c r="Y872"/>
  <c r="Y808"/>
  <c r="Y744"/>
  <c r="Y680"/>
  <c r="Y616"/>
  <c r="Y552"/>
  <c r="Y488"/>
  <c r="Y424"/>
  <c r="Y550"/>
  <c r="Y622"/>
  <c r="Y694"/>
  <c r="Y766"/>
  <c r="Y838"/>
  <c r="Y910"/>
  <c r="Y982"/>
  <c r="Y470"/>
  <c r="Y542"/>
  <c r="L992"/>
  <c r="L928"/>
  <c r="L864"/>
  <c r="L800"/>
  <c r="L736"/>
  <c r="L672"/>
  <c r="L608"/>
  <c r="L544"/>
  <c r="L480"/>
  <c r="L1001"/>
  <c r="L937"/>
  <c r="L873"/>
  <c r="L809"/>
  <c r="L745"/>
  <c r="L681"/>
  <c r="L617"/>
  <c r="L553"/>
  <c r="L489"/>
  <c r="L425"/>
  <c r="L930"/>
  <c r="L844"/>
  <c r="L758"/>
  <c r="L674"/>
  <c r="L588"/>
  <c r="L502"/>
  <c r="L418"/>
  <c r="L919"/>
  <c r="L835"/>
  <c r="L749"/>
  <c r="L663"/>
  <c r="L579"/>
  <c r="L493"/>
  <c r="L996"/>
  <c r="L910"/>
  <c r="L826"/>
  <c r="L740"/>
  <c r="L654"/>
  <c r="L570"/>
  <c r="L484"/>
  <c r="L987"/>
  <c r="L901"/>
  <c r="L815"/>
  <c r="L731"/>
  <c r="L645"/>
  <c r="L559"/>
  <c r="L475"/>
  <c r="L978"/>
  <c r="L892"/>
  <c r="L806"/>
  <c r="L722"/>
  <c r="L636"/>
  <c r="L550"/>
  <c r="L466"/>
  <c r="L967"/>
  <c r="L883"/>
  <c r="L797"/>
  <c r="L711"/>
  <c r="L627"/>
  <c r="L541"/>
  <c r="L455"/>
  <c r="L958"/>
  <c r="L874"/>
  <c r="L788"/>
  <c r="L702"/>
  <c r="L618"/>
  <c r="L532"/>
  <c r="L446"/>
  <c r="L949"/>
  <c r="L863"/>
  <c r="L779"/>
  <c r="L693"/>
  <c r="L607"/>
  <c r="L523"/>
  <c r="L437"/>
  <c r="L1000"/>
  <c r="L936"/>
  <c r="L872"/>
  <c r="L808"/>
  <c r="L744"/>
  <c r="L680"/>
  <c r="L616"/>
  <c r="L552"/>
  <c r="L488"/>
  <c r="L424"/>
  <c r="L945"/>
  <c r="L881"/>
  <c r="L817"/>
  <c r="L753"/>
  <c r="L689"/>
  <c r="L625"/>
  <c r="L561"/>
  <c r="L497"/>
  <c r="L433"/>
  <c r="L940"/>
  <c r="L854"/>
  <c r="L770"/>
  <c r="L684"/>
  <c r="L598"/>
  <c r="L514"/>
  <c r="L428"/>
  <c r="L931"/>
  <c r="L845"/>
  <c r="L759"/>
  <c r="L675"/>
  <c r="L589"/>
  <c r="L503"/>
  <c r="L419"/>
  <c r="L922"/>
  <c r="L836"/>
  <c r="L750"/>
  <c r="L666"/>
  <c r="L580"/>
  <c r="L494"/>
  <c r="L997"/>
  <c r="L911"/>
  <c r="L827"/>
  <c r="L741"/>
  <c r="L655"/>
  <c r="L571"/>
  <c r="L485"/>
  <c r="L988"/>
  <c r="L902"/>
  <c r="L818"/>
  <c r="L732"/>
  <c r="L646"/>
  <c r="L562"/>
  <c r="L476"/>
  <c r="L979"/>
  <c r="L893"/>
  <c r="L807"/>
  <c r="L723"/>
  <c r="L637"/>
  <c r="L551"/>
  <c r="L467"/>
  <c r="L970"/>
  <c r="L884"/>
  <c r="L798"/>
  <c r="L714"/>
  <c r="L628"/>
  <c r="L542"/>
  <c r="L458"/>
  <c r="L959"/>
  <c r="L875"/>
  <c r="L789"/>
  <c r="L703"/>
  <c r="L619"/>
  <c r="L533"/>
  <c r="L447"/>
  <c r="L944"/>
  <c r="L880"/>
  <c r="L816"/>
  <c r="L752"/>
  <c r="L688"/>
  <c r="L624"/>
  <c r="L560"/>
  <c r="L496"/>
  <c r="L432"/>
  <c r="L953"/>
  <c r="L889"/>
  <c r="L825"/>
  <c r="L761"/>
  <c r="L697"/>
  <c r="L633"/>
  <c r="L569"/>
  <c r="L505"/>
  <c r="L441"/>
  <c r="L950"/>
  <c r="L866"/>
  <c r="L780"/>
  <c r="L694"/>
  <c r="L610"/>
  <c r="L524"/>
  <c r="L438"/>
  <c r="L941"/>
  <c r="L855"/>
  <c r="L771"/>
  <c r="L685"/>
  <c r="L599"/>
  <c r="L515"/>
  <c r="L429"/>
  <c r="L932"/>
  <c r="L846"/>
  <c r="L762"/>
  <c r="L676"/>
  <c r="L590"/>
  <c r="L506"/>
  <c r="L420"/>
  <c r="L923"/>
  <c r="L837"/>
  <c r="L751"/>
  <c r="L667"/>
  <c r="L581"/>
  <c r="L495"/>
  <c r="L998"/>
  <c r="L914"/>
  <c r="L828"/>
  <c r="L742"/>
  <c r="L658"/>
  <c r="L572"/>
  <c r="L486"/>
  <c r="L989"/>
  <c r="L903"/>
  <c r="L819"/>
  <c r="L733"/>
  <c r="L647"/>
  <c r="L563"/>
  <c r="L477"/>
  <c r="L980"/>
  <c r="L894"/>
  <c r="L810"/>
  <c r="L724"/>
  <c r="L638"/>
  <c r="L554"/>
  <c r="L468"/>
  <c r="L971"/>
  <c r="L885"/>
  <c r="L799"/>
  <c r="L715"/>
  <c r="L629"/>
  <c r="L543"/>
  <c r="L459"/>
  <c r="L952"/>
  <c r="L888"/>
  <c r="L824"/>
  <c r="L760"/>
  <c r="L696"/>
  <c r="L632"/>
  <c r="L568"/>
  <c r="L504"/>
  <c r="L440"/>
  <c r="L961"/>
  <c r="L897"/>
  <c r="L833"/>
  <c r="L769"/>
  <c r="L705"/>
  <c r="L641"/>
  <c r="L577"/>
  <c r="L513"/>
  <c r="L449"/>
  <c r="L962"/>
  <c r="L876"/>
  <c r="L790"/>
  <c r="L706"/>
  <c r="L620"/>
  <c r="L534"/>
  <c r="L450"/>
  <c r="L951"/>
  <c r="L867"/>
  <c r="L781"/>
  <c r="L695"/>
  <c r="L611"/>
  <c r="L525"/>
  <c r="L439"/>
  <c r="L942"/>
  <c r="L858"/>
  <c r="L772"/>
  <c r="L686"/>
  <c r="L602"/>
  <c r="L516"/>
  <c r="L430"/>
  <c r="L933"/>
  <c r="L847"/>
  <c r="L763"/>
  <c r="L677"/>
  <c r="L591"/>
  <c r="L507"/>
  <c r="L421"/>
  <c r="L924"/>
  <c r="L838"/>
  <c r="L754"/>
  <c r="L668"/>
  <c r="L582"/>
  <c r="L498"/>
  <c r="L999"/>
  <c r="L915"/>
  <c r="L829"/>
  <c r="L743"/>
  <c r="L659"/>
  <c r="L573"/>
  <c r="L487"/>
  <c r="L990"/>
  <c r="L906"/>
  <c r="L820"/>
  <c r="L734"/>
  <c r="L650"/>
  <c r="L564"/>
  <c r="L478"/>
  <c r="L981"/>
  <c r="L895"/>
  <c r="L811"/>
  <c r="L725"/>
  <c r="L639"/>
  <c r="L555"/>
  <c r="L469"/>
  <c r="L960"/>
  <c r="L896"/>
  <c r="L832"/>
  <c r="L768"/>
  <c r="L704"/>
  <c r="L640"/>
  <c r="L576"/>
  <c r="L512"/>
  <c r="L448"/>
  <c r="L969"/>
  <c r="L905"/>
  <c r="L841"/>
  <c r="L777"/>
  <c r="L713"/>
  <c r="L649"/>
  <c r="L585"/>
  <c r="L521"/>
  <c r="L457"/>
  <c r="L972"/>
  <c r="L886"/>
  <c r="L802"/>
  <c r="L716"/>
  <c r="L630"/>
  <c r="L546"/>
  <c r="L460"/>
  <c r="L963"/>
  <c r="L877"/>
  <c r="L791"/>
  <c r="L707"/>
  <c r="L621"/>
  <c r="L535"/>
  <c r="L451"/>
  <c r="L954"/>
  <c r="L868"/>
  <c r="L782"/>
  <c r="L698"/>
  <c r="L612"/>
  <c r="L526"/>
  <c r="L442"/>
  <c r="L943"/>
  <c r="L859"/>
  <c r="L773"/>
  <c r="L687"/>
  <c r="L603"/>
  <c r="L517"/>
  <c r="L431"/>
  <c r="L934"/>
  <c r="L850"/>
  <c r="L764"/>
  <c r="L678"/>
  <c r="L594"/>
  <c r="L508"/>
  <c r="L422"/>
  <c r="L925"/>
  <c r="L839"/>
  <c r="L755"/>
  <c r="L669"/>
  <c r="L583"/>
  <c r="L499"/>
  <c r="L1002"/>
  <c r="L916"/>
  <c r="L830"/>
  <c r="L746"/>
  <c r="L660"/>
  <c r="L574"/>
  <c r="L490"/>
  <c r="L991"/>
  <c r="L907"/>
  <c r="L821"/>
  <c r="L735"/>
  <c r="L651"/>
  <c r="L565"/>
  <c r="L479"/>
  <c r="L968"/>
  <c r="L904"/>
  <c r="L840"/>
  <c r="L776"/>
  <c r="L712"/>
  <c r="L648"/>
  <c r="L584"/>
  <c r="L520"/>
  <c r="L456"/>
  <c r="L977"/>
  <c r="L913"/>
  <c r="L849"/>
  <c r="L785"/>
  <c r="L721"/>
  <c r="L657"/>
  <c r="L593"/>
  <c r="L529"/>
  <c r="L465"/>
  <c r="L982"/>
  <c r="L898"/>
  <c r="L812"/>
  <c r="L726"/>
  <c r="L642"/>
  <c r="L556"/>
  <c r="L470"/>
  <c r="L973"/>
  <c r="L887"/>
  <c r="L803"/>
  <c r="L717"/>
  <c r="L631"/>
  <c r="L547"/>
  <c r="L461"/>
  <c r="L964"/>
  <c r="L878"/>
  <c r="L794"/>
  <c r="L708"/>
  <c r="L622"/>
  <c r="L538"/>
  <c r="L452"/>
  <c r="L955"/>
  <c r="L869"/>
  <c r="L783"/>
  <c r="L699"/>
  <c r="L613"/>
  <c r="L527"/>
  <c r="L443"/>
  <c r="L946"/>
  <c r="L860"/>
  <c r="L774"/>
  <c r="L690"/>
  <c r="L604"/>
  <c r="L518"/>
  <c r="L434"/>
  <c r="L935"/>
  <c r="L851"/>
  <c r="L765"/>
  <c r="L679"/>
  <c r="L595"/>
  <c r="L509"/>
  <c r="L423"/>
  <c r="L926"/>
  <c r="L842"/>
  <c r="L756"/>
  <c r="L670"/>
  <c r="L586"/>
  <c r="L500"/>
  <c r="L1003"/>
  <c r="L917"/>
  <c r="L831"/>
  <c r="L747"/>
  <c r="L661"/>
  <c r="L575"/>
  <c r="L491"/>
  <c r="L976"/>
  <c r="L912"/>
  <c r="L848"/>
  <c r="L784"/>
  <c r="L720"/>
  <c r="L656"/>
  <c r="L592"/>
  <c r="L528"/>
  <c r="L464"/>
  <c r="L985"/>
  <c r="L921"/>
  <c r="L857"/>
  <c r="L793"/>
  <c r="L729"/>
  <c r="L665"/>
  <c r="L601"/>
  <c r="L537"/>
  <c r="L473"/>
  <c r="L994"/>
  <c r="L908"/>
  <c r="L822"/>
  <c r="L738"/>
  <c r="L652"/>
  <c r="L566"/>
  <c r="L482"/>
  <c r="L983"/>
  <c r="L899"/>
  <c r="L813"/>
  <c r="L727"/>
  <c r="L643"/>
  <c r="L557"/>
  <c r="L471"/>
  <c r="L974"/>
  <c r="L890"/>
  <c r="L804"/>
  <c r="L718"/>
  <c r="L634"/>
  <c r="L548"/>
  <c r="L462"/>
  <c r="L965"/>
  <c r="L879"/>
  <c r="L795"/>
  <c r="L709"/>
  <c r="L623"/>
  <c r="L539"/>
  <c r="L453"/>
  <c r="L956"/>
  <c r="L870"/>
  <c r="L786"/>
  <c r="L700"/>
  <c r="L614"/>
  <c r="L530"/>
  <c r="L444"/>
  <c r="L947"/>
  <c r="L861"/>
  <c r="L775"/>
  <c r="L691"/>
  <c r="L605"/>
  <c r="L519"/>
  <c r="L435"/>
  <c r="L938"/>
  <c r="L852"/>
  <c r="L766"/>
  <c r="L682"/>
  <c r="L596"/>
  <c r="L510"/>
  <c r="L426"/>
  <c r="L927"/>
  <c r="L843"/>
  <c r="L757"/>
  <c r="L671"/>
  <c r="L587"/>
  <c r="L501"/>
  <c r="L984"/>
  <c r="L920"/>
  <c r="L856"/>
  <c r="L792"/>
  <c r="L728"/>
  <c r="L664"/>
  <c r="L600"/>
  <c r="L536"/>
  <c r="L472"/>
  <c r="L993"/>
  <c r="L929"/>
  <c r="L865"/>
  <c r="L801"/>
  <c r="L737"/>
  <c r="L673"/>
  <c r="L609"/>
  <c r="L545"/>
  <c r="L481"/>
  <c r="L1004"/>
  <c r="L918"/>
  <c r="L834"/>
  <c r="L748"/>
  <c r="L662"/>
  <c r="L578"/>
  <c r="L492"/>
  <c r="L995"/>
  <c r="L909"/>
  <c r="L823"/>
  <c r="L739"/>
  <c r="L653"/>
  <c r="L567"/>
  <c r="L483"/>
  <c r="L986"/>
  <c r="L900"/>
  <c r="L814"/>
  <c r="L730"/>
  <c r="L644"/>
  <c r="L558"/>
  <c r="L474"/>
  <c r="L975"/>
  <c r="L891"/>
  <c r="L805"/>
  <c r="L719"/>
  <c r="L635"/>
  <c r="L549"/>
  <c r="L463"/>
  <c r="L966"/>
  <c r="L882"/>
  <c r="L796"/>
  <c r="L710"/>
  <c r="L626"/>
  <c r="L540"/>
  <c r="L454"/>
  <c r="L957"/>
  <c r="L871"/>
  <c r="L787"/>
  <c r="L701"/>
  <c r="L615"/>
  <c r="L531"/>
  <c r="L445"/>
  <c r="L948"/>
  <c r="L862"/>
  <c r="L778"/>
  <c r="L692"/>
  <c r="L606"/>
  <c r="L522"/>
  <c r="L436"/>
  <c r="L939"/>
  <c r="L853"/>
  <c r="L767"/>
  <c r="L683"/>
  <c r="L597"/>
  <c r="L511"/>
  <c r="L427"/>
  <c r="P976"/>
  <c r="P912"/>
  <c r="P848"/>
  <c r="P784"/>
  <c r="P720"/>
  <c r="P656"/>
  <c r="P592"/>
  <c r="P528"/>
  <c r="P464"/>
  <c r="P987"/>
  <c r="P923"/>
  <c r="P859"/>
  <c r="P795"/>
  <c r="P731"/>
  <c r="P667"/>
  <c r="P603"/>
  <c r="P539"/>
  <c r="P475"/>
  <c r="P1004"/>
  <c r="P940"/>
  <c r="P876"/>
  <c r="P812"/>
  <c r="P748"/>
  <c r="P684"/>
  <c r="P620"/>
  <c r="P556"/>
  <c r="P492"/>
  <c r="P428"/>
  <c r="P949"/>
  <c r="P885"/>
  <c r="P821"/>
  <c r="P757"/>
  <c r="P693"/>
  <c r="P629"/>
  <c r="P984"/>
  <c r="P920"/>
  <c r="P856"/>
  <c r="P792"/>
  <c r="P728"/>
  <c r="P664"/>
  <c r="P600"/>
  <c r="P536"/>
  <c r="P472"/>
  <c r="P995"/>
  <c r="P931"/>
  <c r="P867"/>
  <c r="P803"/>
  <c r="P739"/>
  <c r="P675"/>
  <c r="P611"/>
  <c r="P547"/>
  <c r="P483"/>
  <c r="P419"/>
  <c r="P948"/>
  <c r="P884"/>
  <c r="P820"/>
  <c r="P756"/>
  <c r="P692"/>
  <c r="P628"/>
  <c r="P564"/>
  <c r="P500"/>
  <c r="P436"/>
  <c r="P957"/>
  <c r="P893"/>
  <c r="P829"/>
  <c r="P765"/>
  <c r="P701"/>
  <c r="P637"/>
  <c r="P992"/>
  <c r="P928"/>
  <c r="P864"/>
  <c r="P800"/>
  <c r="P736"/>
  <c r="P672"/>
  <c r="P608"/>
  <c r="P544"/>
  <c r="P480"/>
  <c r="P1003"/>
  <c r="P939"/>
  <c r="P875"/>
  <c r="P811"/>
  <c r="P747"/>
  <c r="P683"/>
  <c r="P619"/>
  <c r="P555"/>
  <c r="P491"/>
  <c r="P427"/>
  <c r="P956"/>
  <c r="P892"/>
  <c r="P828"/>
  <c r="P764"/>
  <c r="P700"/>
  <c r="P636"/>
  <c r="P572"/>
  <c r="P508"/>
  <c r="P444"/>
  <c r="P965"/>
  <c r="P901"/>
  <c r="P837"/>
  <c r="P773"/>
  <c r="P709"/>
  <c r="P645"/>
  <c r="P581"/>
  <c r="P1000"/>
  <c r="P936"/>
  <c r="P872"/>
  <c r="P808"/>
  <c r="P744"/>
  <c r="P680"/>
  <c r="P616"/>
  <c r="P552"/>
  <c r="P488"/>
  <c r="P424"/>
  <c r="P947"/>
  <c r="P883"/>
  <c r="P819"/>
  <c r="P755"/>
  <c r="P691"/>
  <c r="P627"/>
  <c r="P563"/>
  <c r="P499"/>
  <c r="P435"/>
  <c r="P964"/>
  <c r="P900"/>
  <c r="P836"/>
  <c r="P772"/>
  <c r="P708"/>
  <c r="P644"/>
  <c r="P580"/>
  <c r="P516"/>
  <c r="P452"/>
  <c r="P973"/>
  <c r="P909"/>
  <c r="P845"/>
  <c r="P781"/>
  <c r="P717"/>
  <c r="P653"/>
  <c r="P589"/>
  <c r="P944"/>
  <c r="P880"/>
  <c r="P816"/>
  <c r="P752"/>
  <c r="P688"/>
  <c r="P624"/>
  <c r="P560"/>
  <c r="P496"/>
  <c r="P432"/>
  <c r="P955"/>
  <c r="P891"/>
  <c r="P827"/>
  <c r="P763"/>
  <c r="P699"/>
  <c r="P635"/>
  <c r="P571"/>
  <c r="P507"/>
  <c r="P443"/>
  <c r="P972"/>
  <c r="P908"/>
  <c r="P844"/>
  <c r="P780"/>
  <c r="P716"/>
  <c r="P652"/>
  <c r="P588"/>
  <c r="P524"/>
  <c r="P460"/>
  <c r="P981"/>
  <c r="P917"/>
  <c r="P853"/>
  <c r="P789"/>
  <c r="P725"/>
  <c r="P661"/>
  <c r="P597"/>
  <c r="P952"/>
  <c r="P888"/>
  <c r="P824"/>
  <c r="P760"/>
  <c r="P696"/>
  <c r="P632"/>
  <c r="P568"/>
  <c r="P504"/>
  <c r="P440"/>
  <c r="P963"/>
  <c r="P899"/>
  <c r="P835"/>
  <c r="P771"/>
  <c r="P707"/>
  <c r="P643"/>
  <c r="P579"/>
  <c r="P515"/>
  <c r="P451"/>
  <c r="P980"/>
  <c r="P916"/>
  <c r="P852"/>
  <c r="P788"/>
  <c r="P724"/>
  <c r="P660"/>
  <c r="P596"/>
  <c r="P532"/>
  <c r="P468"/>
  <c r="P989"/>
  <c r="P925"/>
  <c r="P861"/>
  <c r="P797"/>
  <c r="P733"/>
  <c r="P669"/>
  <c r="P605"/>
  <c r="P960"/>
  <c r="P896"/>
  <c r="P832"/>
  <c r="P768"/>
  <c r="P704"/>
  <c r="P640"/>
  <c r="P576"/>
  <c r="P512"/>
  <c r="P448"/>
  <c r="P971"/>
  <c r="P907"/>
  <c r="P843"/>
  <c r="P779"/>
  <c r="P715"/>
  <c r="P651"/>
  <c r="P587"/>
  <c r="P523"/>
  <c r="P459"/>
  <c r="P988"/>
  <c r="P924"/>
  <c r="P860"/>
  <c r="P796"/>
  <c r="P732"/>
  <c r="P668"/>
  <c r="P604"/>
  <c r="P540"/>
  <c r="P476"/>
  <c r="P997"/>
  <c r="P933"/>
  <c r="P869"/>
  <c r="P805"/>
  <c r="P741"/>
  <c r="P677"/>
  <c r="P613"/>
  <c r="P968"/>
  <c r="P904"/>
  <c r="P840"/>
  <c r="P776"/>
  <c r="P712"/>
  <c r="P648"/>
  <c r="P584"/>
  <c r="P520"/>
  <c r="P456"/>
  <c r="P979"/>
  <c r="P915"/>
  <c r="P851"/>
  <c r="P787"/>
  <c r="P723"/>
  <c r="P659"/>
  <c r="P595"/>
  <c r="P531"/>
  <c r="P467"/>
  <c r="P996"/>
  <c r="P932"/>
  <c r="P868"/>
  <c r="P804"/>
  <c r="P740"/>
  <c r="P676"/>
  <c r="P612"/>
  <c r="P548"/>
  <c r="P484"/>
  <c r="P420"/>
  <c r="P941"/>
  <c r="P877"/>
  <c r="P813"/>
  <c r="P749"/>
  <c r="P685"/>
  <c r="P621"/>
  <c r="P565"/>
  <c r="P501"/>
  <c r="P437"/>
  <c r="P959"/>
  <c r="P895"/>
  <c r="P831"/>
  <c r="P767"/>
  <c r="P703"/>
  <c r="P639"/>
  <c r="P575"/>
  <c r="P511"/>
  <c r="P447"/>
  <c r="P902"/>
  <c r="P730"/>
  <c r="P561"/>
  <c r="P969"/>
  <c r="P798"/>
  <c r="P626"/>
  <c r="P457"/>
  <c r="P865"/>
  <c r="P694"/>
  <c r="P522"/>
  <c r="P930"/>
  <c r="P761"/>
  <c r="P590"/>
  <c r="P418"/>
  <c r="P849"/>
  <c r="P678"/>
  <c r="P506"/>
  <c r="P937"/>
  <c r="P766"/>
  <c r="P594"/>
  <c r="P425"/>
  <c r="P985"/>
  <c r="P918"/>
  <c r="P750"/>
  <c r="P598"/>
  <c r="P514"/>
  <c r="P449"/>
  <c r="P573"/>
  <c r="P509"/>
  <c r="P445"/>
  <c r="P967"/>
  <c r="P903"/>
  <c r="P839"/>
  <c r="P775"/>
  <c r="P711"/>
  <c r="P647"/>
  <c r="P583"/>
  <c r="P519"/>
  <c r="P455"/>
  <c r="P922"/>
  <c r="P753"/>
  <c r="P582"/>
  <c r="P990"/>
  <c r="P818"/>
  <c r="P649"/>
  <c r="P478"/>
  <c r="P886"/>
  <c r="P714"/>
  <c r="P545"/>
  <c r="P953"/>
  <c r="P782"/>
  <c r="P610"/>
  <c r="P441"/>
  <c r="P870"/>
  <c r="P698"/>
  <c r="P529"/>
  <c r="P958"/>
  <c r="P786"/>
  <c r="P617"/>
  <c r="P446"/>
  <c r="P470"/>
  <c r="P1002"/>
  <c r="P834"/>
  <c r="P682"/>
  <c r="P601"/>
  <c r="P534"/>
  <c r="P450"/>
  <c r="P517"/>
  <c r="P453"/>
  <c r="P975"/>
  <c r="P911"/>
  <c r="P847"/>
  <c r="P783"/>
  <c r="P719"/>
  <c r="P655"/>
  <c r="P591"/>
  <c r="P527"/>
  <c r="P463"/>
  <c r="P945"/>
  <c r="P774"/>
  <c r="P602"/>
  <c r="P433"/>
  <c r="P841"/>
  <c r="P670"/>
  <c r="P498"/>
  <c r="P906"/>
  <c r="P737"/>
  <c r="P566"/>
  <c r="P974"/>
  <c r="P802"/>
  <c r="P633"/>
  <c r="P462"/>
  <c r="P890"/>
  <c r="P721"/>
  <c r="P550"/>
  <c r="P978"/>
  <c r="P809"/>
  <c r="P638"/>
  <c r="P466"/>
  <c r="P554"/>
  <c r="P473"/>
  <c r="P921"/>
  <c r="P769"/>
  <c r="P686"/>
  <c r="P618"/>
  <c r="P537"/>
  <c r="P525"/>
  <c r="P461"/>
  <c r="P983"/>
  <c r="P919"/>
  <c r="P855"/>
  <c r="P791"/>
  <c r="P727"/>
  <c r="P663"/>
  <c r="P599"/>
  <c r="P535"/>
  <c r="P471"/>
  <c r="P966"/>
  <c r="P794"/>
  <c r="P625"/>
  <c r="P454"/>
  <c r="P862"/>
  <c r="P690"/>
  <c r="P521"/>
  <c r="P929"/>
  <c r="P758"/>
  <c r="P586"/>
  <c r="P994"/>
  <c r="P825"/>
  <c r="P654"/>
  <c r="P482"/>
  <c r="P913"/>
  <c r="P742"/>
  <c r="P570"/>
  <c r="P1001"/>
  <c r="P830"/>
  <c r="P658"/>
  <c r="P489"/>
  <c r="P641"/>
  <c r="P558"/>
  <c r="P490"/>
  <c r="P854"/>
  <c r="P770"/>
  <c r="P705"/>
  <c r="P622"/>
  <c r="P533"/>
  <c r="P469"/>
  <c r="P991"/>
  <c r="P927"/>
  <c r="P863"/>
  <c r="P799"/>
  <c r="P735"/>
  <c r="P671"/>
  <c r="P607"/>
  <c r="P543"/>
  <c r="P479"/>
  <c r="P986"/>
  <c r="P817"/>
  <c r="P646"/>
  <c r="P474"/>
  <c r="P882"/>
  <c r="P713"/>
  <c r="P542"/>
  <c r="P950"/>
  <c r="P778"/>
  <c r="P609"/>
  <c r="P438"/>
  <c r="P846"/>
  <c r="P674"/>
  <c r="P505"/>
  <c r="P934"/>
  <c r="P762"/>
  <c r="P593"/>
  <c r="P422"/>
  <c r="P850"/>
  <c r="P681"/>
  <c r="P510"/>
  <c r="P726"/>
  <c r="P642"/>
  <c r="P577"/>
  <c r="P938"/>
  <c r="P857"/>
  <c r="P790"/>
  <c r="P706"/>
  <c r="P541"/>
  <c r="P477"/>
  <c r="P999"/>
  <c r="P935"/>
  <c r="P871"/>
  <c r="P807"/>
  <c r="P743"/>
  <c r="P679"/>
  <c r="P615"/>
  <c r="P551"/>
  <c r="P487"/>
  <c r="P423"/>
  <c r="P838"/>
  <c r="P666"/>
  <c r="P497"/>
  <c r="P905"/>
  <c r="P734"/>
  <c r="P562"/>
  <c r="P970"/>
  <c r="P801"/>
  <c r="P630"/>
  <c r="P458"/>
  <c r="P866"/>
  <c r="P697"/>
  <c r="P526"/>
  <c r="P954"/>
  <c r="P785"/>
  <c r="P614"/>
  <c r="P442"/>
  <c r="P873"/>
  <c r="P702"/>
  <c r="P530"/>
  <c r="P810"/>
  <c r="P729"/>
  <c r="P662"/>
  <c r="P494"/>
  <c r="P942"/>
  <c r="P874"/>
  <c r="P793"/>
  <c r="P549"/>
  <c r="P485"/>
  <c r="P421"/>
  <c r="P943"/>
  <c r="P879"/>
  <c r="P815"/>
  <c r="P751"/>
  <c r="P687"/>
  <c r="P623"/>
  <c r="P559"/>
  <c r="P495"/>
  <c r="P431"/>
  <c r="P858"/>
  <c r="P689"/>
  <c r="P518"/>
  <c r="P926"/>
  <c r="P754"/>
  <c r="P585"/>
  <c r="P993"/>
  <c r="P822"/>
  <c r="P650"/>
  <c r="P481"/>
  <c r="P889"/>
  <c r="P718"/>
  <c r="P546"/>
  <c r="P977"/>
  <c r="P806"/>
  <c r="P634"/>
  <c r="P465"/>
  <c r="P894"/>
  <c r="P722"/>
  <c r="P553"/>
  <c r="P897"/>
  <c r="P814"/>
  <c r="P746"/>
  <c r="P578"/>
  <c r="P426"/>
  <c r="P961"/>
  <c r="P878"/>
  <c r="P557"/>
  <c r="P493"/>
  <c r="P429"/>
  <c r="P951"/>
  <c r="P887"/>
  <c r="P823"/>
  <c r="P759"/>
  <c r="P695"/>
  <c r="P631"/>
  <c r="P567"/>
  <c r="P503"/>
  <c r="P439"/>
  <c r="P881"/>
  <c r="P710"/>
  <c r="P538"/>
  <c r="P946"/>
  <c r="P777"/>
  <c r="P606"/>
  <c r="P434"/>
  <c r="P842"/>
  <c r="P673"/>
  <c r="P502"/>
  <c r="P910"/>
  <c r="P738"/>
  <c r="P569"/>
  <c r="P998"/>
  <c r="P826"/>
  <c r="P657"/>
  <c r="P486"/>
  <c r="P914"/>
  <c r="P745"/>
  <c r="P574"/>
  <c r="P982"/>
  <c r="P898"/>
  <c r="P833"/>
  <c r="P665"/>
  <c r="P513"/>
  <c r="P430"/>
  <c r="P962"/>
  <c r="T967"/>
  <c r="T903"/>
  <c r="T839"/>
  <c r="T775"/>
  <c r="T711"/>
  <c r="T647"/>
  <c r="T583"/>
  <c r="T519"/>
  <c r="T455"/>
  <c r="T977"/>
  <c r="T913"/>
  <c r="T849"/>
  <c r="T785"/>
  <c r="T721"/>
  <c r="T657"/>
  <c r="T593"/>
  <c r="T529"/>
  <c r="T465"/>
  <c r="T987"/>
  <c r="T923"/>
  <c r="T859"/>
  <c r="T795"/>
  <c r="T731"/>
  <c r="T667"/>
  <c r="T603"/>
  <c r="T539"/>
  <c r="T475"/>
  <c r="T1004"/>
  <c r="T901"/>
  <c r="T798"/>
  <c r="T696"/>
  <c r="T594"/>
  <c r="T492"/>
  <c r="T966"/>
  <c r="T864"/>
  <c r="T762"/>
  <c r="T660"/>
  <c r="T557"/>
  <c r="T454"/>
  <c r="T932"/>
  <c r="T829"/>
  <c r="T726"/>
  <c r="T624"/>
  <c r="T522"/>
  <c r="T420"/>
  <c r="T908"/>
  <c r="T805"/>
  <c r="T702"/>
  <c r="T600"/>
  <c r="T498"/>
  <c r="T986"/>
  <c r="T884"/>
  <c r="T781"/>
  <c r="T678"/>
  <c r="T576"/>
  <c r="T474"/>
  <c r="T962"/>
  <c r="T860"/>
  <c r="T757"/>
  <c r="T654"/>
  <c r="T552"/>
  <c r="T450"/>
  <c r="T938"/>
  <c r="T836"/>
  <c r="T733"/>
  <c r="T630"/>
  <c r="T528"/>
  <c r="T426"/>
  <c r="T802"/>
  <c r="T508"/>
  <c r="T840"/>
  <c r="T648"/>
  <c r="T456"/>
  <c r="T975"/>
  <c r="T911"/>
  <c r="T847"/>
  <c r="T783"/>
  <c r="T719"/>
  <c r="T655"/>
  <c r="T591"/>
  <c r="T527"/>
  <c r="T463"/>
  <c r="T985"/>
  <c r="T921"/>
  <c r="T857"/>
  <c r="T793"/>
  <c r="T729"/>
  <c r="T665"/>
  <c r="T601"/>
  <c r="T537"/>
  <c r="T473"/>
  <c r="T995"/>
  <c r="T931"/>
  <c r="T867"/>
  <c r="T803"/>
  <c r="T739"/>
  <c r="T675"/>
  <c r="T611"/>
  <c r="T547"/>
  <c r="T483"/>
  <c r="T419"/>
  <c r="T914"/>
  <c r="T812"/>
  <c r="T709"/>
  <c r="T606"/>
  <c r="T504"/>
  <c r="T980"/>
  <c r="T877"/>
  <c r="T774"/>
  <c r="T672"/>
  <c r="T570"/>
  <c r="T468"/>
  <c r="T944"/>
  <c r="T842"/>
  <c r="T740"/>
  <c r="T637"/>
  <c r="T534"/>
  <c r="T432"/>
  <c r="T920"/>
  <c r="T818"/>
  <c r="T716"/>
  <c r="T613"/>
  <c r="T510"/>
  <c r="T998"/>
  <c r="T896"/>
  <c r="T794"/>
  <c r="T692"/>
  <c r="T589"/>
  <c r="T486"/>
  <c r="T974"/>
  <c r="T872"/>
  <c r="T770"/>
  <c r="T668"/>
  <c r="T565"/>
  <c r="T462"/>
  <c r="T950"/>
  <c r="T848"/>
  <c r="T746"/>
  <c r="T644"/>
  <c r="T541"/>
  <c r="T438"/>
  <c r="T904"/>
  <c r="T610"/>
  <c r="T942"/>
  <c r="T750"/>
  <c r="T558"/>
  <c r="T983"/>
  <c r="T919"/>
  <c r="T855"/>
  <c r="T791"/>
  <c r="T727"/>
  <c r="T663"/>
  <c r="T599"/>
  <c r="T535"/>
  <c r="T471"/>
  <c r="T993"/>
  <c r="T929"/>
  <c r="T865"/>
  <c r="T801"/>
  <c r="T737"/>
  <c r="T673"/>
  <c r="T609"/>
  <c r="T545"/>
  <c r="T481"/>
  <c r="T1003"/>
  <c r="T939"/>
  <c r="T875"/>
  <c r="T811"/>
  <c r="T747"/>
  <c r="T683"/>
  <c r="T619"/>
  <c r="T555"/>
  <c r="T491"/>
  <c r="T427"/>
  <c r="T926"/>
  <c r="T824"/>
  <c r="T722"/>
  <c r="T620"/>
  <c r="T517"/>
  <c r="T992"/>
  <c r="T890"/>
  <c r="T788"/>
  <c r="T685"/>
  <c r="T582"/>
  <c r="T480"/>
  <c r="T957"/>
  <c r="T854"/>
  <c r="T752"/>
  <c r="T650"/>
  <c r="T548"/>
  <c r="T445"/>
  <c r="T933"/>
  <c r="T830"/>
  <c r="T728"/>
  <c r="T626"/>
  <c r="T524"/>
  <c r="T421"/>
  <c r="T909"/>
  <c r="T806"/>
  <c r="T704"/>
  <c r="T602"/>
  <c r="T500"/>
  <c r="T988"/>
  <c r="T885"/>
  <c r="T782"/>
  <c r="T680"/>
  <c r="T578"/>
  <c r="T476"/>
  <c r="T964"/>
  <c r="T861"/>
  <c r="T758"/>
  <c r="T656"/>
  <c r="T554"/>
  <c r="T452"/>
  <c r="T482"/>
  <c r="T712"/>
  <c r="T418"/>
  <c r="T853"/>
  <c r="T661"/>
  <c r="T469"/>
  <c r="T991"/>
  <c r="T927"/>
  <c r="T863"/>
  <c r="T799"/>
  <c r="T735"/>
  <c r="T671"/>
  <c r="T607"/>
  <c r="T543"/>
  <c r="T479"/>
  <c r="T1001"/>
  <c r="T937"/>
  <c r="T873"/>
  <c r="T809"/>
  <c r="T745"/>
  <c r="T681"/>
  <c r="T617"/>
  <c r="T553"/>
  <c r="T489"/>
  <c r="T425"/>
  <c r="T947"/>
  <c r="T883"/>
  <c r="T819"/>
  <c r="T755"/>
  <c r="T691"/>
  <c r="T627"/>
  <c r="T563"/>
  <c r="T499"/>
  <c r="T435"/>
  <c r="T940"/>
  <c r="T837"/>
  <c r="T734"/>
  <c r="T632"/>
  <c r="T530"/>
  <c r="T428"/>
  <c r="T902"/>
  <c r="T800"/>
  <c r="T698"/>
  <c r="T596"/>
  <c r="T493"/>
  <c r="T970"/>
  <c r="T868"/>
  <c r="T765"/>
  <c r="T662"/>
  <c r="T560"/>
  <c r="T458"/>
  <c r="T946"/>
  <c r="T844"/>
  <c r="T741"/>
  <c r="T638"/>
  <c r="T536"/>
  <c r="T434"/>
  <c r="T922"/>
  <c r="T820"/>
  <c r="T717"/>
  <c r="T614"/>
  <c r="T512"/>
  <c r="T1000"/>
  <c r="T898"/>
  <c r="T796"/>
  <c r="T693"/>
  <c r="T590"/>
  <c r="T488"/>
  <c r="T976"/>
  <c r="T874"/>
  <c r="T772"/>
  <c r="T669"/>
  <c r="T566"/>
  <c r="T464"/>
  <c r="T584"/>
  <c r="T814"/>
  <c r="T520"/>
  <c r="T956"/>
  <c r="T764"/>
  <c r="T572"/>
  <c r="T999"/>
  <c r="T935"/>
  <c r="T871"/>
  <c r="T807"/>
  <c r="T743"/>
  <c r="T679"/>
  <c r="T615"/>
  <c r="T551"/>
  <c r="T487"/>
  <c r="T423"/>
  <c r="T945"/>
  <c r="T881"/>
  <c r="T817"/>
  <c r="T753"/>
  <c r="T689"/>
  <c r="T625"/>
  <c r="T561"/>
  <c r="T497"/>
  <c r="T433"/>
  <c r="T955"/>
  <c r="T891"/>
  <c r="T827"/>
  <c r="T763"/>
  <c r="T699"/>
  <c r="T635"/>
  <c r="T571"/>
  <c r="T507"/>
  <c r="T443"/>
  <c r="T952"/>
  <c r="T850"/>
  <c r="T748"/>
  <c r="T645"/>
  <c r="T542"/>
  <c r="T440"/>
  <c r="T916"/>
  <c r="T813"/>
  <c r="T710"/>
  <c r="T608"/>
  <c r="T506"/>
  <c r="T982"/>
  <c r="T880"/>
  <c r="T778"/>
  <c r="T676"/>
  <c r="T573"/>
  <c r="T470"/>
  <c r="T958"/>
  <c r="T856"/>
  <c r="T754"/>
  <c r="T652"/>
  <c r="T549"/>
  <c r="T446"/>
  <c r="T934"/>
  <c r="T832"/>
  <c r="T730"/>
  <c r="T628"/>
  <c r="T525"/>
  <c r="T422"/>
  <c r="T910"/>
  <c r="T808"/>
  <c r="T706"/>
  <c r="T604"/>
  <c r="T501"/>
  <c r="T989"/>
  <c r="T886"/>
  <c r="T784"/>
  <c r="T682"/>
  <c r="T580"/>
  <c r="T477"/>
  <c r="T686"/>
  <c r="T917"/>
  <c r="T622"/>
  <c r="T430"/>
  <c r="T866"/>
  <c r="T674"/>
  <c r="T943"/>
  <c r="T879"/>
  <c r="T815"/>
  <c r="T751"/>
  <c r="T687"/>
  <c r="T623"/>
  <c r="T559"/>
  <c r="T495"/>
  <c r="T431"/>
  <c r="T953"/>
  <c r="T889"/>
  <c r="T825"/>
  <c r="T761"/>
  <c r="T697"/>
  <c r="T633"/>
  <c r="T569"/>
  <c r="T505"/>
  <c r="T441"/>
  <c r="T963"/>
  <c r="T899"/>
  <c r="T835"/>
  <c r="T771"/>
  <c r="T707"/>
  <c r="T643"/>
  <c r="T579"/>
  <c r="T515"/>
  <c r="T451"/>
  <c r="T965"/>
  <c r="T862"/>
  <c r="T760"/>
  <c r="T658"/>
  <c r="T556"/>
  <c r="T453"/>
  <c r="T928"/>
  <c r="T826"/>
  <c r="T724"/>
  <c r="T621"/>
  <c r="T518"/>
  <c r="T996"/>
  <c r="T893"/>
  <c r="T790"/>
  <c r="T688"/>
  <c r="T586"/>
  <c r="T484"/>
  <c r="T972"/>
  <c r="T869"/>
  <c r="T766"/>
  <c r="T664"/>
  <c r="T562"/>
  <c r="T460"/>
  <c r="T948"/>
  <c r="T845"/>
  <c r="T742"/>
  <c r="T640"/>
  <c r="T538"/>
  <c r="T436"/>
  <c r="T924"/>
  <c r="T821"/>
  <c r="T718"/>
  <c r="T616"/>
  <c r="T514"/>
  <c r="T1002"/>
  <c r="T900"/>
  <c r="T797"/>
  <c r="T694"/>
  <c r="T592"/>
  <c r="T490"/>
  <c r="T789"/>
  <c r="T494"/>
  <c r="T725"/>
  <c r="T533"/>
  <c r="T968"/>
  <c r="T776"/>
  <c r="T951"/>
  <c r="T887"/>
  <c r="T823"/>
  <c r="T759"/>
  <c r="T695"/>
  <c r="T631"/>
  <c r="T567"/>
  <c r="T503"/>
  <c r="T439"/>
  <c r="T961"/>
  <c r="T897"/>
  <c r="T833"/>
  <c r="T769"/>
  <c r="T705"/>
  <c r="T641"/>
  <c r="T577"/>
  <c r="T513"/>
  <c r="T449"/>
  <c r="T971"/>
  <c r="T907"/>
  <c r="T843"/>
  <c r="T779"/>
  <c r="T715"/>
  <c r="T651"/>
  <c r="T587"/>
  <c r="T523"/>
  <c r="T459"/>
  <c r="T978"/>
  <c r="T876"/>
  <c r="T773"/>
  <c r="T670"/>
  <c r="T568"/>
  <c r="T466"/>
  <c r="T941"/>
  <c r="T838"/>
  <c r="T736"/>
  <c r="T634"/>
  <c r="T532"/>
  <c r="T429"/>
  <c r="T906"/>
  <c r="T804"/>
  <c r="T701"/>
  <c r="T598"/>
  <c r="T496"/>
  <c r="T984"/>
  <c r="T882"/>
  <c r="T780"/>
  <c r="T677"/>
  <c r="T574"/>
  <c r="T472"/>
  <c r="T960"/>
  <c r="T858"/>
  <c r="T756"/>
  <c r="T653"/>
  <c r="T550"/>
  <c r="T448"/>
  <c r="T936"/>
  <c r="T834"/>
  <c r="T732"/>
  <c r="T629"/>
  <c r="T526"/>
  <c r="T424"/>
  <c r="T912"/>
  <c r="T810"/>
  <c r="T708"/>
  <c r="T605"/>
  <c r="T502"/>
  <c r="T892"/>
  <c r="T597"/>
  <c r="T828"/>
  <c r="T636"/>
  <c r="T444"/>
  <c r="T878"/>
  <c r="T959"/>
  <c r="T895"/>
  <c r="T831"/>
  <c r="T767"/>
  <c r="T703"/>
  <c r="T639"/>
  <c r="T575"/>
  <c r="T511"/>
  <c r="T447"/>
  <c r="T969"/>
  <c r="T905"/>
  <c r="T841"/>
  <c r="T777"/>
  <c r="T713"/>
  <c r="T649"/>
  <c r="T585"/>
  <c r="T521"/>
  <c r="T457"/>
  <c r="T979"/>
  <c r="T915"/>
  <c r="T851"/>
  <c r="T787"/>
  <c r="T723"/>
  <c r="T659"/>
  <c r="T595"/>
  <c r="T531"/>
  <c r="T467"/>
  <c r="T990"/>
  <c r="T888"/>
  <c r="T786"/>
  <c r="T684"/>
  <c r="T581"/>
  <c r="T478"/>
  <c r="T954"/>
  <c r="T852"/>
  <c r="T749"/>
  <c r="T646"/>
  <c r="T544"/>
  <c r="T442"/>
  <c r="T918"/>
  <c r="T816"/>
  <c r="T714"/>
  <c r="T612"/>
  <c r="T509"/>
  <c r="T997"/>
  <c r="T894"/>
  <c r="T792"/>
  <c r="T690"/>
  <c r="T588"/>
  <c r="T485"/>
  <c r="T973"/>
  <c r="T870"/>
  <c r="T768"/>
  <c r="T666"/>
  <c r="T564"/>
  <c r="T461"/>
  <c r="T949"/>
  <c r="T846"/>
  <c r="T744"/>
  <c r="T642"/>
  <c r="T540"/>
  <c r="T437"/>
  <c r="T925"/>
  <c r="T822"/>
  <c r="T720"/>
  <c r="T618"/>
  <c r="T516"/>
  <c r="T994"/>
  <c r="T700"/>
  <c r="T930"/>
  <c r="T738"/>
  <c r="T546"/>
  <c r="T981"/>
  <c r="V953"/>
  <c r="V986"/>
  <c r="V922"/>
  <c r="V955"/>
  <c r="V981"/>
  <c r="V917"/>
  <c r="V951"/>
  <c r="V992"/>
  <c r="V928"/>
  <c r="V886"/>
  <c r="V822"/>
  <c r="V758"/>
  <c r="V694"/>
  <c r="V630"/>
  <c r="V566"/>
  <c r="V502"/>
  <c r="V438"/>
  <c r="V887"/>
  <c r="V823"/>
  <c r="V759"/>
  <c r="V695"/>
  <c r="V631"/>
  <c r="V567"/>
  <c r="V503"/>
  <c r="V439"/>
  <c r="V888"/>
  <c r="V824"/>
  <c r="V760"/>
  <c r="V696"/>
  <c r="V632"/>
  <c r="V568"/>
  <c r="V504"/>
  <c r="V440"/>
  <c r="V889"/>
  <c r="V825"/>
  <c r="V761"/>
  <c r="V697"/>
  <c r="V633"/>
  <c r="V569"/>
  <c r="V505"/>
  <c r="V441"/>
  <c r="V891"/>
  <c r="V827"/>
  <c r="V763"/>
  <c r="V699"/>
  <c r="V635"/>
  <c r="V571"/>
  <c r="V507"/>
  <c r="V443"/>
  <c r="V836"/>
  <c r="V666"/>
  <c r="V493"/>
  <c r="V837"/>
  <c r="V668"/>
  <c r="V498"/>
  <c r="V842"/>
  <c r="V669"/>
  <c r="V500"/>
  <c r="V844"/>
  <c r="V674"/>
  <c r="V501"/>
  <c r="V845"/>
  <c r="V676"/>
  <c r="V506"/>
  <c r="V850"/>
  <c r="V677"/>
  <c r="V508"/>
  <c r="V852"/>
  <c r="V682"/>
  <c r="V509"/>
  <c r="V853"/>
  <c r="V684"/>
  <c r="V514"/>
  <c r="V961"/>
  <c r="V994"/>
  <c r="V930"/>
  <c r="V963"/>
  <c r="V989"/>
  <c r="V925"/>
  <c r="V959"/>
  <c r="V1000"/>
  <c r="V936"/>
  <c r="V894"/>
  <c r="V830"/>
  <c r="V766"/>
  <c r="V702"/>
  <c r="V638"/>
  <c r="V574"/>
  <c r="V510"/>
  <c r="V446"/>
  <c r="V895"/>
  <c r="V831"/>
  <c r="V767"/>
  <c r="V703"/>
  <c r="V639"/>
  <c r="V575"/>
  <c r="V511"/>
  <c r="V447"/>
  <c r="V896"/>
  <c r="V832"/>
  <c r="V768"/>
  <c r="V704"/>
  <c r="V640"/>
  <c r="V576"/>
  <c r="V512"/>
  <c r="V448"/>
  <c r="V897"/>
  <c r="V833"/>
  <c r="V769"/>
  <c r="V705"/>
  <c r="V641"/>
  <c r="V577"/>
  <c r="V513"/>
  <c r="V449"/>
  <c r="V899"/>
  <c r="V835"/>
  <c r="V771"/>
  <c r="V707"/>
  <c r="V643"/>
  <c r="V579"/>
  <c r="V515"/>
  <c r="V451"/>
  <c r="V858"/>
  <c r="V685"/>
  <c r="V516"/>
  <c r="V860"/>
  <c r="V690"/>
  <c r="V517"/>
  <c r="V861"/>
  <c r="V692"/>
  <c r="V522"/>
  <c r="V866"/>
  <c r="V693"/>
  <c r="V524"/>
  <c r="V868"/>
  <c r="V698"/>
  <c r="V525"/>
  <c r="V869"/>
  <c r="V700"/>
  <c r="V530"/>
  <c r="V874"/>
  <c r="V701"/>
  <c r="V532"/>
  <c r="V876"/>
  <c r="V706"/>
  <c r="V533"/>
  <c r="V969"/>
  <c r="V1002"/>
  <c r="V938"/>
  <c r="V971"/>
  <c r="V997"/>
  <c r="V933"/>
  <c r="V967"/>
  <c r="V903"/>
  <c r="V944"/>
  <c r="V902"/>
  <c r="V838"/>
  <c r="V774"/>
  <c r="V710"/>
  <c r="V646"/>
  <c r="V582"/>
  <c r="V518"/>
  <c r="V454"/>
  <c r="V904"/>
  <c r="V839"/>
  <c r="V775"/>
  <c r="V711"/>
  <c r="V647"/>
  <c r="V583"/>
  <c r="V519"/>
  <c r="V455"/>
  <c r="V905"/>
  <c r="V840"/>
  <c r="V776"/>
  <c r="V712"/>
  <c r="V648"/>
  <c r="V584"/>
  <c r="V520"/>
  <c r="V456"/>
  <c r="V906"/>
  <c r="V841"/>
  <c r="V777"/>
  <c r="V713"/>
  <c r="V649"/>
  <c r="V585"/>
  <c r="V521"/>
  <c r="V457"/>
  <c r="V908"/>
  <c r="V843"/>
  <c r="V779"/>
  <c r="V715"/>
  <c r="V651"/>
  <c r="V587"/>
  <c r="V523"/>
  <c r="V459"/>
  <c r="V877"/>
  <c r="V708"/>
  <c r="V538"/>
  <c r="V882"/>
  <c r="V709"/>
  <c r="V540"/>
  <c r="V884"/>
  <c r="V714"/>
  <c r="V541"/>
  <c r="V885"/>
  <c r="V716"/>
  <c r="V546"/>
  <c r="V890"/>
  <c r="V717"/>
  <c r="V548"/>
  <c r="V892"/>
  <c r="V722"/>
  <c r="V549"/>
  <c r="V893"/>
  <c r="V724"/>
  <c r="V554"/>
  <c r="V898"/>
  <c r="V725"/>
  <c r="V556"/>
  <c r="V977"/>
  <c r="V913"/>
  <c r="V946"/>
  <c r="V979"/>
  <c r="V915"/>
  <c r="V941"/>
  <c r="V975"/>
  <c r="V911"/>
  <c r="V952"/>
  <c r="V918"/>
  <c r="V846"/>
  <c r="V782"/>
  <c r="V718"/>
  <c r="V654"/>
  <c r="V590"/>
  <c r="V526"/>
  <c r="V462"/>
  <c r="V924"/>
  <c r="V847"/>
  <c r="V783"/>
  <c r="V719"/>
  <c r="V655"/>
  <c r="V591"/>
  <c r="V527"/>
  <c r="V463"/>
  <c r="V926"/>
  <c r="V848"/>
  <c r="V784"/>
  <c r="V720"/>
  <c r="V656"/>
  <c r="V592"/>
  <c r="V528"/>
  <c r="V464"/>
  <c r="V932"/>
  <c r="V849"/>
  <c r="V785"/>
  <c r="V721"/>
  <c r="V657"/>
  <c r="V593"/>
  <c r="V529"/>
  <c r="V465"/>
  <c r="V940"/>
  <c r="V851"/>
  <c r="V787"/>
  <c r="V723"/>
  <c r="V659"/>
  <c r="V595"/>
  <c r="V531"/>
  <c r="V467"/>
  <c r="V900"/>
  <c r="V730"/>
  <c r="V557"/>
  <c r="V901"/>
  <c r="V732"/>
  <c r="V562"/>
  <c r="V907"/>
  <c r="V733"/>
  <c r="V564"/>
  <c r="V910"/>
  <c r="V738"/>
  <c r="V565"/>
  <c r="V916"/>
  <c r="V740"/>
  <c r="V570"/>
  <c r="V934"/>
  <c r="V741"/>
  <c r="V572"/>
  <c r="V942"/>
  <c r="V746"/>
  <c r="V573"/>
  <c r="V948"/>
  <c r="V748"/>
  <c r="V578"/>
  <c r="V985"/>
  <c r="V921"/>
  <c r="V954"/>
  <c r="V987"/>
  <c r="V923"/>
  <c r="V949"/>
  <c r="V983"/>
  <c r="V919"/>
  <c r="V960"/>
  <c r="V950"/>
  <c r="V854"/>
  <c r="V790"/>
  <c r="V726"/>
  <c r="V662"/>
  <c r="V598"/>
  <c r="V534"/>
  <c r="V470"/>
  <c r="V956"/>
  <c r="V855"/>
  <c r="V791"/>
  <c r="V727"/>
  <c r="V663"/>
  <c r="V599"/>
  <c r="V535"/>
  <c r="V471"/>
  <c r="V958"/>
  <c r="V856"/>
  <c r="V792"/>
  <c r="V728"/>
  <c r="V664"/>
  <c r="V600"/>
  <c r="V536"/>
  <c r="V472"/>
  <c r="V964"/>
  <c r="V857"/>
  <c r="V793"/>
  <c r="V729"/>
  <c r="V665"/>
  <c r="V601"/>
  <c r="V537"/>
  <c r="V473"/>
  <c r="V972"/>
  <c r="V859"/>
  <c r="V795"/>
  <c r="V731"/>
  <c r="V667"/>
  <c r="V603"/>
  <c r="V539"/>
  <c r="V475"/>
  <c r="V966"/>
  <c r="V749"/>
  <c r="V580"/>
  <c r="V974"/>
  <c r="V754"/>
  <c r="V581"/>
  <c r="V980"/>
  <c r="V756"/>
  <c r="V586"/>
  <c r="V998"/>
  <c r="V757"/>
  <c r="V588"/>
  <c r="V418"/>
  <c r="V762"/>
  <c r="V589"/>
  <c r="V420"/>
  <c r="V764"/>
  <c r="V594"/>
  <c r="V421"/>
  <c r="V765"/>
  <c r="V596"/>
  <c r="V426"/>
  <c r="V770"/>
  <c r="V597"/>
  <c r="V428"/>
  <c r="V993"/>
  <c r="V929"/>
  <c r="V962"/>
  <c r="V995"/>
  <c r="V931"/>
  <c r="V957"/>
  <c r="V991"/>
  <c r="V927"/>
  <c r="V968"/>
  <c r="V982"/>
  <c r="V862"/>
  <c r="V798"/>
  <c r="V734"/>
  <c r="V670"/>
  <c r="V606"/>
  <c r="V542"/>
  <c r="V478"/>
  <c r="V988"/>
  <c r="V863"/>
  <c r="V799"/>
  <c r="V735"/>
  <c r="V671"/>
  <c r="V607"/>
  <c r="V543"/>
  <c r="V479"/>
  <c r="V990"/>
  <c r="V864"/>
  <c r="V800"/>
  <c r="V736"/>
  <c r="V672"/>
  <c r="V608"/>
  <c r="V544"/>
  <c r="V480"/>
  <c r="V996"/>
  <c r="V865"/>
  <c r="V801"/>
  <c r="V737"/>
  <c r="V673"/>
  <c r="V609"/>
  <c r="V545"/>
  <c r="V481"/>
  <c r="V1004"/>
  <c r="V867"/>
  <c r="V803"/>
  <c r="V739"/>
  <c r="V675"/>
  <c r="V611"/>
  <c r="V547"/>
  <c r="V483"/>
  <c r="V419"/>
  <c r="V772"/>
  <c r="V602"/>
  <c r="V429"/>
  <c r="V773"/>
  <c r="V604"/>
  <c r="V434"/>
  <c r="V778"/>
  <c r="V605"/>
  <c r="V436"/>
  <c r="V780"/>
  <c r="V610"/>
  <c r="V437"/>
  <c r="V781"/>
  <c r="V612"/>
  <c r="V442"/>
  <c r="V786"/>
  <c r="V613"/>
  <c r="V444"/>
  <c r="V788"/>
  <c r="V618"/>
  <c r="V445"/>
  <c r="V789"/>
  <c r="V620"/>
  <c r="V450"/>
  <c r="V1001"/>
  <c r="V937"/>
  <c r="V970"/>
  <c r="V1003"/>
  <c r="V939"/>
  <c r="V965"/>
  <c r="V999"/>
  <c r="V935"/>
  <c r="V976"/>
  <c r="V912"/>
  <c r="V870"/>
  <c r="V806"/>
  <c r="V742"/>
  <c r="V678"/>
  <c r="V614"/>
  <c r="V550"/>
  <c r="V486"/>
  <c r="V422"/>
  <c r="V871"/>
  <c r="V807"/>
  <c r="V743"/>
  <c r="V679"/>
  <c r="V615"/>
  <c r="V551"/>
  <c r="V487"/>
  <c r="V423"/>
  <c r="V872"/>
  <c r="V808"/>
  <c r="V744"/>
  <c r="V680"/>
  <c r="V616"/>
  <c r="V552"/>
  <c r="V488"/>
  <c r="V424"/>
  <c r="V873"/>
  <c r="V809"/>
  <c r="V745"/>
  <c r="V681"/>
  <c r="V617"/>
  <c r="V553"/>
  <c r="V489"/>
  <c r="V425"/>
  <c r="V875"/>
  <c r="V811"/>
  <c r="V747"/>
  <c r="V683"/>
  <c r="V619"/>
  <c r="V555"/>
  <c r="V491"/>
  <c r="V427"/>
  <c r="V794"/>
  <c r="V621"/>
  <c r="V452"/>
  <c r="V796"/>
  <c r="V626"/>
  <c r="V453"/>
  <c r="V797"/>
  <c r="V628"/>
  <c r="V458"/>
  <c r="V802"/>
  <c r="V629"/>
  <c r="V460"/>
  <c r="V804"/>
  <c r="V634"/>
  <c r="V461"/>
  <c r="V805"/>
  <c r="V636"/>
  <c r="V466"/>
  <c r="V810"/>
  <c r="V637"/>
  <c r="V468"/>
  <c r="V812"/>
  <c r="V642"/>
  <c r="V469"/>
  <c r="V945"/>
  <c r="V978"/>
  <c r="V914"/>
  <c r="V947"/>
  <c r="V973"/>
  <c r="V909"/>
  <c r="V943"/>
  <c r="V984"/>
  <c r="V920"/>
  <c r="V878"/>
  <c r="V814"/>
  <c r="V750"/>
  <c r="V686"/>
  <c r="V622"/>
  <c r="V558"/>
  <c r="V494"/>
  <c r="V430"/>
  <c r="V879"/>
  <c r="V815"/>
  <c r="V751"/>
  <c r="V687"/>
  <c r="V623"/>
  <c r="V559"/>
  <c r="V495"/>
  <c r="V431"/>
  <c r="V880"/>
  <c r="V816"/>
  <c r="V752"/>
  <c r="V688"/>
  <c r="V624"/>
  <c r="V560"/>
  <c r="V496"/>
  <c r="V432"/>
  <c r="V881"/>
  <c r="V817"/>
  <c r="V753"/>
  <c r="V689"/>
  <c r="V625"/>
  <c r="V561"/>
  <c r="V497"/>
  <c r="V433"/>
  <c r="V883"/>
  <c r="V819"/>
  <c r="V755"/>
  <c r="V691"/>
  <c r="V627"/>
  <c r="V563"/>
  <c r="V499"/>
  <c r="V435"/>
  <c r="V813"/>
  <c r="V644"/>
  <c r="V474"/>
  <c r="V818"/>
  <c r="V645"/>
  <c r="V476"/>
  <c r="V820"/>
  <c r="V650"/>
  <c r="V477"/>
  <c r="V821"/>
  <c r="V652"/>
  <c r="V482"/>
  <c r="V826"/>
  <c r="V653"/>
  <c r="V484"/>
  <c r="V828"/>
  <c r="V658"/>
  <c r="V485"/>
  <c r="V829"/>
  <c r="V660"/>
  <c r="V490"/>
  <c r="V834"/>
  <c r="V661"/>
  <c r="V492"/>
  <c r="N944"/>
  <c r="N880"/>
  <c r="N816"/>
  <c r="N752"/>
  <c r="N688"/>
  <c r="N624"/>
  <c r="N560"/>
  <c r="N496"/>
  <c r="N432"/>
  <c r="N955"/>
  <c r="N891"/>
  <c r="N827"/>
  <c r="N763"/>
  <c r="N699"/>
  <c r="N635"/>
  <c r="N571"/>
  <c r="N507"/>
  <c r="N443"/>
  <c r="N972"/>
  <c r="N908"/>
  <c r="N844"/>
  <c r="N997"/>
  <c r="N933"/>
  <c r="N869"/>
  <c r="N805"/>
  <c r="N741"/>
  <c r="N975"/>
  <c r="N911"/>
  <c r="N847"/>
  <c r="N783"/>
  <c r="N719"/>
  <c r="N655"/>
  <c r="N591"/>
  <c r="N527"/>
  <c r="N463"/>
  <c r="N945"/>
  <c r="N777"/>
  <c r="N660"/>
  <c r="N557"/>
  <c r="N454"/>
  <c r="N882"/>
  <c r="N730"/>
  <c r="N622"/>
  <c r="N521"/>
  <c r="N418"/>
  <c r="N842"/>
  <c r="N701"/>
  <c r="N598"/>
  <c r="N497"/>
  <c r="N974"/>
  <c r="N802"/>
  <c r="N677"/>
  <c r="N574"/>
  <c r="N473"/>
  <c r="N873"/>
  <c r="N617"/>
  <c r="N1002"/>
  <c r="N694"/>
  <c r="N490"/>
  <c r="N758"/>
  <c r="N542"/>
  <c r="N849"/>
  <c r="N602"/>
  <c r="N978"/>
  <c r="N681"/>
  <c r="N476"/>
  <c r="N772"/>
  <c r="N554"/>
  <c r="N898"/>
  <c r="N633"/>
  <c r="N428"/>
  <c r="N721"/>
  <c r="N513"/>
  <c r="N952"/>
  <c r="N888"/>
  <c r="N824"/>
  <c r="N760"/>
  <c r="N696"/>
  <c r="N632"/>
  <c r="N568"/>
  <c r="N504"/>
  <c r="N440"/>
  <c r="N963"/>
  <c r="N899"/>
  <c r="N835"/>
  <c r="N771"/>
  <c r="N707"/>
  <c r="N643"/>
  <c r="N579"/>
  <c r="N515"/>
  <c r="N451"/>
  <c r="N980"/>
  <c r="N916"/>
  <c r="N852"/>
  <c r="N788"/>
  <c r="N941"/>
  <c r="N877"/>
  <c r="N813"/>
  <c r="N749"/>
  <c r="N983"/>
  <c r="N919"/>
  <c r="N855"/>
  <c r="N791"/>
  <c r="N727"/>
  <c r="N663"/>
  <c r="N599"/>
  <c r="N535"/>
  <c r="N471"/>
  <c r="N966"/>
  <c r="N794"/>
  <c r="N673"/>
  <c r="N570"/>
  <c r="N468"/>
  <c r="N905"/>
  <c r="N746"/>
  <c r="N636"/>
  <c r="N533"/>
  <c r="N430"/>
  <c r="N865"/>
  <c r="N716"/>
  <c r="N612"/>
  <c r="N509"/>
  <c r="N994"/>
  <c r="N825"/>
  <c r="N690"/>
  <c r="N588"/>
  <c r="N485"/>
  <c r="N914"/>
  <c r="N642"/>
  <c r="N437"/>
  <c r="N724"/>
  <c r="N516"/>
  <c r="N793"/>
  <c r="N569"/>
  <c r="N890"/>
  <c r="N628"/>
  <c r="N422"/>
  <c r="N706"/>
  <c r="N501"/>
  <c r="N810"/>
  <c r="N580"/>
  <c r="N942"/>
  <c r="N658"/>
  <c r="N453"/>
  <c r="N753"/>
  <c r="N538"/>
  <c r="N960"/>
  <c r="N896"/>
  <c r="N832"/>
  <c r="N768"/>
  <c r="N704"/>
  <c r="N640"/>
  <c r="N576"/>
  <c r="N512"/>
  <c r="N448"/>
  <c r="N971"/>
  <c r="N907"/>
  <c r="N843"/>
  <c r="N779"/>
  <c r="N715"/>
  <c r="N651"/>
  <c r="N587"/>
  <c r="N523"/>
  <c r="N459"/>
  <c r="N988"/>
  <c r="N924"/>
  <c r="N860"/>
  <c r="N796"/>
  <c r="N949"/>
  <c r="N885"/>
  <c r="N821"/>
  <c r="N757"/>
  <c r="N991"/>
  <c r="N927"/>
  <c r="N863"/>
  <c r="N799"/>
  <c r="N735"/>
  <c r="N671"/>
  <c r="N607"/>
  <c r="N543"/>
  <c r="N479"/>
  <c r="N986"/>
  <c r="N817"/>
  <c r="N685"/>
  <c r="N582"/>
  <c r="N481"/>
  <c r="N926"/>
  <c r="N762"/>
  <c r="N649"/>
  <c r="N546"/>
  <c r="N444"/>
  <c r="N886"/>
  <c r="N732"/>
  <c r="N625"/>
  <c r="N522"/>
  <c r="N420"/>
  <c r="N846"/>
  <c r="N702"/>
  <c r="N601"/>
  <c r="N498"/>
  <c r="N958"/>
  <c r="N668"/>
  <c r="N462"/>
  <c r="N756"/>
  <c r="N541"/>
  <c r="N834"/>
  <c r="N594"/>
  <c r="N934"/>
  <c r="N653"/>
  <c r="N449"/>
  <c r="N738"/>
  <c r="N526"/>
  <c r="N854"/>
  <c r="N605"/>
  <c r="N985"/>
  <c r="N684"/>
  <c r="N478"/>
  <c r="N785"/>
  <c r="N564"/>
  <c r="N968"/>
  <c r="N904"/>
  <c r="N840"/>
  <c r="N776"/>
  <c r="N712"/>
  <c r="N648"/>
  <c r="N584"/>
  <c r="N520"/>
  <c r="N456"/>
  <c r="N979"/>
  <c r="N915"/>
  <c r="N851"/>
  <c r="N787"/>
  <c r="N723"/>
  <c r="N659"/>
  <c r="N595"/>
  <c r="N531"/>
  <c r="N467"/>
  <c r="N996"/>
  <c r="N932"/>
  <c r="N868"/>
  <c r="N804"/>
  <c r="N957"/>
  <c r="N893"/>
  <c r="N829"/>
  <c r="N765"/>
  <c r="N999"/>
  <c r="N935"/>
  <c r="N871"/>
  <c r="N807"/>
  <c r="N743"/>
  <c r="N679"/>
  <c r="N615"/>
  <c r="N551"/>
  <c r="N487"/>
  <c r="N423"/>
  <c r="N838"/>
  <c r="N698"/>
  <c r="N596"/>
  <c r="N493"/>
  <c r="N946"/>
  <c r="N778"/>
  <c r="N661"/>
  <c r="N558"/>
  <c r="N457"/>
  <c r="N906"/>
  <c r="N748"/>
  <c r="N637"/>
  <c r="N534"/>
  <c r="N433"/>
  <c r="N866"/>
  <c r="N718"/>
  <c r="N613"/>
  <c r="N510"/>
  <c r="N1001"/>
  <c r="N693"/>
  <c r="N489"/>
  <c r="N790"/>
  <c r="N566"/>
  <c r="N878"/>
  <c r="N620"/>
  <c r="N977"/>
  <c r="N678"/>
  <c r="N474"/>
  <c r="N770"/>
  <c r="N553"/>
  <c r="N897"/>
  <c r="N630"/>
  <c r="N426"/>
  <c r="N710"/>
  <c r="N505"/>
  <c r="N826"/>
  <c r="N589"/>
  <c r="N976"/>
  <c r="N912"/>
  <c r="N848"/>
  <c r="N784"/>
  <c r="N720"/>
  <c r="N656"/>
  <c r="N592"/>
  <c r="N528"/>
  <c r="N464"/>
  <c r="N987"/>
  <c r="N923"/>
  <c r="N859"/>
  <c r="N795"/>
  <c r="N731"/>
  <c r="N667"/>
  <c r="N603"/>
  <c r="N539"/>
  <c r="N475"/>
  <c r="N1004"/>
  <c r="N940"/>
  <c r="N876"/>
  <c r="N812"/>
  <c r="N965"/>
  <c r="N901"/>
  <c r="N837"/>
  <c r="N773"/>
  <c r="N709"/>
  <c r="N943"/>
  <c r="N879"/>
  <c r="N815"/>
  <c r="N751"/>
  <c r="N687"/>
  <c r="N623"/>
  <c r="N559"/>
  <c r="N495"/>
  <c r="N431"/>
  <c r="N858"/>
  <c r="N713"/>
  <c r="N609"/>
  <c r="N506"/>
  <c r="N969"/>
  <c r="N798"/>
  <c r="N674"/>
  <c r="N572"/>
  <c r="N469"/>
  <c r="N929"/>
  <c r="N764"/>
  <c r="N650"/>
  <c r="N548"/>
  <c r="N445"/>
  <c r="N889"/>
  <c r="N734"/>
  <c r="N626"/>
  <c r="N524"/>
  <c r="N421"/>
  <c r="N722"/>
  <c r="N514"/>
  <c r="N833"/>
  <c r="N593"/>
  <c r="N921"/>
  <c r="N645"/>
  <c r="N441"/>
  <c r="N705"/>
  <c r="N500"/>
  <c r="N809"/>
  <c r="N578"/>
  <c r="N938"/>
  <c r="N657"/>
  <c r="N452"/>
  <c r="N742"/>
  <c r="N530"/>
  <c r="N870"/>
  <c r="N614"/>
  <c r="N984"/>
  <c r="N920"/>
  <c r="N856"/>
  <c r="N792"/>
  <c r="N728"/>
  <c r="N664"/>
  <c r="N600"/>
  <c r="N536"/>
  <c r="N472"/>
  <c r="N995"/>
  <c r="N931"/>
  <c r="N867"/>
  <c r="N803"/>
  <c r="N739"/>
  <c r="N675"/>
  <c r="N611"/>
  <c r="N547"/>
  <c r="N483"/>
  <c r="N419"/>
  <c r="N948"/>
  <c r="N884"/>
  <c r="N820"/>
  <c r="N973"/>
  <c r="N909"/>
  <c r="N845"/>
  <c r="N781"/>
  <c r="N717"/>
  <c r="N951"/>
  <c r="N887"/>
  <c r="N823"/>
  <c r="N759"/>
  <c r="N695"/>
  <c r="N631"/>
  <c r="N567"/>
  <c r="N503"/>
  <c r="N439"/>
  <c r="N881"/>
  <c r="N729"/>
  <c r="N621"/>
  <c r="N518"/>
  <c r="N990"/>
  <c r="N818"/>
  <c r="N686"/>
  <c r="N585"/>
  <c r="N482"/>
  <c r="N950"/>
  <c r="N780"/>
  <c r="N662"/>
  <c r="N561"/>
  <c r="N458"/>
  <c r="N910"/>
  <c r="N750"/>
  <c r="N638"/>
  <c r="N537"/>
  <c r="N434"/>
  <c r="N754"/>
  <c r="N540"/>
  <c r="N874"/>
  <c r="N618"/>
  <c r="N962"/>
  <c r="N670"/>
  <c r="N466"/>
  <c r="N737"/>
  <c r="N525"/>
  <c r="N850"/>
  <c r="N604"/>
  <c r="N982"/>
  <c r="N682"/>
  <c r="N477"/>
  <c r="N774"/>
  <c r="N556"/>
  <c r="N913"/>
  <c r="N641"/>
  <c r="N436"/>
  <c r="N992"/>
  <c r="N928"/>
  <c r="N864"/>
  <c r="N800"/>
  <c r="N736"/>
  <c r="N672"/>
  <c r="N608"/>
  <c r="N544"/>
  <c r="N480"/>
  <c r="N1003"/>
  <c r="N939"/>
  <c r="N875"/>
  <c r="N811"/>
  <c r="N747"/>
  <c r="N683"/>
  <c r="N619"/>
  <c r="N555"/>
  <c r="N491"/>
  <c r="N427"/>
  <c r="N956"/>
  <c r="N892"/>
  <c r="N828"/>
  <c r="N981"/>
  <c r="N917"/>
  <c r="N853"/>
  <c r="N789"/>
  <c r="N725"/>
  <c r="N959"/>
  <c r="N895"/>
  <c r="N831"/>
  <c r="N767"/>
  <c r="N703"/>
  <c r="N639"/>
  <c r="N575"/>
  <c r="N511"/>
  <c r="N447"/>
  <c r="N902"/>
  <c r="N745"/>
  <c r="N634"/>
  <c r="N532"/>
  <c r="N429"/>
  <c r="N841"/>
  <c r="N700"/>
  <c r="N597"/>
  <c r="N494"/>
  <c r="N970"/>
  <c r="N801"/>
  <c r="N676"/>
  <c r="N573"/>
  <c r="N470"/>
  <c r="N930"/>
  <c r="N766"/>
  <c r="N652"/>
  <c r="N549"/>
  <c r="N446"/>
  <c r="N786"/>
  <c r="N565"/>
  <c r="N918"/>
  <c r="N644"/>
  <c r="N438"/>
  <c r="N697"/>
  <c r="N492"/>
  <c r="N769"/>
  <c r="N550"/>
  <c r="N894"/>
  <c r="N629"/>
  <c r="N425"/>
  <c r="N708"/>
  <c r="N502"/>
  <c r="N814"/>
  <c r="N581"/>
  <c r="N954"/>
  <c r="N666"/>
  <c r="N461"/>
  <c r="N1000"/>
  <c r="N936"/>
  <c r="N872"/>
  <c r="N808"/>
  <c r="N744"/>
  <c r="N680"/>
  <c r="N616"/>
  <c r="N552"/>
  <c r="N488"/>
  <c r="N424"/>
  <c r="N947"/>
  <c r="N883"/>
  <c r="N819"/>
  <c r="N755"/>
  <c r="N691"/>
  <c r="N627"/>
  <c r="N563"/>
  <c r="N499"/>
  <c r="N435"/>
  <c r="N964"/>
  <c r="N900"/>
  <c r="N836"/>
  <c r="N989"/>
  <c r="N925"/>
  <c r="N861"/>
  <c r="N797"/>
  <c r="N733"/>
  <c r="N967"/>
  <c r="N903"/>
  <c r="N839"/>
  <c r="N775"/>
  <c r="N711"/>
  <c r="N647"/>
  <c r="N583"/>
  <c r="N519"/>
  <c r="N455"/>
  <c r="N922"/>
  <c r="N761"/>
  <c r="N646"/>
  <c r="N545"/>
  <c r="N442"/>
  <c r="N862"/>
  <c r="N714"/>
  <c r="N610"/>
  <c r="N508"/>
  <c r="N993"/>
  <c r="N822"/>
  <c r="N689"/>
  <c r="N586"/>
  <c r="N484"/>
  <c r="N953"/>
  <c r="N782"/>
  <c r="N665"/>
  <c r="N562"/>
  <c r="N460"/>
  <c r="N830"/>
  <c r="N590"/>
  <c r="N961"/>
  <c r="N669"/>
  <c r="N465"/>
  <c r="N726"/>
  <c r="N517"/>
  <c r="N806"/>
  <c r="N577"/>
  <c r="N937"/>
  <c r="N654"/>
  <c r="N450"/>
  <c r="N740"/>
  <c r="N529"/>
  <c r="N857"/>
  <c r="N606"/>
  <c r="N998"/>
  <c r="N692"/>
  <c r="N486"/>
  <c r="Q992"/>
  <c r="Q928"/>
  <c r="Q864"/>
  <c r="Q800"/>
  <c r="Q736"/>
  <c r="Q672"/>
  <c r="Q608"/>
  <c r="Q544"/>
  <c r="Q480"/>
  <c r="Q1003"/>
  <c r="Q939"/>
  <c r="Q875"/>
  <c r="Q811"/>
  <c r="Q747"/>
  <c r="Q683"/>
  <c r="Q619"/>
  <c r="Q555"/>
  <c r="Q491"/>
  <c r="Q427"/>
  <c r="Q956"/>
  <c r="Q892"/>
  <c r="Q828"/>
  <c r="Q764"/>
  <c r="Q700"/>
  <c r="Q636"/>
  <c r="Q572"/>
  <c r="Q508"/>
  <c r="Q444"/>
  <c r="Q965"/>
  <c r="Q901"/>
  <c r="Q837"/>
  <c r="Q773"/>
  <c r="Q709"/>
  <c r="Q645"/>
  <c r="Q581"/>
  <c r="Q517"/>
  <c r="Q453"/>
  <c r="Q975"/>
  <c r="Q911"/>
  <c r="Q847"/>
  <c r="Q783"/>
  <c r="Q719"/>
  <c r="Q655"/>
  <c r="Q591"/>
  <c r="Q527"/>
  <c r="Q463"/>
  <c r="Q945"/>
  <c r="Q774"/>
  <c r="Q602"/>
  <c r="Q433"/>
  <c r="Q841"/>
  <c r="Q670"/>
  <c r="Q498"/>
  <c r="Q906"/>
  <c r="Q737"/>
  <c r="Q566"/>
  <c r="Q974"/>
  <c r="Q802"/>
  <c r="Q633"/>
  <c r="Q462"/>
  <c r="Q890"/>
  <c r="Q721"/>
  <c r="Q550"/>
  <c r="Q978"/>
  <c r="Q809"/>
  <c r="Q638"/>
  <c r="Q466"/>
  <c r="Q897"/>
  <c r="Q726"/>
  <c r="Q554"/>
  <c r="Q814"/>
  <c r="Q514"/>
  <c r="Q750"/>
  <c r="Q622"/>
  <c r="Q1000"/>
  <c r="Q936"/>
  <c r="Q872"/>
  <c r="Q808"/>
  <c r="Q744"/>
  <c r="Q680"/>
  <c r="Q616"/>
  <c r="Q552"/>
  <c r="Q488"/>
  <c r="Q424"/>
  <c r="Q947"/>
  <c r="Q883"/>
  <c r="Q819"/>
  <c r="Q755"/>
  <c r="Q691"/>
  <c r="Q627"/>
  <c r="Q563"/>
  <c r="Q499"/>
  <c r="Q435"/>
  <c r="Q964"/>
  <c r="Q900"/>
  <c r="Q836"/>
  <c r="Q772"/>
  <c r="Q708"/>
  <c r="Q644"/>
  <c r="Q580"/>
  <c r="Q516"/>
  <c r="Q452"/>
  <c r="Q973"/>
  <c r="Q909"/>
  <c r="Q845"/>
  <c r="Q781"/>
  <c r="Q717"/>
  <c r="Q653"/>
  <c r="Q589"/>
  <c r="Q525"/>
  <c r="Q461"/>
  <c r="Q983"/>
  <c r="Q919"/>
  <c r="Q855"/>
  <c r="Q791"/>
  <c r="Q727"/>
  <c r="Q663"/>
  <c r="Q599"/>
  <c r="Q535"/>
  <c r="Q471"/>
  <c r="Q966"/>
  <c r="Q794"/>
  <c r="Q625"/>
  <c r="Q454"/>
  <c r="Q862"/>
  <c r="Q690"/>
  <c r="Q521"/>
  <c r="Q929"/>
  <c r="Q758"/>
  <c r="Q586"/>
  <c r="Q994"/>
  <c r="Q825"/>
  <c r="Q654"/>
  <c r="Q482"/>
  <c r="Q913"/>
  <c r="Q742"/>
  <c r="Q570"/>
  <c r="Q1001"/>
  <c r="Q830"/>
  <c r="Q658"/>
  <c r="Q489"/>
  <c r="Q918"/>
  <c r="Q746"/>
  <c r="Q577"/>
  <c r="Q985"/>
  <c r="Q686"/>
  <c r="Q921"/>
  <c r="Q793"/>
  <c r="Q944"/>
  <c r="Q880"/>
  <c r="Q816"/>
  <c r="Q752"/>
  <c r="Q688"/>
  <c r="Q624"/>
  <c r="Q560"/>
  <c r="Q496"/>
  <c r="Q432"/>
  <c r="Q955"/>
  <c r="Q891"/>
  <c r="Q827"/>
  <c r="Q763"/>
  <c r="Q699"/>
  <c r="Q635"/>
  <c r="Q571"/>
  <c r="Q507"/>
  <c r="Q443"/>
  <c r="Q972"/>
  <c r="Q908"/>
  <c r="Q844"/>
  <c r="Q780"/>
  <c r="Q716"/>
  <c r="Q652"/>
  <c r="Q588"/>
  <c r="Q524"/>
  <c r="Q460"/>
  <c r="Q981"/>
  <c r="Q917"/>
  <c r="Q853"/>
  <c r="Q789"/>
  <c r="Q725"/>
  <c r="Q661"/>
  <c r="Q597"/>
  <c r="Q533"/>
  <c r="Q469"/>
  <c r="Q991"/>
  <c r="Q927"/>
  <c r="Q863"/>
  <c r="Q799"/>
  <c r="Q735"/>
  <c r="Q671"/>
  <c r="Q607"/>
  <c r="Q543"/>
  <c r="Q479"/>
  <c r="Q986"/>
  <c r="Q817"/>
  <c r="Q646"/>
  <c r="Q474"/>
  <c r="Q882"/>
  <c r="Q713"/>
  <c r="Q542"/>
  <c r="Q950"/>
  <c r="Q778"/>
  <c r="Q609"/>
  <c r="Q438"/>
  <c r="Q846"/>
  <c r="Q674"/>
  <c r="Q505"/>
  <c r="Q934"/>
  <c r="Q762"/>
  <c r="Q593"/>
  <c r="Q422"/>
  <c r="Q850"/>
  <c r="Q681"/>
  <c r="Q510"/>
  <c r="Q938"/>
  <c r="Q769"/>
  <c r="Q598"/>
  <c r="Q426"/>
  <c r="Q857"/>
  <c r="Q558"/>
  <c r="Q962"/>
  <c r="Q952"/>
  <c r="Q888"/>
  <c r="Q824"/>
  <c r="Q760"/>
  <c r="Q696"/>
  <c r="Q632"/>
  <c r="Q568"/>
  <c r="Q504"/>
  <c r="Q440"/>
  <c r="Q963"/>
  <c r="Q899"/>
  <c r="Q835"/>
  <c r="Q771"/>
  <c r="Q707"/>
  <c r="Q643"/>
  <c r="Q579"/>
  <c r="Q515"/>
  <c r="Q451"/>
  <c r="Q980"/>
  <c r="Q916"/>
  <c r="Q852"/>
  <c r="Q788"/>
  <c r="Q724"/>
  <c r="Q660"/>
  <c r="Q596"/>
  <c r="Q532"/>
  <c r="Q468"/>
  <c r="Q989"/>
  <c r="Q925"/>
  <c r="Q861"/>
  <c r="Q797"/>
  <c r="Q733"/>
  <c r="Q669"/>
  <c r="Q605"/>
  <c r="Q541"/>
  <c r="Q477"/>
  <c r="Q999"/>
  <c r="Q935"/>
  <c r="Q871"/>
  <c r="Q807"/>
  <c r="Q743"/>
  <c r="Q679"/>
  <c r="Q615"/>
  <c r="Q551"/>
  <c r="Q487"/>
  <c r="Q423"/>
  <c r="Q838"/>
  <c r="Q666"/>
  <c r="Q497"/>
  <c r="Q905"/>
  <c r="Q734"/>
  <c r="Q562"/>
  <c r="Q970"/>
  <c r="Q801"/>
  <c r="Q630"/>
  <c r="Q458"/>
  <c r="Q866"/>
  <c r="Q697"/>
  <c r="Q526"/>
  <c r="Q954"/>
  <c r="Q785"/>
  <c r="Q614"/>
  <c r="Q442"/>
  <c r="Q873"/>
  <c r="Q702"/>
  <c r="Q530"/>
  <c r="Q961"/>
  <c r="Q790"/>
  <c r="Q618"/>
  <c r="Q449"/>
  <c r="Q494"/>
  <c r="Q729"/>
  <c r="Q430"/>
  <c r="Q960"/>
  <c r="Q896"/>
  <c r="Q832"/>
  <c r="Q768"/>
  <c r="Q704"/>
  <c r="Q640"/>
  <c r="Q576"/>
  <c r="Q512"/>
  <c r="Q448"/>
  <c r="Q971"/>
  <c r="Q907"/>
  <c r="Q843"/>
  <c r="Q779"/>
  <c r="Q715"/>
  <c r="Q651"/>
  <c r="Q587"/>
  <c r="Q523"/>
  <c r="Q459"/>
  <c r="Q988"/>
  <c r="Q924"/>
  <c r="Q860"/>
  <c r="Q796"/>
  <c r="Q732"/>
  <c r="Q668"/>
  <c r="Q604"/>
  <c r="Q540"/>
  <c r="Q476"/>
  <c r="Q997"/>
  <c r="Q933"/>
  <c r="Q869"/>
  <c r="Q805"/>
  <c r="Q741"/>
  <c r="Q677"/>
  <c r="Q613"/>
  <c r="Q549"/>
  <c r="Q485"/>
  <c r="Q421"/>
  <c r="Q943"/>
  <c r="Q879"/>
  <c r="Q815"/>
  <c r="Q751"/>
  <c r="Q687"/>
  <c r="Q623"/>
  <c r="Q559"/>
  <c r="Q495"/>
  <c r="Q431"/>
  <c r="Q858"/>
  <c r="Q689"/>
  <c r="Q518"/>
  <c r="Q926"/>
  <c r="Q754"/>
  <c r="Q585"/>
  <c r="Q993"/>
  <c r="Q822"/>
  <c r="Q650"/>
  <c r="Q481"/>
  <c r="Q889"/>
  <c r="Q718"/>
  <c r="Q546"/>
  <c r="Q977"/>
  <c r="Q806"/>
  <c r="Q634"/>
  <c r="Q465"/>
  <c r="Q894"/>
  <c r="Q722"/>
  <c r="Q553"/>
  <c r="Q982"/>
  <c r="Q810"/>
  <c r="Q641"/>
  <c r="Q470"/>
  <c r="Q665"/>
  <c r="Q898"/>
  <c r="Q601"/>
  <c r="Q968"/>
  <c r="Q904"/>
  <c r="Q840"/>
  <c r="Q776"/>
  <c r="Q712"/>
  <c r="Q648"/>
  <c r="Q584"/>
  <c r="Q520"/>
  <c r="Q456"/>
  <c r="Q979"/>
  <c r="Q915"/>
  <c r="Q851"/>
  <c r="Q787"/>
  <c r="Q723"/>
  <c r="Q659"/>
  <c r="Q595"/>
  <c r="Q531"/>
  <c r="Q467"/>
  <c r="Q996"/>
  <c r="Q932"/>
  <c r="Q868"/>
  <c r="Q804"/>
  <c r="Q740"/>
  <c r="Q676"/>
  <c r="Q612"/>
  <c r="Q548"/>
  <c r="Q484"/>
  <c r="Q420"/>
  <c r="Q941"/>
  <c r="Q877"/>
  <c r="Q813"/>
  <c r="Q749"/>
  <c r="Q685"/>
  <c r="Q621"/>
  <c r="Q557"/>
  <c r="Q493"/>
  <c r="Q429"/>
  <c r="Q951"/>
  <c r="Q887"/>
  <c r="Q823"/>
  <c r="Q759"/>
  <c r="Q695"/>
  <c r="Q631"/>
  <c r="Q567"/>
  <c r="Q503"/>
  <c r="Q439"/>
  <c r="Q881"/>
  <c r="Q710"/>
  <c r="Q538"/>
  <c r="Q946"/>
  <c r="Q777"/>
  <c r="Q606"/>
  <c r="Q434"/>
  <c r="Q842"/>
  <c r="Q673"/>
  <c r="Q502"/>
  <c r="Q910"/>
  <c r="Q738"/>
  <c r="Q569"/>
  <c r="Q998"/>
  <c r="Q826"/>
  <c r="Q657"/>
  <c r="Q486"/>
  <c r="Q914"/>
  <c r="Q745"/>
  <c r="Q574"/>
  <c r="Q1002"/>
  <c r="Q833"/>
  <c r="Q662"/>
  <c r="Q490"/>
  <c r="Q834"/>
  <c r="Q537"/>
  <c r="Q770"/>
  <c r="Q976"/>
  <c r="Q912"/>
  <c r="Q848"/>
  <c r="Q784"/>
  <c r="Q720"/>
  <c r="Q656"/>
  <c r="Q592"/>
  <c r="Q528"/>
  <c r="Q464"/>
  <c r="Q987"/>
  <c r="Q923"/>
  <c r="Q859"/>
  <c r="Q795"/>
  <c r="Q731"/>
  <c r="Q667"/>
  <c r="Q603"/>
  <c r="Q539"/>
  <c r="Q475"/>
  <c r="Q1004"/>
  <c r="Q940"/>
  <c r="Q876"/>
  <c r="Q812"/>
  <c r="Q748"/>
  <c r="Q684"/>
  <c r="Q620"/>
  <c r="Q556"/>
  <c r="Q492"/>
  <c r="Q428"/>
  <c r="Q949"/>
  <c r="Q885"/>
  <c r="Q821"/>
  <c r="Q757"/>
  <c r="Q693"/>
  <c r="Q629"/>
  <c r="Q565"/>
  <c r="Q501"/>
  <c r="Q437"/>
  <c r="Q959"/>
  <c r="Q895"/>
  <c r="Q831"/>
  <c r="Q767"/>
  <c r="Q703"/>
  <c r="Q639"/>
  <c r="Q575"/>
  <c r="Q511"/>
  <c r="Q447"/>
  <c r="Q902"/>
  <c r="Q730"/>
  <c r="Q561"/>
  <c r="Q969"/>
  <c r="Q798"/>
  <c r="Q626"/>
  <c r="Q457"/>
  <c r="Q865"/>
  <c r="Q694"/>
  <c r="Q522"/>
  <c r="Q930"/>
  <c r="Q761"/>
  <c r="Q590"/>
  <c r="Q418"/>
  <c r="Q849"/>
  <c r="Q678"/>
  <c r="Q506"/>
  <c r="Q937"/>
  <c r="Q766"/>
  <c r="Q594"/>
  <c r="Q425"/>
  <c r="Q854"/>
  <c r="Q682"/>
  <c r="Q513"/>
  <c r="Q473"/>
  <c r="Q706"/>
  <c r="Q942"/>
  <c r="Q984"/>
  <c r="Q920"/>
  <c r="Q856"/>
  <c r="Q792"/>
  <c r="Q728"/>
  <c r="Q664"/>
  <c r="Q600"/>
  <c r="Q536"/>
  <c r="Q472"/>
  <c r="Q995"/>
  <c r="Q931"/>
  <c r="Q867"/>
  <c r="Q803"/>
  <c r="Q739"/>
  <c r="Q675"/>
  <c r="Q611"/>
  <c r="Q547"/>
  <c r="Q483"/>
  <c r="Q419"/>
  <c r="Q948"/>
  <c r="Q884"/>
  <c r="Q820"/>
  <c r="Q756"/>
  <c r="Q692"/>
  <c r="Q628"/>
  <c r="Q564"/>
  <c r="Q500"/>
  <c r="Q436"/>
  <c r="Q957"/>
  <c r="Q893"/>
  <c r="Q829"/>
  <c r="Q765"/>
  <c r="Q701"/>
  <c r="Q637"/>
  <c r="Q573"/>
  <c r="Q509"/>
  <c r="Q445"/>
  <c r="Q967"/>
  <c r="Q903"/>
  <c r="Q839"/>
  <c r="Q775"/>
  <c r="Q711"/>
  <c r="Q647"/>
  <c r="Q583"/>
  <c r="Q519"/>
  <c r="Q455"/>
  <c r="Q922"/>
  <c r="Q753"/>
  <c r="Q582"/>
  <c r="Q990"/>
  <c r="Q818"/>
  <c r="Q649"/>
  <c r="Q478"/>
  <c r="Q886"/>
  <c r="Q714"/>
  <c r="Q545"/>
  <c r="Q953"/>
  <c r="Q782"/>
  <c r="Q610"/>
  <c r="Q441"/>
  <c r="Q870"/>
  <c r="Q698"/>
  <c r="Q529"/>
  <c r="Q958"/>
  <c r="Q786"/>
  <c r="Q617"/>
  <c r="Q446"/>
  <c r="Q874"/>
  <c r="Q705"/>
  <c r="Q534"/>
  <c r="Q642"/>
  <c r="Q878"/>
  <c r="Q578"/>
  <c r="Q450"/>
  <c r="X969"/>
  <c r="X905"/>
  <c r="X841"/>
  <c r="X777"/>
  <c r="X713"/>
  <c r="X649"/>
  <c r="X585"/>
  <c r="X521"/>
  <c r="X457"/>
  <c r="X978"/>
  <c r="X914"/>
  <c r="X850"/>
  <c r="X786"/>
  <c r="X722"/>
  <c r="X658"/>
  <c r="X594"/>
  <c r="X530"/>
  <c r="X466"/>
  <c r="X995"/>
  <c r="X931"/>
  <c r="X867"/>
  <c r="X803"/>
  <c r="X739"/>
  <c r="X675"/>
  <c r="X611"/>
  <c r="X547"/>
  <c r="X483"/>
  <c r="X419"/>
  <c r="X948"/>
  <c r="X884"/>
  <c r="X820"/>
  <c r="X756"/>
  <c r="X692"/>
  <c r="X628"/>
  <c r="X564"/>
  <c r="X500"/>
  <c r="X436"/>
  <c r="X957"/>
  <c r="X893"/>
  <c r="X829"/>
  <c r="X765"/>
  <c r="X701"/>
  <c r="X637"/>
  <c r="X573"/>
  <c r="X509"/>
  <c r="X445"/>
  <c r="X967"/>
  <c r="X903"/>
  <c r="X839"/>
  <c r="X775"/>
  <c r="X711"/>
  <c r="X647"/>
  <c r="X583"/>
  <c r="X519"/>
  <c r="X455"/>
  <c r="X976"/>
  <c r="X912"/>
  <c r="X848"/>
  <c r="X784"/>
  <c r="X720"/>
  <c r="X656"/>
  <c r="X592"/>
  <c r="X528"/>
  <c r="X464"/>
  <c r="X846"/>
  <c r="X918"/>
  <c r="X990"/>
  <c r="X478"/>
  <c r="X550"/>
  <c r="X630"/>
  <c r="X702"/>
  <c r="X774"/>
  <c r="X494"/>
  <c r="X977"/>
  <c r="X913"/>
  <c r="X849"/>
  <c r="X785"/>
  <c r="X721"/>
  <c r="X657"/>
  <c r="X593"/>
  <c r="X529"/>
  <c r="X465"/>
  <c r="X986"/>
  <c r="X922"/>
  <c r="X858"/>
  <c r="X794"/>
  <c r="X730"/>
  <c r="X666"/>
  <c r="X602"/>
  <c r="X538"/>
  <c r="X474"/>
  <c r="X1003"/>
  <c r="X939"/>
  <c r="X875"/>
  <c r="X811"/>
  <c r="X747"/>
  <c r="X683"/>
  <c r="X619"/>
  <c r="X555"/>
  <c r="X491"/>
  <c r="X427"/>
  <c r="X956"/>
  <c r="X892"/>
  <c r="X828"/>
  <c r="X764"/>
  <c r="X700"/>
  <c r="X636"/>
  <c r="X572"/>
  <c r="X508"/>
  <c r="X444"/>
  <c r="X965"/>
  <c r="X901"/>
  <c r="X837"/>
  <c r="X773"/>
  <c r="X709"/>
  <c r="X645"/>
  <c r="X581"/>
  <c r="X517"/>
  <c r="X453"/>
  <c r="X975"/>
  <c r="X911"/>
  <c r="X847"/>
  <c r="X783"/>
  <c r="X719"/>
  <c r="X655"/>
  <c r="X591"/>
  <c r="X527"/>
  <c r="X463"/>
  <c r="X984"/>
  <c r="X920"/>
  <c r="X856"/>
  <c r="X792"/>
  <c r="X728"/>
  <c r="X664"/>
  <c r="X600"/>
  <c r="X536"/>
  <c r="X472"/>
  <c r="X910"/>
  <c r="X982"/>
  <c r="X470"/>
  <c r="X542"/>
  <c r="X614"/>
  <c r="X694"/>
  <c r="X766"/>
  <c r="X838"/>
  <c r="X430"/>
  <c r="X985"/>
  <c r="X921"/>
  <c r="X857"/>
  <c r="X793"/>
  <c r="X729"/>
  <c r="X665"/>
  <c r="X601"/>
  <c r="X537"/>
  <c r="X473"/>
  <c r="X994"/>
  <c r="X930"/>
  <c r="X866"/>
  <c r="X802"/>
  <c r="X738"/>
  <c r="X674"/>
  <c r="X610"/>
  <c r="X546"/>
  <c r="X482"/>
  <c r="X418"/>
  <c r="X947"/>
  <c r="X883"/>
  <c r="X819"/>
  <c r="X755"/>
  <c r="X691"/>
  <c r="X627"/>
  <c r="X563"/>
  <c r="X499"/>
  <c r="X435"/>
  <c r="X964"/>
  <c r="X900"/>
  <c r="X836"/>
  <c r="X772"/>
  <c r="X708"/>
  <c r="X644"/>
  <c r="X580"/>
  <c r="X516"/>
  <c r="X452"/>
  <c r="X973"/>
  <c r="X909"/>
  <c r="X845"/>
  <c r="X781"/>
  <c r="X717"/>
  <c r="X653"/>
  <c r="X589"/>
  <c r="X525"/>
  <c r="X461"/>
  <c r="X983"/>
  <c r="X919"/>
  <c r="X855"/>
  <c r="X791"/>
  <c r="X727"/>
  <c r="X663"/>
  <c r="X599"/>
  <c r="X535"/>
  <c r="X471"/>
  <c r="X992"/>
  <c r="X928"/>
  <c r="X864"/>
  <c r="X800"/>
  <c r="X736"/>
  <c r="X672"/>
  <c r="X608"/>
  <c r="X544"/>
  <c r="X480"/>
  <c r="X974"/>
  <c r="X462"/>
  <c r="X534"/>
  <c r="X606"/>
  <c r="X678"/>
  <c r="X758"/>
  <c r="X830"/>
  <c r="X902"/>
  <c r="X942"/>
  <c r="X878"/>
  <c r="X993"/>
  <c r="X929"/>
  <c r="X865"/>
  <c r="X801"/>
  <c r="X737"/>
  <c r="X673"/>
  <c r="X609"/>
  <c r="X545"/>
  <c r="X481"/>
  <c r="X1002"/>
  <c r="X938"/>
  <c r="X874"/>
  <c r="X810"/>
  <c r="X746"/>
  <c r="X682"/>
  <c r="X618"/>
  <c r="X554"/>
  <c r="X490"/>
  <c r="X426"/>
  <c r="X955"/>
  <c r="X891"/>
  <c r="X827"/>
  <c r="X763"/>
  <c r="X699"/>
  <c r="X635"/>
  <c r="X571"/>
  <c r="X507"/>
  <c r="X443"/>
  <c r="X972"/>
  <c r="X908"/>
  <c r="X844"/>
  <c r="X780"/>
  <c r="X716"/>
  <c r="X652"/>
  <c r="X588"/>
  <c r="X524"/>
  <c r="X460"/>
  <c r="X981"/>
  <c r="X917"/>
  <c r="X853"/>
  <c r="X789"/>
  <c r="X725"/>
  <c r="X661"/>
  <c r="X597"/>
  <c r="X533"/>
  <c r="X469"/>
  <c r="X991"/>
  <c r="X927"/>
  <c r="X863"/>
  <c r="X799"/>
  <c r="X735"/>
  <c r="X671"/>
  <c r="X607"/>
  <c r="X543"/>
  <c r="X479"/>
  <c r="X1000"/>
  <c r="X936"/>
  <c r="X872"/>
  <c r="X808"/>
  <c r="X744"/>
  <c r="X680"/>
  <c r="X616"/>
  <c r="X552"/>
  <c r="X488"/>
  <c r="X424"/>
  <c r="X526"/>
  <c r="X598"/>
  <c r="X670"/>
  <c r="X742"/>
  <c r="X822"/>
  <c r="X894"/>
  <c r="X966"/>
  <c r="X454"/>
  <c r="X814"/>
  <c r="X1001"/>
  <c r="X937"/>
  <c r="X873"/>
  <c r="X809"/>
  <c r="X745"/>
  <c r="X681"/>
  <c r="X617"/>
  <c r="X553"/>
  <c r="X489"/>
  <c r="X425"/>
  <c r="X946"/>
  <c r="X882"/>
  <c r="X818"/>
  <c r="X754"/>
  <c r="X690"/>
  <c r="X626"/>
  <c r="X562"/>
  <c r="X498"/>
  <c r="X434"/>
  <c r="X963"/>
  <c r="X899"/>
  <c r="X835"/>
  <c r="X771"/>
  <c r="X707"/>
  <c r="X643"/>
  <c r="X579"/>
  <c r="X515"/>
  <c r="X451"/>
  <c r="X980"/>
  <c r="X916"/>
  <c r="X852"/>
  <c r="X788"/>
  <c r="X724"/>
  <c r="X660"/>
  <c r="X596"/>
  <c r="X532"/>
  <c r="X468"/>
  <c r="X989"/>
  <c r="X925"/>
  <c r="X861"/>
  <c r="X797"/>
  <c r="X733"/>
  <c r="X669"/>
  <c r="X605"/>
  <c r="X541"/>
  <c r="X477"/>
  <c r="X999"/>
  <c r="X935"/>
  <c r="X871"/>
  <c r="X807"/>
  <c r="X743"/>
  <c r="X679"/>
  <c r="X615"/>
  <c r="X551"/>
  <c r="X487"/>
  <c r="X423"/>
  <c r="X944"/>
  <c r="X880"/>
  <c r="X816"/>
  <c r="X752"/>
  <c r="X688"/>
  <c r="X624"/>
  <c r="X560"/>
  <c r="X496"/>
  <c r="X432"/>
  <c r="X590"/>
  <c r="X662"/>
  <c r="X734"/>
  <c r="X806"/>
  <c r="X886"/>
  <c r="X958"/>
  <c r="X446"/>
  <c r="X518"/>
  <c r="X750"/>
  <c r="X945"/>
  <c r="X881"/>
  <c r="X817"/>
  <c r="X753"/>
  <c r="X689"/>
  <c r="X625"/>
  <c r="X561"/>
  <c r="X497"/>
  <c r="X433"/>
  <c r="X954"/>
  <c r="X890"/>
  <c r="X826"/>
  <c r="X762"/>
  <c r="X698"/>
  <c r="X634"/>
  <c r="X570"/>
  <c r="X506"/>
  <c r="X442"/>
  <c r="X971"/>
  <c r="X907"/>
  <c r="X843"/>
  <c r="X779"/>
  <c r="X715"/>
  <c r="X651"/>
  <c r="X587"/>
  <c r="X523"/>
  <c r="X459"/>
  <c r="X988"/>
  <c r="X924"/>
  <c r="X860"/>
  <c r="X796"/>
  <c r="X732"/>
  <c r="X668"/>
  <c r="X604"/>
  <c r="X540"/>
  <c r="X476"/>
  <c r="X997"/>
  <c r="X933"/>
  <c r="X869"/>
  <c r="X805"/>
  <c r="X741"/>
  <c r="X677"/>
  <c r="X613"/>
  <c r="X549"/>
  <c r="X485"/>
  <c r="X421"/>
  <c r="X943"/>
  <c r="X879"/>
  <c r="X815"/>
  <c r="X751"/>
  <c r="X687"/>
  <c r="X623"/>
  <c r="X559"/>
  <c r="X495"/>
  <c r="X431"/>
  <c r="X952"/>
  <c r="X888"/>
  <c r="X824"/>
  <c r="X760"/>
  <c r="X696"/>
  <c r="X632"/>
  <c r="X568"/>
  <c r="X504"/>
  <c r="X440"/>
  <c r="X654"/>
  <c r="X726"/>
  <c r="X798"/>
  <c r="X870"/>
  <c r="X950"/>
  <c r="X438"/>
  <c r="X510"/>
  <c r="X582"/>
  <c r="X686"/>
  <c r="X953"/>
  <c r="X889"/>
  <c r="X825"/>
  <c r="X761"/>
  <c r="X697"/>
  <c r="X633"/>
  <c r="X569"/>
  <c r="X505"/>
  <c r="X441"/>
  <c r="X962"/>
  <c r="X898"/>
  <c r="X834"/>
  <c r="X770"/>
  <c r="X706"/>
  <c r="X642"/>
  <c r="X578"/>
  <c r="X514"/>
  <c r="X450"/>
  <c r="X979"/>
  <c r="X915"/>
  <c r="X851"/>
  <c r="X787"/>
  <c r="X723"/>
  <c r="X659"/>
  <c r="X595"/>
  <c r="X531"/>
  <c r="X467"/>
  <c r="X996"/>
  <c r="X932"/>
  <c r="X868"/>
  <c r="X804"/>
  <c r="X740"/>
  <c r="X676"/>
  <c r="X612"/>
  <c r="X548"/>
  <c r="X484"/>
  <c r="X420"/>
  <c r="X941"/>
  <c r="X877"/>
  <c r="X813"/>
  <c r="X749"/>
  <c r="X685"/>
  <c r="X621"/>
  <c r="X557"/>
  <c r="X493"/>
  <c r="X429"/>
  <c r="X951"/>
  <c r="X887"/>
  <c r="X823"/>
  <c r="X759"/>
  <c r="X695"/>
  <c r="X631"/>
  <c r="X567"/>
  <c r="X503"/>
  <c r="X439"/>
  <c r="X960"/>
  <c r="X896"/>
  <c r="X832"/>
  <c r="X768"/>
  <c r="X704"/>
  <c r="X640"/>
  <c r="X576"/>
  <c r="X512"/>
  <c r="X448"/>
  <c r="X718"/>
  <c r="X790"/>
  <c r="X862"/>
  <c r="X934"/>
  <c r="X422"/>
  <c r="X502"/>
  <c r="X574"/>
  <c r="X646"/>
  <c r="X622"/>
  <c r="X961"/>
  <c r="X897"/>
  <c r="X833"/>
  <c r="X769"/>
  <c r="X705"/>
  <c r="X641"/>
  <c r="X577"/>
  <c r="X513"/>
  <c r="X449"/>
  <c r="X970"/>
  <c r="X906"/>
  <c r="X842"/>
  <c r="X778"/>
  <c r="X714"/>
  <c r="X650"/>
  <c r="X586"/>
  <c r="X522"/>
  <c r="X458"/>
  <c r="X987"/>
  <c r="X923"/>
  <c r="X859"/>
  <c r="X795"/>
  <c r="X731"/>
  <c r="X667"/>
  <c r="X603"/>
  <c r="X539"/>
  <c r="X475"/>
  <c r="X1004"/>
  <c r="X940"/>
  <c r="X876"/>
  <c r="X812"/>
  <c r="X748"/>
  <c r="X684"/>
  <c r="X620"/>
  <c r="X556"/>
  <c r="X492"/>
  <c r="X428"/>
  <c r="X949"/>
  <c r="X885"/>
  <c r="X821"/>
  <c r="X757"/>
  <c r="X693"/>
  <c r="X629"/>
  <c r="X565"/>
  <c r="X501"/>
  <c r="X437"/>
  <c r="X959"/>
  <c r="X895"/>
  <c r="X831"/>
  <c r="X767"/>
  <c r="X703"/>
  <c r="X639"/>
  <c r="X575"/>
  <c r="X511"/>
  <c r="X447"/>
  <c r="X968"/>
  <c r="X904"/>
  <c r="X840"/>
  <c r="X776"/>
  <c r="X712"/>
  <c r="X648"/>
  <c r="X584"/>
  <c r="X520"/>
  <c r="X456"/>
  <c r="X782"/>
  <c r="X854"/>
  <c r="X926"/>
  <c r="X998"/>
  <c r="X486"/>
  <c r="X566"/>
  <c r="X638"/>
  <c r="X710"/>
  <c r="X558"/>
  <c r="Z985"/>
  <c r="Z921"/>
  <c r="Z857"/>
  <c r="Z793"/>
  <c r="Z729"/>
  <c r="Z665"/>
  <c r="Z601"/>
  <c r="Z537"/>
  <c r="Z473"/>
  <c r="Z994"/>
  <c r="Z930"/>
  <c r="Z866"/>
  <c r="Z802"/>
  <c r="Z738"/>
  <c r="Z674"/>
  <c r="Z610"/>
  <c r="Z546"/>
  <c r="Z482"/>
  <c r="Z418"/>
  <c r="Z947"/>
  <c r="Z883"/>
  <c r="Z819"/>
  <c r="Z755"/>
  <c r="Z691"/>
  <c r="Z627"/>
  <c r="Z563"/>
  <c r="Z499"/>
  <c r="Z435"/>
  <c r="Z964"/>
  <c r="Z900"/>
  <c r="Z836"/>
  <c r="Z772"/>
  <c r="Z708"/>
  <c r="Z644"/>
  <c r="Z580"/>
  <c r="Z516"/>
  <c r="Z452"/>
  <c r="Z973"/>
  <c r="Z909"/>
  <c r="Z845"/>
  <c r="Z781"/>
  <c r="Z717"/>
  <c r="Z653"/>
  <c r="Z589"/>
  <c r="Z525"/>
  <c r="Z461"/>
  <c r="Z982"/>
  <c r="Z918"/>
  <c r="Z854"/>
  <c r="Z790"/>
  <c r="Z726"/>
  <c r="Z662"/>
  <c r="Z598"/>
  <c r="Z534"/>
  <c r="Z470"/>
  <c r="Z991"/>
  <c r="Z927"/>
  <c r="Z863"/>
  <c r="Z799"/>
  <c r="Z735"/>
  <c r="Z671"/>
  <c r="Z607"/>
  <c r="Z543"/>
  <c r="Z479"/>
  <c r="Z1000"/>
  <c r="Z936"/>
  <c r="Z872"/>
  <c r="Z808"/>
  <c r="Z744"/>
  <c r="Z680"/>
  <c r="Z616"/>
  <c r="Z552"/>
  <c r="Z488"/>
  <c r="Z424"/>
  <c r="Z993"/>
  <c r="Z929"/>
  <c r="Z865"/>
  <c r="Z801"/>
  <c r="Z737"/>
  <c r="Z673"/>
  <c r="Z609"/>
  <c r="Z545"/>
  <c r="Z481"/>
  <c r="Z1002"/>
  <c r="Z938"/>
  <c r="Z874"/>
  <c r="Z810"/>
  <c r="Z746"/>
  <c r="Z682"/>
  <c r="Z618"/>
  <c r="Z554"/>
  <c r="Z490"/>
  <c r="Z426"/>
  <c r="Z955"/>
  <c r="Z891"/>
  <c r="Z827"/>
  <c r="Z763"/>
  <c r="Z699"/>
  <c r="Z635"/>
  <c r="Z571"/>
  <c r="Z507"/>
  <c r="Z443"/>
  <c r="Z972"/>
  <c r="Z908"/>
  <c r="Z844"/>
  <c r="Z780"/>
  <c r="Z716"/>
  <c r="Z652"/>
  <c r="Z588"/>
  <c r="Z524"/>
  <c r="Z460"/>
  <c r="Z981"/>
  <c r="Z917"/>
  <c r="Z853"/>
  <c r="Z789"/>
  <c r="Z725"/>
  <c r="Z661"/>
  <c r="Z597"/>
  <c r="Z533"/>
  <c r="Z469"/>
  <c r="Z990"/>
  <c r="Z926"/>
  <c r="Z862"/>
  <c r="Z798"/>
  <c r="Z734"/>
  <c r="Z670"/>
  <c r="Z606"/>
  <c r="Z542"/>
  <c r="Z478"/>
  <c r="Z999"/>
  <c r="Z935"/>
  <c r="Z871"/>
  <c r="Z807"/>
  <c r="Z743"/>
  <c r="Z679"/>
  <c r="Z615"/>
  <c r="Z551"/>
  <c r="Z487"/>
  <c r="Z423"/>
  <c r="Z944"/>
  <c r="Z880"/>
  <c r="Z816"/>
  <c r="Z752"/>
  <c r="Z688"/>
  <c r="Z624"/>
  <c r="Z560"/>
  <c r="Z496"/>
  <c r="Z432"/>
  <c r="Z1001"/>
  <c r="Z937"/>
  <c r="Z873"/>
  <c r="Z809"/>
  <c r="Z745"/>
  <c r="Z681"/>
  <c r="Z617"/>
  <c r="Z553"/>
  <c r="Z489"/>
  <c r="Z425"/>
  <c r="Z946"/>
  <c r="Z882"/>
  <c r="Z818"/>
  <c r="Z754"/>
  <c r="Z690"/>
  <c r="Z626"/>
  <c r="Z562"/>
  <c r="Z498"/>
  <c r="Z434"/>
  <c r="Z963"/>
  <c r="Z899"/>
  <c r="Z835"/>
  <c r="Z771"/>
  <c r="Z707"/>
  <c r="Z643"/>
  <c r="Z579"/>
  <c r="Z515"/>
  <c r="Z451"/>
  <c r="Z980"/>
  <c r="Z916"/>
  <c r="Z852"/>
  <c r="Z788"/>
  <c r="Z724"/>
  <c r="Z660"/>
  <c r="Z596"/>
  <c r="Z532"/>
  <c r="Z468"/>
  <c r="Z989"/>
  <c r="Z925"/>
  <c r="Z861"/>
  <c r="Z797"/>
  <c r="Z733"/>
  <c r="Z669"/>
  <c r="Z605"/>
  <c r="Z541"/>
  <c r="Z477"/>
  <c r="Z998"/>
  <c r="Z934"/>
  <c r="Z870"/>
  <c r="Z806"/>
  <c r="Z742"/>
  <c r="Z678"/>
  <c r="Z614"/>
  <c r="Z550"/>
  <c r="Z486"/>
  <c r="Z422"/>
  <c r="Z943"/>
  <c r="Z879"/>
  <c r="Z815"/>
  <c r="Z751"/>
  <c r="Z687"/>
  <c r="Z623"/>
  <c r="Z559"/>
  <c r="Z495"/>
  <c r="Z431"/>
  <c r="Z952"/>
  <c r="Z888"/>
  <c r="Z824"/>
  <c r="Z760"/>
  <c r="Z696"/>
  <c r="Z632"/>
  <c r="Z568"/>
  <c r="Z504"/>
  <c r="Z440"/>
  <c r="Z945"/>
  <c r="Z881"/>
  <c r="Z817"/>
  <c r="Z753"/>
  <c r="Z689"/>
  <c r="Z625"/>
  <c r="Z561"/>
  <c r="Z497"/>
  <c r="Z433"/>
  <c r="Z954"/>
  <c r="Z890"/>
  <c r="Z826"/>
  <c r="Z762"/>
  <c r="Z698"/>
  <c r="Z634"/>
  <c r="Z570"/>
  <c r="Z506"/>
  <c r="Z442"/>
  <c r="Z971"/>
  <c r="Z907"/>
  <c r="Z843"/>
  <c r="Z779"/>
  <c r="Z715"/>
  <c r="Z651"/>
  <c r="Z587"/>
  <c r="Z523"/>
  <c r="Z459"/>
  <c r="Z988"/>
  <c r="Z924"/>
  <c r="Z860"/>
  <c r="Z796"/>
  <c r="Z732"/>
  <c r="Z668"/>
  <c r="Z604"/>
  <c r="Z540"/>
  <c r="Z476"/>
  <c r="Z997"/>
  <c r="Z933"/>
  <c r="Z869"/>
  <c r="Z805"/>
  <c r="Z741"/>
  <c r="Z677"/>
  <c r="Z613"/>
  <c r="Z549"/>
  <c r="Z485"/>
  <c r="Z421"/>
  <c r="Z942"/>
  <c r="Z878"/>
  <c r="Z814"/>
  <c r="Z750"/>
  <c r="Z686"/>
  <c r="Z622"/>
  <c r="Z558"/>
  <c r="Z494"/>
  <c r="Z430"/>
  <c r="Z951"/>
  <c r="Z887"/>
  <c r="Z823"/>
  <c r="Z759"/>
  <c r="Z695"/>
  <c r="Z631"/>
  <c r="Z567"/>
  <c r="Z503"/>
  <c r="Z439"/>
  <c r="Z960"/>
  <c r="Z896"/>
  <c r="Z832"/>
  <c r="Z768"/>
  <c r="Z704"/>
  <c r="Z640"/>
  <c r="Z576"/>
  <c r="Z512"/>
  <c r="Z448"/>
  <c r="Z953"/>
  <c r="Z889"/>
  <c r="Z825"/>
  <c r="Z761"/>
  <c r="Z697"/>
  <c r="Z633"/>
  <c r="Z569"/>
  <c r="Z505"/>
  <c r="Z441"/>
  <c r="Z962"/>
  <c r="Z898"/>
  <c r="Z834"/>
  <c r="Z770"/>
  <c r="Z706"/>
  <c r="Z642"/>
  <c r="Z578"/>
  <c r="Z514"/>
  <c r="Z450"/>
  <c r="Z979"/>
  <c r="Z915"/>
  <c r="Z851"/>
  <c r="Z787"/>
  <c r="Z723"/>
  <c r="Z659"/>
  <c r="Z595"/>
  <c r="Z531"/>
  <c r="Z467"/>
  <c r="Z996"/>
  <c r="Z932"/>
  <c r="Z868"/>
  <c r="Z804"/>
  <c r="Z740"/>
  <c r="Z676"/>
  <c r="Z612"/>
  <c r="Z548"/>
  <c r="Z484"/>
  <c r="Z420"/>
  <c r="Z941"/>
  <c r="Z877"/>
  <c r="Z813"/>
  <c r="Z749"/>
  <c r="Z685"/>
  <c r="Z621"/>
  <c r="Z557"/>
  <c r="Z493"/>
  <c r="Z429"/>
  <c r="Z950"/>
  <c r="Z886"/>
  <c r="Z822"/>
  <c r="Z758"/>
  <c r="Z694"/>
  <c r="Z630"/>
  <c r="Z566"/>
  <c r="Z502"/>
  <c r="Z438"/>
  <c r="Z959"/>
  <c r="Z895"/>
  <c r="Z831"/>
  <c r="Z767"/>
  <c r="Z703"/>
  <c r="Z639"/>
  <c r="Z575"/>
  <c r="Z511"/>
  <c r="Z447"/>
  <c r="Z968"/>
  <c r="Z904"/>
  <c r="Z840"/>
  <c r="Z776"/>
  <c r="Z712"/>
  <c r="Z648"/>
  <c r="Z584"/>
  <c r="Z520"/>
  <c r="Z456"/>
  <c r="Z961"/>
  <c r="Z897"/>
  <c r="Z833"/>
  <c r="Z769"/>
  <c r="Z705"/>
  <c r="Z641"/>
  <c r="Z577"/>
  <c r="Z513"/>
  <c r="Z449"/>
  <c r="Z970"/>
  <c r="Z906"/>
  <c r="Z842"/>
  <c r="Z778"/>
  <c r="Z714"/>
  <c r="Z650"/>
  <c r="Z586"/>
  <c r="Z522"/>
  <c r="Z458"/>
  <c r="Z987"/>
  <c r="Z923"/>
  <c r="Z859"/>
  <c r="Z795"/>
  <c r="Z731"/>
  <c r="Z667"/>
  <c r="Z603"/>
  <c r="Z539"/>
  <c r="Z475"/>
  <c r="Z1004"/>
  <c r="Z940"/>
  <c r="Z876"/>
  <c r="Z812"/>
  <c r="Z748"/>
  <c r="Z684"/>
  <c r="Z620"/>
  <c r="Z556"/>
  <c r="Z492"/>
  <c r="Z428"/>
  <c r="Z949"/>
  <c r="Z885"/>
  <c r="Z821"/>
  <c r="Z757"/>
  <c r="Z693"/>
  <c r="Z629"/>
  <c r="Z565"/>
  <c r="Z501"/>
  <c r="Z437"/>
  <c r="Z958"/>
  <c r="Z894"/>
  <c r="Z830"/>
  <c r="Z766"/>
  <c r="Z702"/>
  <c r="Z638"/>
  <c r="Z574"/>
  <c r="Z510"/>
  <c r="Z446"/>
  <c r="Z967"/>
  <c r="Z903"/>
  <c r="Z839"/>
  <c r="Z775"/>
  <c r="Z711"/>
  <c r="Z647"/>
  <c r="Z583"/>
  <c r="Z519"/>
  <c r="Z455"/>
  <c r="Z976"/>
  <c r="Z912"/>
  <c r="Z848"/>
  <c r="Z784"/>
  <c r="Z720"/>
  <c r="Z656"/>
  <c r="Z592"/>
  <c r="Z528"/>
  <c r="Z464"/>
  <c r="Z969"/>
  <c r="Z905"/>
  <c r="Z841"/>
  <c r="Z777"/>
  <c r="Z713"/>
  <c r="Z649"/>
  <c r="Z585"/>
  <c r="Z521"/>
  <c r="Z457"/>
  <c r="Z978"/>
  <c r="Z914"/>
  <c r="Z850"/>
  <c r="Z786"/>
  <c r="Z722"/>
  <c r="Z658"/>
  <c r="Z594"/>
  <c r="Z530"/>
  <c r="Z466"/>
  <c r="Z995"/>
  <c r="Z931"/>
  <c r="Z867"/>
  <c r="Z803"/>
  <c r="Z739"/>
  <c r="Z675"/>
  <c r="Z611"/>
  <c r="Z547"/>
  <c r="Z483"/>
  <c r="Z419"/>
  <c r="Z948"/>
  <c r="Z884"/>
  <c r="Z820"/>
  <c r="Z756"/>
  <c r="Z692"/>
  <c r="Z628"/>
  <c r="Z564"/>
  <c r="Z500"/>
  <c r="Z436"/>
  <c r="Z957"/>
  <c r="Z893"/>
  <c r="Z829"/>
  <c r="Z765"/>
  <c r="Z701"/>
  <c r="Z637"/>
  <c r="Z573"/>
  <c r="Z509"/>
  <c r="Z445"/>
  <c r="Z966"/>
  <c r="Z902"/>
  <c r="Z838"/>
  <c r="Z774"/>
  <c r="Z710"/>
  <c r="Z646"/>
  <c r="Z582"/>
  <c r="Z518"/>
  <c r="Z454"/>
  <c r="Z975"/>
  <c r="Z911"/>
  <c r="Z847"/>
  <c r="Z783"/>
  <c r="Z719"/>
  <c r="Z655"/>
  <c r="Z591"/>
  <c r="Z527"/>
  <c r="Z463"/>
  <c r="Z984"/>
  <c r="Z920"/>
  <c r="Z856"/>
  <c r="Z792"/>
  <c r="Z728"/>
  <c r="Z664"/>
  <c r="Z600"/>
  <c r="Z536"/>
  <c r="Z472"/>
  <c r="Z977"/>
  <c r="Z913"/>
  <c r="Z849"/>
  <c r="Z785"/>
  <c r="Z721"/>
  <c r="Z657"/>
  <c r="Z593"/>
  <c r="Z529"/>
  <c r="Z465"/>
  <c r="Z986"/>
  <c r="Z922"/>
  <c r="Z858"/>
  <c r="Z794"/>
  <c r="Z730"/>
  <c r="Z666"/>
  <c r="Z602"/>
  <c r="Z538"/>
  <c r="Z474"/>
  <c r="Z1003"/>
  <c r="Z939"/>
  <c r="Z875"/>
  <c r="Z811"/>
  <c r="Z747"/>
  <c r="Z683"/>
  <c r="Z619"/>
  <c r="Z555"/>
  <c r="Z491"/>
  <c r="Z427"/>
  <c r="Z956"/>
  <c r="Z892"/>
  <c r="Z828"/>
  <c r="Z764"/>
  <c r="Z700"/>
  <c r="Z636"/>
  <c r="Z572"/>
  <c r="Z508"/>
  <c r="Z444"/>
  <c r="Z965"/>
  <c r="Z901"/>
  <c r="Z837"/>
  <c r="Z773"/>
  <c r="Z709"/>
  <c r="Z645"/>
  <c r="Z581"/>
  <c r="Z517"/>
  <c r="Z453"/>
  <c r="Z974"/>
  <c r="Z910"/>
  <c r="Z846"/>
  <c r="Z782"/>
  <c r="Z718"/>
  <c r="Z654"/>
  <c r="Z590"/>
  <c r="Z526"/>
  <c r="Z462"/>
  <c r="Z983"/>
  <c r="Z919"/>
  <c r="Z855"/>
  <c r="Z791"/>
  <c r="Z727"/>
  <c r="Z663"/>
  <c r="Z599"/>
  <c r="Z535"/>
  <c r="Z471"/>
  <c r="Z992"/>
  <c r="Z928"/>
  <c r="Z864"/>
  <c r="Z800"/>
  <c r="Z736"/>
  <c r="Z672"/>
  <c r="Z608"/>
  <c r="Z544"/>
  <c r="Z480"/>
  <c r="M947"/>
  <c r="M883"/>
  <c r="M819"/>
  <c r="M755"/>
  <c r="M691"/>
  <c r="M627"/>
  <c r="M563"/>
  <c r="M499"/>
  <c r="M435"/>
  <c r="M959"/>
  <c r="M895"/>
  <c r="M831"/>
  <c r="M767"/>
  <c r="M703"/>
  <c r="M639"/>
  <c r="M575"/>
  <c r="M511"/>
  <c r="M447"/>
  <c r="M952"/>
  <c r="M866"/>
  <c r="M781"/>
  <c r="M696"/>
  <c r="M610"/>
  <c r="M525"/>
  <c r="M440"/>
  <c r="M944"/>
  <c r="M858"/>
  <c r="M773"/>
  <c r="M688"/>
  <c r="M602"/>
  <c r="M517"/>
  <c r="M432"/>
  <c r="M934"/>
  <c r="M849"/>
  <c r="M764"/>
  <c r="M678"/>
  <c r="M593"/>
  <c r="M508"/>
  <c r="M422"/>
  <c r="M882"/>
  <c r="M745"/>
  <c r="M608"/>
  <c r="M470"/>
  <c r="M936"/>
  <c r="M798"/>
  <c r="M661"/>
  <c r="M524"/>
  <c r="M989"/>
  <c r="M852"/>
  <c r="M714"/>
  <c r="M577"/>
  <c r="M441"/>
  <c r="M886"/>
  <c r="M750"/>
  <c r="M616"/>
  <c r="M478"/>
  <c r="M925"/>
  <c r="M788"/>
  <c r="M650"/>
  <c r="M513"/>
  <c r="M960"/>
  <c r="M822"/>
  <c r="M686"/>
  <c r="M552"/>
  <c r="M996"/>
  <c r="M861"/>
  <c r="M724"/>
  <c r="M586"/>
  <c r="M449"/>
  <c r="M896"/>
  <c r="M758"/>
  <c r="M622"/>
  <c r="M488"/>
  <c r="M955"/>
  <c r="M891"/>
  <c r="M827"/>
  <c r="M763"/>
  <c r="M699"/>
  <c r="M635"/>
  <c r="M571"/>
  <c r="M507"/>
  <c r="M443"/>
  <c r="M967"/>
  <c r="M903"/>
  <c r="M839"/>
  <c r="M775"/>
  <c r="M711"/>
  <c r="M647"/>
  <c r="M583"/>
  <c r="M519"/>
  <c r="M455"/>
  <c r="M962"/>
  <c r="M877"/>
  <c r="M792"/>
  <c r="M706"/>
  <c r="M621"/>
  <c r="M536"/>
  <c r="M450"/>
  <c r="M954"/>
  <c r="M869"/>
  <c r="M784"/>
  <c r="M698"/>
  <c r="M613"/>
  <c r="M528"/>
  <c r="M442"/>
  <c r="M945"/>
  <c r="M860"/>
  <c r="M774"/>
  <c r="M689"/>
  <c r="M604"/>
  <c r="M518"/>
  <c r="M433"/>
  <c r="M897"/>
  <c r="M761"/>
  <c r="M626"/>
  <c r="M489"/>
  <c r="M950"/>
  <c r="M814"/>
  <c r="M680"/>
  <c r="M542"/>
  <c r="M1004"/>
  <c r="M868"/>
  <c r="M733"/>
  <c r="M596"/>
  <c r="M458"/>
  <c r="M905"/>
  <c r="M768"/>
  <c r="M630"/>
  <c r="M494"/>
  <c r="M940"/>
  <c r="M804"/>
  <c r="M669"/>
  <c r="M532"/>
  <c r="M978"/>
  <c r="M841"/>
  <c r="M704"/>
  <c r="M566"/>
  <c r="M430"/>
  <c r="M876"/>
  <c r="M740"/>
  <c r="M605"/>
  <c r="M468"/>
  <c r="M914"/>
  <c r="M777"/>
  <c r="M640"/>
  <c r="M502"/>
  <c r="M963"/>
  <c r="M899"/>
  <c r="M835"/>
  <c r="M771"/>
  <c r="M707"/>
  <c r="M643"/>
  <c r="M579"/>
  <c r="M515"/>
  <c r="M451"/>
  <c r="M975"/>
  <c r="M911"/>
  <c r="M847"/>
  <c r="M783"/>
  <c r="M719"/>
  <c r="M655"/>
  <c r="M591"/>
  <c r="M527"/>
  <c r="M463"/>
  <c r="M973"/>
  <c r="M888"/>
  <c r="M802"/>
  <c r="M717"/>
  <c r="M632"/>
  <c r="M546"/>
  <c r="M461"/>
  <c r="M965"/>
  <c r="M880"/>
  <c r="M794"/>
  <c r="M709"/>
  <c r="M624"/>
  <c r="M538"/>
  <c r="M453"/>
  <c r="M956"/>
  <c r="M870"/>
  <c r="M785"/>
  <c r="M700"/>
  <c r="M614"/>
  <c r="M529"/>
  <c r="M444"/>
  <c r="M916"/>
  <c r="M778"/>
  <c r="M641"/>
  <c r="M505"/>
  <c r="M969"/>
  <c r="M832"/>
  <c r="M694"/>
  <c r="M558"/>
  <c r="M424"/>
  <c r="M885"/>
  <c r="M748"/>
  <c r="M612"/>
  <c r="M477"/>
  <c r="M921"/>
  <c r="M786"/>
  <c r="M649"/>
  <c r="M512"/>
  <c r="M958"/>
  <c r="M821"/>
  <c r="M684"/>
  <c r="M548"/>
  <c r="M993"/>
  <c r="M857"/>
  <c r="M722"/>
  <c r="M585"/>
  <c r="M448"/>
  <c r="M894"/>
  <c r="M757"/>
  <c r="M620"/>
  <c r="M484"/>
  <c r="M929"/>
  <c r="M793"/>
  <c r="M658"/>
  <c r="M521"/>
  <c r="M971"/>
  <c r="M907"/>
  <c r="M843"/>
  <c r="M779"/>
  <c r="M715"/>
  <c r="M651"/>
  <c r="M587"/>
  <c r="M523"/>
  <c r="M459"/>
  <c r="M983"/>
  <c r="M919"/>
  <c r="M855"/>
  <c r="M791"/>
  <c r="M727"/>
  <c r="M663"/>
  <c r="M599"/>
  <c r="M535"/>
  <c r="M471"/>
  <c r="M984"/>
  <c r="M898"/>
  <c r="M813"/>
  <c r="M728"/>
  <c r="M642"/>
  <c r="M557"/>
  <c r="M472"/>
  <c r="M976"/>
  <c r="M890"/>
  <c r="M805"/>
  <c r="M720"/>
  <c r="M634"/>
  <c r="M549"/>
  <c r="M464"/>
  <c r="M966"/>
  <c r="M881"/>
  <c r="M796"/>
  <c r="M710"/>
  <c r="M625"/>
  <c r="M540"/>
  <c r="M454"/>
  <c r="M932"/>
  <c r="M797"/>
  <c r="M660"/>
  <c r="M522"/>
  <c r="M985"/>
  <c r="M850"/>
  <c r="M713"/>
  <c r="M576"/>
  <c r="M438"/>
  <c r="M904"/>
  <c r="M766"/>
  <c r="M629"/>
  <c r="M492"/>
  <c r="M938"/>
  <c r="M801"/>
  <c r="M665"/>
  <c r="M530"/>
  <c r="M974"/>
  <c r="M840"/>
  <c r="M702"/>
  <c r="M565"/>
  <c r="M428"/>
  <c r="M874"/>
  <c r="M737"/>
  <c r="M601"/>
  <c r="M466"/>
  <c r="M910"/>
  <c r="M776"/>
  <c r="M638"/>
  <c r="M501"/>
  <c r="M948"/>
  <c r="M810"/>
  <c r="M673"/>
  <c r="M537"/>
  <c r="M979"/>
  <c r="M915"/>
  <c r="M851"/>
  <c r="M787"/>
  <c r="M723"/>
  <c r="M659"/>
  <c r="M595"/>
  <c r="M531"/>
  <c r="M467"/>
  <c r="M991"/>
  <c r="M927"/>
  <c r="M863"/>
  <c r="M799"/>
  <c r="M735"/>
  <c r="M671"/>
  <c r="M607"/>
  <c r="M543"/>
  <c r="M479"/>
  <c r="M994"/>
  <c r="M909"/>
  <c r="M824"/>
  <c r="M738"/>
  <c r="M653"/>
  <c r="M568"/>
  <c r="M482"/>
  <c r="M986"/>
  <c r="M901"/>
  <c r="M816"/>
  <c r="M730"/>
  <c r="M645"/>
  <c r="M560"/>
  <c r="M474"/>
  <c r="M977"/>
  <c r="M892"/>
  <c r="M806"/>
  <c r="M721"/>
  <c r="M636"/>
  <c r="M550"/>
  <c r="M465"/>
  <c r="M949"/>
  <c r="M812"/>
  <c r="M676"/>
  <c r="M541"/>
  <c r="M1002"/>
  <c r="M865"/>
  <c r="M729"/>
  <c r="M594"/>
  <c r="M457"/>
  <c r="M918"/>
  <c r="M782"/>
  <c r="M648"/>
  <c r="M510"/>
  <c r="M957"/>
  <c r="M820"/>
  <c r="M682"/>
  <c r="M545"/>
  <c r="M992"/>
  <c r="M854"/>
  <c r="M718"/>
  <c r="M584"/>
  <c r="M446"/>
  <c r="M893"/>
  <c r="M756"/>
  <c r="M618"/>
  <c r="M481"/>
  <c r="M928"/>
  <c r="M790"/>
  <c r="M654"/>
  <c r="M520"/>
  <c r="M964"/>
  <c r="M829"/>
  <c r="M692"/>
  <c r="M554"/>
  <c r="M987"/>
  <c r="M923"/>
  <c r="M859"/>
  <c r="M795"/>
  <c r="M731"/>
  <c r="M667"/>
  <c r="M603"/>
  <c r="M539"/>
  <c r="M475"/>
  <c r="M999"/>
  <c r="M935"/>
  <c r="M871"/>
  <c r="M807"/>
  <c r="M743"/>
  <c r="M679"/>
  <c r="M615"/>
  <c r="M551"/>
  <c r="M487"/>
  <c r="M423"/>
  <c r="M920"/>
  <c r="M834"/>
  <c r="M749"/>
  <c r="M664"/>
  <c r="M578"/>
  <c r="M493"/>
  <c r="M997"/>
  <c r="M912"/>
  <c r="M826"/>
  <c r="M741"/>
  <c r="M656"/>
  <c r="M570"/>
  <c r="M485"/>
  <c r="M988"/>
  <c r="M902"/>
  <c r="M817"/>
  <c r="M732"/>
  <c r="M646"/>
  <c r="M561"/>
  <c r="M476"/>
  <c r="M968"/>
  <c r="M830"/>
  <c r="M693"/>
  <c r="M556"/>
  <c r="M420"/>
  <c r="M884"/>
  <c r="M746"/>
  <c r="M609"/>
  <c r="M473"/>
  <c r="M937"/>
  <c r="M800"/>
  <c r="M662"/>
  <c r="M526"/>
  <c r="M972"/>
  <c r="M836"/>
  <c r="M701"/>
  <c r="M564"/>
  <c r="M426"/>
  <c r="M873"/>
  <c r="M736"/>
  <c r="M598"/>
  <c r="M462"/>
  <c r="M908"/>
  <c r="M772"/>
  <c r="M637"/>
  <c r="M500"/>
  <c r="M946"/>
  <c r="M809"/>
  <c r="M672"/>
  <c r="M534"/>
  <c r="M981"/>
  <c r="M844"/>
  <c r="M708"/>
  <c r="M573"/>
  <c r="M436"/>
  <c r="M995"/>
  <c r="M931"/>
  <c r="M867"/>
  <c r="M803"/>
  <c r="M739"/>
  <c r="M675"/>
  <c r="M611"/>
  <c r="M547"/>
  <c r="M483"/>
  <c r="M419"/>
  <c r="M943"/>
  <c r="M879"/>
  <c r="M815"/>
  <c r="M751"/>
  <c r="M687"/>
  <c r="M623"/>
  <c r="M559"/>
  <c r="M495"/>
  <c r="M431"/>
  <c r="M930"/>
  <c r="M845"/>
  <c r="M760"/>
  <c r="M674"/>
  <c r="M589"/>
  <c r="M504"/>
  <c r="M418"/>
  <c r="M922"/>
  <c r="M837"/>
  <c r="M752"/>
  <c r="M666"/>
  <c r="M581"/>
  <c r="M496"/>
  <c r="M998"/>
  <c r="M913"/>
  <c r="M828"/>
  <c r="M742"/>
  <c r="M657"/>
  <c r="M572"/>
  <c r="M486"/>
  <c r="M982"/>
  <c r="M846"/>
  <c r="M712"/>
  <c r="M574"/>
  <c r="M437"/>
  <c r="M900"/>
  <c r="M765"/>
  <c r="M628"/>
  <c r="M490"/>
  <c r="M953"/>
  <c r="M818"/>
  <c r="M681"/>
  <c r="M544"/>
  <c r="M990"/>
  <c r="M853"/>
  <c r="M716"/>
  <c r="M580"/>
  <c r="M445"/>
  <c r="M889"/>
  <c r="M754"/>
  <c r="M617"/>
  <c r="M480"/>
  <c r="M926"/>
  <c r="M789"/>
  <c r="M652"/>
  <c r="M516"/>
  <c r="M961"/>
  <c r="M825"/>
  <c r="M690"/>
  <c r="M553"/>
  <c r="M1000"/>
  <c r="M862"/>
  <c r="M725"/>
  <c r="M588"/>
  <c r="M452"/>
  <c r="M1003"/>
  <c r="M939"/>
  <c r="M875"/>
  <c r="M811"/>
  <c r="M747"/>
  <c r="M683"/>
  <c r="M619"/>
  <c r="M555"/>
  <c r="M491"/>
  <c r="M427"/>
  <c r="M951"/>
  <c r="M887"/>
  <c r="M823"/>
  <c r="M759"/>
  <c r="M695"/>
  <c r="M631"/>
  <c r="M567"/>
  <c r="M503"/>
  <c r="M439"/>
  <c r="M941"/>
  <c r="M856"/>
  <c r="M770"/>
  <c r="M685"/>
  <c r="M600"/>
  <c r="M514"/>
  <c r="M429"/>
  <c r="M933"/>
  <c r="M848"/>
  <c r="M762"/>
  <c r="M677"/>
  <c r="M592"/>
  <c r="M506"/>
  <c r="M421"/>
  <c r="M924"/>
  <c r="M838"/>
  <c r="M753"/>
  <c r="M668"/>
  <c r="M582"/>
  <c r="M497"/>
  <c r="M1001"/>
  <c r="M864"/>
  <c r="M726"/>
  <c r="M590"/>
  <c r="M456"/>
  <c r="M917"/>
  <c r="M780"/>
  <c r="M644"/>
  <c r="M509"/>
  <c r="M970"/>
  <c r="M833"/>
  <c r="M697"/>
  <c r="M562"/>
  <c r="M425"/>
  <c r="M872"/>
  <c r="M734"/>
  <c r="M597"/>
  <c r="M460"/>
  <c r="M906"/>
  <c r="M769"/>
  <c r="M633"/>
  <c r="M498"/>
  <c r="M942"/>
  <c r="M808"/>
  <c r="M670"/>
  <c r="M533"/>
  <c r="M980"/>
  <c r="M842"/>
  <c r="M705"/>
  <c r="M569"/>
  <c r="M434"/>
  <c r="M878"/>
  <c r="M744"/>
  <c r="M606"/>
  <c r="M469"/>
  <c r="P4"/>
  <c r="N4"/>
  <c r="S4"/>
  <c r="L4"/>
  <c r="R4"/>
  <c r="M4"/>
  <c r="K4"/>
  <c r="X4"/>
  <c r="Y4"/>
  <c r="W4"/>
  <c r="V4"/>
  <c r="T4"/>
  <c r="U4"/>
  <c r="O4"/>
  <c r="Q4"/>
  <c r="Z4"/>
  <c r="B38" i="44" l="1"/>
  <c r="U3" i="6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H4" authorId="0">
      <text>
        <r>
          <rPr>
            <sz val="10"/>
            <color rgb="FF000000"/>
            <rFont val="Arial"/>
          </rPr>
          <t xml:space="preserve">É o mesmo valor da coluna 6 (F) trocando virgula decimal por ponto decimal.
</t>
        </r>
      </text>
    </comment>
    <comment ref="I4" authorId="0">
      <text>
        <r>
          <rPr>
            <sz val="10"/>
            <color rgb="FF000000"/>
            <rFont val="Arial"/>
          </rPr>
          <t>É o mesmo valor da coluna 7 (G) trocando virgula decimal por ponto decimal.</t>
        </r>
      </text>
    </comment>
    <comment ref="A10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<sst xmlns="http://schemas.openxmlformats.org/spreadsheetml/2006/main" count="314" uniqueCount="176">
  <si>
    <t>F</t>
  </si>
  <si>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</si>
  <si>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</si>
  <si>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</si>
  <si>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</si>
  <si>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</si>
  <si>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</si>
  <si>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</si>
  <si>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</si>
  <si>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</si>
  <si>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</si>
  <si>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</si>
  <si>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</si>
  <si>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</si>
  <si>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</si>
  <si>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</si>
  <si>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</si>
  <si>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</si>
  <si>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</si>
  <si>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</si>
  <si>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</si>
  <si>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</si>
  <si>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</si>
  <si>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</si>
  <si>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</si>
  <si>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</si>
  <si>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</si>
  <si>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</si>
  <si>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</si>
  <si>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</si>
  <si>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</si>
  <si>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</si>
  <si>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</si>
  <si>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</si>
  <si>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</si>
  <si>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</si>
  <si>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</si>
  <si>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</si>
  <si>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</si>
  <si>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</si>
  <si>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</si>
  <si>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</si>
  <si>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</si>
  <si>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</si>
  <si>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</si>
  <si>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Araguatins</t>
  </si>
  <si>
    <t>1305</t>
  </si>
  <si>
    <t>Augustinopolis</t>
  </si>
  <si>
    <t>3975</t>
  </si>
  <si>
    <t>ASSOC. DE APOIO COL. EST. MANOEL VICENTE SOUZA</t>
  </si>
  <si>
    <t>01223642000112</t>
  </si>
  <si>
    <t>139297</t>
  </si>
  <si>
    <t>Buriti do Tocantins</t>
  </si>
  <si>
    <t>A. DE APOIO DO COLEGIO EST. BURITI</t>
  </si>
  <si>
    <t>01206217000115</t>
  </si>
  <si>
    <t>209406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</si>
  <si>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</si>
  <si>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</si>
  <si>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</si>
  <si>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</si>
  <si>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</si>
  <si>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</si>
  <si>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</si>
  <si>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</si>
  <si>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</si>
  <si>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</si>
  <si>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</si>
  <si>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</si>
  <si>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</si>
  <si>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</si>
  <si>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</si>
  <si>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*º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</si>
  <si>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</si>
  <si>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</si>
  <si>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</si>
  <si>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t xml:space="preserve">BASE TRANSPOSIÇÃO PNAE FNDE                             *º REPASSE 2023                          </t>
  </si>
  <si>
    <t>VALOR TOTAL FNDE 2022</t>
  </si>
  <si>
    <t>MODALIDADE DE ENSINO</t>
  </si>
  <si>
    <t>VALOR DO REPASSE</t>
  </si>
  <si>
    <t>VALOR TOTAL DO REPASSE (em R$)</t>
  </si>
  <si>
    <t xml:space="preserve">10º REPASSE TESOURO                                                                    PROGRAMA JOVEM AÇÃO - 2023
</t>
  </si>
  <si>
    <t>E. M. JOVEM EM AÇAO</t>
  </si>
  <si>
    <t>PARAMETRIZAÇÃO</t>
  </si>
  <si>
    <t>MAURO 6115</t>
  </si>
  <si>
    <t>casa</t>
  </si>
  <si>
    <t>teste</t>
  </si>
  <si>
    <t>FAVOR NÃO MEXER NESTA PARTE DA TABELA!</t>
  </si>
  <si>
    <t>nota 1</t>
  </si>
  <si>
    <t>média</t>
  </si>
  <si>
    <t>MOD. ETAPA</t>
  </si>
  <si>
    <t>VALOR PERCAPITA FNDE</t>
  </si>
  <si>
    <t>VALOR PERCAPITA ESTADO</t>
  </si>
  <si>
    <t>N° DE DIAS FNDE</t>
  </si>
  <si>
    <t>N° DE DIAS ESTADO</t>
  </si>
  <si>
    <t>No internato foi alterado para 30 dias. Era 20</t>
  </si>
  <si>
    <t>No Agrícola foi alterado para 20 dias. Era 30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</si>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</sst>
</file>

<file path=xl/styles.xml><?xml version="1.0" encoding="utf-8"?>
<styleSheet xmlns="http://schemas.openxmlformats.org/spreadsheetml/2006/main">
  <numFmts count="4">
    <numFmt numFmtId="164" formatCode="#,##0_);\(#,##0\)"/>
    <numFmt numFmtId="165" formatCode="#,##0.00_);\(#,##0.00\)"/>
    <numFmt numFmtId="166" formatCode="#,000"/>
    <numFmt numFmtId="167" formatCode="0.0"/>
  </numFmts>
  <fonts count="61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9"/>
      <color rgb="FF000000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b/>
      <sz val="14"/>
      <color rgb="FF000000"/>
      <name val="Arial"/>
    </font>
    <font>
      <b/>
      <sz val="1"/>
      <color rgb="FF073763"/>
      <name val="Arial"/>
    </font>
    <font>
      <b/>
      <sz val="10"/>
      <color rgb="FF000000"/>
      <name val="Calibri"/>
    </font>
    <font>
      <b/>
      <sz val="10"/>
      <color rgb="FF000000"/>
      <name val="Arial"/>
    </font>
    <font>
      <sz val="11"/>
      <color rgb="FF073763"/>
      <name val="Inconsolata"/>
    </font>
    <font>
      <b/>
      <sz val="18"/>
      <color rgb="FFBF9000"/>
      <name val="Arial"/>
    </font>
    <font>
      <sz val="10"/>
      <color rgb="FFB7B7B7"/>
      <name val="Arial"/>
    </font>
    <font>
      <b/>
      <sz val="10"/>
      <color rgb="FFFDFDFD"/>
      <name val="Arial"/>
    </font>
    <font>
      <b/>
      <sz val="10"/>
      <color rgb="FF000000"/>
      <name val="Arial"/>
    </font>
    <font>
      <b/>
      <sz val="10"/>
      <name val="Arial"/>
    </font>
    <font>
      <b/>
      <sz val="9"/>
      <color rgb="FFFFFF00"/>
      <name val="Arial"/>
    </font>
    <font>
      <sz val="10"/>
      <color rgb="FFFFFF00"/>
      <name val="Arial"/>
    </font>
    <font>
      <b/>
      <sz val="10"/>
      <color rgb="FFFFFF00"/>
      <name val="Arial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</fonts>
  <fills count="39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D9D9D9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FF0000"/>
        <bgColor rgb="FFFF0000"/>
      </patternFill>
    </fill>
    <fill>
      <patternFill patternType="solid">
        <fgColor rgb="FF666666"/>
        <bgColor rgb="FF666666"/>
      </patternFill>
    </fill>
    <fill>
      <patternFill patternType="solid">
        <fgColor rgb="FFB7B7B7"/>
        <bgColor rgb="FFB7B7B7"/>
      </patternFill>
    </fill>
    <fill>
      <patternFill patternType="solid">
        <fgColor rgb="FFCCC0DA"/>
        <bgColor rgb="FFCCC0DA"/>
      </patternFill>
    </fill>
  </fills>
  <borders count="7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FDFDFD"/>
      </left>
      <right style="thin">
        <color rgb="FFFDFDFD"/>
      </right>
      <top style="thin">
        <color rgb="FFFDFDFD"/>
      </top>
      <bottom/>
      <diagonal/>
    </border>
    <border>
      <left style="thin">
        <color rgb="FFFDFDFD"/>
      </left>
      <right/>
      <top style="thin">
        <color rgb="FFFDFDFD"/>
      </top>
      <bottom/>
      <diagonal/>
    </border>
    <border>
      <left style="thin">
        <color rgb="FFEFEFEF"/>
      </left>
      <right style="thin">
        <color rgb="FFEFEFEF"/>
      </right>
      <top style="thin">
        <color rgb="FFEFEFEF"/>
      </top>
      <bottom/>
      <diagonal/>
    </border>
    <border>
      <left/>
      <right style="thin">
        <color rgb="FFFDFDFD"/>
      </right>
      <top style="thin">
        <color rgb="FFFDFDFD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8DA782"/>
      </left>
      <right/>
      <top style="thin">
        <color rgb="FF8DA782"/>
      </top>
      <bottom/>
      <diagonal/>
    </border>
    <border>
      <left/>
      <right/>
      <top style="thin">
        <color rgb="FF8DA782"/>
      </top>
      <bottom/>
      <diagonal/>
    </border>
    <border>
      <left/>
      <right style="thin">
        <color rgb="FF8DA782"/>
      </right>
      <top style="thin">
        <color rgb="FF8DA782"/>
      </top>
      <bottom/>
      <diagonal/>
    </border>
    <border>
      <left style="thin">
        <color rgb="FF3C78D8"/>
      </left>
      <right style="thin">
        <color rgb="FF3C78D8"/>
      </right>
      <top style="thin">
        <color rgb="FF3C78D8"/>
      </top>
      <bottom style="thin">
        <color rgb="FF3C78D8"/>
      </bottom>
      <diagonal/>
    </border>
    <border>
      <left/>
      <right style="thin">
        <color rgb="FF3C78D8"/>
      </right>
      <top style="medium">
        <color rgb="FF3C78D8"/>
      </top>
      <bottom/>
      <diagonal/>
    </border>
    <border>
      <left style="thin">
        <color rgb="FF3C78D8"/>
      </left>
      <right style="thin">
        <color rgb="FF3C78D8"/>
      </right>
      <top style="medium">
        <color rgb="FF3C78D8"/>
      </top>
      <bottom/>
      <diagonal/>
    </border>
    <border>
      <left style="thick">
        <color rgb="FF3C78D8"/>
      </left>
      <right style="thin">
        <color rgb="FF3C78D8"/>
      </right>
      <top style="medium">
        <color rgb="FF3C78D8"/>
      </top>
      <bottom/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83">
    <xf numFmtId="0" fontId="0" fillId="0" borderId="0" xfId="0" applyFont="1" applyAlignment="1"/>
    <xf numFmtId="0" fontId="13" fillId="7" borderId="9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6" xfId="0" applyNumberFormat="1" applyFont="1" applyBorder="1" applyAlignment="1"/>
    <xf numFmtId="0" fontId="21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6" fillId="23" borderId="0" xfId="0" applyFont="1" applyFill="1" applyAlignment="1">
      <alignment horizontal="center" wrapText="1"/>
    </xf>
    <xf numFmtId="0" fontId="22" fillId="23" borderId="0" xfId="0" applyFont="1" applyFill="1" applyAlignment="1">
      <alignment horizontal="center" wrapText="1"/>
    </xf>
    <xf numFmtId="0" fontId="22" fillId="23" borderId="17" xfId="0" applyFont="1" applyFill="1" applyBorder="1" applyAlignment="1">
      <alignment horizontal="center" wrapText="1"/>
    </xf>
    <xf numFmtId="0" fontId="23" fillId="23" borderId="0" xfId="0" applyFont="1" applyFill="1" applyAlignment="1">
      <alignment horizontal="center"/>
    </xf>
    <xf numFmtId="0" fontId="6" fillId="8" borderId="18" xfId="0" applyFont="1" applyFill="1" applyBorder="1" applyAlignment="1">
      <alignment horizontal="center" wrapText="1"/>
    </xf>
    <xf numFmtId="0" fontId="6" fillId="8" borderId="19" xfId="0" applyFont="1" applyFill="1" applyBorder="1" applyAlignment="1">
      <alignment horizontal="center" wrapText="1"/>
    </xf>
    <xf numFmtId="49" fontId="24" fillId="24" borderId="19" xfId="0" applyNumberFormat="1" applyFont="1" applyFill="1" applyBorder="1" applyAlignment="1">
      <alignment horizontal="center" textRotation="90"/>
    </xf>
    <xf numFmtId="49" fontId="24" fillId="24" borderId="20" xfId="0" applyNumberFormat="1" applyFont="1" applyFill="1" applyBorder="1" applyAlignment="1">
      <alignment horizontal="center" textRotation="90" wrapText="1"/>
    </xf>
    <xf numFmtId="0" fontId="3" fillId="25" borderId="5" xfId="0" applyFont="1" applyFill="1" applyBorder="1" applyAlignment="1">
      <alignment horizontal="center" wrapText="1"/>
    </xf>
    <xf numFmtId="0" fontId="3" fillId="25" borderId="3" xfId="0" applyFont="1" applyFill="1" applyBorder="1" applyAlignment="1">
      <alignment horizontal="center" wrapText="1"/>
    </xf>
    <xf numFmtId="0" fontId="3" fillId="10" borderId="3" xfId="0" applyFont="1" applyFill="1" applyBorder="1" applyAlignment="1">
      <alignment horizontal="center" wrapText="1"/>
    </xf>
    <xf numFmtId="0" fontId="3" fillId="26" borderId="6" xfId="0" applyFont="1" applyFill="1" applyBorder="1" applyAlignment="1">
      <alignment horizontal="center" wrapText="1"/>
    </xf>
    <xf numFmtId="0" fontId="13" fillId="2" borderId="7" xfId="0" applyFont="1" applyFill="1" applyBorder="1" applyAlignment="1">
      <alignment horizontal="center" wrapText="1"/>
    </xf>
    <xf numFmtId="0" fontId="25" fillId="2" borderId="2" xfId="0" applyFont="1" applyFill="1" applyBorder="1" applyAlignment="1">
      <alignment horizontal="center" wrapText="1"/>
    </xf>
    <xf numFmtId="0" fontId="3" fillId="9" borderId="8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3" fillId="24" borderId="3" xfId="0" applyFont="1" applyFill="1" applyBorder="1" applyAlignment="1">
      <alignment horizontal="center" wrapText="1"/>
    </xf>
    <xf numFmtId="0" fontId="3" fillId="27" borderId="9" xfId="0" applyFont="1" applyFill="1" applyBorder="1" applyAlignment="1">
      <alignment horizontal="center" wrapText="1"/>
    </xf>
    <xf numFmtId="0" fontId="3" fillId="28" borderId="9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26" fillId="17" borderId="0" xfId="0" applyFont="1" applyFill="1" applyAlignment="1">
      <alignment wrapText="1"/>
    </xf>
    <xf numFmtId="0" fontId="27" fillId="30" borderId="0" xfId="0" applyFont="1" applyFill="1" applyAlignment="1">
      <alignment wrapText="1"/>
    </xf>
    <xf numFmtId="0" fontId="27" fillId="30" borderId="0" xfId="0" applyFont="1" applyFill="1" applyAlignment="1">
      <alignment horizontal="center" wrapText="1"/>
    </xf>
    <xf numFmtId="0" fontId="27" fillId="30" borderId="0" xfId="0" applyFont="1" applyFill="1"/>
    <xf numFmtId="0" fontId="2" fillId="18" borderId="0" xfId="0" applyFont="1" applyFill="1"/>
    <xf numFmtId="0" fontId="28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1" borderId="0" xfId="0" applyFont="1" applyFill="1"/>
    <xf numFmtId="0" fontId="28" fillId="31" borderId="0" xfId="0" applyFont="1" applyFill="1"/>
    <xf numFmtId="49" fontId="2" fillId="31" borderId="0" xfId="0" applyNumberFormat="1" applyFont="1" applyFill="1"/>
    <xf numFmtId="4" fontId="2" fillId="31" borderId="0" xfId="0" applyNumberFormat="1" applyFont="1" applyFill="1" applyAlignment="1">
      <alignment horizontal="center"/>
    </xf>
    <xf numFmtId="4" fontId="2" fillId="31" borderId="0" xfId="0" applyNumberFormat="1" applyFont="1" applyFill="1"/>
    <xf numFmtId="0" fontId="17" fillId="18" borderId="0" xfId="0" applyFont="1" applyFill="1"/>
    <xf numFmtId="0" fontId="18" fillId="18" borderId="0" xfId="0" applyFont="1" applyFill="1"/>
    <xf numFmtId="49" fontId="17" fillId="18" borderId="0" xfId="0" applyNumberFormat="1" applyFont="1" applyFill="1"/>
    <xf numFmtId="4" fontId="17" fillId="18" borderId="0" xfId="0" applyNumberFormat="1" applyFont="1" applyFill="1" applyAlignment="1">
      <alignment horizontal="center"/>
    </xf>
    <xf numFmtId="4" fontId="17" fillId="18" borderId="0" xfId="0" applyNumberFormat="1" applyFont="1" applyFill="1"/>
    <xf numFmtId="0" fontId="17" fillId="0" borderId="0" xfId="0" applyFont="1"/>
    <xf numFmtId="0" fontId="2" fillId="0" borderId="0" xfId="0" applyFont="1"/>
    <xf numFmtId="0" fontId="28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8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8" fillId="0" borderId="0" xfId="0" applyFont="1"/>
    <xf numFmtId="49" fontId="2" fillId="0" borderId="0" xfId="0" applyNumberFormat="1" applyFont="1"/>
    <xf numFmtId="0" fontId="10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49" fontId="24" fillId="0" borderId="0" xfId="0" applyNumberFormat="1" applyFont="1" applyAlignment="1">
      <alignment horizontal="center" vertical="center" textRotation="90"/>
    </xf>
    <xf numFmtId="49" fontId="24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textRotation="90" wrapText="1"/>
    </xf>
    <xf numFmtId="0" fontId="13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3" fillId="0" borderId="21" xfId="0" applyFont="1" applyBorder="1" applyAlignment="1">
      <alignment horizontal="center" wrapText="1"/>
    </xf>
    <xf numFmtId="166" fontId="9" fillId="0" borderId="21" xfId="0" applyNumberFormat="1" applyFont="1" applyBorder="1" applyAlignment="1">
      <alignment horizontal="center" wrapText="1"/>
    </xf>
    <xf numFmtId="0" fontId="8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textRotation="90" wrapText="1"/>
    </xf>
    <xf numFmtId="0" fontId="13" fillId="12" borderId="0" xfId="0" applyFont="1" applyFill="1" applyAlignment="1">
      <alignment horizontal="center" wrapText="1"/>
    </xf>
    <xf numFmtId="0" fontId="10" fillId="8" borderId="22" xfId="0" applyFont="1" applyFill="1" applyBorder="1" applyAlignment="1">
      <alignment horizontal="center" wrapText="1"/>
    </xf>
    <xf numFmtId="0" fontId="3" fillId="8" borderId="22" xfId="0" applyFont="1" applyFill="1" applyBorder="1" applyAlignment="1">
      <alignment horizontal="center" wrapText="1"/>
    </xf>
    <xf numFmtId="0" fontId="29" fillId="8" borderId="22" xfId="0" applyFont="1" applyFill="1" applyBorder="1" applyAlignment="1">
      <alignment horizontal="center" wrapText="1"/>
    </xf>
    <xf numFmtId="0" fontId="6" fillId="8" borderId="22" xfId="0" applyFont="1" applyFill="1" applyBorder="1" applyAlignment="1">
      <alignment horizontal="center" wrapText="1"/>
    </xf>
    <xf numFmtId="49" fontId="24" fillId="12" borderId="22" xfId="0" applyNumberFormat="1" applyFont="1" applyFill="1" applyBorder="1" applyAlignment="1">
      <alignment horizontal="center" vertical="center" textRotation="90"/>
    </xf>
    <xf numFmtId="49" fontId="24" fillId="12" borderId="22" xfId="0" applyNumberFormat="1" applyFont="1" applyFill="1" applyBorder="1" applyAlignment="1">
      <alignment horizontal="center" textRotation="90" wrapText="1"/>
    </xf>
    <xf numFmtId="0" fontId="3" fillId="25" borderId="23" xfId="0" applyFont="1" applyFill="1" applyBorder="1" applyAlignment="1">
      <alignment horizontal="center" wrapText="1"/>
    </xf>
    <xf numFmtId="0" fontId="3" fillId="10" borderId="23" xfId="0" applyFont="1" applyFill="1" applyBorder="1" applyAlignment="1">
      <alignment horizontal="center" wrapText="1"/>
    </xf>
    <xf numFmtId="0" fontId="3" fillId="26" borderId="23" xfId="0" applyFont="1" applyFill="1" applyBorder="1" applyAlignment="1">
      <alignment horizontal="center" wrapText="1"/>
    </xf>
    <xf numFmtId="0" fontId="13" fillId="2" borderId="23" xfId="0" applyFont="1" applyFill="1" applyBorder="1" applyAlignment="1">
      <alignment horizontal="center" wrapText="1"/>
    </xf>
    <xf numFmtId="0" fontId="25" fillId="2" borderId="23" xfId="0" applyFont="1" applyFill="1" applyBorder="1" applyAlignment="1">
      <alignment horizontal="center" wrapText="1"/>
    </xf>
    <xf numFmtId="0" fontId="3" fillId="9" borderId="23" xfId="0" applyFont="1" applyFill="1" applyBorder="1" applyAlignment="1">
      <alignment horizontal="center" wrapText="1"/>
    </xf>
    <xf numFmtId="0" fontId="3" fillId="2" borderId="23" xfId="0" applyFont="1" applyFill="1" applyBorder="1" applyAlignment="1">
      <alignment horizontal="center" wrapText="1"/>
    </xf>
    <xf numFmtId="0" fontId="3" fillId="24" borderId="23" xfId="0" applyFont="1" applyFill="1" applyBorder="1" applyAlignment="1">
      <alignment horizontal="center" wrapText="1"/>
    </xf>
    <xf numFmtId="0" fontId="3" fillId="27" borderId="23" xfId="0" applyFont="1" applyFill="1" applyBorder="1" applyAlignment="1">
      <alignment horizontal="center" wrapText="1"/>
    </xf>
    <xf numFmtId="0" fontId="3" fillId="28" borderId="23" xfId="0" applyFont="1" applyFill="1" applyBorder="1" applyAlignment="1">
      <alignment horizontal="center" wrapText="1"/>
    </xf>
    <xf numFmtId="0" fontId="7" fillId="29" borderId="23" xfId="0" applyFont="1" applyFill="1" applyBorder="1" applyAlignment="1">
      <alignment horizontal="center" wrapText="1"/>
    </xf>
    <xf numFmtId="0" fontId="3" fillId="32" borderId="23" xfId="0" applyFont="1" applyFill="1" applyBorder="1" applyAlignment="1">
      <alignment horizontal="center" wrapText="1"/>
    </xf>
    <xf numFmtId="0" fontId="3" fillId="5" borderId="23" xfId="0" applyFont="1" applyFill="1" applyBorder="1" applyAlignment="1">
      <alignment horizontal="center" wrapText="1"/>
    </xf>
    <xf numFmtId="0" fontId="8" fillId="4" borderId="22" xfId="0" applyFont="1" applyFill="1" applyBorder="1" applyAlignment="1">
      <alignment horizontal="center" wrapText="1"/>
    </xf>
    <xf numFmtId="0" fontId="15" fillId="3" borderId="22" xfId="0" applyFont="1" applyFill="1" applyBorder="1" applyAlignment="1">
      <alignment horizontal="center" wrapText="1"/>
    </xf>
    <xf numFmtId="0" fontId="15" fillId="33" borderId="22" xfId="0" applyFont="1" applyFill="1" applyBorder="1" applyAlignment="1">
      <alignment horizontal="center" textRotation="90" wrapText="1"/>
    </xf>
    <xf numFmtId="0" fontId="13" fillId="7" borderId="22" xfId="0" applyFont="1" applyFill="1" applyBorder="1" applyAlignment="1">
      <alignment horizontal="center" wrapText="1"/>
    </xf>
    <xf numFmtId="0" fontId="13" fillId="14" borderId="22" xfId="0" applyFont="1" applyFill="1" applyBorder="1" applyAlignment="1">
      <alignment horizontal="center" wrapText="1"/>
    </xf>
    <xf numFmtId="0" fontId="16" fillId="15" borderId="22" xfId="0" applyFont="1" applyFill="1" applyBorder="1" applyAlignment="1">
      <alignment horizontal="center" wrapText="1"/>
    </xf>
    <xf numFmtId="0" fontId="30" fillId="34" borderId="24" xfId="0" applyFont="1" applyFill="1" applyBorder="1"/>
    <xf numFmtId="0" fontId="30" fillId="23" borderId="25" xfId="0" applyFont="1" applyFill="1" applyBorder="1"/>
    <xf numFmtId="0" fontId="30" fillId="23" borderId="25" xfId="0" applyFont="1" applyFill="1" applyBorder="1" applyAlignment="1">
      <alignment horizontal="center"/>
    </xf>
    <xf numFmtId="0" fontId="30" fillId="6" borderId="25" xfId="0" applyFont="1" applyFill="1" applyBorder="1"/>
    <xf numFmtId="0" fontId="30" fillId="6" borderId="25" xfId="0" applyFont="1" applyFill="1" applyBorder="1" applyAlignment="1">
      <alignment horizontal="center"/>
    </xf>
    <xf numFmtId="0" fontId="30" fillId="34" borderId="25" xfId="0" applyFont="1" applyFill="1" applyBorder="1"/>
    <xf numFmtId="0" fontId="30" fillId="23" borderId="26" xfId="0" applyFont="1" applyFill="1" applyBorder="1"/>
    <xf numFmtId="0" fontId="2" fillId="20" borderId="24" xfId="0" applyFont="1" applyFill="1" applyBorder="1"/>
    <xf numFmtId="0" fontId="2" fillId="20" borderId="25" xfId="0" applyFont="1" applyFill="1" applyBorder="1"/>
    <xf numFmtId="0" fontId="28" fillId="20" borderId="25" xfId="0" applyFont="1" applyFill="1" applyBorder="1"/>
    <xf numFmtId="0" fontId="2" fillId="20" borderId="25" xfId="0" applyFont="1" applyFill="1" applyBorder="1" applyAlignment="1">
      <alignment horizontal="center"/>
    </xf>
    <xf numFmtId="0" fontId="2" fillId="20" borderId="26" xfId="0" applyFont="1" applyFill="1" applyBorder="1"/>
    <xf numFmtId="0" fontId="2" fillId="20" borderId="25" xfId="0" applyFont="1" applyFill="1" applyBorder="1" applyAlignment="1"/>
    <xf numFmtId="0" fontId="2" fillId="20" borderId="24" xfId="0" applyFont="1" applyFill="1" applyBorder="1" applyAlignment="1">
      <alignment horizontal="center"/>
    </xf>
    <xf numFmtId="0" fontId="2" fillId="20" borderId="27" xfId="0" applyFont="1" applyFill="1" applyBorder="1" applyAlignment="1">
      <alignment horizontal="center"/>
    </xf>
    <xf numFmtId="0" fontId="2" fillId="20" borderId="0" xfId="0" applyFont="1" applyFill="1"/>
    <xf numFmtId="0" fontId="2" fillId="20" borderId="27" xfId="0" applyFont="1" applyFill="1" applyBorder="1"/>
    <xf numFmtId="0" fontId="28" fillId="20" borderId="27" xfId="0" applyFont="1" applyFill="1" applyBorder="1"/>
    <xf numFmtId="0" fontId="2" fillId="20" borderId="0" xfId="0" applyFont="1" applyFill="1" applyAlignment="1">
      <alignment horizontal="center"/>
    </xf>
    <xf numFmtId="0" fontId="2" fillId="20" borderId="28" xfId="0" applyFont="1" applyFill="1" applyBorder="1"/>
    <xf numFmtId="0" fontId="2" fillId="20" borderId="29" xfId="0" applyFont="1" applyFill="1" applyBorder="1"/>
    <xf numFmtId="0" fontId="28" fillId="20" borderId="0" xfId="0" applyFont="1" applyFill="1"/>
    <xf numFmtId="0" fontId="2" fillId="20" borderId="30" xfId="0" applyFont="1" applyFill="1" applyBorder="1"/>
    <xf numFmtId="0" fontId="2" fillId="0" borderId="31" xfId="0" applyFont="1" applyBorder="1"/>
    <xf numFmtId="0" fontId="28" fillId="0" borderId="31" xfId="0" applyFont="1" applyBorder="1"/>
    <xf numFmtId="0" fontId="2" fillId="0" borderId="31" xfId="0" applyFont="1" applyBorder="1" applyAlignment="1">
      <alignment horizontal="center"/>
    </xf>
    <xf numFmtId="0" fontId="2" fillId="0" borderId="25" xfId="0" applyFont="1" applyBorder="1"/>
    <xf numFmtId="165" fontId="2" fillId="0" borderId="0" xfId="0" applyNumberFormat="1" applyFont="1"/>
    <xf numFmtId="49" fontId="24" fillId="0" borderId="0" xfId="0" applyNumberFormat="1" applyFont="1" applyAlignment="1">
      <alignment horizontal="center" textRotation="90"/>
    </xf>
    <xf numFmtId="49" fontId="24" fillId="0" borderId="0" xfId="0" applyNumberFormat="1" applyFont="1" applyAlignment="1">
      <alignment horizontal="center"/>
    </xf>
    <xf numFmtId="49" fontId="27" fillId="30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3" borderId="0" xfId="0" applyFont="1" applyFill="1"/>
    <xf numFmtId="0" fontId="28" fillId="23" borderId="0" xfId="0" applyFont="1" applyFill="1"/>
    <xf numFmtId="49" fontId="2" fillId="23" borderId="0" xfId="0" applyNumberFormat="1" applyFont="1" applyFill="1" applyAlignment="1">
      <alignment horizontal="center"/>
    </xf>
    <xf numFmtId="4" fontId="2" fillId="23" borderId="0" xfId="0" applyNumberFormat="1" applyFont="1" applyFill="1" applyAlignment="1">
      <alignment horizontal="center"/>
    </xf>
    <xf numFmtId="4" fontId="2" fillId="23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32" fillId="3" borderId="34" xfId="0" applyFont="1" applyFill="1" applyBorder="1" applyAlignment="1">
      <alignment horizontal="center" vertical="center" wrapText="1"/>
    </xf>
    <xf numFmtId="0" fontId="11" fillId="3" borderId="36" xfId="0" applyFont="1" applyFill="1" applyBorder="1" applyAlignment="1">
      <alignment horizontal="center" vertical="center" wrapText="1"/>
    </xf>
    <xf numFmtId="4" fontId="33" fillId="21" borderId="40" xfId="0" applyNumberFormat="1" applyFont="1" applyFill="1" applyBorder="1" applyAlignment="1">
      <alignment horizontal="center" wrapText="1"/>
    </xf>
    <xf numFmtId="0" fontId="34" fillId="19" borderId="41" xfId="0" applyFont="1" applyFill="1" applyBorder="1" applyAlignment="1">
      <alignment horizontal="center" vertical="center" wrapText="1"/>
    </xf>
    <xf numFmtId="49" fontId="24" fillId="19" borderId="41" xfId="0" applyNumberFormat="1" applyFont="1" applyFill="1" applyBorder="1" applyAlignment="1">
      <alignment horizontal="center" vertical="center" textRotation="90"/>
    </xf>
    <xf numFmtId="49" fontId="24" fillId="19" borderId="41" xfId="0" applyNumberFormat="1" applyFont="1" applyFill="1" applyBorder="1" applyAlignment="1">
      <alignment horizontal="center" vertical="center" textRotation="90" wrapText="1"/>
    </xf>
    <xf numFmtId="0" fontId="12" fillId="2" borderId="41" xfId="0" applyFont="1" applyFill="1" applyBorder="1" applyAlignment="1">
      <alignment horizontal="center" vertical="center" wrapText="1"/>
    </xf>
    <xf numFmtId="0" fontId="13" fillId="2" borderId="41" xfId="0" applyFont="1" applyFill="1" applyBorder="1" applyAlignment="1">
      <alignment horizontal="center" vertical="center" wrapText="1"/>
    </xf>
    <xf numFmtId="0" fontId="14" fillId="3" borderId="41" xfId="0" applyFont="1" applyFill="1" applyBorder="1" applyAlignment="1">
      <alignment horizontal="center" vertical="center" wrapText="1"/>
    </xf>
    <xf numFmtId="0" fontId="35" fillId="16" borderId="0" xfId="0" applyFont="1" applyFill="1"/>
    <xf numFmtId="0" fontId="36" fillId="16" borderId="0" xfId="0" applyFont="1" applyFill="1" applyAlignment="1">
      <alignment horizontal="center" wrapText="1"/>
    </xf>
    <xf numFmtId="0" fontId="36" fillId="16" borderId="42" xfId="0" applyFont="1" applyFill="1" applyBorder="1" applyAlignment="1">
      <alignment horizontal="center" wrapText="1"/>
    </xf>
    <xf numFmtId="0" fontId="2" fillId="18" borderId="1" xfId="0" applyFont="1" applyFill="1" applyBorder="1"/>
    <xf numFmtId="0" fontId="28" fillId="18" borderId="1" xfId="0" applyFont="1" applyFill="1" applyBorder="1"/>
    <xf numFmtId="49" fontId="2" fillId="18" borderId="1" xfId="0" applyNumberFormat="1" applyFont="1" applyFill="1" applyBorder="1" applyAlignment="1">
      <alignment horizontal="center"/>
    </xf>
    <xf numFmtId="4" fontId="2" fillId="18" borderId="1" xfId="0" applyNumberFormat="1" applyFont="1" applyFill="1" applyBorder="1"/>
    <xf numFmtId="4" fontId="2" fillId="18" borderId="43" xfId="0" applyNumberFormat="1" applyFont="1" applyFill="1" applyBorder="1"/>
    <xf numFmtId="4" fontId="2" fillId="18" borderId="7" xfId="0" applyNumberFormat="1" applyFont="1" applyFill="1" applyBorder="1" applyAlignment="1"/>
    <xf numFmtId="0" fontId="2" fillId="19" borderId="7" xfId="0" applyFont="1" applyFill="1" applyBorder="1"/>
    <xf numFmtId="0" fontId="28" fillId="19" borderId="7" xfId="0" applyFont="1" applyFill="1" applyBorder="1"/>
    <xf numFmtId="49" fontId="2" fillId="19" borderId="7" xfId="0" applyNumberFormat="1" applyFont="1" applyFill="1" applyBorder="1" applyAlignment="1">
      <alignment horizontal="center"/>
    </xf>
    <xf numFmtId="4" fontId="2" fillId="19" borderId="7" xfId="0" applyNumberFormat="1" applyFont="1" applyFill="1" applyBorder="1"/>
    <xf numFmtId="4" fontId="2" fillId="19" borderId="7" xfId="0" applyNumberFormat="1" applyFont="1" applyFill="1" applyBorder="1" applyAlignment="1"/>
    <xf numFmtId="0" fontId="2" fillId="18" borderId="7" xfId="0" applyFont="1" applyFill="1" applyBorder="1"/>
    <xf numFmtId="0" fontId="28" fillId="18" borderId="7" xfId="0" applyFont="1" applyFill="1" applyBorder="1"/>
    <xf numFmtId="49" fontId="2" fillId="18" borderId="7" xfId="0" applyNumberFormat="1" applyFont="1" applyFill="1" applyBorder="1" applyAlignment="1">
      <alignment horizontal="center"/>
    </xf>
    <xf numFmtId="4" fontId="2" fillId="18" borderId="7" xfId="0" applyNumberFormat="1" applyFont="1" applyFill="1" applyBorder="1"/>
    <xf numFmtId="0" fontId="17" fillId="18" borderId="7" xfId="0" applyFont="1" applyFill="1" applyBorder="1"/>
    <xf numFmtId="0" fontId="18" fillId="18" borderId="7" xfId="0" applyFont="1" applyFill="1" applyBorder="1"/>
    <xf numFmtId="4" fontId="17" fillId="18" borderId="7" xfId="0" applyNumberFormat="1" applyFont="1" applyFill="1" applyBorder="1"/>
    <xf numFmtId="0" fontId="17" fillId="19" borderId="7" xfId="0" applyFont="1" applyFill="1" applyBorder="1"/>
    <xf numFmtId="0" fontId="18" fillId="19" borderId="7" xfId="0" applyFont="1" applyFill="1" applyBorder="1"/>
    <xf numFmtId="49" fontId="17" fillId="19" borderId="7" xfId="0" applyNumberFormat="1" applyFont="1" applyFill="1" applyBorder="1" applyAlignment="1">
      <alignment horizontal="center"/>
    </xf>
    <xf numFmtId="4" fontId="17" fillId="19" borderId="7" xfId="0" applyNumberFormat="1" applyFont="1" applyFill="1" applyBorder="1"/>
    <xf numFmtId="49" fontId="2" fillId="19" borderId="7" xfId="0" applyNumberFormat="1" applyFont="1" applyFill="1" applyBorder="1" applyAlignment="1">
      <alignment horizontal="center"/>
    </xf>
    <xf numFmtId="0" fontId="2" fillId="19" borderId="7" xfId="0" applyFont="1" applyFill="1" applyBorder="1"/>
    <xf numFmtId="0" fontId="28" fillId="19" borderId="7" xfId="0" applyFont="1" applyFill="1" applyBorder="1"/>
    <xf numFmtId="0" fontId="2" fillId="18" borderId="7" xfId="0" applyFont="1" applyFill="1" applyBorder="1"/>
    <xf numFmtId="0" fontId="28" fillId="18" borderId="7" xfId="0" applyFont="1" applyFill="1" applyBorder="1"/>
    <xf numFmtId="49" fontId="2" fillId="18" borderId="0" xfId="0" applyNumberFormat="1" applyFont="1" applyFill="1" applyAlignment="1">
      <alignment horizontal="center"/>
    </xf>
    <xf numFmtId="0" fontId="2" fillId="19" borderId="0" xfId="0" applyFont="1" applyFill="1"/>
    <xf numFmtId="49" fontId="2" fillId="19" borderId="0" xfId="0" applyNumberFormat="1" applyFont="1" applyFill="1" applyAlignment="1">
      <alignment horizontal="center"/>
    </xf>
    <xf numFmtId="4" fontId="2" fillId="19" borderId="0" xfId="0" applyNumberFormat="1" applyFont="1" applyFill="1"/>
    <xf numFmtId="0" fontId="2" fillId="18" borderId="4" xfId="0" applyFont="1" applyFill="1" applyBorder="1"/>
    <xf numFmtId="0" fontId="28" fillId="18" borderId="4" xfId="0" applyFont="1" applyFill="1" applyBorder="1"/>
    <xf numFmtId="49" fontId="2" fillId="18" borderId="4" xfId="0" applyNumberFormat="1" applyFont="1" applyFill="1" applyBorder="1" applyAlignment="1">
      <alignment horizontal="center"/>
    </xf>
    <xf numFmtId="4" fontId="2" fillId="18" borderId="4" xfId="0" applyNumberFormat="1" applyFont="1" applyFill="1" applyBorder="1"/>
    <xf numFmtId="0" fontId="28" fillId="19" borderId="0" xfId="0" applyFont="1" applyFill="1"/>
    <xf numFmtId="0" fontId="23" fillId="18" borderId="0" xfId="0" applyFont="1" applyFill="1"/>
    <xf numFmtId="0" fontId="6" fillId="0" borderId="44" xfId="0" applyFont="1" applyBorder="1" applyAlignment="1">
      <alignment horizontal="center" vertical="center" wrapText="1"/>
    </xf>
    <xf numFmtId="0" fontId="6" fillId="0" borderId="45" xfId="0" applyFont="1" applyBorder="1" applyAlignment="1">
      <alignment horizontal="center" vertical="center" wrapText="1"/>
    </xf>
    <xf numFmtId="0" fontId="37" fillId="0" borderId="46" xfId="0" applyFont="1" applyBorder="1" applyAlignment="1">
      <alignment horizontal="center" vertical="center" wrapText="1"/>
    </xf>
    <xf numFmtId="4" fontId="9" fillId="0" borderId="47" xfId="0" applyNumberFormat="1" applyFont="1" applyBorder="1" applyAlignment="1">
      <alignment horizontal="center" vertical="center" wrapText="1"/>
    </xf>
    <xf numFmtId="49" fontId="24" fillId="0" borderId="44" xfId="0" applyNumberFormat="1" applyFont="1" applyBorder="1" applyAlignment="1">
      <alignment horizontal="center" textRotation="90"/>
    </xf>
    <xf numFmtId="49" fontId="24" fillId="0" borderId="45" xfId="0" applyNumberFormat="1" applyFont="1" applyBorder="1" applyAlignment="1">
      <alignment horizontal="left" textRotation="90" wrapText="1"/>
    </xf>
    <xf numFmtId="0" fontId="9" fillId="11" borderId="48" xfId="0" applyFont="1" applyFill="1" applyBorder="1" applyAlignment="1">
      <alignment horizontal="center" wrapText="1"/>
    </xf>
    <xf numFmtId="4" fontId="9" fillId="11" borderId="48" xfId="0" applyNumberFormat="1" applyFont="1" applyFill="1" applyBorder="1" applyAlignment="1">
      <alignment horizontal="center" wrapText="1"/>
    </xf>
    <xf numFmtId="0" fontId="6" fillId="2" borderId="48" xfId="0" applyFont="1" applyFill="1" applyBorder="1" applyAlignment="1">
      <alignment horizontal="center" vertical="center" wrapText="1"/>
    </xf>
    <xf numFmtId="49" fontId="38" fillId="2" borderId="48" xfId="0" applyNumberFormat="1" applyFont="1" applyFill="1" applyBorder="1" applyAlignment="1">
      <alignment horizontal="center" vertical="center" textRotation="90"/>
    </xf>
    <xf numFmtId="49" fontId="38" fillId="2" borderId="48" xfId="0" applyNumberFormat="1" applyFont="1" applyFill="1" applyBorder="1" applyAlignment="1">
      <alignment horizontal="left" vertical="center" textRotation="90" wrapText="1"/>
    </xf>
    <xf numFmtId="0" fontId="6" fillId="3" borderId="48" xfId="0" applyFont="1" applyFill="1" applyBorder="1" applyAlignment="1">
      <alignment horizontal="center" vertical="center" wrapText="1"/>
    </xf>
    <xf numFmtId="0" fontId="6" fillId="3" borderId="48" xfId="0" applyFont="1" applyFill="1" applyBorder="1" applyAlignment="1">
      <alignment horizontal="center" vertical="center" wrapText="1"/>
    </xf>
    <xf numFmtId="0" fontId="39" fillId="16" borderId="49" xfId="0" applyFont="1" applyFill="1" applyBorder="1"/>
    <xf numFmtId="0" fontId="39" fillId="16" borderId="49" xfId="0" applyFont="1" applyFill="1" applyBorder="1" applyAlignment="1">
      <alignment horizontal="center"/>
    </xf>
    <xf numFmtId="0" fontId="39" fillId="16" borderId="49" xfId="0" applyFont="1" applyFill="1" applyBorder="1" applyAlignment="1">
      <alignment horizontal="left"/>
    </xf>
    <xf numFmtId="0" fontId="40" fillId="0" borderId="0" xfId="0" applyFont="1"/>
    <xf numFmtId="0" fontId="40" fillId="0" borderId="50" xfId="0" applyFont="1" applyBorder="1"/>
    <xf numFmtId="0" fontId="4" fillId="0" borderId="50" xfId="0" applyFont="1" applyBorder="1"/>
    <xf numFmtId="0" fontId="40" fillId="0" borderId="50" xfId="0" applyFont="1" applyBorder="1" applyAlignment="1">
      <alignment horizontal="center"/>
    </xf>
    <xf numFmtId="0" fontId="40" fillId="0" borderId="50" xfId="0" applyFont="1" applyBorder="1" applyAlignment="1">
      <alignment horizontal="left"/>
    </xf>
    <xf numFmtId="4" fontId="40" fillId="0" borderId="50" xfId="0" applyNumberFormat="1" applyFont="1" applyBorder="1"/>
    <xf numFmtId="0" fontId="41" fillId="0" borderId="50" xfId="0" applyFont="1" applyBorder="1"/>
    <xf numFmtId="0" fontId="28" fillId="0" borderId="50" xfId="0" applyFont="1" applyBorder="1"/>
    <xf numFmtId="0" fontId="41" fillId="0" borderId="50" xfId="0" applyFont="1" applyBorder="1" applyAlignment="1">
      <alignment horizontal="center"/>
    </xf>
    <xf numFmtId="0" fontId="41" fillId="0" borderId="50" xfId="0" applyFont="1" applyBorder="1" applyAlignment="1">
      <alignment horizontal="left"/>
    </xf>
    <xf numFmtId="4" fontId="41" fillId="0" borderId="50" xfId="0" applyNumberFormat="1" applyFont="1" applyBorder="1"/>
    <xf numFmtId="0" fontId="2" fillId="0" borderId="50" xfId="0" applyFont="1" applyBorder="1"/>
    <xf numFmtId="0" fontId="2" fillId="0" borderId="50" xfId="0" applyFont="1" applyBorder="1" applyAlignment="1">
      <alignment horizontal="center"/>
    </xf>
    <xf numFmtId="0" fontId="2" fillId="0" borderId="50" xfId="0" applyFont="1" applyBorder="1" applyAlignment="1">
      <alignment horizontal="left"/>
    </xf>
    <xf numFmtId="4" fontId="2" fillId="0" borderId="50" xfId="0" applyNumberFormat="1" applyFont="1" applyBorder="1"/>
    <xf numFmtId="0" fontId="2" fillId="0" borderId="0" xfId="0" applyFont="1" applyAlignment="1">
      <alignment horizontal="left"/>
    </xf>
    <xf numFmtId="0" fontId="2" fillId="0" borderId="51" xfId="0" applyFont="1" applyBorder="1"/>
    <xf numFmtId="4" fontId="33" fillId="31" borderId="41" xfId="0" applyNumberFormat="1" applyFont="1" applyFill="1" applyBorder="1" applyAlignment="1">
      <alignment horizontal="center" wrapText="1"/>
    </xf>
    <xf numFmtId="0" fontId="34" fillId="8" borderId="41" xfId="0" applyFont="1" applyFill="1" applyBorder="1" applyAlignment="1">
      <alignment horizontal="center" vertical="center" wrapText="1"/>
    </xf>
    <xf numFmtId="0" fontId="3" fillId="5" borderId="53" xfId="0" applyFont="1" applyFill="1" applyBorder="1"/>
    <xf numFmtId="0" fontId="3" fillId="5" borderId="53" xfId="0" applyFont="1" applyFill="1" applyBorder="1" applyAlignment="1">
      <alignment wrapText="1"/>
    </xf>
    <xf numFmtId="0" fontId="3" fillId="5" borderId="53" xfId="0" applyFont="1" applyFill="1" applyBorder="1" applyAlignment="1">
      <alignment horizontal="center"/>
    </xf>
    <xf numFmtId="0" fontId="2" fillId="5" borderId="53" xfId="0" applyFont="1" applyFill="1" applyBorder="1" applyAlignment="1"/>
    <xf numFmtId="0" fontId="3" fillId="5" borderId="53" xfId="0" applyFont="1" applyFill="1" applyBorder="1" applyAlignment="1">
      <alignment horizontal="center"/>
    </xf>
    <xf numFmtId="0" fontId="2" fillId="0" borderId="0" xfId="0" applyFont="1" applyAlignment="1"/>
    <xf numFmtId="49" fontId="2" fillId="19" borderId="7" xfId="0" applyNumberFormat="1" applyFont="1" applyFill="1" applyBorder="1"/>
    <xf numFmtId="0" fontId="23" fillId="5" borderId="53" xfId="0" applyFont="1" applyFill="1" applyBorder="1" applyAlignment="1">
      <alignment horizontal="center" wrapText="1"/>
    </xf>
    <xf numFmtId="0" fontId="2" fillId="5" borderId="53" xfId="0" applyFont="1" applyFill="1" applyBorder="1" applyAlignment="1">
      <alignment horizontal="center" wrapText="1"/>
    </xf>
    <xf numFmtId="0" fontId="23" fillId="5" borderId="53" xfId="0" applyFont="1" applyFill="1" applyBorder="1"/>
    <xf numFmtId="0" fontId="2" fillId="0" borderId="0" xfId="0" applyFont="1" applyAlignment="1">
      <alignment horizontal="center" wrapText="1"/>
    </xf>
    <xf numFmtId="0" fontId="23" fillId="5" borderId="53" xfId="0" applyFont="1" applyFill="1" applyBorder="1" applyAlignment="1">
      <alignment horizontal="center" vertical="center" wrapText="1"/>
    </xf>
    <xf numFmtId="0" fontId="2" fillId="5" borderId="53" xfId="0" applyFont="1" applyFill="1" applyBorder="1" applyAlignment="1">
      <alignment horizontal="center" vertical="center" wrapText="1"/>
    </xf>
    <xf numFmtId="0" fontId="23" fillId="5" borderId="53" xfId="0" applyFont="1" applyFill="1" applyBorder="1" applyAlignment="1">
      <alignment vertical="center"/>
    </xf>
    <xf numFmtId="49" fontId="44" fillId="3" borderId="41" xfId="0" applyNumberFormat="1" applyFont="1" applyFill="1" applyBorder="1" applyAlignment="1">
      <alignment horizontal="center" vertical="center" textRotation="90"/>
    </xf>
    <xf numFmtId="49" fontId="44" fillId="3" borderId="41" xfId="0" applyNumberFormat="1" applyFont="1" applyFill="1" applyBorder="1" applyAlignment="1">
      <alignment horizontal="center" vertical="center" textRotation="90" wrapText="1"/>
    </xf>
    <xf numFmtId="0" fontId="44" fillId="3" borderId="41" xfId="0" applyFont="1" applyFill="1" applyBorder="1" applyAlignment="1">
      <alignment horizontal="center" vertical="center" wrapText="1"/>
    </xf>
    <xf numFmtId="0" fontId="44" fillId="3" borderId="41" xfId="0" applyFont="1" applyFill="1" applyBorder="1" applyAlignment="1">
      <alignment horizontal="center" vertical="center" wrapText="1"/>
    </xf>
    <xf numFmtId="0" fontId="45" fillId="3" borderId="41" xfId="0" applyFont="1" applyFill="1" applyBorder="1" applyAlignment="1">
      <alignment horizontal="center" vertical="center" wrapText="1"/>
    </xf>
    <xf numFmtId="0" fontId="46" fillId="16" borderId="54" xfId="0" applyFont="1" applyFill="1" applyBorder="1"/>
    <xf numFmtId="0" fontId="43" fillId="16" borderId="55" xfId="0" applyFont="1" applyFill="1" applyBorder="1" applyAlignment="1">
      <alignment horizontal="center" wrapText="1"/>
    </xf>
    <xf numFmtId="49" fontId="43" fillId="16" borderId="55" xfId="0" applyNumberFormat="1" applyFont="1" applyFill="1" applyBorder="1" applyAlignment="1">
      <alignment horizontal="center" wrapText="1"/>
    </xf>
    <xf numFmtId="0" fontId="43" fillId="16" borderId="56" xfId="0" applyFont="1" applyFill="1" applyBorder="1" applyAlignment="1">
      <alignment horizontal="center" wrapText="1"/>
    </xf>
    <xf numFmtId="0" fontId="3" fillId="0" borderId="0" xfId="0" applyFont="1"/>
    <xf numFmtId="0" fontId="2" fillId="0" borderId="0" xfId="0" applyFont="1" applyAlignment="1">
      <alignment horizontal="center" vertical="center" wrapText="1"/>
    </xf>
    <xf numFmtId="0" fontId="47" fillId="0" borderId="0" xfId="0" applyFont="1" applyAlignment="1"/>
    <xf numFmtId="0" fontId="3" fillId="0" borderId="0" xfId="0" applyFont="1" applyAlignment="1">
      <alignment horizontal="left" vertical="center"/>
    </xf>
    <xf numFmtId="0" fontId="48" fillId="21" borderId="57" xfId="0" applyFont="1" applyFill="1" applyBorder="1" applyAlignment="1"/>
    <xf numFmtId="0" fontId="2" fillId="0" borderId="22" xfId="0" applyFont="1" applyBorder="1" applyAlignment="1"/>
    <xf numFmtId="0" fontId="2" fillId="0" borderId="22" xfId="0" applyFont="1" applyBorder="1"/>
    <xf numFmtId="0" fontId="2" fillId="0" borderId="0" xfId="0" applyFont="1" applyAlignment="1"/>
    <xf numFmtId="0" fontId="9" fillId="25" borderId="58" xfId="0" applyFont="1" applyFill="1" applyBorder="1" applyAlignment="1">
      <alignment horizontal="center" vertical="center" wrapText="1"/>
    </xf>
    <xf numFmtId="0" fontId="3" fillId="14" borderId="59" xfId="0" applyFont="1" applyFill="1" applyBorder="1" applyAlignment="1">
      <alignment horizontal="center" wrapText="1"/>
    </xf>
    <xf numFmtId="0" fontId="3" fillId="12" borderId="59" xfId="0" applyFont="1" applyFill="1" applyBorder="1" applyAlignment="1">
      <alignment horizontal="center" wrapText="1"/>
    </xf>
    <xf numFmtId="0" fontId="3" fillId="25" borderId="59" xfId="0" applyFont="1" applyFill="1" applyBorder="1" applyAlignment="1">
      <alignment horizontal="center" wrapText="1"/>
    </xf>
    <xf numFmtId="0" fontId="3" fillId="12" borderId="20" xfId="0" applyFont="1" applyFill="1" applyBorder="1" applyAlignment="1">
      <alignment horizontal="center" wrapText="1"/>
    </xf>
    <xf numFmtId="0" fontId="3" fillId="14" borderId="60" xfId="0" applyFont="1" applyFill="1" applyBorder="1" applyAlignment="1">
      <alignment horizontal="center" wrapText="1"/>
    </xf>
    <xf numFmtId="0" fontId="49" fillId="36" borderId="59" xfId="0" applyFont="1" applyFill="1" applyBorder="1" applyAlignment="1">
      <alignment horizontal="center" wrapText="1"/>
    </xf>
    <xf numFmtId="0" fontId="5" fillId="26" borderId="41" xfId="0" applyFont="1" applyFill="1" applyBorder="1" applyAlignment="1">
      <alignment horizontal="left"/>
    </xf>
    <xf numFmtId="0" fontId="0" fillId="26" borderId="41" xfId="0" applyFont="1" applyFill="1" applyBorder="1" applyAlignment="1">
      <alignment horizontal="right"/>
    </xf>
    <xf numFmtId="0" fontId="50" fillId="26" borderId="41" xfId="0" applyFont="1" applyFill="1" applyBorder="1" applyAlignment="1">
      <alignment horizontal="right"/>
    </xf>
    <xf numFmtId="10" fontId="2" fillId="0" borderId="0" xfId="0" applyNumberFormat="1" applyFont="1"/>
    <xf numFmtId="167" fontId="2" fillId="0" borderId="0" xfId="0" applyNumberFormat="1" applyFont="1"/>
    <xf numFmtId="0" fontId="20" fillId="10" borderId="41" xfId="0" applyFont="1" applyFill="1" applyBorder="1" applyAlignment="1">
      <alignment horizontal="left" wrapText="1"/>
    </xf>
    <xf numFmtId="4" fontId="40" fillId="10" borderId="41" xfId="0" applyNumberFormat="1" applyFont="1" applyFill="1" applyBorder="1" applyAlignment="1">
      <alignment horizontal="right" wrapText="1"/>
    </xf>
    <xf numFmtId="0" fontId="40" fillId="10" borderId="41" xfId="0" applyFont="1" applyFill="1" applyBorder="1" applyAlignment="1">
      <alignment horizontal="right" wrapText="1"/>
    </xf>
    <xf numFmtId="0" fontId="51" fillId="10" borderId="41" xfId="0" applyFont="1" applyFill="1" applyBorder="1" applyAlignment="1">
      <alignment horizontal="right" wrapText="1"/>
    </xf>
    <xf numFmtId="0" fontId="20" fillId="26" borderId="41" xfId="0" applyFont="1" applyFill="1" applyBorder="1" applyAlignment="1">
      <alignment horizontal="left" vertical="center" wrapText="1"/>
    </xf>
    <xf numFmtId="0" fontId="40" fillId="26" borderId="41" xfId="0" applyFont="1" applyFill="1" applyBorder="1" applyAlignment="1">
      <alignment horizontal="right" wrapText="1"/>
    </xf>
    <xf numFmtId="0" fontId="51" fillId="26" borderId="41" xfId="0" applyFont="1" applyFill="1" applyBorder="1" applyAlignment="1">
      <alignment horizontal="right" wrapText="1"/>
    </xf>
    <xf numFmtId="0" fontId="5" fillId="2" borderId="41" xfId="0" applyFont="1" applyFill="1" applyBorder="1" applyAlignment="1">
      <alignment horizontal="left" wrapText="1"/>
    </xf>
    <xf numFmtId="0" fontId="0" fillId="2" borderId="41" xfId="0" applyFont="1" applyFill="1" applyBorder="1" applyAlignment="1">
      <alignment horizontal="right" wrapText="1"/>
    </xf>
    <xf numFmtId="0" fontId="50" fillId="2" borderId="41" xfId="0" applyFont="1" applyFill="1" applyBorder="1" applyAlignment="1">
      <alignment horizontal="right" wrapText="1"/>
    </xf>
    <xf numFmtId="0" fontId="20" fillId="2" borderId="41" xfId="0" applyFont="1" applyFill="1" applyBorder="1" applyAlignment="1">
      <alignment horizontal="left" wrapText="1"/>
    </xf>
    <xf numFmtId="0" fontId="40" fillId="2" borderId="41" xfId="0" applyFont="1" applyFill="1" applyBorder="1" applyAlignment="1">
      <alignment horizontal="right" wrapText="1"/>
    </xf>
    <xf numFmtId="0" fontId="51" fillId="2" borderId="41" xfId="0" applyFont="1" applyFill="1" applyBorder="1" applyAlignment="1">
      <alignment horizontal="right" wrapText="1"/>
    </xf>
    <xf numFmtId="0" fontId="20" fillId="9" borderId="41" xfId="0" applyFont="1" applyFill="1" applyBorder="1" applyAlignment="1">
      <alignment horizontal="left" wrapText="1"/>
    </xf>
    <xf numFmtId="0" fontId="40" fillId="9" borderId="41" xfId="0" applyFont="1" applyFill="1" applyBorder="1" applyAlignment="1">
      <alignment horizontal="right" wrapText="1"/>
    </xf>
    <xf numFmtId="0" fontId="51" fillId="9" borderId="41" xfId="0" applyFont="1" applyFill="1" applyBorder="1" applyAlignment="1">
      <alignment horizontal="right" wrapText="1"/>
    </xf>
    <xf numFmtId="4" fontId="40" fillId="2" borderId="41" xfId="0" applyNumberFormat="1" applyFont="1" applyFill="1" applyBorder="1" applyAlignment="1">
      <alignment horizontal="right" wrapText="1"/>
    </xf>
    <xf numFmtId="0" fontId="20" fillId="24" borderId="41" xfId="0" applyFont="1" applyFill="1" applyBorder="1" applyAlignment="1">
      <alignment horizontal="left" wrapText="1"/>
    </xf>
    <xf numFmtId="4" fontId="40" fillId="24" borderId="41" xfId="0" applyNumberFormat="1" applyFont="1" applyFill="1" applyBorder="1" applyAlignment="1">
      <alignment horizontal="right" wrapText="1"/>
    </xf>
    <xf numFmtId="0" fontId="40" fillId="24" borderId="41" xfId="0" applyFont="1" applyFill="1" applyBorder="1" applyAlignment="1">
      <alignment horizontal="right" wrapText="1"/>
    </xf>
    <xf numFmtId="0" fontId="51" fillId="24" borderId="41" xfId="0" applyFont="1" applyFill="1" applyBorder="1" applyAlignment="1">
      <alignment horizontal="right" wrapText="1"/>
    </xf>
    <xf numFmtId="0" fontId="20" fillId="27" borderId="41" xfId="0" applyFont="1" applyFill="1" applyBorder="1" applyAlignment="1">
      <alignment horizontal="left" wrapText="1"/>
    </xf>
    <xf numFmtId="0" fontId="40" fillId="27" borderId="41" xfId="0" applyFont="1" applyFill="1" applyBorder="1" applyAlignment="1">
      <alignment horizontal="right" wrapText="1"/>
    </xf>
    <xf numFmtId="0" fontId="51" fillId="27" borderId="41" xfId="0" applyFont="1" applyFill="1" applyBorder="1" applyAlignment="1">
      <alignment horizontal="right" wrapText="1"/>
    </xf>
    <xf numFmtId="0" fontId="20" fillId="28" borderId="41" xfId="0" applyFont="1" applyFill="1" applyBorder="1" applyAlignment="1">
      <alignment horizontal="left" wrapText="1"/>
    </xf>
    <xf numFmtId="0" fontId="40" fillId="28" borderId="41" xfId="0" applyFont="1" applyFill="1" applyBorder="1" applyAlignment="1">
      <alignment horizontal="right" wrapText="1"/>
    </xf>
    <xf numFmtId="0" fontId="51" fillId="28" borderId="41" xfId="0" applyFont="1" applyFill="1" applyBorder="1" applyAlignment="1">
      <alignment horizontal="right" wrapText="1"/>
    </xf>
    <xf numFmtId="0" fontId="52" fillId="29" borderId="41" xfId="0" applyFont="1" applyFill="1" applyBorder="1" applyAlignment="1">
      <alignment horizontal="left" wrapText="1"/>
    </xf>
    <xf numFmtId="0" fontId="53" fillId="29" borderId="41" xfId="0" applyFont="1" applyFill="1" applyBorder="1" applyAlignment="1">
      <alignment horizontal="right" wrapText="1"/>
    </xf>
    <xf numFmtId="0" fontId="54" fillId="29" borderId="41" xfId="0" applyFont="1" applyFill="1" applyBorder="1" applyAlignment="1">
      <alignment horizontal="right" wrapText="1"/>
    </xf>
    <xf numFmtId="0" fontId="5" fillId="7" borderId="41" xfId="0" applyFont="1" applyFill="1" applyBorder="1" applyAlignment="1">
      <alignment horizontal="left" wrapText="1"/>
    </xf>
    <xf numFmtId="4" fontId="40" fillId="7" borderId="41" xfId="0" applyNumberFormat="1" applyFont="1" applyFill="1" applyBorder="1" applyAlignment="1"/>
    <xf numFmtId="0" fontId="40" fillId="7" borderId="41" xfId="0" applyFont="1" applyFill="1" applyBorder="1" applyAlignment="1"/>
    <xf numFmtId="2" fontId="40" fillId="7" borderId="41" xfId="0" applyNumberFormat="1" applyFont="1" applyFill="1" applyBorder="1" applyAlignment="1"/>
    <xf numFmtId="0" fontId="40" fillId="7" borderId="41" xfId="0" applyFont="1" applyFill="1" applyBorder="1" applyAlignment="1">
      <alignment horizontal="right"/>
    </xf>
    <xf numFmtId="0" fontId="20" fillId="7" borderId="41" xfId="0" applyFont="1" applyFill="1" applyBorder="1" applyAlignment="1"/>
    <xf numFmtId="0" fontId="20" fillId="7" borderId="41" xfId="0" applyFont="1" applyFill="1" applyBorder="1" applyAlignment="1"/>
    <xf numFmtId="4" fontId="40" fillId="7" borderId="41" xfId="0" applyNumberFormat="1" applyFont="1" applyFill="1" applyBorder="1" applyAlignment="1">
      <alignment horizontal="right"/>
    </xf>
    <xf numFmtId="0" fontId="40" fillId="7" borderId="41" xfId="0" applyFont="1" applyFill="1" applyBorder="1" applyAlignment="1">
      <alignment horizontal="right"/>
    </xf>
    <xf numFmtId="0" fontId="40" fillId="7" borderId="41" xfId="0" applyFont="1" applyFill="1" applyBorder="1" applyAlignment="1">
      <alignment horizontal="right"/>
    </xf>
    <xf numFmtId="2" fontId="40" fillId="7" borderId="41" xfId="0" applyNumberFormat="1" applyFont="1" applyFill="1" applyBorder="1" applyAlignment="1">
      <alignment horizontal="right"/>
    </xf>
    <xf numFmtId="0" fontId="1" fillId="0" borderId="0" xfId="0" applyFont="1" applyAlignment="1"/>
    <xf numFmtId="0" fontId="3" fillId="0" borderId="0" xfId="0" applyFont="1" applyAlignment="1">
      <alignment horizontal="left"/>
    </xf>
    <xf numFmtId="0" fontId="3" fillId="28" borderId="0" xfId="0" applyFont="1" applyFill="1"/>
    <xf numFmtId="0" fontId="2" fillId="28" borderId="0" xfId="0" applyFont="1" applyFill="1" applyAlignment="1"/>
    <xf numFmtId="164" fontId="2" fillId="0" borderId="0" xfId="0" applyNumberFormat="1" applyFont="1"/>
    <xf numFmtId="0" fontId="6" fillId="0" borderId="0" xfId="0" quotePrefix="1" applyFont="1" applyAlignment="1"/>
    <xf numFmtId="0" fontId="9" fillId="0" borderId="0" xfId="0" quotePrefix="1" applyFont="1" applyAlignment="1"/>
    <xf numFmtId="0" fontId="9" fillId="0" borderId="0" xfId="0" applyFont="1" applyAlignment="1"/>
    <xf numFmtId="0" fontId="2" fillId="0" borderId="0" xfId="0" quotePrefix="1" applyFont="1" applyAlignment="1"/>
    <xf numFmtId="0" fontId="2" fillId="0" borderId="61" xfId="0" applyFont="1" applyBorder="1" applyAlignment="1">
      <alignment vertical="center"/>
    </xf>
    <xf numFmtId="0" fontId="55" fillId="0" borderId="62" xfId="0" applyFont="1" applyBorder="1" applyAlignment="1">
      <alignment vertical="center"/>
    </xf>
    <xf numFmtId="0" fontId="2" fillId="0" borderId="62" xfId="0" applyFont="1" applyBorder="1" applyAlignment="1">
      <alignment vertical="center"/>
    </xf>
    <xf numFmtId="0" fontId="2" fillId="0" borderId="63" xfId="0" applyFont="1" applyBorder="1" applyAlignment="1">
      <alignment vertical="center"/>
    </xf>
    <xf numFmtId="0" fontId="3" fillId="13" borderId="0" xfId="0" applyFont="1" applyFill="1" applyAlignment="1"/>
    <xf numFmtId="0" fontId="3" fillId="37" borderId="64" xfId="0" applyFont="1" applyFill="1" applyBorder="1" applyAlignment="1"/>
    <xf numFmtId="0" fontId="3" fillId="37" borderId="64" xfId="0" applyFont="1" applyFill="1" applyBorder="1" applyAlignment="1">
      <alignment horizontal="center"/>
    </xf>
    <xf numFmtId="0" fontId="3" fillId="22" borderId="1" xfId="0" applyFont="1" applyFill="1" applyBorder="1" applyAlignment="1"/>
    <xf numFmtId="0" fontId="3" fillId="38" borderId="41" xfId="0" applyFont="1" applyFill="1" applyBorder="1" applyAlignment="1"/>
    <xf numFmtId="0" fontId="2" fillId="0" borderId="65" xfId="0" applyFont="1" applyBorder="1" applyAlignment="1"/>
    <xf numFmtId="0" fontId="2" fillId="0" borderId="41" xfId="0" applyFont="1" applyBorder="1" applyAlignment="1"/>
    <xf numFmtId="0" fontId="2" fillId="0" borderId="41" xfId="0" applyFont="1" applyBorder="1" applyAlignment="1">
      <alignment horizontal="center"/>
    </xf>
    <xf numFmtId="0" fontId="2" fillId="0" borderId="66" xfId="0" applyFont="1" applyBorder="1" applyAlignment="1"/>
    <xf numFmtId="0" fontId="2" fillId="0" borderId="41" xfId="0" applyFont="1" applyBorder="1"/>
    <xf numFmtId="0" fontId="2" fillId="0" borderId="41" xfId="0" applyFont="1" applyBorder="1" applyAlignment="1">
      <alignment horizontal="center"/>
    </xf>
    <xf numFmtId="0" fontId="1" fillId="0" borderId="67" xfId="0" applyFont="1" applyBorder="1" applyAlignment="1"/>
    <xf numFmtId="0" fontId="56" fillId="0" borderId="0" xfId="0" applyFont="1" applyAlignment="1"/>
    <xf numFmtId="0" fontId="57" fillId="0" borderId="0" xfId="0" applyFont="1" applyAlignment="1"/>
    <xf numFmtId="0" fontId="2" fillId="0" borderId="68" xfId="0" applyFont="1" applyBorder="1"/>
    <xf numFmtId="0" fontId="58" fillId="0" borderId="69" xfId="0" applyFont="1" applyBorder="1" applyAlignment="1"/>
    <xf numFmtId="0" fontId="2" fillId="0" borderId="69" xfId="0" applyFont="1" applyBorder="1"/>
    <xf numFmtId="0" fontId="2" fillId="0" borderId="70" xfId="0" applyFont="1" applyBorder="1"/>
    <xf numFmtId="0" fontId="2" fillId="0" borderId="41" xfId="0" applyFont="1" applyBorder="1" applyAlignment="1">
      <alignment vertical="center"/>
    </xf>
    <xf numFmtId="0" fontId="2" fillId="0" borderId="41" xfId="0" applyFont="1" applyBorder="1" applyAlignment="1">
      <alignment horizontal="center" vertical="center"/>
    </xf>
    <xf numFmtId="0" fontId="2" fillId="0" borderId="71" xfId="0" applyFont="1" applyBorder="1"/>
    <xf numFmtId="0" fontId="2" fillId="0" borderId="72" xfId="0" applyFont="1" applyBorder="1"/>
    <xf numFmtId="0" fontId="2" fillId="0" borderId="73" xfId="0" applyFont="1" applyBorder="1"/>
    <xf numFmtId="0" fontId="59" fillId="0" borderId="74" xfId="0" applyFont="1" applyBorder="1" applyAlignment="1"/>
    <xf numFmtId="0" fontId="2" fillId="0" borderId="74" xfId="0" applyFont="1" applyBorder="1"/>
    <xf numFmtId="0" fontId="2" fillId="0" borderId="75" xfId="0" applyFont="1" applyBorder="1"/>
    <xf numFmtId="0" fontId="2" fillId="0" borderId="0" xfId="0" applyFont="1"/>
    <xf numFmtId="0" fontId="1" fillId="18" borderId="42" xfId="0" applyFont="1" applyFill="1" applyBorder="1" applyAlignment="1"/>
    <xf numFmtId="0" fontId="19" fillId="18" borderId="76" xfId="0" applyFont="1" applyFill="1" applyBorder="1" applyAlignment="1"/>
    <xf numFmtId="0" fontId="0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2" fillId="0" borderId="0" xfId="0" applyFont="1" applyAlignment="1">
      <alignment wrapText="1"/>
    </xf>
    <xf numFmtId="0" fontId="6" fillId="18" borderId="32" xfId="0" applyFont="1" applyFill="1" applyBorder="1" applyAlignment="1">
      <alignment horizontal="center" wrapText="1"/>
    </xf>
    <xf numFmtId="0" fontId="2" fillId="0" borderId="32" xfId="0" applyFont="1" applyBorder="1"/>
    <xf numFmtId="0" fontId="31" fillId="3" borderId="33" xfId="0" applyFont="1" applyFill="1" applyBorder="1" applyAlignment="1">
      <alignment horizontal="center" vertical="center" wrapText="1"/>
    </xf>
    <xf numFmtId="0" fontId="2" fillId="0" borderId="35" xfId="0" applyFont="1" applyBorder="1"/>
    <xf numFmtId="0" fontId="11" fillId="21" borderId="37" xfId="0" applyFont="1" applyFill="1" applyBorder="1" applyAlignment="1">
      <alignment horizontal="right" wrapText="1"/>
    </xf>
    <xf numFmtId="0" fontId="2" fillId="0" borderId="38" xfId="0" applyFont="1" applyBorder="1"/>
    <xf numFmtId="0" fontId="2" fillId="0" borderId="39" xfId="0" applyFont="1" applyBorder="1"/>
    <xf numFmtId="0" fontId="6" fillId="18" borderId="0" xfId="0" applyFont="1" applyFill="1" applyAlignment="1">
      <alignment horizontal="center" wrapText="1"/>
    </xf>
    <xf numFmtId="0" fontId="42" fillId="3" borderId="43" xfId="0" applyFont="1" applyFill="1" applyBorder="1" applyAlignment="1">
      <alignment horizontal="center" vertical="top" wrapText="1"/>
    </xf>
    <xf numFmtId="0" fontId="2" fillId="0" borderId="51" xfId="0" applyFont="1" applyBorder="1"/>
    <xf numFmtId="0" fontId="2" fillId="0" borderId="52" xfId="0" applyFont="1" applyBorder="1"/>
    <xf numFmtId="0" fontId="2" fillId="0" borderId="13" xfId="0" applyFont="1" applyBorder="1"/>
    <xf numFmtId="0" fontId="2" fillId="0" borderId="14" xfId="0" applyFont="1" applyBorder="1"/>
    <xf numFmtId="0" fontId="2" fillId="0" borderId="15" xfId="0" applyFont="1" applyBorder="1"/>
    <xf numFmtId="0" fontId="11" fillId="31" borderId="10" xfId="0" applyFont="1" applyFill="1" applyBorder="1" applyAlignment="1">
      <alignment horizontal="right" wrapText="1"/>
    </xf>
    <xf numFmtId="0" fontId="2" fillId="0" borderId="11" xfId="0" applyFont="1" applyBorder="1"/>
    <xf numFmtId="0" fontId="2" fillId="0" borderId="12" xfId="0" applyFont="1" applyBorder="1"/>
    <xf numFmtId="0" fontId="7" fillId="35" borderId="0" xfId="0" applyFont="1" applyFill="1" applyAlignment="1">
      <alignment horizontal="center" vertical="center"/>
    </xf>
    <xf numFmtId="0" fontId="2" fillId="0" borderId="0" xfId="0" applyFont="1" applyAlignment="1">
      <alignment horizontal="right" vertical="top"/>
    </xf>
    <xf numFmtId="0" fontId="2" fillId="18" borderId="77" xfId="0" applyFont="1" applyFill="1" applyBorder="1"/>
    <xf numFmtId="0" fontId="28" fillId="18" borderId="77" xfId="0" applyFont="1" applyFill="1" applyBorder="1"/>
    <xf numFmtId="49" fontId="2" fillId="18" borderId="77" xfId="0" applyNumberFormat="1" applyFont="1" applyFill="1" applyBorder="1" applyAlignment="1">
      <alignment horizontal="center"/>
    </xf>
    <xf numFmtId="49" fontId="2" fillId="18" borderId="77" xfId="0" applyNumberFormat="1" applyFont="1" applyFill="1" applyBorder="1"/>
    <xf numFmtId="4" fontId="2" fillId="18" borderId="77" xfId="0" applyNumberFormat="1" applyFont="1" applyFill="1" applyBorder="1"/>
    <xf numFmtId="0" fontId="0" fillId="0" borderId="78" xfId="0" applyFont="1" applyBorder="1" applyAlignment="1"/>
  </cellXfs>
  <cellStyles count="1">
    <cellStyle name="Normal" xfId="0" builtinId="0"/>
  </cellStyles>
  <dxfs count="5"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4"/>
      <tableStyleElement type="firstRowStripe" dxfId="3"/>
      <tableStyleElement type="secondRowStripe" dxfId="2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2352675</xdr:colOff>
      <xdr:row>0</xdr:row>
      <xdr:rowOff>95250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57150</xdr:rowOff>
    </xdr:from>
    <xdr:ext cx="2638425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542925</xdr:colOff>
      <xdr:row>0</xdr:row>
      <xdr:rowOff>123825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1562100</xdr:colOff>
      <xdr:row>0</xdr:row>
      <xdr:rowOff>152400</xdr:rowOff>
    </xdr:from>
    <xdr:ext cx="2543175" cy="6096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81425" y="152400"/>
          <a:ext cx="2543175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0</xdr:row>
      <xdr:rowOff>123825</xdr:rowOff>
    </xdr:from>
    <xdr:ext cx="248602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8125" y="123825"/>
          <a:ext cx="2486025" cy="6953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355"/>
      <c r="B1" s="356"/>
      <c r="C1" s="356"/>
      <c r="D1" s="2"/>
      <c r="E1" s="3"/>
      <c r="F1" s="3"/>
      <c r="G1" s="3"/>
      <c r="H1" s="3" t="str">
        <f t="shared" ref="H1:Z1" si="0">SUBSTITUTE(H4,".",",")</f>
        <v>21</v>
      </c>
      <c r="I1" s="3" t="str">
        <f t="shared" si="0"/>
        <v>21</v>
      </c>
      <c r="J1" s="3" t="str">
        <f t="shared" si="0"/>
        <v>21</v>
      </c>
      <c r="K1" s="3" t="str">
        <f t="shared" si="0"/>
        <v>78,4</v>
      </c>
      <c r="L1" s="3" t="str">
        <f t="shared" si="0"/>
        <v>21</v>
      </c>
      <c r="M1" s="3" t="str">
        <f t="shared" si="0"/>
        <v>78,4</v>
      </c>
      <c r="N1" s="3" t="str">
        <f t="shared" si="0"/>
        <v>78,4</v>
      </c>
      <c r="O1" s="3" t="str">
        <f t="shared" si="0"/>
        <v>21</v>
      </c>
      <c r="P1" s="3" t="str">
        <f t="shared" si="0"/>
        <v>21</v>
      </c>
      <c r="Q1" s="3" t="str">
        <f t="shared" si="0"/>
        <v>21</v>
      </c>
      <c r="R1" s="3" t="str">
        <f t="shared" si="0"/>
        <v>78,4</v>
      </c>
      <c r="S1" s="3" t="str">
        <f t="shared" si="0"/>
        <v>80,6</v>
      </c>
      <c r="T1" s="3" t="str">
        <f t="shared" si="0"/>
        <v>21</v>
      </c>
      <c r="U1" s="3" t="str">
        <f t="shared" si="0"/>
        <v>264,6</v>
      </c>
      <c r="V1" s="3" t="str">
        <f t="shared" si="0"/>
        <v>148,8</v>
      </c>
      <c r="W1" s="3" t="str">
        <f t="shared" si="0"/>
        <v>120,6</v>
      </c>
      <c r="X1" s="3" t="str">
        <f t="shared" si="0"/>
        <v>197,8</v>
      </c>
      <c r="Y1" s="3" t="str">
        <f t="shared" si="0"/>
        <v>170,2</v>
      </c>
      <c r="Z1" s="3" t="str">
        <f t="shared" si="0"/>
        <v>99,8</v>
      </c>
      <c r="AA1" s="2"/>
      <c r="AB1" s="2"/>
      <c r="AC1" s="2"/>
    </row>
    <row r="2" spans="1:29" ht="34.5" customHeight="1">
      <c r="A2" s="357"/>
      <c r="B2" s="356"/>
      <c r="C2" s="356"/>
      <c r="D2" s="356"/>
      <c r="E2" s="356"/>
      <c r="F2" s="356"/>
      <c r="G2" s="356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9" ht="12.75">
      <c r="A3" s="5" t="s">
        <v>65</v>
      </c>
      <c r="E3" s="6"/>
      <c r="F3" s="7"/>
      <c r="G3" s="7"/>
      <c r="H3" s="7">
        <f t="shared" ref="H3:Z3" ca="1" si="1">SUBTOTAL(9,H7:H500)</f>
        <v>0</v>
      </c>
      <c r="I3" s="7">
        <f t="shared" ca="1" si="1"/>
        <v>4767</v>
      </c>
      <c r="J3" s="7">
        <f t="shared" ca="1" si="1"/>
        <v>1433649</v>
      </c>
      <c r="K3" s="7">
        <f t="shared" ca="1" si="1"/>
        <v>811988.8</v>
      </c>
      <c r="L3" s="7">
        <f t="shared" ca="1" si="1"/>
        <v>15771</v>
      </c>
      <c r="M3" s="7">
        <f t="shared" ca="1" si="1"/>
        <v>0</v>
      </c>
      <c r="N3" s="7">
        <f t="shared" ca="1" si="1"/>
        <v>0</v>
      </c>
      <c r="O3" s="7">
        <f t="shared" ca="1" si="1"/>
        <v>119007</v>
      </c>
      <c r="P3" s="7">
        <f t="shared" ca="1" si="1"/>
        <v>102417</v>
      </c>
      <c r="Q3" s="7">
        <f t="shared" ca="1" si="1"/>
        <v>1271781</v>
      </c>
      <c r="R3" s="7">
        <f t="shared" ca="1" si="1"/>
        <v>82320</v>
      </c>
      <c r="S3" s="7">
        <f t="shared" ca="1" si="1"/>
        <v>452246.59999999893</v>
      </c>
      <c r="T3" s="7">
        <f t="shared" ca="1" si="1"/>
        <v>148071</v>
      </c>
      <c r="U3" s="7">
        <f t="shared" ca="1" si="1"/>
        <v>44188.2</v>
      </c>
      <c r="V3" s="7">
        <f t="shared" ca="1" si="1"/>
        <v>223646.4</v>
      </c>
      <c r="W3" s="7">
        <f t="shared" ca="1" si="1"/>
        <v>45104.3999999999</v>
      </c>
      <c r="X3" s="7">
        <f t="shared" ca="1" si="1"/>
        <v>3362.6000000000004</v>
      </c>
      <c r="Y3" s="7">
        <f t="shared" ca="1" si="1"/>
        <v>17019.999999999989</v>
      </c>
      <c r="Z3" s="7">
        <f t="shared" ca="1" si="1"/>
        <v>75748.199999999983</v>
      </c>
    </row>
    <row r="4" spans="1:29" ht="18.75" customHeight="1">
      <c r="A4" s="8"/>
      <c r="B4" s="8"/>
      <c r="C4" s="8"/>
      <c r="D4" s="8"/>
      <c r="E4" s="9"/>
      <c r="F4" s="9"/>
      <c r="G4" s="9"/>
      <c r="H4" s="9" t="str">
        <f>VLOOKUP(H5,iParam,9,0)</f>
        <v>21</v>
      </c>
      <c r="I4" s="9" t="str">
        <f>VLOOKUP(I5,iParam,9,0)</f>
        <v>21</v>
      </c>
      <c r="J4" s="9" t="str">
        <f>VLOOKUP(J5,iParam,9,0)</f>
        <v>21</v>
      </c>
      <c r="K4" s="9" t="str">
        <f>VLOOKUP(K5,iParam,9,0)</f>
        <v>78.4</v>
      </c>
      <c r="L4" s="9" t="str">
        <f>VLOOKUP(L5,iParam,9,0)</f>
        <v>21</v>
      </c>
      <c r="M4" s="9" t="str">
        <f>VLOOKUP(N5,iParam,9,0)</f>
        <v>78.4</v>
      </c>
      <c r="N4" s="9" t="str">
        <f t="shared" ref="N4:Z4" si="2">VLOOKUP(N5,iParam,9,0)</f>
        <v>78.4</v>
      </c>
      <c r="O4" s="9" t="str">
        <f t="shared" si="2"/>
        <v>21</v>
      </c>
      <c r="P4" s="9" t="str">
        <f t="shared" si="2"/>
        <v>21</v>
      </c>
      <c r="Q4" s="9" t="str">
        <f t="shared" si="2"/>
        <v>21</v>
      </c>
      <c r="R4" s="10" t="str">
        <f t="shared" si="2"/>
        <v>78.4</v>
      </c>
      <c r="S4" s="9" t="str">
        <f t="shared" si="2"/>
        <v>80.6</v>
      </c>
      <c r="T4" s="9" t="str">
        <f t="shared" si="2"/>
        <v>21</v>
      </c>
      <c r="U4" s="9" t="str">
        <f t="shared" si="2"/>
        <v>264.6</v>
      </c>
      <c r="V4" s="9" t="str">
        <f t="shared" si="2"/>
        <v>148.8</v>
      </c>
      <c r="W4" s="11" t="str">
        <f t="shared" si="2"/>
        <v>120.6</v>
      </c>
      <c r="X4" s="11" t="str">
        <f t="shared" si="2"/>
        <v>197.8</v>
      </c>
      <c r="Y4" s="11" t="str">
        <f t="shared" si="2"/>
        <v>170.2</v>
      </c>
      <c r="Z4" s="11" t="str">
        <f t="shared" si="2"/>
        <v>99.8</v>
      </c>
    </row>
    <row r="5" spans="1:29" ht="60" customHeight="1">
      <c r="A5" s="12" t="s">
        <v>5</v>
      </c>
      <c r="B5" s="13" t="s">
        <v>6</v>
      </c>
      <c r="C5" s="13" t="s">
        <v>7</v>
      </c>
      <c r="D5" s="13" t="s">
        <v>9</v>
      </c>
      <c r="E5" s="14" t="s">
        <v>1</v>
      </c>
      <c r="F5" s="14" t="s">
        <v>2</v>
      </c>
      <c r="G5" s="15" t="s">
        <v>3</v>
      </c>
      <c r="H5" s="16" t="s">
        <v>10</v>
      </c>
      <c r="I5" s="17" t="s">
        <v>11</v>
      </c>
      <c r="J5" s="18" t="s">
        <v>12</v>
      </c>
      <c r="K5" s="18" t="s">
        <v>13</v>
      </c>
      <c r="L5" s="19" t="s">
        <v>66</v>
      </c>
      <c r="M5" s="20" t="s">
        <v>14</v>
      </c>
      <c r="N5" s="20" t="s">
        <v>15</v>
      </c>
      <c r="O5" s="21" t="s">
        <v>16</v>
      </c>
      <c r="P5" s="22" t="s">
        <v>17</v>
      </c>
      <c r="Q5" s="23" t="s">
        <v>18</v>
      </c>
      <c r="R5" s="24" t="s">
        <v>19</v>
      </c>
      <c r="S5" s="25" t="s">
        <v>20</v>
      </c>
      <c r="T5" s="26" t="s">
        <v>21</v>
      </c>
      <c r="U5" s="27" t="s">
        <v>22</v>
      </c>
      <c r="V5" s="28" t="s">
        <v>23</v>
      </c>
      <c r="W5" s="1" t="s">
        <v>67</v>
      </c>
      <c r="X5" s="1" t="s">
        <v>29</v>
      </c>
      <c r="Y5" s="1" t="s">
        <v>30</v>
      </c>
      <c r="Z5" s="1" t="s">
        <v>31</v>
      </c>
    </row>
    <row r="6" spans="1:29" ht="13.5" customHeight="1">
      <c r="A6" s="29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0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CRECHE21())")</f>
        <v>product(ED. INF. CRECHE21())</v>
      </c>
      <c r="I6" s="30" t="str">
        <f ca="1">IFERROR(__xludf.DUMMYFUNCTION("""COMPUTED_VALUE"""),"product(ED. INF. PRÉ ESCOLA21())")</f>
        <v>product(ED. INF. PRÉ ESCOLA21())</v>
      </c>
      <c r="J6" s="30" t="str">
        <f ca="1">IFERROR(__xludf.DUMMYFUNCTION("""COMPUTED_VALUE"""),"product(E. F.  PARCIAL21())")</f>
        <v>product(E. F.  PARCIAL21())</v>
      </c>
      <c r="K6" s="30" t="str">
        <f ca="1">IFERROR(__xludf.DUMMYFUNCTION("""COMPUTED_VALUE"""),"product(E. F. INTEGRAL78.4())")</f>
        <v>product(E. F. INTEGRAL78.4())</v>
      </c>
      <c r="L6" s="30" t="str">
        <f ca="1">IFERROR(__xludf.DUMMYFUNCTION("""COMPUTED_VALUE"""),"product(FUND/MÉDIO
Quilombola 
(parcial)21())")</f>
        <v>product(FUND/MÉDIO
Quilombola 
(parcial)21())</v>
      </c>
      <c r="M6" s="30" t="str">
        <f ca="1">IFERROR(__xludf.DUMMYFUNCTION("""COMPUTED_VALUE"""),"product(FUND/MÉDIO
QUILOMBOLA INTEGRAL78.4())")</f>
        <v>product(FUND/MÉDIO
QUILOMBOLA INTEGRAL78.4())</v>
      </c>
      <c r="N6" s="30" t="str">
        <f ca="1">IFERROR(__xludf.DUMMYFUNCTION("""COMPUTED_VALUE"""),"product(FUND/MÉDIO
INDÍGENA INTEGRAL78.4())")</f>
        <v>product(FUND/MÉDIO
INDÍGENA INTEGRAL78.4())</v>
      </c>
      <c r="O6" s="30" t="str">
        <f ca="1">IFERROR(__xludf.DUMMYFUNCTION("""COMPUTED_VALUE"""),"product(FUND/MÉDIO
INDIGENA (parcial)21())")</f>
        <v>product(FUND/MÉDIO
INDIGENA (parcial)21())</v>
      </c>
      <c r="P6" s="30" t="str">
        <f ca="1">IFERROR(__xludf.DUMMYFUNCTION("""COMPUTED_VALUE"""),"product(AEE21())")</f>
        <v>product(AEE21())</v>
      </c>
      <c r="Q6" s="30" t="str">
        <f ca="1">IFERROR(__xludf.DUMMYFUNCTION("""COMPUTED_VALUE"""),"product(E. M. PARCIAL 21())")</f>
        <v>product(E. M. PARCIAL 21())</v>
      </c>
      <c r="R6" s="30" t="str">
        <f ca="1">IFERROR(__xludf.DUMMYFUNCTION("""COMPUTED_VALUE"""),"product(E. M. INTEGRAL78.4())")</f>
        <v>product(E. M. INTEGRAL78.4())</v>
      </c>
      <c r="S6" s="30" t="str">
        <f ca="1">IFERROR(__xludf.DUMMYFUNCTION("""COMPUTED_VALUE"""),"product(E. M. JOVEM EM AÇÃO80.6())")</f>
        <v>product(E. M. JOVEM EM AÇÃO80.6())</v>
      </c>
      <c r="T6" s="30" t="str">
        <f ca="1">IFERROR(__xludf.DUMMYFUNCTION("""COMPUTED_VALUE"""),"product(EJA 1º E 2º SEGM21())")</f>
        <v>product(EJA 1º E 2º SEGM21())</v>
      </c>
      <c r="U6" s="30" t="str">
        <f ca="1">IFERROR(__xludf.DUMMYFUNCTION("""COMPUTED_VALUE"""),"product(INTERNATO264.6())")</f>
        <v>product(INTERNATO264.6())</v>
      </c>
      <c r="V6" s="30" t="str">
        <f ca="1">IFERROR(__xludf.DUMMYFUNCTION("""COMPUTED_VALUE"""),"product(AGRÍCOLA148.8())")</f>
        <v>product(AGRÍCOLA148.8())</v>
      </c>
      <c r="W6" s="30" t="str">
        <f ca="1">IFERROR(__xludf.DUMMYFUNCTION("""COMPUTED_VALUE"""),"product(#REF!120.6())")</f>
        <v>product(#REF!120.6())</v>
      </c>
      <c r="X6" s="30" t="str">
        <f ca="1">IFERROR(__xludf.DUMMYFUNCTION("""COMPUTED_VALUE"""),"product(#REF!197.8())")</f>
        <v>product(#REF!197.8())</v>
      </c>
      <c r="Y6" s="30" t="str">
        <f ca="1">IFERROR(__xludf.DUMMYFUNCTION("""COMPUTED_VALUE"""),"product(#REF!170.2())")</f>
        <v>product(#REF!170.2())</v>
      </c>
      <c r="Z6" s="30" t="str">
        <f ca="1">IFERROR(__xludf.DUMMYFUNCTION("""COMPUTED_VALUE"""),"product(#REF!99.8())")</f>
        <v>product(#REF!99.8())</v>
      </c>
      <c r="AA6" s="32"/>
      <c r="AB6" s="32"/>
      <c r="AC6" s="32"/>
    </row>
    <row r="7" spans="1:29" ht="12.75">
      <c r="A7" s="33" t="str">
        <f ca="1">IFERROR(__xludf.DUMMYFUNCTION("""COMPUTED_VALUE"""),"Araguaina")</f>
        <v>Araguaina</v>
      </c>
      <c r="B7" s="33" t="str">
        <f ca="1">IFERROR(__xludf.DUMMYFUNCTION("""COMPUTED_VALUE"""),"Ananas")</f>
        <v>Ananas</v>
      </c>
      <c r="C7" s="34" t="str">
        <f ca="1">IFERROR(__xludf.DUMMYFUNCTION("""COMPUTED_VALUE"""),"ASSOC. DE APOIO DO CENTRO DE ENSINO MÉDIO CABO APARICIO ARAÚJO PAZ")</f>
        <v>ASSOC. DE APOIO DO CENTRO DE ENSINO MÉDIO CABO APARICIO ARAÚJO PAZ</v>
      </c>
      <c r="D7" s="35" t="str">
        <f ca="1">IFERROR(__xludf.DUMMYFUNCTION("""COMPUTED_VALUE"""),"05537116000188")</f>
        <v>05537116000188</v>
      </c>
      <c r="E7" s="36" t="str">
        <f ca="1">IFERROR(__xludf.DUMMYFUNCTION("""COMPUTED_VALUE"""),"001")</f>
        <v>001</v>
      </c>
      <c r="F7" s="37" t="str">
        <f ca="1">IFERROR(__xludf.DUMMYFUNCTION("""COMPUTED_VALUE"""),"3973")</f>
        <v>3973</v>
      </c>
      <c r="G7" s="37" t="str">
        <f ca="1">IFERROR(__xludf.DUMMYFUNCTION("""COMPUTED_VALUE"""),"114510")</f>
        <v>114510</v>
      </c>
      <c r="H7" s="37">
        <f ca="1">IFERROR(__xludf.DUMMYFUNCTION("""COMPUTED_VALUE"""),0)</f>
        <v>0</v>
      </c>
      <c r="I7" s="37">
        <f ca="1">IFERROR(__xludf.DUMMYFUNCTION("""COMPUTED_VALUE"""),0)</f>
        <v>0</v>
      </c>
      <c r="J7" s="37">
        <f ca="1">IFERROR(__xludf.DUMMYFUNCTION("""COMPUTED_VALUE"""),0)</f>
        <v>0</v>
      </c>
      <c r="K7" s="37">
        <f ca="1">IFERROR(__xludf.DUMMYFUNCTION("""COMPUTED_VALUE"""),0)</f>
        <v>0</v>
      </c>
      <c r="L7" s="37">
        <f ca="1">IFERROR(__xludf.DUMMYFUNCTION("""COMPUTED_VALUE"""),0)</f>
        <v>0</v>
      </c>
      <c r="M7" s="37">
        <f ca="1">IFERROR(__xludf.DUMMYFUNCTION("""COMPUTED_VALUE"""),0)</f>
        <v>0</v>
      </c>
      <c r="N7" s="37">
        <f ca="1">IFERROR(__xludf.DUMMYFUNCTION("""COMPUTED_VALUE"""),0)</f>
        <v>0</v>
      </c>
      <c r="O7" s="37">
        <f ca="1">IFERROR(__xludf.DUMMYFUNCTION("""COMPUTED_VALUE"""),0)</f>
        <v>0</v>
      </c>
      <c r="P7" s="37">
        <f ca="1">IFERROR(__xludf.DUMMYFUNCTION("""COMPUTED_VALUE"""),0)</f>
        <v>0</v>
      </c>
      <c r="Q7" s="37">
        <f ca="1">IFERROR(__xludf.DUMMYFUNCTION("""COMPUTED_VALUE"""),8274)</f>
        <v>8274</v>
      </c>
      <c r="R7" s="37">
        <f ca="1">IFERROR(__xludf.DUMMYFUNCTION("""COMPUTED_VALUE"""),0)</f>
        <v>0</v>
      </c>
      <c r="S7" s="37">
        <f ca="1">IFERROR(__xludf.DUMMYFUNCTION("""COMPUTED_VALUE"""),0)</f>
        <v>0</v>
      </c>
      <c r="T7" s="37">
        <f ca="1">IFERROR(__xludf.DUMMYFUNCTION("""COMPUTED_VALUE"""),0)</f>
        <v>0</v>
      </c>
      <c r="U7" s="37">
        <f ca="1">IFERROR(__xludf.DUMMYFUNCTION("""COMPUTED_VALUE"""),0)</f>
        <v>0</v>
      </c>
      <c r="V7" s="37">
        <f ca="1">IFERROR(__xludf.DUMMYFUNCTION("""COMPUTED_VALUE"""),0)</f>
        <v>0</v>
      </c>
      <c r="W7" s="37"/>
      <c r="X7" s="37"/>
      <c r="Y7" s="37"/>
      <c r="Z7" s="37"/>
    </row>
    <row r="8" spans="1:29" ht="12.75">
      <c r="A8" s="38" t="str">
        <f ca="1">IFERROR(__xludf.DUMMYFUNCTION("""COMPUTED_VALUE"""),"Araguaina")</f>
        <v>Araguaina</v>
      </c>
      <c r="B8" s="38" t="str">
        <f ca="1">IFERROR(__xludf.DUMMYFUNCTION("""COMPUTED_VALUE"""),"Ananas")</f>
        <v>Ananas</v>
      </c>
      <c r="C8" s="39" t="str">
        <f ca="1">IFERROR(__xludf.DUMMYFUNCTION("""COMPUTED_VALUE"""),"ASS. APOIO COL. EST. GETULIO VARGAS")</f>
        <v>ASS. APOIO COL. EST. GETULIO VARGAS</v>
      </c>
      <c r="D8" s="40" t="str">
        <f ca="1">IFERROR(__xludf.DUMMYFUNCTION("""COMPUTED_VALUE"""),"01296368000101")</f>
        <v>01296368000101</v>
      </c>
      <c r="E8" s="41" t="str">
        <f ca="1">IFERROR(__xludf.DUMMYFUNCTION("""COMPUTED_VALUE"""),"001")</f>
        <v>001</v>
      </c>
      <c r="F8" s="42" t="str">
        <f ca="1">IFERROR(__xludf.DUMMYFUNCTION("""COMPUTED_VALUE"""),"3973")</f>
        <v>3973</v>
      </c>
      <c r="G8" s="42" t="str">
        <f ca="1">IFERROR(__xludf.DUMMYFUNCTION("""COMPUTED_VALUE"""),"55778")</f>
        <v>55778</v>
      </c>
      <c r="H8" s="42">
        <f ca="1">IFERROR(__xludf.DUMMYFUNCTION("""COMPUTED_VALUE"""),0)</f>
        <v>0</v>
      </c>
      <c r="I8" s="42">
        <f ca="1">IFERROR(__xludf.DUMMYFUNCTION("""COMPUTED_VALUE"""),0)</f>
        <v>0</v>
      </c>
      <c r="J8" s="42">
        <f ca="1">IFERROR(__xludf.DUMMYFUNCTION("""COMPUTED_VALUE"""),6426)</f>
        <v>6426</v>
      </c>
      <c r="K8" s="42">
        <f ca="1">IFERROR(__xludf.DUMMYFUNCTION("""COMPUTED_VALUE"""),0)</f>
        <v>0</v>
      </c>
      <c r="L8" s="42">
        <f ca="1">IFERROR(__xludf.DUMMYFUNCTION("""COMPUTED_VALUE"""),0)</f>
        <v>0</v>
      </c>
      <c r="M8" s="42">
        <f ca="1">IFERROR(__xludf.DUMMYFUNCTION("""COMPUTED_VALUE"""),0)</f>
        <v>0</v>
      </c>
      <c r="N8" s="42">
        <f ca="1">IFERROR(__xludf.DUMMYFUNCTION("""COMPUTED_VALUE"""),0)</f>
        <v>0</v>
      </c>
      <c r="O8" s="42">
        <f ca="1">IFERROR(__xludf.DUMMYFUNCTION("""COMPUTED_VALUE"""),0)</f>
        <v>0</v>
      </c>
      <c r="P8" s="42">
        <f ca="1">IFERROR(__xludf.DUMMYFUNCTION("""COMPUTED_VALUE"""),294)</f>
        <v>294</v>
      </c>
      <c r="Q8" s="42">
        <f ca="1">IFERROR(__xludf.DUMMYFUNCTION("""COMPUTED_VALUE"""),0)</f>
        <v>0</v>
      </c>
      <c r="R8" s="42">
        <f ca="1">IFERROR(__xludf.DUMMYFUNCTION("""COMPUTED_VALUE"""),0)</f>
        <v>0</v>
      </c>
      <c r="S8" s="42">
        <f ca="1">IFERROR(__xludf.DUMMYFUNCTION("""COMPUTED_VALUE"""),0)</f>
        <v>0</v>
      </c>
      <c r="T8" s="42">
        <f ca="1">IFERROR(__xludf.DUMMYFUNCTION("""COMPUTED_VALUE"""),672)</f>
        <v>672</v>
      </c>
      <c r="U8" s="42">
        <f ca="1">IFERROR(__xludf.DUMMYFUNCTION("""COMPUTED_VALUE"""),0)</f>
        <v>0</v>
      </c>
      <c r="V8" s="42">
        <f ca="1">IFERROR(__xludf.DUMMYFUNCTION("""COMPUTED_VALUE"""),0)</f>
        <v>0</v>
      </c>
      <c r="W8" s="42">
        <f ca="1">IFERROR(__xludf.DUMMYFUNCTION("""COMPUTED_VALUE"""),0)</f>
        <v>0</v>
      </c>
      <c r="X8" s="42">
        <f ca="1">IFERROR(__xludf.DUMMYFUNCTION("""COMPUTED_VALUE"""),0)</f>
        <v>0</v>
      </c>
      <c r="Y8" s="42">
        <f ca="1">IFERROR(__xludf.DUMMYFUNCTION("""COMPUTED_VALUE"""),0)</f>
        <v>0</v>
      </c>
      <c r="Z8" s="42">
        <f ca="1">IFERROR(__xludf.DUMMYFUNCTION("""COMPUTED_VALUE"""),0)</f>
        <v>0</v>
      </c>
    </row>
    <row r="9" spans="1:29" ht="12.75">
      <c r="A9" s="33" t="str">
        <f ca="1">IFERROR(__xludf.DUMMYFUNCTION("""COMPUTED_VALUE"""),"Araguaina")</f>
        <v>Araguaina</v>
      </c>
      <c r="B9" s="33" t="str">
        <f ca="1">IFERROR(__xludf.DUMMYFUNCTION("""COMPUTED_VALUE"""),"Ananas")</f>
        <v>Ananas</v>
      </c>
      <c r="C9" s="34" t="str">
        <f ca="1">IFERROR(__xludf.DUMMYFUNCTION("""COMPUTED_VALUE"""),"A.A. ESC. EST. PRES. COSTA E SILVA")</f>
        <v>A.A. ESC. EST. PRES. COSTA E SILVA</v>
      </c>
      <c r="D9" s="35" t="str">
        <f ca="1">IFERROR(__xludf.DUMMYFUNCTION("""COMPUTED_VALUE"""),"02026325000179")</f>
        <v>02026325000179</v>
      </c>
      <c r="E9" s="36" t="str">
        <f ca="1">IFERROR(__xludf.DUMMYFUNCTION("""COMPUTED_VALUE"""),"001")</f>
        <v>001</v>
      </c>
      <c r="F9" s="37" t="str">
        <f ca="1">IFERROR(__xludf.DUMMYFUNCTION("""COMPUTED_VALUE"""),"3973")</f>
        <v>3973</v>
      </c>
      <c r="G9" s="37" t="str">
        <f ca="1">IFERROR(__xludf.DUMMYFUNCTION("""COMPUTED_VALUE"""),"55786")</f>
        <v>55786</v>
      </c>
      <c r="H9" s="37">
        <f ca="1">IFERROR(__xludf.DUMMYFUNCTION("""COMPUTED_VALUE"""),0)</f>
        <v>0</v>
      </c>
      <c r="I9" s="37">
        <f ca="1">IFERROR(__xludf.DUMMYFUNCTION("""COMPUTED_VALUE"""),0)</f>
        <v>0</v>
      </c>
      <c r="J9" s="37">
        <f ca="1">IFERROR(__xludf.DUMMYFUNCTION("""COMPUTED_VALUE"""),987)</f>
        <v>987</v>
      </c>
      <c r="K9" s="37">
        <f ca="1">IFERROR(__xludf.DUMMYFUNCTION("""COMPUTED_VALUE"""),0)</f>
        <v>0</v>
      </c>
      <c r="L9" s="37">
        <f ca="1">IFERROR(__xludf.DUMMYFUNCTION("""COMPUTED_VALUE"""),0)</f>
        <v>0</v>
      </c>
      <c r="M9" s="37">
        <f ca="1">IFERROR(__xludf.DUMMYFUNCTION("""COMPUTED_VALUE"""),0)</f>
        <v>0</v>
      </c>
      <c r="N9" s="37">
        <f ca="1">IFERROR(__xludf.DUMMYFUNCTION("""COMPUTED_VALUE"""),0)</f>
        <v>0</v>
      </c>
      <c r="O9" s="37">
        <f ca="1">IFERROR(__xludf.DUMMYFUNCTION("""COMPUTED_VALUE"""),0)</f>
        <v>0</v>
      </c>
      <c r="P9" s="37">
        <f ca="1">IFERROR(__xludf.DUMMYFUNCTION("""COMPUTED_VALUE"""),0)</f>
        <v>0</v>
      </c>
      <c r="Q9" s="37">
        <f ca="1">IFERROR(__xludf.DUMMYFUNCTION("""COMPUTED_VALUE"""),672)</f>
        <v>672</v>
      </c>
      <c r="R9" s="37">
        <f ca="1">IFERROR(__xludf.DUMMYFUNCTION("""COMPUTED_VALUE"""),0)</f>
        <v>0</v>
      </c>
      <c r="S9" s="37">
        <f ca="1">IFERROR(__xludf.DUMMYFUNCTION("""COMPUTED_VALUE"""),0)</f>
        <v>0</v>
      </c>
      <c r="T9" s="37">
        <f ca="1">IFERROR(__xludf.DUMMYFUNCTION("""COMPUTED_VALUE"""),0)</f>
        <v>0</v>
      </c>
      <c r="U9" s="37">
        <f ca="1">IFERROR(__xludf.DUMMYFUNCTION("""COMPUTED_VALUE"""),0)</f>
        <v>0</v>
      </c>
      <c r="V9" s="37">
        <f ca="1">IFERROR(__xludf.DUMMYFUNCTION("""COMPUTED_VALUE"""),0)</f>
        <v>0</v>
      </c>
      <c r="W9" s="37">
        <f ca="1">IFERROR(__xludf.DUMMYFUNCTION("""COMPUTED_VALUE"""),0)</f>
        <v>0</v>
      </c>
      <c r="X9" s="37">
        <f ca="1">IFERROR(__xludf.DUMMYFUNCTION("""COMPUTED_VALUE"""),0)</f>
        <v>0</v>
      </c>
      <c r="Y9" s="37">
        <f ca="1">IFERROR(__xludf.DUMMYFUNCTION("""COMPUTED_VALUE"""),0)</f>
        <v>0</v>
      </c>
      <c r="Z9" s="37">
        <f ca="1">IFERROR(__xludf.DUMMYFUNCTION("""COMPUTED_VALUE"""),0)</f>
        <v>0</v>
      </c>
    </row>
    <row r="10" spans="1:29" ht="12.75">
      <c r="A10" s="38" t="str">
        <f ca="1">IFERROR(__xludf.DUMMYFUNCTION("""COMPUTED_VALUE"""),"Araguaina")</f>
        <v>Araguaina</v>
      </c>
      <c r="B10" s="38" t="str">
        <f ca="1">IFERROR(__xludf.DUMMYFUNCTION("""COMPUTED_VALUE"""),"Ananas")</f>
        <v>Ananas</v>
      </c>
      <c r="C10" s="39" t="str">
        <f ca="1">IFERROR(__xludf.DUMMYFUNCTION("""COMPUTED_VALUE"""),"A.A. DA ESC.PAR.SAO PEDRO/CONVENIADA")</f>
        <v>A.A. DA ESC.PAR.SAO PEDRO/CONVENIADA</v>
      </c>
      <c r="D10" s="40" t="str">
        <f ca="1">IFERROR(__xludf.DUMMYFUNCTION("""COMPUTED_VALUE"""),"01911081000144")</f>
        <v>01911081000144</v>
      </c>
      <c r="E10" s="41" t="str">
        <f ca="1">IFERROR(__xludf.DUMMYFUNCTION("""COMPUTED_VALUE"""),"001")</f>
        <v>001</v>
      </c>
      <c r="F10" s="42" t="str">
        <f ca="1">IFERROR(__xludf.DUMMYFUNCTION("""COMPUTED_VALUE"""),"3973")</f>
        <v>3973</v>
      </c>
      <c r="G10" s="42" t="str">
        <f ca="1">IFERROR(__xludf.DUMMYFUNCTION("""COMPUTED_VALUE"""),"67350")</f>
        <v>67350</v>
      </c>
      <c r="H10" s="42">
        <f ca="1">IFERROR(__xludf.DUMMYFUNCTION("""COMPUTED_VALUE"""),0)</f>
        <v>0</v>
      </c>
      <c r="I10" s="42">
        <f ca="1">IFERROR(__xludf.DUMMYFUNCTION("""COMPUTED_VALUE"""),0)</f>
        <v>0</v>
      </c>
      <c r="J10" s="42">
        <f ca="1">IFERROR(__xludf.DUMMYFUNCTION("""COMPUTED_VALUE"""),6972)</f>
        <v>6972</v>
      </c>
      <c r="K10" s="42">
        <f ca="1">IFERROR(__xludf.DUMMYFUNCTION("""COMPUTED_VALUE"""),0)</f>
        <v>0</v>
      </c>
      <c r="L10" s="42">
        <f ca="1">IFERROR(__xludf.DUMMYFUNCTION("""COMPUTED_VALUE"""),0)</f>
        <v>0</v>
      </c>
      <c r="M10" s="42">
        <f ca="1">IFERROR(__xludf.DUMMYFUNCTION("""COMPUTED_VALUE"""),0)</f>
        <v>0</v>
      </c>
      <c r="N10" s="42">
        <f ca="1">IFERROR(__xludf.DUMMYFUNCTION("""COMPUTED_VALUE"""),0)</f>
        <v>0</v>
      </c>
      <c r="O10" s="42">
        <f ca="1">IFERROR(__xludf.DUMMYFUNCTION("""COMPUTED_VALUE"""),0)</f>
        <v>0</v>
      </c>
      <c r="P10" s="42">
        <f ca="1">IFERROR(__xludf.DUMMYFUNCTION("""COMPUTED_VALUE"""),441)</f>
        <v>441</v>
      </c>
      <c r="Q10" s="42">
        <f ca="1">IFERROR(__xludf.DUMMYFUNCTION("""COMPUTED_VALUE"""),0)</f>
        <v>0</v>
      </c>
      <c r="R10" s="42">
        <f ca="1">IFERROR(__xludf.DUMMYFUNCTION("""COMPUTED_VALUE"""),0)</f>
        <v>0</v>
      </c>
      <c r="S10" s="42">
        <f ca="1">IFERROR(__xludf.DUMMYFUNCTION("""COMPUTED_VALUE"""),0)</f>
        <v>0</v>
      </c>
      <c r="T10" s="42">
        <f ca="1">IFERROR(__xludf.DUMMYFUNCTION("""COMPUTED_VALUE"""),0)</f>
        <v>0</v>
      </c>
      <c r="U10" s="42">
        <f ca="1">IFERROR(__xludf.DUMMYFUNCTION("""COMPUTED_VALUE"""),0)</f>
        <v>0</v>
      </c>
      <c r="V10" s="42">
        <f ca="1">IFERROR(__xludf.DUMMYFUNCTION("""COMPUTED_VALUE"""),0)</f>
        <v>0</v>
      </c>
      <c r="W10" s="42">
        <f ca="1">IFERROR(__xludf.DUMMYFUNCTION("""COMPUTED_VALUE"""),0)</f>
        <v>0</v>
      </c>
      <c r="X10" s="42">
        <f ca="1">IFERROR(__xludf.DUMMYFUNCTION("""COMPUTED_VALUE"""),0)</f>
        <v>0</v>
      </c>
      <c r="Y10" s="42">
        <f ca="1">IFERROR(__xludf.DUMMYFUNCTION("""COMPUTED_VALUE"""),0)</f>
        <v>0</v>
      </c>
      <c r="Z10" s="42">
        <f ca="1">IFERROR(__xludf.DUMMYFUNCTION("""COMPUTED_VALUE"""),0)</f>
        <v>0</v>
      </c>
    </row>
    <row r="11" spans="1:29" ht="12.75">
      <c r="A11" s="33" t="str">
        <f ca="1">IFERROR(__xludf.DUMMYFUNCTION("""COMPUTED_VALUE"""),"Araguaina")</f>
        <v>Araguaina</v>
      </c>
      <c r="B11" s="33" t="str">
        <f ca="1">IFERROR(__xludf.DUMMYFUNCTION("""COMPUTED_VALUE"""),"Aragominas")</f>
        <v>Aragominas</v>
      </c>
      <c r="C11" s="34" t="str">
        <f ca="1">IFERROR(__xludf.DUMMYFUNCTION("""COMPUTED_VALUE"""),"ASSOCIAÇÃO DE APOIO DO COL. EST.GETULIO VARGAS")</f>
        <v>ASSOCIAÇÃO DE APOIO DO COL. EST.GETULIO VARGAS</v>
      </c>
      <c r="D11" s="35" t="str">
        <f ca="1">IFERROR(__xludf.DUMMYFUNCTION("""COMPUTED_VALUE"""),"01918914000107")</f>
        <v>01918914000107</v>
      </c>
      <c r="E11" s="36" t="str">
        <f ca="1">IFERROR(__xludf.DUMMYFUNCTION("""COMPUTED_VALUE"""),"001")</f>
        <v>001</v>
      </c>
      <c r="F11" s="37" t="str">
        <f ca="1">IFERROR(__xludf.DUMMYFUNCTION("""COMPUTED_VALUE"""),"0638")</f>
        <v>0638</v>
      </c>
      <c r="G11" s="37" t="str">
        <f ca="1">IFERROR(__xludf.DUMMYFUNCTION("""COMPUTED_VALUE"""),"83224")</f>
        <v>83224</v>
      </c>
      <c r="H11" s="37">
        <f ca="1">IFERROR(__xludf.DUMMYFUNCTION("""COMPUTED_VALUE"""),0)</f>
        <v>0</v>
      </c>
      <c r="I11" s="37">
        <f ca="1">IFERROR(__xludf.DUMMYFUNCTION("""COMPUTED_VALUE"""),0)</f>
        <v>0</v>
      </c>
      <c r="J11" s="37">
        <f ca="1">IFERROR(__xludf.DUMMYFUNCTION("""COMPUTED_VALUE"""),3339)</f>
        <v>3339</v>
      </c>
      <c r="K11" s="37">
        <f ca="1">IFERROR(__xludf.DUMMYFUNCTION("""COMPUTED_VALUE"""),0)</f>
        <v>0</v>
      </c>
      <c r="L11" s="37">
        <f ca="1">IFERROR(__xludf.DUMMYFUNCTION("""COMPUTED_VALUE"""),0)</f>
        <v>0</v>
      </c>
      <c r="M11" s="37">
        <f ca="1">IFERROR(__xludf.DUMMYFUNCTION("""COMPUTED_VALUE"""),0)</f>
        <v>0</v>
      </c>
      <c r="N11" s="37">
        <f ca="1">IFERROR(__xludf.DUMMYFUNCTION("""COMPUTED_VALUE"""),0)</f>
        <v>0</v>
      </c>
      <c r="O11" s="37">
        <f ca="1">IFERROR(__xludf.DUMMYFUNCTION("""COMPUTED_VALUE"""),0)</f>
        <v>0</v>
      </c>
      <c r="P11" s="37">
        <f ca="1">IFERROR(__xludf.DUMMYFUNCTION("""COMPUTED_VALUE"""),273)</f>
        <v>273</v>
      </c>
      <c r="Q11" s="37">
        <f ca="1">IFERROR(__xludf.DUMMYFUNCTION("""COMPUTED_VALUE"""),2310)</f>
        <v>2310</v>
      </c>
      <c r="R11" s="37">
        <f ca="1">IFERROR(__xludf.DUMMYFUNCTION("""COMPUTED_VALUE"""),0)</f>
        <v>0</v>
      </c>
      <c r="S11" s="37">
        <f ca="1">IFERROR(__xludf.DUMMYFUNCTION("""COMPUTED_VALUE"""),0)</f>
        <v>0</v>
      </c>
      <c r="T11" s="37">
        <f ca="1">IFERROR(__xludf.DUMMYFUNCTION("""COMPUTED_VALUE"""),0)</f>
        <v>0</v>
      </c>
      <c r="U11" s="37">
        <f ca="1">IFERROR(__xludf.DUMMYFUNCTION("""COMPUTED_VALUE"""),0)</f>
        <v>0</v>
      </c>
      <c r="V11" s="37">
        <f ca="1">IFERROR(__xludf.DUMMYFUNCTION("""COMPUTED_VALUE"""),0)</f>
        <v>0</v>
      </c>
      <c r="W11" s="37">
        <f ca="1">IFERROR(__xludf.DUMMYFUNCTION("""COMPUTED_VALUE"""),0)</f>
        <v>0</v>
      </c>
      <c r="X11" s="37">
        <f ca="1">IFERROR(__xludf.DUMMYFUNCTION("""COMPUTED_VALUE"""),0)</f>
        <v>0</v>
      </c>
      <c r="Y11" s="37">
        <f ca="1">IFERROR(__xludf.DUMMYFUNCTION("""COMPUTED_VALUE"""),0)</f>
        <v>0</v>
      </c>
      <c r="Z11" s="37">
        <f ca="1">IFERROR(__xludf.DUMMYFUNCTION("""COMPUTED_VALUE"""),0)</f>
        <v>0</v>
      </c>
    </row>
    <row r="12" spans="1:29" ht="12.75">
      <c r="A12" s="38" t="str">
        <f ca="1">IFERROR(__xludf.DUMMYFUNCTION("""COMPUTED_VALUE"""),"Araguaina")</f>
        <v>Araguaina</v>
      </c>
      <c r="B12" s="38" t="str">
        <f ca="1">IFERROR(__xludf.DUMMYFUNCTION("""COMPUTED_VALUE"""),"Aragominas")</f>
        <v>Aragominas</v>
      </c>
      <c r="C12" s="39" t="str">
        <f ca="1">IFERROR(__xludf.DUMMYFUNCTION("""COMPUTED_VALUE"""),"A.A.DA ESCOLA EST. JOSÉ DOMINGOS CARVALHO BARBOSA")</f>
        <v>A.A.DA ESCOLA EST. JOSÉ DOMINGOS CARVALHO BARBOSA</v>
      </c>
      <c r="D12" s="40" t="str">
        <f ca="1">IFERROR(__xludf.DUMMYFUNCTION("""COMPUTED_VALUE"""),"43927472000105")</f>
        <v>43927472000105</v>
      </c>
      <c r="E12" s="41" t="str">
        <f ca="1">IFERROR(__xludf.DUMMYFUNCTION("""COMPUTED_VALUE"""),"001")</f>
        <v>001</v>
      </c>
      <c r="F12" s="42" t="str">
        <f ca="1">IFERROR(__xludf.DUMMYFUNCTION("""COMPUTED_VALUE"""),"0638")</f>
        <v>0638</v>
      </c>
      <c r="G12" s="42" t="str">
        <f ca="1">IFERROR(__xludf.DUMMYFUNCTION("""COMPUTED_VALUE"""),"1098985")</f>
        <v>1098985</v>
      </c>
      <c r="H12" s="42">
        <f ca="1">IFERROR(__xludf.DUMMYFUNCTION("""COMPUTED_VALUE"""),0)</f>
        <v>0</v>
      </c>
      <c r="I12" s="42">
        <f ca="1">IFERROR(__xludf.DUMMYFUNCTION("""COMPUTED_VALUE"""),0)</f>
        <v>0</v>
      </c>
      <c r="J12" s="42">
        <f ca="1">IFERROR(__xludf.DUMMYFUNCTION("""COMPUTED_VALUE"""),0)</f>
        <v>0</v>
      </c>
      <c r="K12" s="42">
        <f ca="1">IFERROR(__xludf.DUMMYFUNCTION("""COMPUTED_VALUE"""),0)</f>
        <v>0</v>
      </c>
      <c r="L12" s="42">
        <f ca="1">IFERROR(__xludf.DUMMYFUNCTION("""COMPUTED_VALUE"""),0)</f>
        <v>0</v>
      </c>
      <c r="M12" s="42">
        <f ca="1">IFERROR(__xludf.DUMMYFUNCTION("""COMPUTED_VALUE"""),0)</f>
        <v>0</v>
      </c>
      <c r="N12" s="42">
        <f ca="1">IFERROR(__xludf.DUMMYFUNCTION("""COMPUTED_VALUE"""),0)</f>
        <v>0</v>
      </c>
      <c r="O12" s="42">
        <f ca="1">IFERROR(__xludf.DUMMYFUNCTION("""COMPUTED_VALUE"""),0)</f>
        <v>0</v>
      </c>
      <c r="P12" s="42">
        <f ca="1">IFERROR(__xludf.DUMMYFUNCTION("""COMPUTED_VALUE"""),0)</f>
        <v>0</v>
      </c>
      <c r="Q12" s="42">
        <f ca="1">IFERROR(__xludf.DUMMYFUNCTION("""COMPUTED_VALUE"""),0)</f>
        <v>0</v>
      </c>
      <c r="R12" s="42">
        <f ca="1">IFERROR(__xludf.DUMMYFUNCTION("""COMPUTED_VALUE"""),0)</f>
        <v>0</v>
      </c>
      <c r="S12" s="42">
        <f ca="1">IFERROR(__xludf.DUMMYFUNCTION("""COMPUTED_VALUE"""),0)</f>
        <v>0</v>
      </c>
      <c r="T12" s="42">
        <f ca="1">IFERROR(__xludf.DUMMYFUNCTION("""COMPUTED_VALUE"""),0)</f>
        <v>0</v>
      </c>
      <c r="U12" s="42">
        <f ca="1">IFERROR(__xludf.DUMMYFUNCTION("""COMPUTED_VALUE"""),0)</f>
        <v>0</v>
      </c>
      <c r="V12" s="42">
        <f ca="1">IFERROR(__xludf.DUMMYFUNCTION("""COMPUTED_VALUE"""),0)</f>
        <v>0</v>
      </c>
      <c r="W12" s="42">
        <f ca="1">IFERROR(__xludf.DUMMYFUNCTION("""COMPUTED_VALUE"""),0)</f>
        <v>0</v>
      </c>
      <c r="X12" s="42">
        <f ca="1">IFERROR(__xludf.DUMMYFUNCTION("""COMPUTED_VALUE"""),0)</f>
        <v>0</v>
      </c>
      <c r="Y12" s="42">
        <f ca="1">IFERROR(__xludf.DUMMYFUNCTION("""COMPUTED_VALUE"""),0)</f>
        <v>0</v>
      </c>
      <c r="Z12" s="42">
        <f ca="1">IFERROR(__xludf.DUMMYFUNCTION("""COMPUTED_VALUE"""),0)</f>
        <v>0</v>
      </c>
    </row>
    <row r="13" spans="1:29" ht="12.75">
      <c r="A13" s="33" t="str">
        <f ca="1">IFERROR(__xludf.DUMMYFUNCTION("""COMPUTED_VALUE"""),"Araguaina")</f>
        <v>Araguaina</v>
      </c>
      <c r="B13" s="33" t="str">
        <f ca="1">IFERROR(__xludf.DUMMYFUNCTION("""COMPUTED_VALUE"""),"Araguaina")</f>
        <v>Araguaina</v>
      </c>
      <c r="C13" s="34" t="str">
        <f ca="1">IFERROR(__xludf.DUMMYFUNCTION("""COMPUTED_VALUE"""),"A.A. DAS ESCOLAS ISOLADAS E REUNIDAS DA DRE ARAGUAINA")</f>
        <v>A.A. DAS ESCOLAS ISOLADAS E REUNIDAS DA DRE ARAGUAINA</v>
      </c>
      <c r="D13" s="35" t="str">
        <f ca="1">IFERROR(__xludf.DUMMYFUNCTION("""COMPUTED_VALUE"""),"02629601000193")</f>
        <v>02629601000193</v>
      </c>
      <c r="E13" s="36" t="str">
        <f ca="1">IFERROR(__xludf.DUMMYFUNCTION("""COMPUTED_VALUE"""),"001")</f>
        <v>001</v>
      </c>
      <c r="F13" s="37" t="str">
        <f ca="1">IFERROR(__xludf.DUMMYFUNCTION("""COMPUTED_VALUE"""),"0638")</f>
        <v>0638</v>
      </c>
      <c r="G13" s="37" t="str">
        <f ca="1">IFERROR(__xludf.DUMMYFUNCTION("""COMPUTED_VALUE"""),"352403")</f>
        <v>352403</v>
      </c>
      <c r="H13" s="37">
        <f ca="1">IFERROR(__xludf.DUMMYFUNCTION("""COMPUTED_VALUE"""),0)</f>
        <v>0</v>
      </c>
      <c r="I13" s="37">
        <f ca="1">IFERROR(__xludf.DUMMYFUNCTION("""COMPUTED_VALUE"""),0)</f>
        <v>0</v>
      </c>
      <c r="J13" s="37">
        <f ca="1">IFERROR(__xludf.DUMMYFUNCTION("""COMPUTED_VALUE"""),0)</f>
        <v>0</v>
      </c>
      <c r="K13" s="37">
        <f ca="1">IFERROR(__xludf.DUMMYFUNCTION("""COMPUTED_VALUE"""),0)</f>
        <v>0</v>
      </c>
      <c r="L13" s="37">
        <f ca="1">IFERROR(__xludf.DUMMYFUNCTION("""COMPUTED_VALUE"""),0)</f>
        <v>0</v>
      </c>
      <c r="M13" s="37">
        <f ca="1">IFERROR(__xludf.DUMMYFUNCTION("""COMPUTED_VALUE"""),0)</f>
        <v>0</v>
      </c>
      <c r="N13" s="37">
        <f ca="1">IFERROR(__xludf.DUMMYFUNCTION("""COMPUTED_VALUE"""),0)</f>
        <v>0</v>
      </c>
      <c r="O13" s="37">
        <f ca="1">IFERROR(__xludf.DUMMYFUNCTION("""COMPUTED_VALUE"""),10815)</f>
        <v>10815</v>
      </c>
      <c r="P13" s="37">
        <f ca="1">IFERROR(__xludf.DUMMYFUNCTION("""COMPUTED_VALUE"""),0)</f>
        <v>0</v>
      </c>
      <c r="Q13" s="37">
        <f ca="1">IFERROR(__xludf.DUMMYFUNCTION("""COMPUTED_VALUE"""),0)</f>
        <v>0</v>
      </c>
      <c r="R13" s="37">
        <f ca="1">IFERROR(__xludf.DUMMYFUNCTION("""COMPUTED_VALUE"""),0)</f>
        <v>0</v>
      </c>
      <c r="S13" s="37">
        <f ca="1">IFERROR(__xludf.DUMMYFUNCTION("""COMPUTED_VALUE"""),0)</f>
        <v>0</v>
      </c>
      <c r="T13" s="37">
        <f ca="1">IFERROR(__xludf.DUMMYFUNCTION("""COMPUTED_VALUE"""),0)</f>
        <v>0</v>
      </c>
      <c r="U13" s="37">
        <f ca="1">IFERROR(__xludf.DUMMYFUNCTION("""COMPUTED_VALUE"""),0)</f>
        <v>0</v>
      </c>
      <c r="V13" s="37">
        <f ca="1">IFERROR(__xludf.DUMMYFUNCTION("""COMPUTED_VALUE"""),0)</f>
        <v>0</v>
      </c>
      <c r="W13" s="37">
        <f ca="1">IFERROR(__xludf.DUMMYFUNCTION("""COMPUTED_VALUE"""),0)</f>
        <v>0</v>
      </c>
      <c r="X13" s="37">
        <f ca="1">IFERROR(__xludf.DUMMYFUNCTION("""COMPUTED_VALUE"""),0)</f>
        <v>0</v>
      </c>
      <c r="Y13" s="37">
        <f ca="1">IFERROR(__xludf.DUMMYFUNCTION("""COMPUTED_VALUE"""),0)</f>
        <v>0</v>
      </c>
      <c r="Z13" s="37">
        <f ca="1">IFERROR(__xludf.DUMMYFUNCTION("""COMPUTED_VALUE"""),0)</f>
        <v>0</v>
      </c>
    </row>
    <row r="14" spans="1:29" ht="12.75">
      <c r="A14" s="38" t="str">
        <f ca="1">IFERROR(__xludf.DUMMYFUNCTION("""COMPUTED_VALUE"""),"Araguaina")</f>
        <v>Araguaina</v>
      </c>
      <c r="B14" s="38" t="str">
        <f ca="1">IFERROR(__xludf.DUMMYFUNCTION("""COMPUTED_VALUE"""),"Araguaina")</f>
        <v>Araguaina</v>
      </c>
      <c r="C14" s="39" t="str">
        <f ca="1">IFERROR(__xludf.DUMMYFUNCTION("""COMPUTED_VALUE"""),"A.A. DO CAIC JORGE HUMBERTO CAMARGO")</f>
        <v>A.A. DO CAIC JORGE HUMBERTO CAMARGO</v>
      </c>
      <c r="D14" s="40" t="str">
        <f ca="1">IFERROR(__xludf.DUMMYFUNCTION("""COMPUTED_VALUE"""),"01071395000186")</f>
        <v>01071395000186</v>
      </c>
      <c r="E14" s="41" t="str">
        <f ca="1">IFERROR(__xludf.DUMMYFUNCTION("""COMPUTED_VALUE"""),"001")</f>
        <v>001</v>
      </c>
      <c r="F14" s="42" t="str">
        <f ca="1">IFERROR(__xludf.DUMMYFUNCTION("""COMPUTED_VALUE"""),"0638")</f>
        <v>0638</v>
      </c>
      <c r="G14" s="42" t="str">
        <f ca="1">IFERROR(__xludf.DUMMYFUNCTION("""COMPUTED_VALUE"""),"55099X")</f>
        <v>55099X</v>
      </c>
      <c r="H14" s="42">
        <f ca="1">IFERROR(__xludf.DUMMYFUNCTION("""COMPUTED_VALUE"""),0)</f>
        <v>0</v>
      </c>
      <c r="I14" s="42">
        <f ca="1">IFERROR(__xludf.DUMMYFUNCTION("""COMPUTED_VALUE"""),0)</f>
        <v>0</v>
      </c>
      <c r="J14" s="42">
        <f ca="1">IFERROR(__xludf.DUMMYFUNCTION("""COMPUTED_VALUE"""),0)</f>
        <v>0</v>
      </c>
      <c r="K14" s="42">
        <f ca="1">IFERROR(__xludf.DUMMYFUNCTION("""COMPUTED_VALUE"""),105840)</f>
        <v>105840</v>
      </c>
      <c r="L14" s="42">
        <f ca="1">IFERROR(__xludf.DUMMYFUNCTION("""COMPUTED_VALUE"""),0)</f>
        <v>0</v>
      </c>
      <c r="M14" s="42">
        <f ca="1">IFERROR(__xludf.DUMMYFUNCTION("""COMPUTED_VALUE"""),0)</f>
        <v>0</v>
      </c>
      <c r="N14" s="42">
        <f ca="1">IFERROR(__xludf.DUMMYFUNCTION("""COMPUTED_VALUE"""),0)</f>
        <v>0</v>
      </c>
      <c r="O14" s="42">
        <f ca="1">IFERROR(__xludf.DUMMYFUNCTION("""COMPUTED_VALUE"""),0)</f>
        <v>0</v>
      </c>
      <c r="P14" s="42">
        <f ca="1">IFERROR(__xludf.DUMMYFUNCTION("""COMPUTED_VALUE"""),924)</f>
        <v>924</v>
      </c>
      <c r="Q14" s="42">
        <f ca="1">IFERROR(__xludf.DUMMYFUNCTION("""COMPUTED_VALUE"""),0)</f>
        <v>0</v>
      </c>
      <c r="R14" s="42">
        <f ca="1">IFERROR(__xludf.DUMMYFUNCTION("""COMPUTED_VALUE"""),0)</f>
        <v>0</v>
      </c>
      <c r="S14" s="42">
        <f ca="1">IFERROR(__xludf.DUMMYFUNCTION("""COMPUTED_VALUE"""),0)</f>
        <v>0</v>
      </c>
      <c r="T14" s="42">
        <f ca="1">IFERROR(__xludf.DUMMYFUNCTION("""COMPUTED_VALUE"""),0)</f>
        <v>0</v>
      </c>
      <c r="U14" s="42">
        <f ca="1">IFERROR(__xludf.DUMMYFUNCTION("""COMPUTED_VALUE"""),0)</f>
        <v>0</v>
      </c>
      <c r="V14" s="42">
        <f ca="1">IFERROR(__xludf.DUMMYFUNCTION("""COMPUTED_VALUE"""),0)</f>
        <v>0</v>
      </c>
      <c r="W14" s="42">
        <f ca="1">IFERROR(__xludf.DUMMYFUNCTION("""COMPUTED_VALUE"""),0)</f>
        <v>0</v>
      </c>
      <c r="X14" s="42">
        <f ca="1">IFERROR(__xludf.DUMMYFUNCTION("""COMPUTED_VALUE"""),0)</f>
        <v>0</v>
      </c>
      <c r="Y14" s="42">
        <f ca="1">IFERROR(__xludf.DUMMYFUNCTION("""COMPUTED_VALUE"""),0)</f>
        <v>0</v>
      </c>
      <c r="Z14" s="42">
        <f ca="1">IFERROR(__xludf.DUMMYFUNCTION("""COMPUTED_VALUE"""),8982)</f>
        <v>8982</v>
      </c>
    </row>
    <row r="15" spans="1:29" ht="12.75">
      <c r="A15" s="33" t="str">
        <f ca="1">IFERROR(__xludf.DUMMYFUNCTION("""COMPUTED_VALUE"""),"Araguaina")</f>
        <v>Araguaina</v>
      </c>
      <c r="B15" s="33" t="str">
        <f ca="1">IFERROR(__xludf.DUMMYFUNCTION("""COMPUTED_VALUE"""),"Araguaina")</f>
        <v>Araguaina</v>
      </c>
      <c r="C15" s="34" t="str">
        <f ca="1">IFERROR(__xludf.DUMMYFUNCTION("""COMPUTED_VALUE"""),"ASSOC. A. COL. EST. BENJAMIM JOSÉ DE ALMEIDA")</f>
        <v>ASSOC. A. COL. EST. BENJAMIM JOSÉ DE ALMEIDA</v>
      </c>
      <c r="D15" s="35" t="str">
        <f ca="1">IFERROR(__xludf.DUMMYFUNCTION("""COMPUTED_VALUE"""),"01136023000190")</f>
        <v>01136023000190</v>
      </c>
      <c r="E15" s="36" t="str">
        <f ca="1">IFERROR(__xludf.DUMMYFUNCTION("""COMPUTED_VALUE"""),"001")</f>
        <v>001</v>
      </c>
      <c r="F15" s="37" t="str">
        <f ca="1">IFERROR(__xludf.DUMMYFUNCTION("""COMPUTED_VALUE"""),"0638")</f>
        <v>0638</v>
      </c>
      <c r="G15" s="37" t="str">
        <f ca="1">IFERROR(__xludf.DUMMYFUNCTION("""COMPUTED_VALUE"""),"55149X")</f>
        <v>55149X</v>
      </c>
      <c r="H15" s="37">
        <f ca="1">IFERROR(__xludf.DUMMYFUNCTION("""COMPUTED_VALUE"""),0)</f>
        <v>0</v>
      </c>
      <c r="I15" s="37">
        <f ca="1">IFERROR(__xludf.DUMMYFUNCTION("""COMPUTED_VALUE"""),0)</f>
        <v>0</v>
      </c>
      <c r="J15" s="37">
        <f ca="1">IFERROR(__xludf.DUMMYFUNCTION("""COMPUTED_VALUE"""),0)</f>
        <v>0</v>
      </c>
      <c r="K15" s="37">
        <f ca="1">IFERROR(__xludf.DUMMYFUNCTION("""COMPUTED_VALUE"""),0)</f>
        <v>0</v>
      </c>
      <c r="L15" s="37">
        <f ca="1">IFERROR(__xludf.DUMMYFUNCTION("""COMPUTED_VALUE"""),0)</f>
        <v>0</v>
      </c>
      <c r="M15" s="37">
        <f ca="1">IFERROR(__xludf.DUMMYFUNCTION("""COMPUTED_VALUE"""),0)</f>
        <v>0</v>
      </c>
      <c r="N15" s="37">
        <f ca="1">IFERROR(__xludf.DUMMYFUNCTION("""COMPUTED_VALUE"""),0)</f>
        <v>0</v>
      </c>
      <c r="O15" s="37">
        <f ca="1">IFERROR(__xludf.DUMMYFUNCTION("""COMPUTED_VALUE"""),0)</f>
        <v>0</v>
      </c>
      <c r="P15" s="37">
        <f ca="1">IFERROR(__xludf.DUMMYFUNCTION("""COMPUTED_VALUE"""),273)</f>
        <v>273</v>
      </c>
      <c r="Q15" s="37">
        <f ca="1">IFERROR(__xludf.DUMMYFUNCTION("""COMPUTED_VALUE"""),0)</f>
        <v>0</v>
      </c>
      <c r="R15" s="37">
        <f ca="1">IFERROR(__xludf.DUMMYFUNCTION("""COMPUTED_VALUE"""),0)</f>
        <v>0</v>
      </c>
      <c r="S15" s="37">
        <f ca="1">IFERROR(__xludf.DUMMYFUNCTION("""COMPUTED_VALUE"""),18215.6)</f>
        <v>18215.599999999999</v>
      </c>
      <c r="T15" s="37">
        <f ca="1">IFERROR(__xludf.DUMMYFUNCTION("""COMPUTED_VALUE"""),0)</f>
        <v>0</v>
      </c>
      <c r="U15" s="37">
        <f ca="1">IFERROR(__xludf.DUMMYFUNCTION("""COMPUTED_VALUE"""),0)</f>
        <v>0</v>
      </c>
      <c r="V15" s="37">
        <f ca="1">IFERROR(__xludf.DUMMYFUNCTION("""COMPUTED_VALUE"""),0)</f>
        <v>0</v>
      </c>
      <c r="W15" s="37">
        <f ca="1">IFERROR(__xludf.DUMMYFUNCTION("""COMPUTED_VALUE"""),1809)</f>
        <v>1809</v>
      </c>
      <c r="X15" s="37">
        <f ca="1">IFERROR(__xludf.DUMMYFUNCTION("""COMPUTED_VALUE"""),0)</f>
        <v>0</v>
      </c>
      <c r="Y15" s="37">
        <f ca="1">IFERROR(__xludf.DUMMYFUNCTION("""COMPUTED_VALUE"""),0)</f>
        <v>0</v>
      </c>
      <c r="Z15" s="37">
        <f ca="1">IFERROR(__xludf.DUMMYFUNCTION("""COMPUTED_VALUE"""),0)</f>
        <v>0</v>
      </c>
    </row>
    <row r="16" spans="1:29" ht="12.75">
      <c r="A16" s="38" t="str">
        <f ca="1">IFERROR(__xludf.DUMMYFUNCTION("""COMPUTED_VALUE"""),"Araguaina")</f>
        <v>Araguaina</v>
      </c>
      <c r="B16" s="38" t="str">
        <f ca="1">IFERROR(__xludf.DUMMYFUNCTION("""COMPUTED_VALUE"""),"Araguaina")</f>
        <v>Araguaina</v>
      </c>
      <c r="C16" s="39" t="str">
        <f ca="1">IFERROR(__xludf.DUMMYFUNCTION("""COMPUTED_VALUE"""),"ASSOC. DE PAIS, ALUNOS E MESTRES COL. EST. POLIVALENTE CASTELO BRANCO")</f>
        <v>ASSOC. DE PAIS, ALUNOS E MESTRES COL. EST. POLIVALENTE CASTELO BRANCO</v>
      </c>
      <c r="D16" s="40" t="str">
        <f ca="1">IFERROR(__xludf.DUMMYFUNCTION("""COMPUTED_VALUE"""),"00918900000112")</f>
        <v>00918900000112</v>
      </c>
      <c r="E16" s="41" t="str">
        <f ca="1">IFERROR(__xludf.DUMMYFUNCTION("""COMPUTED_VALUE"""),"001")</f>
        <v>001</v>
      </c>
      <c r="F16" s="42" t="str">
        <f ca="1">IFERROR(__xludf.DUMMYFUNCTION("""COMPUTED_VALUE"""),"0638")</f>
        <v>0638</v>
      </c>
      <c r="G16" s="42" t="str">
        <f ca="1">IFERROR(__xludf.DUMMYFUNCTION("""COMPUTED_VALUE"""),"12599")</f>
        <v>12599</v>
      </c>
      <c r="H16" s="42">
        <f ca="1">IFERROR(__xludf.DUMMYFUNCTION("""COMPUTED_VALUE"""),0)</f>
        <v>0</v>
      </c>
      <c r="I16" s="42">
        <f ca="1">IFERROR(__xludf.DUMMYFUNCTION("""COMPUTED_VALUE"""),0)</f>
        <v>0</v>
      </c>
      <c r="J16" s="42">
        <f ca="1">IFERROR(__xludf.DUMMYFUNCTION("""COMPUTED_VALUE"""),0)</f>
        <v>0</v>
      </c>
      <c r="K16" s="42">
        <f ca="1">IFERROR(__xludf.DUMMYFUNCTION("""COMPUTED_VALUE"""),0)</f>
        <v>0</v>
      </c>
      <c r="L16" s="42">
        <f ca="1">IFERROR(__xludf.DUMMYFUNCTION("""COMPUTED_VALUE"""),0)</f>
        <v>0</v>
      </c>
      <c r="M16" s="42">
        <f ca="1">IFERROR(__xludf.DUMMYFUNCTION("""COMPUTED_VALUE"""),0)</f>
        <v>0</v>
      </c>
      <c r="N16" s="42">
        <f ca="1">IFERROR(__xludf.DUMMYFUNCTION("""COMPUTED_VALUE"""),0)</f>
        <v>0</v>
      </c>
      <c r="O16" s="42">
        <f ca="1">IFERROR(__xludf.DUMMYFUNCTION("""COMPUTED_VALUE"""),0)</f>
        <v>0</v>
      </c>
      <c r="P16" s="42">
        <f ca="1">IFERROR(__xludf.DUMMYFUNCTION("""COMPUTED_VALUE"""),273)</f>
        <v>273</v>
      </c>
      <c r="Q16" s="42">
        <f ca="1">IFERROR(__xludf.DUMMYFUNCTION("""COMPUTED_VALUE"""),0)</f>
        <v>0</v>
      </c>
      <c r="R16" s="42">
        <f ca="1">IFERROR(__xludf.DUMMYFUNCTION("""COMPUTED_VALUE"""),0)</f>
        <v>0</v>
      </c>
      <c r="S16" s="42">
        <f ca="1">IFERROR(__xludf.DUMMYFUNCTION("""COMPUTED_VALUE"""),11122.8)</f>
        <v>11122.8</v>
      </c>
      <c r="T16" s="42">
        <f ca="1">IFERROR(__xludf.DUMMYFUNCTION("""COMPUTED_VALUE"""),0)</f>
        <v>0</v>
      </c>
      <c r="U16" s="42">
        <f ca="1">IFERROR(__xludf.DUMMYFUNCTION("""COMPUTED_VALUE"""),0)</f>
        <v>0</v>
      </c>
      <c r="V16" s="42">
        <f ca="1">IFERROR(__xludf.DUMMYFUNCTION("""COMPUTED_VALUE"""),0)</f>
        <v>0</v>
      </c>
      <c r="W16" s="42">
        <f ca="1">IFERROR(__xludf.DUMMYFUNCTION("""COMPUTED_VALUE"""),1085.39999999999)</f>
        <v>1085.3999999999901</v>
      </c>
      <c r="X16" s="42">
        <f ca="1">IFERROR(__xludf.DUMMYFUNCTION("""COMPUTED_VALUE"""),0)</f>
        <v>0</v>
      </c>
      <c r="Y16" s="42">
        <f ca="1">IFERROR(__xludf.DUMMYFUNCTION("""COMPUTED_VALUE"""),0)</f>
        <v>0</v>
      </c>
      <c r="Z16" s="42">
        <f ca="1">IFERROR(__xludf.DUMMYFUNCTION("""COMPUTED_VALUE"""),0)</f>
        <v>0</v>
      </c>
    </row>
    <row r="17" spans="1:26" ht="12.75">
      <c r="A17" s="33" t="str">
        <f ca="1">IFERROR(__xludf.DUMMYFUNCTION("""COMPUTED_VALUE"""),"Araguaina")</f>
        <v>Araguaina</v>
      </c>
      <c r="B17" s="33" t="str">
        <f ca="1">IFERROR(__xludf.DUMMYFUNCTION("""COMPUTED_VALUE"""),"Araguaina")</f>
        <v>Araguaina</v>
      </c>
      <c r="C17" s="34" t="str">
        <f ca="1">IFERROR(__xludf.DUMMYFUNCTION("""COMPUTED_VALUE"""),"ASSOC. A.  DO COLÉGIO DA POLICIA MILITAR - UNIDADE III")</f>
        <v>ASSOC. A.  DO COLÉGIO DA POLICIA MILITAR - UNIDADE III</v>
      </c>
      <c r="D17" s="35" t="str">
        <f ca="1">IFERROR(__xludf.DUMMYFUNCTION("""COMPUTED_VALUE"""),"02480178000102")</f>
        <v>02480178000102</v>
      </c>
      <c r="E17" s="36" t="str">
        <f ca="1">IFERROR(__xludf.DUMMYFUNCTION("""COMPUTED_VALUE"""),"001")</f>
        <v>001</v>
      </c>
      <c r="F17" s="37" t="str">
        <f ca="1">IFERROR(__xludf.DUMMYFUNCTION("""COMPUTED_VALUE"""),"0638")</f>
        <v>0638</v>
      </c>
      <c r="G17" s="37" t="str">
        <f ca="1">IFERROR(__xludf.DUMMYFUNCTION("""COMPUTED_VALUE"""),"552291")</f>
        <v>552291</v>
      </c>
      <c r="H17" s="37">
        <f ca="1">IFERROR(__xludf.DUMMYFUNCTION("""COMPUTED_VALUE"""),0)</f>
        <v>0</v>
      </c>
      <c r="I17" s="37">
        <f ca="1">IFERROR(__xludf.DUMMYFUNCTION("""COMPUTED_VALUE"""),0)</f>
        <v>0</v>
      </c>
      <c r="J17" s="37">
        <f ca="1">IFERROR(__xludf.DUMMYFUNCTION("""COMPUTED_VALUE"""),0)</f>
        <v>0</v>
      </c>
      <c r="K17" s="37">
        <f ca="1">IFERROR(__xludf.DUMMYFUNCTION("""COMPUTED_VALUE"""),0)</f>
        <v>0</v>
      </c>
      <c r="L17" s="37">
        <f ca="1">IFERROR(__xludf.DUMMYFUNCTION("""COMPUTED_VALUE"""),0)</f>
        <v>0</v>
      </c>
      <c r="M17" s="37">
        <f ca="1">IFERROR(__xludf.DUMMYFUNCTION("""COMPUTED_VALUE"""),0)</f>
        <v>0</v>
      </c>
      <c r="N17" s="37">
        <f ca="1">IFERROR(__xludf.DUMMYFUNCTION("""COMPUTED_VALUE"""),0)</f>
        <v>0</v>
      </c>
      <c r="O17" s="37">
        <f ca="1">IFERROR(__xludf.DUMMYFUNCTION("""COMPUTED_VALUE"""),0)</f>
        <v>0</v>
      </c>
      <c r="P17" s="37">
        <f ca="1">IFERROR(__xludf.DUMMYFUNCTION("""COMPUTED_VALUE"""),0)</f>
        <v>0</v>
      </c>
      <c r="Q17" s="37">
        <f ca="1">IFERROR(__xludf.DUMMYFUNCTION("""COMPUTED_VALUE"""),34440)</f>
        <v>34440</v>
      </c>
      <c r="R17" s="37">
        <f ca="1">IFERROR(__xludf.DUMMYFUNCTION("""COMPUTED_VALUE"""),0)</f>
        <v>0</v>
      </c>
      <c r="S17" s="37">
        <f ca="1">IFERROR(__xludf.DUMMYFUNCTION("""COMPUTED_VALUE"""),0)</f>
        <v>0</v>
      </c>
      <c r="T17" s="37">
        <f ca="1">IFERROR(__xludf.DUMMYFUNCTION("""COMPUTED_VALUE"""),0)</f>
        <v>0</v>
      </c>
      <c r="U17" s="37">
        <f ca="1">IFERROR(__xludf.DUMMYFUNCTION("""COMPUTED_VALUE"""),0)</f>
        <v>0</v>
      </c>
      <c r="V17" s="37">
        <f ca="1">IFERROR(__xludf.DUMMYFUNCTION("""COMPUTED_VALUE"""),0)</f>
        <v>0</v>
      </c>
      <c r="W17" s="37">
        <f ca="1">IFERROR(__xludf.DUMMYFUNCTION("""COMPUTED_VALUE"""),0)</f>
        <v>0</v>
      </c>
      <c r="X17" s="37">
        <f ca="1">IFERROR(__xludf.DUMMYFUNCTION("""COMPUTED_VALUE"""),0)</f>
        <v>0</v>
      </c>
      <c r="Y17" s="37">
        <f ca="1">IFERROR(__xludf.DUMMYFUNCTION("""COMPUTED_VALUE"""),0)</f>
        <v>0</v>
      </c>
      <c r="Z17" s="37">
        <f ca="1">IFERROR(__xludf.DUMMYFUNCTION("""COMPUTED_VALUE"""),0)</f>
        <v>0</v>
      </c>
    </row>
    <row r="18" spans="1:26" ht="12.75">
      <c r="A18" s="38" t="str">
        <f ca="1">IFERROR(__xludf.DUMMYFUNCTION("""COMPUTED_VALUE"""),"Araguaina")</f>
        <v>Araguaina</v>
      </c>
      <c r="B18" s="38" t="str">
        <f ca="1">IFERROR(__xludf.DUMMYFUNCTION("""COMPUTED_VALUE"""),"Araguaina")</f>
        <v>Araguaina</v>
      </c>
      <c r="C18" s="39" t="str">
        <f ca="1">IFERROR(__xludf.DUMMYFUNCTION("""COMPUTED_VALUE"""),"ASSOC. APOIO COL. EST. CEM PAULO FREIRE")</f>
        <v>ASSOC. APOIO COL. EST. CEM PAULO FREIRE</v>
      </c>
      <c r="D18" s="40" t="str">
        <f ca="1">IFERROR(__xludf.DUMMYFUNCTION("""COMPUTED_VALUE"""),"01738420000132")</f>
        <v>01738420000132</v>
      </c>
      <c r="E18" s="41" t="str">
        <f ca="1">IFERROR(__xludf.DUMMYFUNCTION("""COMPUTED_VALUE"""),"001")</f>
        <v>001</v>
      </c>
      <c r="F18" s="42" t="str">
        <f ca="1">IFERROR(__xludf.DUMMYFUNCTION("""COMPUTED_VALUE"""),"0638")</f>
        <v>0638</v>
      </c>
      <c r="G18" s="42" t="str">
        <f ca="1">IFERROR(__xludf.DUMMYFUNCTION("""COMPUTED_VALUE"""),"551589")</f>
        <v>551589</v>
      </c>
      <c r="H18" s="42">
        <f ca="1">IFERROR(__xludf.DUMMYFUNCTION("""COMPUTED_VALUE"""),0)</f>
        <v>0</v>
      </c>
      <c r="I18" s="42">
        <f ca="1">IFERROR(__xludf.DUMMYFUNCTION("""COMPUTED_VALUE"""),0)</f>
        <v>0</v>
      </c>
      <c r="J18" s="42">
        <f ca="1">IFERROR(__xludf.DUMMYFUNCTION("""COMPUTED_VALUE"""),0)</f>
        <v>0</v>
      </c>
      <c r="K18" s="42">
        <f ca="1">IFERROR(__xludf.DUMMYFUNCTION("""COMPUTED_VALUE"""),0)</f>
        <v>0</v>
      </c>
      <c r="L18" s="42">
        <f ca="1">IFERROR(__xludf.DUMMYFUNCTION("""COMPUTED_VALUE"""),0)</f>
        <v>0</v>
      </c>
      <c r="M18" s="42">
        <f ca="1">IFERROR(__xludf.DUMMYFUNCTION("""COMPUTED_VALUE"""),0)</f>
        <v>0</v>
      </c>
      <c r="N18" s="42">
        <f ca="1">IFERROR(__xludf.DUMMYFUNCTION("""COMPUTED_VALUE"""),0)</f>
        <v>0</v>
      </c>
      <c r="O18" s="42">
        <f ca="1">IFERROR(__xludf.DUMMYFUNCTION("""COMPUTED_VALUE"""),0)</f>
        <v>0</v>
      </c>
      <c r="P18" s="42">
        <f ca="1">IFERROR(__xludf.DUMMYFUNCTION("""COMPUTED_VALUE"""),210)</f>
        <v>210</v>
      </c>
      <c r="Q18" s="42">
        <f ca="1">IFERROR(__xludf.DUMMYFUNCTION("""COMPUTED_VALUE"""),0)</f>
        <v>0</v>
      </c>
      <c r="R18" s="42">
        <f ca="1">IFERROR(__xludf.DUMMYFUNCTION("""COMPUTED_VALUE"""),0)</f>
        <v>0</v>
      </c>
      <c r="S18" s="42">
        <f ca="1">IFERROR(__xludf.DUMMYFUNCTION("""COMPUTED_VALUE"""),16764.8)</f>
        <v>16764.8</v>
      </c>
      <c r="T18" s="42">
        <f ca="1">IFERROR(__xludf.DUMMYFUNCTION("""COMPUTED_VALUE"""),0)</f>
        <v>0</v>
      </c>
      <c r="U18" s="42">
        <f ca="1">IFERROR(__xludf.DUMMYFUNCTION("""COMPUTED_VALUE"""),0)</f>
        <v>0</v>
      </c>
      <c r="V18" s="42">
        <f ca="1">IFERROR(__xludf.DUMMYFUNCTION("""COMPUTED_VALUE"""),0)</f>
        <v>0</v>
      </c>
      <c r="W18" s="42">
        <f ca="1">IFERROR(__xludf.DUMMYFUNCTION("""COMPUTED_VALUE"""),1688.39999999999)</f>
        <v>1688.3999999999901</v>
      </c>
      <c r="X18" s="42">
        <f ca="1">IFERROR(__xludf.DUMMYFUNCTION("""COMPUTED_VALUE"""),0)</f>
        <v>0</v>
      </c>
      <c r="Y18" s="42">
        <f ca="1">IFERROR(__xludf.DUMMYFUNCTION("""COMPUTED_VALUE"""),0)</f>
        <v>0</v>
      </c>
      <c r="Z18" s="42">
        <f ca="1">IFERROR(__xludf.DUMMYFUNCTION("""COMPUTED_VALUE"""),0)</f>
        <v>0</v>
      </c>
    </row>
    <row r="19" spans="1:26" ht="12.75">
      <c r="A19" s="33" t="str">
        <f ca="1">IFERROR(__xludf.DUMMYFUNCTION("""COMPUTED_VALUE"""),"Araguaina")</f>
        <v>Araguaina</v>
      </c>
      <c r="B19" s="33" t="str">
        <f ca="1">IFERROR(__xludf.DUMMYFUNCTION("""COMPUTED_VALUE"""),"Araguaina")</f>
        <v>Araguaina</v>
      </c>
      <c r="C19" s="34" t="str">
        <f ca="1">IFERROR(__xludf.DUMMYFUNCTION("""COMPUTED_VALUE"""),"A. APOIO DO COLEGIO DE APLICACAO")</f>
        <v>A. APOIO DO COLEGIO DE APLICACAO</v>
      </c>
      <c r="D19" s="35" t="str">
        <f ca="1">IFERROR(__xludf.DUMMYFUNCTION("""COMPUTED_VALUE"""),"01086986000127")</f>
        <v>01086986000127</v>
      </c>
      <c r="E19" s="36" t="str">
        <f ca="1">IFERROR(__xludf.DUMMYFUNCTION("""COMPUTED_VALUE"""),"001")</f>
        <v>001</v>
      </c>
      <c r="F19" s="37" t="str">
        <f ca="1">IFERROR(__xludf.DUMMYFUNCTION("""COMPUTED_VALUE"""),"0638")</f>
        <v>0638</v>
      </c>
      <c r="G19" s="37" t="str">
        <f ca="1">IFERROR(__xludf.DUMMYFUNCTION("""COMPUTED_VALUE"""),"0465275")</f>
        <v>0465275</v>
      </c>
      <c r="H19" s="37">
        <f ca="1">IFERROR(__xludf.DUMMYFUNCTION("""COMPUTED_VALUE"""),0)</f>
        <v>0</v>
      </c>
      <c r="I19" s="37">
        <f ca="1">IFERROR(__xludf.DUMMYFUNCTION("""COMPUTED_VALUE"""),0)</f>
        <v>0</v>
      </c>
      <c r="J19" s="37">
        <f ca="1">IFERROR(__xludf.DUMMYFUNCTION("""COMPUTED_VALUE"""),11004)</f>
        <v>11004</v>
      </c>
      <c r="K19" s="37">
        <f ca="1">IFERROR(__xludf.DUMMYFUNCTION("""COMPUTED_VALUE"""),0)</f>
        <v>0</v>
      </c>
      <c r="L19" s="37">
        <f ca="1">IFERROR(__xludf.DUMMYFUNCTION("""COMPUTED_VALUE"""),0)</f>
        <v>0</v>
      </c>
      <c r="M19" s="37">
        <f ca="1">IFERROR(__xludf.DUMMYFUNCTION("""COMPUTED_VALUE"""),0)</f>
        <v>0</v>
      </c>
      <c r="N19" s="37">
        <f ca="1">IFERROR(__xludf.DUMMYFUNCTION("""COMPUTED_VALUE"""),0)</f>
        <v>0</v>
      </c>
      <c r="O19" s="37">
        <f ca="1">IFERROR(__xludf.DUMMYFUNCTION("""COMPUTED_VALUE"""),0)</f>
        <v>0</v>
      </c>
      <c r="P19" s="37">
        <f ca="1">IFERROR(__xludf.DUMMYFUNCTION("""COMPUTED_VALUE"""),504)</f>
        <v>504</v>
      </c>
      <c r="Q19" s="37">
        <f ca="1">IFERROR(__xludf.DUMMYFUNCTION("""COMPUTED_VALUE"""),10668)</f>
        <v>10668</v>
      </c>
      <c r="R19" s="37">
        <f ca="1">IFERROR(__xludf.DUMMYFUNCTION("""COMPUTED_VALUE"""),0)</f>
        <v>0</v>
      </c>
      <c r="S19" s="37">
        <f ca="1">IFERROR(__xludf.DUMMYFUNCTION("""COMPUTED_VALUE"""),0)</f>
        <v>0</v>
      </c>
      <c r="T19" s="37">
        <f ca="1">IFERROR(__xludf.DUMMYFUNCTION("""COMPUTED_VALUE"""),0)</f>
        <v>0</v>
      </c>
      <c r="U19" s="37">
        <f ca="1">IFERROR(__xludf.DUMMYFUNCTION("""COMPUTED_VALUE"""),0)</f>
        <v>0</v>
      </c>
      <c r="V19" s="37">
        <f ca="1">IFERROR(__xludf.DUMMYFUNCTION("""COMPUTED_VALUE"""),0)</f>
        <v>0</v>
      </c>
      <c r="W19" s="37">
        <f ca="1">IFERROR(__xludf.DUMMYFUNCTION("""COMPUTED_VALUE"""),0)</f>
        <v>0</v>
      </c>
      <c r="X19" s="37">
        <f ca="1">IFERROR(__xludf.DUMMYFUNCTION("""COMPUTED_VALUE"""),0)</f>
        <v>0</v>
      </c>
      <c r="Y19" s="37">
        <f ca="1">IFERROR(__xludf.DUMMYFUNCTION("""COMPUTED_VALUE"""),0)</f>
        <v>0</v>
      </c>
      <c r="Z19" s="37">
        <f ca="1">IFERROR(__xludf.DUMMYFUNCTION("""COMPUTED_VALUE"""),0)</f>
        <v>0</v>
      </c>
    </row>
    <row r="20" spans="1:26" ht="12.75">
      <c r="A20" s="38" t="str">
        <f ca="1">IFERROR(__xludf.DUMMYFUNCTION("""COMPUTED_VALUE"""),"Araguaina")</f>
        <v>Araguaina</v>
      </c>
      <c r="B20" s="38" t="str">
        <f ca="1">IFERROR(__xludf.DUMMYFUNCTION("""COMPUTED_VALUE"""),"Araguaina")</f>
        <v>Araguaina</v>
      </c>
      <c r="C20" s="39" t="str">
        <f ca="1">IFERROR(__xludf.DUMMYFUNCTION("""COMPUTED_VALUE"""),"A.A. C.E. ADEMAR V. FERREIRA SOBRINHO")</f>
        <v>A.A. C.E. ADEMAR V. FERREIRA SOBRINHO</v>
      </c>
      <c r="D20" s="40" t="str">
        <f ca="1">IFERROR(__xludf.DUMMYFUNCTION("""COMPUTED_VALUE"""),"01143808000190")</f>
        <v>01143808000190</v>
      </c>
      <c r="E20" s="41" t="str">
        <f ca="1">IFERROR(__xludf.DUMMYFUNCTION("""COMPUTED_VALUE"""),"001")</f>
        <v>001</v>
      </c>
      <c r="F20" s="42" t="str">
        <f ca="1">IFERROR(__xludf.DUMMYFUNCTION("""COMPUTED_VALUE"""),"0638")</f>
        <v>0638</v>
      </c>
      <c r="G20" s="42" t="str">
        <f ca="1">IFERROR(__xludf.DUMMYFUNCTION("""COMPUTED_VALUE"""),"0464244")</f>
        <v>0464244</v>
      </c>
      <c r="H20" s="42">
        <f ca="1">IFERROR(__xludf.DUMMYFUNCTION("""COMPUTED_VALUE"""),0)</f>
        <v>0</v>
      </c>
      <c r="I20" s="42">
        <f ca="1">IFERROR(__xludf.DUMMYFUNCTION("""COMPUTED_VALUE"""),0)</f>
        <v>0</v>
      </c>
      <c r="J20" s="42">
        <f ca="1">IFERROR(__xludf.DUMMYFUNCTION("""COMPUTED_VALUE"""),8652)</f>
        <v>8652</v>
      </c>
      <c r="K20" s="42">
        <f ca="1">IFERROR(__xludf.DUMMYFUNCTION("""COMPUTED_VALUE"""),0)</f>
        <v>0</v>
      </c>
      <c r="L20" s="42">
        <f ca="1">IFERROR(__xludf.DUMMYFUNCTION("""COMPUTED_VALUE"""),0)</f>
        <v>0</v>
      </c>
      <c r="M20" s="42">
        <f ca="1">IFERROR(__xludf.DUMMYFUNCTION("""COMPUTED_VALUE"""),0)</f>
        <v>0</v>
      </c>
      <c r="N20" s="42">
        <f ca="1">IFERROR(__xludf.DUMMYFUNCTION("""COMPUTED_VALUE"""),0)</f>
        <v>0</v>
      </c>
      <c r="O20" s="42">
        <f ca="1">IFERROR(__xludf.DUMMYFUNCTION("""COMPUTED_VALUE"""),0)</f>
        <v>0</v>
      </c>
      <c r="P20" s="42">
        <f ca="1">IFERROR(__xludf.DUMMYFUNCTION("""COMPUTED_VALUE"""),420)</f>
        <v>420</v>
      </c>
      <c r="Q20" s="42">
        <f ca="1">IFERROR(__xludf.DUMMYFUNCTION("""COMPUTED_VALUE"""),0)</f>
        <v>0</v>
      </c>
      <c r="R20" s="42">
        <f ca="1">IFERROR(__xludf.DUMMYFUNCTION("""COMPUTED_VALUE"""),0)</f>
        <v>0</v>
      </c>
      <c r="S20" s="42">
        <f ca="1">IFERROR(__xludf.DUMMYFUNCTION("""COMPUTED_VALUE"""),0)</f>
        <v>0</v>
      </c>
      <c r="T20" s="42">
        <f ca="1">IFERROR(__xludf.DUMMYFUNCTION("""COMPUTED_VALUE"""),0)</f>
        <v>0</v>
      </c>
      <c r="U20" s="42">
        <f ca="1">IFERROR(__xludf.DUMMYFUNCTION("""COMPUTED_VALUE"""),0)</f>
        <v>0</v>
      </c>
      <c r="V20" s="42">
        <f ca="1">IFERROR(__xludf.DUMMYFUNCTION("""COMPUTED_VALUE"""),0)</f>
        <v>0</v>
      </c>
      <c r="W20" s="42">
        <f ca="1">IFERROR(__xludf.DUMMYFUNCTION("""COMPUTED_VALUE"""),0)</f>
        <v>0</v>
      </c>
      <c r="X20" s="42">
        <f ca="1">IFERROR(__xludf.DUMMYFUNCTION("""COMPUTED_VALUE"""),0)</f>
        <v>0</v>
      </c>
      <c r="Y20" s="42">
        <f ca="1">IFERROR(__xludf.DUMMYFUNCTION("""COMPUTED_VALUE"""),0)</f>
        <v>0</v>
      </c>
      <c r="Z20" s="42">
        <f ca="1">IFERROR(__xludf.DUMMYFUNCTION("""COMPUTED_VALUE"""),0)</f>
        <v>0</v>
      </c>
    </row>
    <row r="21" spans="1:26" ht="12.75">
      <c r="A21" s="33" t="str">
        <f ca="1">IFERROR(__xludf.DUMMYFUNCTION("""COMPUTED_VALUE"""),"Araguaina")</f>
        <v>Araguaina</v>
      </c>
      <c r="B21" s="33" t="str">
        <f ca="1">IFERROR(__xludf.DUMMYFUNCTION("""COMPUTED_VALUE"""),"Araguaina")</f>
        <v>Araguaina</v>
      </c>
      <c r="C21" s="34" t="str">
        <f ca="1">IFERROR(__xludf.DUMMYFUNCTION("""COMPUTED_VALUE"""),"A.A. C.E.  ADOLFO BEZERRA DE MENEZES")</f>
        <v>A.A. C.E.  ADOLFO BEZERRA DE MENEZES</v>
      </c>
      <c r="D21" s="35" t="str">
        <f ca="1">IFERROR(__xludf.DUMMYFUNCTION("""COMPUTED_VALUE"""),"01071435000190")</f>
        <v>01071435000190</v>
      </c>
      <c r="E21" s="36" t="str">
        <f ca="1">IFERROR(__xludf.DUMMYFUNCTION("""COMPUTED_VALUE"""),"001")</f>
        <v>001</v>
      </c>
      <c r="F21" s="37" t="str">
        <f ca="1">IFERROR(__xludf.DUMMYFUNCTION("""COMPUTED_VALUE"""),"0638")</f>
        <v>0638</v>
      </c>
      <c r="G21" s="37" t="str">
        <f ca="1">IFERROR(__xludf.DUMMYFUNCTION("""COMPUTED_VALUE"""),"463426")</f>
        <v>463426</v>
      </c>
      <c r="H21" s="37">
        <f ca="1">IFERROR(__xludf.DUMMYFUNCTION("""COMPUTED_VALUE"""),0)</f>
        <v>0</v>
      </c>
      <c r="I21" s="37">
        <f ca="1">IFERROR(__xludf.DUMMYFUNCTION("""COMPUTED_VALUE"""),0)</f>
        <v>0</v>
      </c>
      <c r="J21" s="37">
        <f ca="1">IFERROR(__xludf.DUMMYFUNCTION("""COMPUTED_VALUE"""),11571)</f>
        <v>11571</v>
      </c>
      <c r="K21" s="37">
        <f ca="1">IFERROR(__xludf.DUMMYFUNCTION("""COMPUTED_VALUE"""),0)</f>
        <v>0</v>
      </c>
      <c r="L21" s="37">
        <f ca="1">IFERROR(__xludf.DUMMYFUNCTION("""COMPUTED_VALUE"""),0)</f>
        <v>0</v>
      </c>
      <c r="M21" s="37">
        <f ca="1">IFERROR(__xludf.DUMMYFUNCTION("""COMPUTED_VALUE"""),0)</f>
        <v>0</v>
      </c>
      <c r="N21" s="37">
        <f ca="1">IFERROR(__xludf.DUMMYFUNCTION("""COMPUTED_VALUE"""),0)</f>
        <v>0</v>
      </c>
      <c r="O21" s="37">
        <f ca="1">IFERROR(__xludf.DUMMYFUNCTION("""COMPUTED_VALUE"""),0)</f>
        <v>0</v>
      </c>
      <c r="P21" s="37">
        <f ca="1">IFERROR(__xludf.DUMMYFUNCTION("""COMPUTED_VALUE"""),462)</f>
        <v>462</v>
      </c>
      <c r="Q21" s="37">
        <f ca="1">IFERROR(__xludf.DUMMYFUNCTION("""COMPUTED_VALUE"""),9177)</f>
        <v>9177</v>
      </c>
      <c r="R21" s="37">
        <f ca="1">IFERROR(__xludf.DUMMYFUNCTION("""COMPUTED_VALUE"""),0)</f>
        <v>0</v>
      </c>
      <c r="S21" s="37">
        <f ca="1">IFERROR(__xludf.DUMMYFUNCTION("""COMPUTED_VALUE"""),0)</f>
        <v>0</v>
      </c>
      <c r="T21" s="37">
        <f ca="1">IFERROR(__xludf.DUMMYFUNCTION("""COMPUTED_VALUE"""),2604)</f>
        <v>2604</v>
      </c>
      <c r="U21" s="37">
        <f ca="1">IFERROR(__xludf.DUMMYFUNCTION("""COMPUTED_VALUE"""),0)</f>
        <v>0</v>
      </c>
      <c r="V21" s="37">
        <f ca="1">IFERROR(__xludf.DUMMYFUNCTION("""COMPUTED_VALUE"""),0)</f>
        <v>0</v>
      </c>
      <c r="W21" s="37">
        <f ca="1">IFERROR(__xludf.DUMMYFUNCTION("""COMPUTED_VALUE"""),0)</f>
        <v>0</v>
      </c>
      <c r="X21" s="37">
        <f ca="1">IFERROR(__xludf.DUMMYFUNCTION("""COMPUTED_VALUE"""),0)</f>
        <v>0</v>
      </c>
      <c r="Y21" s="37">
        <f ca="1">IFERROR(__xludf.DUMMYFUNCTION("""COMPUTED_VALUE"""),0)</f>
        <v>0</v>
      </c>
      <c r="Z21" s="37">
        <f ca="1">IFERROR(__xludf.DUMMYFUNCTION("""COMPUTED_VALUE"""),0)</f>
        <v>0</v>
      </c>
    </row>
    <row r="22" spans="1:26" ht="12.75">
      <c r="A22" s="38" t="str">
        <f ca="1">IFERROR(__xludf.DUMMYFUNCTION("""COMPUTED_VALUE"""),"Araguaina")</f>
        <v>Araguaina</v>
      </c>
      <c r="B22" s="38" t="str">
        <f ca="1">IFERROR(__xludf.DUMMYFUNCTION("""COMPUTED_VALUE"""),"Araguaina")</f>
        <v>Araguaina</v>
      </c>
      <c r="C22" s="39" t="str">
        <f ca="1">IFERROR(__xludf.DUMMYFUNCTION("""COMPUTED_VALUE"""),"A. APOIO ESCOLA EST. CAMPOS BRASIL")</f>
        <v>A. APOIO ESCOLA EST. CAMPOS BRASIL</v>
      </c>
      <c r="D22" s="40" t="str">
        <f ca="1">IFERROR(__xludf.DUMMYFUNCTION("""COMPUTED_VALUE"""),"01291177000157")</f>
        <v>01291177000157</v>
      </c>
      <c r="E22" s="41" t="str">
        <f ca="1">IFERROR(__xludf.DUMMYFUNCTION("""COMPUTED_VALUE"""),"001")</f>
        <v>001</v>
      </c>
      <c r="F22" s="42" t="str">
        <f ca="1">IFERROR(__xludf.DUMMYFUNCTION("""COMPUTED_VALUE"""),"0638")</f>
        <v>0638</v>
      </c>
      <c r="G22" s="42" t="str">
        <f ca="1">IFERROR(__xludf.DUMMYFUNCTION("""COMPUTED_VALUE"""),"466093")</f>
        <v>466093</v>
      </c>
      <c r="H22" s="42">
        <f ca="1">IFERROR(__xludf.DUMMYFUNCTION("""COMPUTED_VALUE"""),0)</f>
        <v>0</v>
      </c>
      <c r="I22" s="42">
        <f ca="1">IFERROR(__xludf.DUMMYFUNCTION("""COMPUTED_VALUE"""),0)</f>
        <v>0</v>
      </c>
      <c r="J22" s="42">
        <f ca="1">IFERROR(__xludf.DUMMYFUNCTION("""COMPUTED_VALUE"""),11739)</f>
        <v>11739</v>
      </c>
      <c r="K22" s="42">
        <f ca="1">IFERROR(__xludf.DUMMYFUNCTION("""COMPUTED_VALUE"""),0)</f>
        <v>0</v>
      </c>
      <c r="L22" s="42">
        <f ca="1">IFERROR(__xludf.DUMMYFUNCTION("""COMPUTED_VALUE"""),0)</f>
        <v>0</v>
      </c>
      <c r="M22" s="42">
        <f ca="1">IFERROR(__xludf.DUMMYFUNCTION("""COMPUTED_VALUE"""),0)</f>
        <v>0</v>
      </c>
      <c r="N22" s="42">
        <f ca="1">IFERROR(__xludf.DUMMYFUNCTION("""COMPUTED_VALUE"""),0)</f>
        <v>0</v>
      </c>
      <c r="O22" s="42">
        <f ca="1">IFERROR(__xludf.DUMMYFUNCTION("""COMPUTED_VALUE"""),0)</f>
        <v>0</v>
      </c>
      <c r="P22" s="42">
        <f ca="1">IFERROR(__xludf.DUMMYFUNCTION("""COMPUTED_VALUE"""),756)</f>
        <v>756</v>
      </c>
      <c r="Q22" s="42">
        <f ca="1">IFERROR(__xludf.DUMMYFUNCTION("""COMPUTED_VALUE"""),12516)</f>
        <v>12516</v>
      </c>
      <c r="R22" s="42">
        <f ca="1">IFERROR(__xludf.DUMMYFUNCTION("""COMPUTED_VALUE"""),0)</f>
        <v>0</v>
      </c>
      <c r="S22" s="42">
        <f ca="1">IFERROR(__xludf.DUMMYFUNCTION("""COMPUTED_VALUE"""),0)</f>
        <v>0</v>
      </c>
      <c r="T22" s="42">
        <f ca="1">IFERROR(__xludf.DUMMYFUNCTION("""COMPUTED_VALUE"""),0)</f>
        <v>0</v>
      </c>
      <c r="U22" s="42">
        <f ca="1">IFERROR(__xludf.DUMMYFUNCTION("""COMPUTED_VALUE"""),0)</f>
        <v>0</v>
      </c>
      <c r="V22" s="42">
        <f ca="1">IFERROR(__xludf.DUMMYFUNCTION("""COMPUTED_VALUE"""),0)</f>
        <v>0</v>
      </c>
      <c r="W22" s="42">
        <f ca="1">IFERROR(__xludf.DUMMYFUNCTION("""COMPUTED_VALUE"""),0)</f>
        <v>0</v>
      </c>
      <c r="X22" s="42">
        <f ca="1">IFERROR(__xludf.DUMMYFUNCTION("""COMPUTED_VALUE"""),0)</f>
        <v>0</v>
      </c>
      <c r="Y22" s="42">
        <f ca="1">IFERROR(__xludf.DUMMYFUNCTION("""COMPUTED_VALUE"""),0)</f>
        <v>0</v>
      </c>
      <c r="Z22" s="42">
        <f ca="1">IFERROR(__xludf.DUMMYFUNCTION("""COMPUTED_VALUE"""),0)</f>
        <v>0</v>
      </c>
    </row>
    <row r="23" spans="1:26" ht="12.75">
      <c r="A23" s="33" t="str">
        <f ca="1">IFERROR(__xludf.DUMMYFUNCTION("""COMPUTED_VALUE"""),"Araguaina")</f>
        <v>Araguaina</v>
      </c>
      <c r="B23" s="33" t="str">
        <f ca="1">IFERROR(__xludf.DUMMYFUNCTION("""COMPUTED_VALUE"""),"Araguaina")</f>
        <v>Araguaina</v>
      </c>
      <c r="C23" s="34" t="str">
        <f ca="1">IFERROR(__xludf.DUMMYFUNCTION("""COMPUTED_VALUE"""),"A.A. COL. ESTADUAL GUILHERME DOURADO")</f>
        <v>A.A. COL. ESTADUAL GUILHERME DOURADO</v>
      </c>
      <c r="D23" s="35" t="str">
        <f ca="1">IFERROR(__xludf.DUMMYFUNCTION("""COMPUTED_VALUE"""),"01257074000170")</f>
        <v>01257074000170</v>
      </c>
      <c r="E23" s="36" t="str">
        <f ca="1">IFERROR(__xludf.DUMMYFUNCTION("""COMPUTED_VALUE"""),"001")</f>
        <v>001</v>
      </c>
      <c r="F23" s="37" t="str">
        <f ca="1">IFERROR(__xludf.DUMMYFUNCTION("""COMPUTED_VALUE"""),"0638")</f>
        <v>0638</v>
      </c>
      <c r="G23" s="37" t="str">
        <f ca="1">IFERROR(__xludf.DUMMYFUNCTION("""COMPUTED_VALUE"""),"0068659")</f>
        <v>0068659</v>
      </c>
      <c r="H23" s="37">
        <f ca="1">IFERROR(__xludf.DUMMYFUNCTION("""COMPUTED_VALUE"""),0)</f>
        <v>0</v>
      </c>
      <c r="I23" s="37">
        <f ca="1">IFERROR(__xludf.DUMMYFUNCTION("""COMPUTED_VALUE"""),0)</f>
        <v>0</v>
      </c>
      <c r="J23" s="37">
        <f ca="1">IFERROR(__xludf.DUMMYFUNCTION("""COMPUTED_VALUE"""),0)</f>
        <v>0</v>
      </c>
      <c r="K23" s="37">
        <f ca="1">IFERROR(__xludf.DUMMYFUNCTION("""COMPUTED_VALUE"""),0)</f>
        <v>0</v>
      </c>
      <c r="L23" s="37">
        <f ca="1">IFERROR(__xludf.DUMMYFUNCTION("""COMPUTED_VALUE"""),0)</f>
        <v>0</v>
      </c>
      <c r="M23" s="37">
        <f ca="1">IFERROR(__xludf.DUMMYFUNCTION("""COMPUTED_VALUE"""),0)</f>
        <v>0</v>
      </c>
      <c r="N23" s="37">
        <f ca="1">IFERROR(__xludf.DUMMYFUNCTION("""COMPUTED_VALUE"""),0)</f>
        <v>0</v>
      </c>
      <c r="O23" s="37">
        <f ca="1">IFERROR(__xludf.DUMMYFUNCTION("""COMPUTED_VALUE"""),0)</f>
        <v>0</v>
      </c>
      <c r="P23" s="37">
        <f ca="1">IFERROR(__xludf.DUMMYFUNCTION("""COMPUTED_VALUE"""),168)</f>
        <v>168</v>
      </c>
      <c r="Q23" s="37">
        <f ca="1">IFERROR(__xludf.DUMMYFUNCTION("""COMPUTED_VALUE"""),30849)</f>
        <v>30849</v>
      </c>
      <c r="R23" s="37">
        <f ca="1">IFERROR(__xludf.DUMMYFUNCTION("""COMPUTED_VALUE"""),0)</f>
        <v>0</v>
      </c>
      <c r="S23" s="37">
        <f ca="1">IFERROR(__xludf.DUMMYFUNCTION("""COMPUTED_VALUE"""),0)</f>
        <v>0</v>
      </c>
      <c r="T23" s="37">
        <f ca="1">IFERROR(__xludf.DUMMYFUNCTION("""COMPUTED_VALUE"""),0)</f>
        <v>0</v>
      </c>
      <c r="U23" s="37">
        <f ca="1">IFERROR(__xludf.DUMMYFUNCTION("""COMPUTED_VALUE"""),0)</f>
        <v>0</v>
      </c>
      <c r="V23" s="37">
        <f ca="1">IFERROR(__xludf.DUMMYFUNCTION("""COMPUTED_VALUE"""),0)</f>
        <v>0</v>
      </c>
      <c r="W23" s="37">
        <f ca="1">IFERROR(__xludf.DUMMYFUNCTION("""COMPUTED_VALUE"""),0)</f>
        <v>0</v>
      </c>
      <c r="X23" s="37">
        <f ca="1">IFERROR(__xludf.DUMMYFUNCTION("""COMPUTED_VALUE"""),0)</f>
        <v>0</v>
      </c>
      <c r="Y23" s="37">
        <f ca="1">IFERROR(__xludf.DUMMYFUNCTION("""COMPUTED_VALUE"""),0)</f>
        <v>0</v>
      </c>
      <c r="Z23" s="37">
        <f ca="1">IFERROR(__xludf.DUMMYFUNCTION("""COMPUTED_VALUE"""),0)</f>
        <v>0</v>
      </c>
    </row>
    <row r="24" spans="1:26" ht="12.75">
      <c r="A24" s="38" t="str">
        <f ca="1">IFERROR(__xludf.DUMMYFUNCTION("""COMPUTED_VALUE"""),"Araguaina")</f>
        <v>Araguaina</v>
      </c>
      <c r="B24" s="38" t="str">
        <f ca="1">IFERROR(__xludf.DUMMYFUNCTION("""COMPUTED_VALUE"""),"Araguaina")</f>
        <v>Araguaina</v>
      </c>
      <c r="C24" s="39" t="str">
        <f ca="1">IFERROR(__xludf.DUMMYFUNCTION("""COMPUTED_VALUE"""),"ASS. APOIO COL. EST. JARDIM PAULISTA")</f>
        <v>ASS. APOIO COL. EST. JARDIM PAULISTA</v>
      </c>
      <c r="D24" s="40" t="str">
        <f ca="1">IFERROR(__xludf.DUMMYFUNCTION("""COMPUTED_VALUE"""),"05502542000186")</f>
        <v>05502542000186</v>
      </c>
      <c r="E24" s="41" t="str">
        <f ca="1">IFERROR(__xludf.DUMMYFUNCTION("""COMPUTED_VALUE"""),"001")</f>
        <v>001</v>
      </c>
      <c r="F24" s="42" t="str">
        <f ca="1">IFERROR(__xludf.DUMMYFUNCTION("""COMPUTED_VALUE"""),"0638")</f>
        <v>0638</v>
      </c>
      <c r="G24" s="42" t="str">
        <f ca="1">IFERROR(__xludf.DUMMYFUNCTION("""COMPUTED_VALUE"""),"243876")</f>
        <v>243876</v>
      </c>
      <c r="H24" s="42">
        <f ca="1">IFERROR(__xludf.DUMMYFUNCTION("""COMPUTED_VALUE"""),0)</f>
        <v>0</v>
      </c>
      <c r="I24" s="42">
        <f ca="1">IFERROR(__xludf.DUMMYFUNCTION("""COMPUTED_VALUE"""),0)</f>
        <v>0</v>
      </c>
      <c r="J24" s="42">
        <f ca="1">IFERROR(__xludf.DUMMYFUNCTION("""COMPUTED_VALUE"""),9135)</f>
        <v>9135</v>
      </c>
      <c r="K24" s="42">
        <f ca="1">IFERROR(__xludf.DUMMYFUNCTION("""COMPUTED_VALUE"""),0)</f>
        <v>0</v>
      </c>
      <c r="L24" s="42">
        <f ca="1">IFERROR(__xludf.DUMMYFUNCTION("""COMPUTED_VALUE"""),0)</f>
        <v>0</v>
      </c>
      <c r="M24" s="42">
        <f ca="1">IFERROR(__xludf.DUMMYFUNCTION("""COMPUTED_VALUE"""),0)</f>
        <v>0</v>
      </c>
      <c r="N24" s="42">
        <f ca="1">IFERROR(__xludf.DUMMYFUNCTION("""COMPUTED_VALUE"""),0)</f>
        <v>0</v>
      </c>
      <c r="O24" s="42">
        <f ca="1">IFERROR(__xludf.DUMMYFUNCTION("""COMPUTED_VALUE"""),0)</f>
        <v>0</v>
      </c>
      <c r="P24" s="42">
        <f ca="1">IFERROR(__xludf.DUMMYFUNCTION("""COMPUTED_VALUE"""),336)</f>
        <v>336</v>
      </c>
      <c r="Q24" s="42">
        <f ca="1">IFERROR(__xludf.DUMMYFUNCTION("""COMPUTED_VALUE"""),9639)</f>
        <v>9639</v>
      </c>
      <c r="R24" s="42">
        <f ca="1">IFERROR(__xludf.DUMMYFUNCTION("""COMPUTED_VALUE"""),0)</f>
        <v>0</v>
      </c>
      <c r="S24" s="42">
        <f ca="1">IFERROR(__xludf.DUMMYFUNCTION("""COMPUTED_VALUE"""),0)</f>
        <v>0</v>
      </c>
      <c r="T24" s="42">
        <f ca="1">IFERROR(__xludf.DUMMYFUNCTION("""COMPUTED_VALUE"""),0)</f>
        <v>0</v>
      </c>
      <c r="U24" s="42">
        <f ca="1">IFERROR(__xludf.DUMMYFUNCTION("""COMPUTED_VALUE"""),0)</f>
        <v>0</v>
      </c>
      <c r="V24" s="42">
        <f ca="1">IFERROR(__xludf.DUMMYFUNCTION("""COMPUTED_VALUE"""),0)</f>
        <v>0</v>
      </c>
      <c r="W24" s="42">
        <f ca="1">IFERROR(__xludf.DUMMYFUNCTION("""COMPUTED_VALUE"""),0)</f>
        <v>0</v>
      </c>
      <c r="X24" s="42">
        <f ca="1">IFERROR(__xludf.DUMMYFUNCTION("""COMPUTED_VALUE"""),0)</f>
        <v>0</v>
      </c>
      <c r="Y24" s="42">
        <f ca="1">IFERROR(__xludf.DUMMYFUNCTION("""COMPUTED_VALUE"""),0)</f>
        <v>0</v>
      </c>
      <c r="Z24" s="42">
        <f ca="1">IFERROR(__xludf.DUMMYFUNCTION("""COMPUTED_VALUE"""),0)</f>
        <v>0</v>
      </c>
    </row>
    <row r="25" spans="1:26" ht="12.75">
      <c r="A25" s="33" t="str">
        <f ca="1">IFERROR(__xludf.DUMMYFUNCTION("""COMPUTED_VALUE"""),"Araguaina")</f>
        <v>Araguaina</v>
      </c>
      <c r="B25" s="33" t="str">
        <f ca="1">IFERROR(__xludf.DUMMYFUNCTION("""COMPUTED_VALUE"""),"Araguaina")</f>
        <v>Araguaina</v>
      </c>
      <c r="C25" s="34" t="str">
        <f ca="1">IFERROR(__xludf.DUMMYFUNCTION("""COMPUTED_VALUE"""),"A.APOIO COL. ESTADUAL JORGE AMADO")</f>
        <v>A.APOIO COL. ESTADUAL JORGE AMADO</v>
      </c>
      <c r="D25" s="35" t="str">
        <f ca="1">IFERROR(__xludf.DUMMYFUNCTION("""COMPUTED_VALUE"""),"01291218000105")</f>
        <v>01291218000105</v>
      </c>
      <c r="E25" s="36" t="str">
        <f ca="1">IFERROR(__xludf.DUMMYFUNCTION("""COMPUTED_VALUE"""),"001")</f>
        <v>001</v>
      </c>
      <c r="F25" s="37" t="str">
        <f ca="1">IFERROR(__xludf.DUMMYFUNCTION("""COMPUTED_VALUE"""),"0638")</f>
        <v>0638</v>
      </c>
      <c r="G25" s="37" t="str">
        <f ca="1">IFERROR(__xludf.DUMMYFUNCTION("""COMPUTED_VALUE"""),"0467006")</f>
        <v>0467006</v>
      </c>
      <c r="H25" s="37">
        <f ca="1">IFERROR(__xludf.DUMMYFUNCTION("""COMPUTED_VALUE"""),0)</f>
        <v>0</v>
      </c>
      <c r="I25" s="37">
        <f ca="1">IFERROR(__xludf.DUMMYFUNCTION("""COMPUTED_VALUE"""),0)</f>
        <v>0</v>
      </c>
      <c r="J25" s="37">
        <f ca="1">IFERROR(__xludf.DUMMYFUNCTION("""COMPUTED_VALUE"""),4725)</f>
        <v>4725</v>
      </c>
      <c r="K25" s="37">
        <f ca="1">IFERROR(__xludf.DUMMYFUNCTION("""COMPUTED_VALUE"""),0)</f>
        <v>0</v>
      </c>
      <c r="L25" s="37">
        <f ca="1">IFERROR(__xludf.DUMMYFUNCTION("""COMPUTED_VALUE"""),0)</f>
        <v>0</v>
      </c>
      <c r="M25" s="37">
        <f ca="1">IFERROR(__xludf.DUMMYFUNCTION("""COMPUTED_VALUE"""),0)</f>
        <v>0</v>
      </c>
      <c r="N25" s="37">
        <f ca="1">IFERROR(__xludf.DUMMYFUNCTION("""COMPUTED_VALUE"""),0)</f>
        <v>0</v>
      </c>
      <c r="O25" s="37">
        <f ca="1">IFERROR(__xludf.DUMMYFUNCTION("""COMPUTED_VALUE"""),0)</f>
        <v>0</v>
      </c>
      <c r="P25" s="37">
        <f ca="1">IFERROR(__xludf.DUMMYFUNCTION("""COMPUTED_VALUE"""),378)</f>
        <v>378</v>
      </c>
      <c r="Q25" s="37">
        <f ca="1">IFERROR(__xludf.DUMMYFUNCTION("""COMPUTED_VALUE"""),6237)</f>
        <v>6237</v>
      </c>
      <c r="R25" s="37">
        <f ca="1">IFERROR(__xludf.DUMMYFUNCTION("""COMPUTED_VALUE"""),0)</f>
        <v>0</v>
      </c>
      <c r="S25" s="37">
        <f ca="1">IFERROR(__xludf.DUMMYFUNCTION("""COMPUTED_VALUE"""),0)</f>
        <v>0</v>
      </c>
      <c r="T25" s="37">
        <f ca="1">IFERROR(__xludf.DUMMYFUNCTION("""COMPUTED_VALUE"""),0)</f>
        <v>0</v>
      </c>
      <c r="U25" s="37">
        <f ca="1">IFERROR(__xludf.DUMMYFUNCTION("""COMPUTED_VALUE"""),0)</f>
        <v>0</v>
      </c>
      <c r="V25" s="37">
        <f ca="1">IFERROR(__xludf.DUMMYFUNCTION("""COMPUTED_VALUE"""),0)</f>
        <v>0</v>
      </c>
      <c r="W25" s="37">
        <f ca="1">IFERROR(__xludf.DUMMYFUNCTION("""COMPUTED_VALUE"""),0)</f>
        <v>0</v>
      </c>
      <c r="X25" s="37">
        <f ca="1">IFERROR(__xludf.DUMMYFUNCTION("""COMPUTED_VALUE"""),0)</f>
        <v>0</v>
      </c>
      <c r="Y25" s="37">
        <f ca="1">IFERROR(__xludf.DUMMYFUNCTION("""COMPUTED_VALUE"""),0)</f>
        <v>0</v>
      </c>
      <c r="Z25" s="37">
        <f ca="1">IFERROR(__xludf.DUMMYFUNCTION("""COMPUTED_VALUE"""),0)</f>
        <v>0</v>
      </c>
    </row>
    <row r="26" spans="1:26" ht="12.75">
      <c r="A26" s="38" t="str">
        <f ca="1">IFERROR(__xludf.DUMMYFUNCTION("""COMPUTED_VALUE"""),"Araguaina")</f>
        <v>Araguaina</v>
      </c>
      <c r="B26" s="38" t="str">
        <f ca="1">IFERROR(__xludf.DUMMYFUNCTION("""COMPUTED_VALUE"""),"Araguaina")</f>
        <v>Araguaina</v>
      </c>
      <c r="C26" s="39" t="str">
        <f ca="1">IFERROR(__xludf.DUMMYFUNCTION("""COMPUTED_VALUE"""),"A.A. C.E.  PROF. SILVANDIRA SOUSA LIMA")</f>
        <v>A.A. C.E.  PROF. SILVANDIRA SOUSA LIMA</v>
      </c>
      <c r="D26" s="40" t="str">
        <f ca="1">IFERROR(__xludf.DUMMYFUNCTION("""COMPUTED_VALUE"""),"01071403000194")</f>
        <v>01071403000194</v>
      </c>
      <c r="E26" s="41" t="str">
        <f ca="1">IFERROR(__xludf.DUMMYFUNCTION("""COMPUTED_VALUE"""),"001")</f>
        <v>001</v>
      </c>
      <c r="F26" s="42" t="str">
        <f ca="1">IFERROR(__xludf.DUMMYFUNCTION("""COMPUTED_VALUE"""),"0638")</f>
        <v>0638</v>
      </c>
      <c r="G26" s="42" t="str">
        <f ca="1">IFERROR(__xludf.DUMMYFUNCTION("""COMPUTED_VALUE"""),"0463922")</f>
        <v>0463922</v>
      </c>
      <c r="H26" s="42">
        <f ca="1">IFERROR(__xludf.DUMMYFUNCTION("""COMPUTED_VALUE"""),0)</f>
        <v>0</v>
      </c>
      <c r="I26" s="42">
        <f ca="1">IFERROR(__xludf.DUMMYFUNCTION("""COMPUTED_VALUE"""),0)</f>
        <v>0</v>
      </c>
      <c r="J26" s="42">
        <f ca="1">IFERROR(__xludf.DUMMYFUNCTION("""COMPUTED_VALUE"""),12558)</f>
        <v>12558</v>
      </c>
      <c r="K26" s="42">
        <f ca="1">IFERROR(__xludf.DUMMYFUNCTION("""COMPUTED_VALUE"""),0)</f>
        <v>0</v>
      </c>
      <c r="L26" s="42">
        <f ca="1">IFERROR(__xludf.DUMMYFUNCTION("""COMPUTED_VALUE"""),0)</f>
        <v>0</v>
      </c>
      <c r="M26" s="42">
        <f ca="1">IFERROR(__xludf.DUMMYFUNCTION("""COMPUTED_VALUE"""),0)</f>
        <v>0</v>
      </c>
      <c r="N26" s="42">
        <f ca="1">IFERROR(__xludf.DUMMYFUNCTION("""COMPUTED_VALUE"""),0)</f>
        <v>0</v>
      </c>
      <c r="O26" s="42">
        <f ca="1">IFERROR(__xludf.DUMMYFUNCTION("""COMPUTED_VALUE"""),0)</f>
        <v>0</v>
      </c>
      <c r="P26" s="42">
        <f ca="1">IFERROR(__xludf.DUMMYFUNCTION("""COMPUTED_VALUE"""),420)</f>
        <v>420</v>
      </c>
      <c r="Q26" s="42">
        <f ca="1">IFERROR(__xludf.DUMMYFUNCTION("""COMPUTED_VALUE"""),17976)</f>
        <v>17976</v>
      </c>
      <c r="R26" s="42">
        <f ca="1">IFERROR(__xludf.DUMMYFUNCTION("""COMPUTED_VALUE"""),0)</f>
        <v>0</v>
      </c>
      <c r="S26" s="42">
        <f ca="1">IFERROR(__xludf.DUMMYFUNCTION("""COMPUTED_VALUE"""),0)</f>
        <v>0</v>
      </c>
      <c r="T26" s="42">
        <f ca="1">IFERROR(__xludf.DUMMYFUNCTION("""COMPUTED_VALUE"""),0)</f>
        <v>0</v>
      </c>
      <c r="U26" s="42">
        <f ca="1">IFERROR(__xludf.DUMMYFUNCTION("""COMPUTED_VALUE"""),0)</f>
        <v>0</v>
      </c>
      <c r="V26" s="42">
        <f ca="1">IFERROR(__xludf.DUMMYFUNCTION("""COMPUTED_VALUE"""),0)</f>
        <v>0</v>
      </c>
      <c r="W26" s="42">
        <f ca="1">IFERROR(__xludf.DUMMYFUNCTION("""COMPUTED_VALUE"""),0)</f>
        <v>0</v>
      </c>
      <c r="X26" s="42">
        <f ca="1">IFERROR(__xludf.DUMMYFUNCTION("""COMPUTED_VALUE"""),0)</f>
        <v>0</v>
      </c>
      <c r="Y26" s="42">
        <f ca="1">IFERROR(__xludf.DUMMYFUNCTION("""COMPUTED_VALUE"""),0)</f>
        <v>0</v>
      </c>
      <c r="Z26" s="42">
        <f ca="1">IFERROR(__xludf.DUMMYFUNCTION("""COMPUTED_VALUE"""),0)</f>
        <v>0</v>
      </c>
    </row>
    <row r="27" spans="1:26" ht="12.75">
      <c r="A27" s="33" t="str">
        <f ca="1">IFERROR(__xludf.DUMMYFUNCTION("""COMPUTED_VALUE"""),"Araguaina")</f>
        <v>Araguaina</v>
      </c>
      <c r="B27" s="33" t="str">
        <f ca="1">IFERROR(__xludf.DUMMYFUNCTION("""COMPUTED_VALUE"""),"Araguaina")</f>
        <v>Araguaina</v>
      </c>
      <c r="C27" s="34" t="str">
        <f ca="1">IFERROR(__xludf.DUMMYFUNCTION("""COMPUTED_VALUE"""),"A.A. COLEGIO ESTADUAL RUI BARBOSA")</f>
        <v>A.A. COLEGIO ESTADUAL RUI BARBOSA</v>
      </c>
      <c r="D27" s="35" t="str">
        <f ca="1">IFERROR(__xludf.DUMMYFUNCTION("""COMPUTED_VALUE"""),"01071440000100")</f>
        <v>01071440000100</v>
      </c>
      <c r="E27" s="36" t="str">
        <f ca="1">IFERROR(__xludf.DUMMYFUNCTION("""COMPUTED_VALUE"""),"001")</f>
        <v>001</v>
      </c>
      <c r="F27" s="37" t="str">
        <f ca="1">IFERROR(__xludf.DUMMYFUNCTION("""COMPUTED_VALUE"""),"0638")</f>
        <v>0638</v>
      </c>
      <c r="G27" s="37" t="str">
        <f ca="1">IFERROR(__xludf.DUMMYFUNCTION("""COMPUTED_VALUE"""),"0463787")</f>
        <v>0463787</v>
      </c>
      <c r="H27" s="37">
        <f ca="1">IFERROR(__xludf.DUMMYFUNCTION("""COMPUTED_VALUE"""),0)</f>
        <v>0</v>
      </c>
      <c r="I27" s="37">
        <f ca="1">IFERROR(__xludf.DUMMYFUNCTION("""COMPUTED_VALUE"""),0)</f>
        <v>0</v>
      </c>
      <c r="J27" s="37">
        <f ca="1">IFERROR(__xludf.DUMMYFUNCTION("""COMPUTED_VALUE"""),0)</f>
        <v>0</v>
      </c>
      <c r="K27" s="37">
        <f ca="1">IFERROR(__xludf.DUMMYFUNCTION("""COMPUTED_VALUE"""),0)</f>
        <v>0</v>
      </c>
      <c r="L27" s="37">
        <f ca="1">IFERROR(__xludf.DUMMYFUNCTION("""COMPUTED_VALUE"""),0)</f>
        <v>0</v>
      </c>
      <c r="M27" s="37">
        <f ca="1">IFERROR(__xludf.DUMMYFUNCTION("""COMPUTED_VALUE"""),0)</f>
        <v>0</v>
      </c>
      <c r="N27" s="37">
        <f ca="1">IFERROR(__xludf.DUMMYFUNCTION("""COMPUTED_VALUE"""),0)</f>
        <v>0</v>
      </c>
      <c r="O27" s="37">
        <f ca="1">IFERROR(__xludf.DUMMYFUNCTION("""COMPUTED_VALUE"""),0)</f>
        <v>0</v>
      </c>
      <c r="P27" s="37">
        <f ca="1">IFERROR(__xludf.DUMMYFUNCTION("""COMPUTED_VALUE"""),273)</f>
        <v>273</v>
      </c>
      <c r="Q27" s="37">
        <f ca="1">IFERROR(__xludf.DUMMYFUNCTION("""COMPUTED_VALUE"""),0)</f>
        <v>0</v>
      </c>
      <c r="R27" s="37">
        <f ca="1">IFERROR(__xludf.DUMMYFUNCTION("""COMPUTED_VALUE"""),0)</f>
        <v>0</v>
      </c>
      <c r="S27" s="37">
        <f ca="1">IFERROR(__xludf.DUMMYFUNCTION("""COMPUTED_VALUE"""),11042.1999999999)</f>
        <v>11042.199999999901</v>
      </c>
      <c r="T27" s="37">
        <f ca="1">IFERROR(__xludf.DUMMYFUNCTION("""COMPUTED_VALUE"""),0)</f>
        <v>0</v>
      </c>
      <c r="U27" s="37">
        <f ca="1">IFERROR(__xludf.DUMMYFUNCTION("""COMPUTED_VALUE"""),0)</f>
        <v>0</v>
      </c>
      <c r="V27" s="37">
        <f ca="1">IFERROR(__xludf.DUMMYFUNCTION("""COMPUTED_VALUE"""),0)</f>
        <v>0</v>
      </c>
      <c r="W27" s="37">
        <f ca="1">IFERROR(__xludf.DUMMYFUNCTION("""COMPUTED_VALUE"""),1085.39999999999)</f>
        <v>1085.3999999999901</v>
      </c>
      <c r="X27" s="37">
        <f ca="1">IFERROR(__xludf.DUMMYFUNCTION("""COMPUTED_VALUE"""),0)</f>
        <v>0</v>
      </c>
      <c r="Y27" s="37">
        <f ca="1">IFERROR(__xludf.DUMMYFUNCTION("""COMPUTED_VALUE"""),0)</f>
        <v>0</v>
      </c>
      <c r="Z27" s="37">
        <f ca="1">IFERROR(__xludf.DUMMYFUNCTION("""COMPUTED_VALUE"""),0)</f>
        <v>0</v>
      </c>
    </row>
    <row r="28" spans="1:26" ht="12.75">
      <c r="A28" s="38" t="str">
        <f ca="1">IFERROR(__xludf.DUMMYFUNCTION("""COMPUTED_VALUE"""),"Araguaina")</f>
        <v>Araguaina</v>
      </c>
      <c r="B28" s="38" t="str">
        <f ca="1">IFERROR(__xludf.DUMMYFUNCTION("""COMPUTED_VALUE"""),"Araguaina")</f>
        <v>Araguaina</v>
      </c>
      <c r="C28" s="39" t="str">
        <f ca="1">IFERROR(__xludf.DUMMYFUNCTION("""COMPUTED_VALUE"""),"A.A.ESCOLA TEMPO INTEGRAL JARDENIR JORGE FREDERICO")</f>
        <v>A.A.ESCOLA TEMPO INTEGRAL JARDENIR JORGE FREDERICO</v>
      </c>
      <c r="D28" s="40" t="str">
        <f ca="1">IFERROR(__xludf.DUMMYFUNCTION("""COMPUTED_VALUE"""),"43361835000180")</f>
        <v>43361835000180</v>
      </c>
      <c r="E28" s="41" t="str">
        <f ca="1">IFERROR(__xludf.DUMMYFUNCTION("""COMPUTED_VALUE"""),"001")</f>
        <v>001</v>
      </c>
      <c r="F28" s="42" t="str">
        <f ca="1">IFERROR(__xludf.DUMMYFUNCTION("""COMPUTED_VALUE"""),"4348")</f>
        <v>4348</v>
      </c>
      <c r="G28" s="42" t="str">
        <f ca="1">IFERROR(__xludf.DUMMYFUNCTION("""COMPUTED_VALUE"""),"434795")</f>
        <v>434795</v>
      </c>
      <c r="H28" s="42">
        <f ca="1">IFERROR(__xludf.DUMMYFUNCTION("""COMPUTED_VALUE"""),0)</f>
        <v>0</v>
      </c>
      <c r="I28" s="42">
        <f ca="1">IFERROR(__xludf.DUMMYFUNCTION("""COMPUTED_VALUE"""),0)</f>
        <v>0</v>
      </c>
      <c r="J28" s="42">
        <f ca="1">IFERROR(__xludf.DUMMYFUNCTION("""COMPUTED_VALUE"""),0)</f>
        <v>0</v>
      </c>
      <c r="K28" s="42">
        <f ca="1">IFERROR(__xludf.DUMMYFUNCTION("""COMPUTED_VALUE"""),60132.8)</f>
        <v>60132.800000000003</v>
      </c>
      <c r="L28" s="42">
        <f ca="1">IFERROR(__xludf.DUMMYFUNCTION("""COMPUTED_VALUE"""),0)</f>
        <v>0</v>
      </c>
      <c r="M28" s="42">
        <f ca="1">IFERROR(__xludf.DUMMYFUNCTION("""COMPUTED_VALUE"""),0)</f>
        <v>0</v>
      </c>
      <c r="N28" s="42">
        <f ca="1">IFERROR(__xludf.DUMMYFUNCTION("""COMPUTED_VALUE"""),0)</f>
        <v>0</v>
      </c>
      <c r="O28" s="42">
        <f ca="1">IFERROR(__xludf.DUMMYFUNCTION("""COMPUTED_VALUE"""),0)</f>
        <v>0</v>
      </c>
      <c r="P28" s="42">
        <f ca="1">IFERROR(__xludf.DUMMYFUNCTION("""COMPUTED_VALUE"""),315)</f>
        <v>315</v>
      </c>
      <c r="Q28" s="42">
        <f ca="1">IFERROR(__xludf.DUMMYFUNCTION("""COMPUTED_VALUE"""),0)</f>
        <v>0</v>
      </c>
      <c r="R28" s="42">
        <f ca="1">IFERROR(__xludf.DUMMYFUNCTION("""COMPUTED_VALUE"""),0)</f>
        <v>0</v>
      </c>
      <c r="S28" s="42">
        <f ca="1">IFERROR(__xludf.DUMMYFUNCTION("""COMPUTED_VALUE"""),0)</f>
        <v>0</v>
      </c>
      <c r="T28" s="42">
        <f ca="1">IFERROR(__xludf.DUMMYFUNCTION("""COMPUTED_VALUE"""),0)</f>
        <v>0</v>
      </c>
      <c r="U28" s="42">
        <f ca="1">IFERROR(__xludf.DUMMYFUNCTION("""COMPUTED_VALUE"""),0)</f>
        <v>0</v>
      </c>
      <c r="V28" s="42">
        <f ca="1">IFERROR(__xludf.DUMMYFUNCTION("""COMPUTED_VALUE"""),0)</f>
        <v>0</v>
      </c>
      <c r="W28" s="42">
        <f ca="1">IFERROR(__xludf.DUMMYFUNCTION("""COMPUTED_VALUE"""),0)</f>
        <v>0</v>
      </c>
      <c r="X28" s="42">
        <f ca="1">IFERROR(__xludf.DUMMYFUNCTION("""COMPUTED_VALUE"""),0)</f>
        <v>0</v>
      </c>
      <c r="Y28" s="42">
        <f ca="1">IFERROR(__xludf.DUMMYFUNCTION("""COMPUTED_VALUE"""),0)</f>
        <v>0</v>
      </c>
      <c r="Z28" s="42">
        <f ca="1">IFERROR(__xludf.DUMMYFUNCTION("""COMPUTED_VALUE"""),5089.8)</f>
        <v>5089.8</v>
      </c>
    </row>
    <row r="29" spans="1:26" ht="12.75">
      <c r="A29" s="33" t="str">
        <f ca="1">IFERROR(__xludf.DUMMYFUNCTION("""COMPUTED_VALUE"""),"Araguaina")</f>
        <v>Araguaina</v>
      </c>
      <c r="B29" s="33" t="str">
        <f ca="1">IFERROR(__xludf.DUMMYFUNCTION("""COMPUTED_VALUE"""),"Araguaina")</f>
        <v>Araguaina</v>
      </c>
      <c r="C29" s="34" t="str">
        <f ca="1">IFERROR(__xludf.DUMMYFUNCTION("""COMPUTED_VALUE"""),"A.A. ESCOLA TEMPO INTEGRAL DOMINGOS DA CRUZ MACHADO")</f>
        <v>A.A. ESCOLA TEMPO INTEGRAL DOMINGOS DA CRUZ MACHADO</v>
      </c>
      <c r="D29" s="35" t="str">
        <f ca="1">IFERROR(__xludf.DUMMYFUNCTION("""COMPUTED_VALUE"""),"49868761000159")</f>
        <v>49868761000159</v>
      </c>
      <c r="E29" s="36" t="str">
        <f ca="1">IFERROR(__xludf.DUMMYFUNCTION("""COMPUTED_VALUE"""),"001")</f>
        <v>001</v>
      </c>
      <c r="F29" s="37" t="str">
        <f ca="1">IFERROR(__xludf.DUMMYFUNCTION("""COMPUTED_VALUE"""),"4348")</f>
        <v>4348</v>
      </c>
      <c r="G29" s="37" t="str">
        <f ca="1">IFERROR(__xludf.DUMMYFUNCTION("""COMPUTED_VALUE"""),"460192")</f>
        <v>460192</v>
      </c>
      <c r="H29" s="37">
        <f ca="1">IFERROR(__xludf.DUMMYFUNCTION("""COMPUTED_VALUE"""),0)</f>
        <v>0</v>
      </c>
      <c r="I29" s="37">
        <f ca="1">IFERROR(__xludf.DUMMYFUNCTION("""COMPUTED_VALUE"""),0)</f>
        <v>0</v>
      </c>
      <c r="J29" s="37">
        <f ca="1">IFERROR(__xludf.DUMMYFUNCTION("""COMPUTED_VALUE"""),0)</f>
        <v>0</v>
      </c>
      <c r="K29" s="37">
        <f ca="1">IFERROR(__xludf.DUMMYFUNCTION("""COMPUTED_VALUE"""),31752)</f>
        <v>31752</v>
      </c>
      <c r="L29" s="37">
        <f ca="1">IFERROR(__xludf.DUMMYFUNCTION("""COMPUTED_VALUE"""),0)</f>
        <v>0</v>
      </c>
      <c r="M29" s="37">
        <f ca="1">IFERROR(__xludf.DUMMYFUNCTION("""COMPUTED_VALUE"""),0)</f>
        <v>0</v>
      </c>
      <c r="N29" s="37">
        <f ca="1">IFERROR(__xludf.DUMMYFUNCTION("""COMPUTED_VALUE"""),0)</f>
        <v>0</v>
      </c>
      <c r="O29" s="37">
        <f ca="1">IFERROR(__xludf.DUMMYFUNCTION("""COMPUTED_VALUE"""),0)</f>
        <v>0</v>
      </c>
      <c r="P29" s="37">
        <f ca="1">IFERROR(__xludf.DUMMYFUNCTION("""COMPUTED_VALUE"""),630)</f>
        <v>630</v>
      </c>
      <c r="Q29" s="37">
        <f ca="1">IFERROR(__xludf.DUMMYFUNCTION("""COMPUTED_VALUE"""),0)</f>
        <v>0</v>
      </c>
      <c r="R29" s="37">
        <f ca="1">IFERROR(__xludf.DUMMYFUNCTION("""COMPUTED_VALUE"""),3214.4)</f>
        <v>3214.4</v>
      </c>
      <c r="S29" s="37">
        <f ca="1">IFERROR(__xludf.DUMMYFUNCTION("""COMPUTED_VALUE"""),0)</f>
        <v>0</v>
      </c>
      <c r="T29" s="37">
        <f ca="1">IFERROR(__xludf.DUMMYFUNCTION("""COMPUTED_VALUE"""),0)</f>
        <v>0</v>
      </c>
      <c r="U29" s="37">
        <f ca="1">IFERROR(__xludf.DUMMYFUNCTION("""COMPUTED_VALUE"""),0)</f>
        <v>0</v>
      </c>
      <c r="V29" s="37">
        <f ca="1">IFERROR(__xludf.DUMMYFUNCTION("""COMPUTED_VALUE"""),0)</f>
        <v>0</v>
      </c>
      <c r="W29" s="37">
        <f ca="1">IFERROR(__xludf.DUMMYFUNCTION("""COMPUTED_VALUE"""),0)</f>
        <v>0</v>
      </c>
      <c r="X29" s="37">
        <f ca="1">IFERROR(__xludf.DUMMYFUNCTION("""COMPUTED_VALUE"""),0)</f>
        <v>0</v>
      </c>
      <c r="Y29" s="37">
        <f ca="1">IFERROR(__xludf.DUMMYFUNCTION("""COMPUTED_VALUE"""),0)</f>
        <v>0</v>
      </c>
      <c r="Z29" s="37">
        <f ca="1">IFERROR(__xludf.DUMMYFUNCTION("""COMPUTED_VALUE"""),2994)</f>
        <v>2994</v>
      </c>
    </row>
    <row r="30" spans="1:26" ht="12.75">
      <c r="A30" s="38" t="str">
        <f ca="1">IFERROR(__xludf.DUMMYFUNCTION("""COMPUTED_VALUE"""),"Araguaina")</f>
        <v>Araguaina</v>
      </c>
      <c r="B30" s="38" t="str">
        <f ca="1">IFERROR(__xludf.DUMMYFUNCTION("""COMPUTED_VALUE"""),"Araguaina")</f>
        <v>Araguaina</v>
      </c>
      <c r="C30" s="39" t="str">
        <f ca="1">IFERROR(__xludf.DUMMYFUNCTION("""COMPUTED_VALUE"""),"A.A. ESC. EST. DEP.FED.JOSE A. DE ASSIS")</f>
        <v>A.A. ESC. EST. DEP.FED.JOSE A. DE ASSIS</v>
      </c>
      <c r="D30" s="40" t="str">
        <f ca="1">IFERROR(__xludf.DUMMYFUNCTION("""COMPUTED_VALUE"""),"01186464000105")</f>
        <v>01186464000105</v>
      </c>
      <c r="E30" s="41" t="str">
        <f ca="1">IFERROR(__xludf.DUMMYFUNCTION("""COMPUTED_VALUE"""),"001")</f>
        <v>001</v>
      </c>
      <c r="F30" s="42" t="str">
        <f ca="1">IFERROR(__xludf.DUMMYFUNCTION("""COMPUTED_VALUE"""),"0638")</f>
        <v>0638</v>
      </c>
      <c r="G30" s="42" t="str">
        <f ca="1">IFERROR(__xludf.DUMMYFUNCTION("""COMPUTED_VALUE"""),"465089")</f>
        <v>465089</v>
      </c>
      <c r="H30" s="42">
        <f ca="1">IFERROR(__xludf.DUMMYFUNCTION("""COMPUTED_VALUE"""),0)</f>
        <v>0</v>
      </c>
      <c r="I30" s="42">
        <f ca="1">IFERROR(__xludf.DUMMYFUNCTION("""COMPUTED_VALUE"""),0)</f>
        <v>0</v>
      </c>
      <c r="J30" s="42">
        <f ca="1">IFERROR(__xludf.DUMMYFUNCTION("""COMPUTED_VALUE"""),3738)</f>
        <v>3738</v>
      </c>
      <c r="K30" s="42">
        <f ca="1">IFERROR(__xludf.DUMMYFUNCTION("""COMPUTED_VALUE"""),0)</f>
        <v>0</v>
      </c>
      <c r="L30" s="42">
        <f ca="1">IFERROR(__xludf.DUMMYFUNCTION("""COMPUTED_VALUE"""),0)</f>
        <v>0</v>
      </c>
      <c r="M30" s="42">
        <f ca="1">IFERROR(__xludf.DUMMYFUNCTION("""COMPUTED_VALUE"""),0)</f>
        <v>0</v>
      </c>
      <c r="N30" s="42">
        <f ca="1">IFERROR(__xludf.DUMMYFUNCTION("""COMPUTED_VALUE"""),0)</f>
        <v>0</v>
      </c>
      <c r="O30" s="42">
        <f ca="1">IFERROR(__xludf.DUMMYFUNCTION("""COMPUTED_VALUE"""),0)</f>
        <v>0</v>
      </c>
      <c r="P30" s="42">
        <f ca="1">IFERROR(__xludf.DUMMYFUNCTION("""COMPUTED_VALUE"""),315)</f>
        <v>315</v>
      </c>
      <c r="Q30" s="42">
        <f ca="1">IFERROR(__xludf.DUMMYFUNCTION("""COMPUTED_VALUE"""),8883)</f>
        <v>8883</v>
      </c>
      <c r="R30" s="42">
        <f ca="1">IFERROR(__xludf.DUMMYFUNCTION("""COMPUTED_VALUE"""),0)</f>
        <v>0</v>
      </c>
      <c r="S30" s="42">
        <f ca="1">IFERROR(__xludf.DUMMYFUNCTION("""COMPUTED_VALUE"""),0)</f>
        <v>0</v>
      </c>
      <c r="T30" s="42">
        <f ca="1">IFERROR(__xludf.DUMMYFUNCTION("""COMPUTED_VALUE"""),0)</f>
        <v>0</v>
      </c>
      <c r="U30" s="42">
        <f ca="1">IFERROR(__xludf.DUMMYFUNCTION("""COMPUTED_VALUE"""),0)</f>
        <v>0</v>
      </c>
      <c r="V30" s="42">
        <f ca="1">IFERROR(__xludf.DUMMYFUNCTION("""COMPUTED_VALUE"""),0)</f>
        <v>0</v>
      </c>
      <c r="W30" s="42">
        <f ca="1">IFERROR(__xludf.DUMMYFUNCTION("""COMPUTED_VALUE"""),0)</f>
        <v>0</v>
      </c>
      <c r="X30" s="42">
        <f ca="1">IFERROR(__xludf.DUMMYFUNCTION("""COMPUTED_VALUE"""),0)</f>
        <v>0</v>
      </c>
      <c r="Y30" s="42">
        <f ca="1">IFERROR(__xludf.DUMMYFUNCTION("""COMPUTED_VALUE"""),0)</f>
        <v>0</v>
      </c>
      <c r="Z30" s="42">
        <f ca="1">IFERROR(__xludf.DUMMYFUNCTION("""COMPUTED_VALUE"""),0)</f>
        <v>0</v>
      </c>
    </row>
    <row r="31" spans="1:26" ht="12.75">
      <c r="A31" s="33" t="str">
        <f ca="1">IFERROR(__xludf.DUMMYFUNCTION("""COMPUTED_VALUE"""),"Araguaina")</f>
        <v>Araguaina</v>
      </c>
      <c r="B31" s="33" t="str">
        <f ca="1">IFERROR(__xludf.DUMMYFUNCTION("""COMPUTED_VALUE"""),"Araguaina")</f>
        <v>Araguaina</v>
      </c>
      <c r="C31" s="34" t="str">
        <f ca="1">IFERROR(__xludf.DUMMYFUNCTION("""COMPUTED_VALUE"""),"ASSOCIAÇÃO DE APOIO DA ESCOLA ESPECIAL RAIO DE LUZ APAE ARAGUAÍNA")</f>
        <v>ASSOCIAÇÃO DE APOIO DA ESCOLA ESPECIAL RAIO DE LUZ APAE ARAGUAÍNA</v>
      </c>
      <c r="D31" s="35" t="str">
        <f ca="1">IFERROR(__xludf.DUMMYFUNCTION("""COMPUTED_VALUE"""),"07953043000130")</f>
        <v>07953043000130</v>
      </c>
      <c r="E31" s="36" t="str">
        <f ca="1">IFERROR(__xludf.DUMMYFUNCTION("""COMPUTED_VALUE"""),"001")</f>
        <v>001</v>
      </c>
      <c r="F31" s="37" t="str">
        <f ca="1">IFERROR(__xludf.DUMMYFUNCTION("""COMPUTED_VALUE"""),"0638")</f>
        <v>0638</v>
      </c>
      <c r="G31" s="37" t="str">
        <f ca="1">IFERROR(__xludf.DUMMYFUNCTION("""COMPUTED_VALUE"""),"379921")</f>
        <v>379921</v>
      </c>
      <c r="H31" s="37">
        <f ca="1">IFERROR(__xludf.DUMMYFUNCTION("""COMPUTED_VALUE"""),0)</f>
        <v>0</v>
      </c>
      <c r="I31" s="37">
        <f ca="1">IFERROR(__xludf.DUMMYFUNCTION("""COMPUTED_VALUE"""),420)</f>
        <v>420</v>
      </c>
      <c r="J31" s="37">
        <f ca="1">IFERROR(__xludf.DUMMYFUNCTION("""COMPUTED_VALUE"""),462)</f>
        <v>462</v>
      </c>
      <c r="K31" s="37">
        <f ca="1">IFERROR(__xludf.DUMMYFUNCTION("""COMPUTED_VALUE"""),0)</f>
        <v>0</v>
      </c>
      <c r="L31" s="37">
        <f ca="1">IFERROR(__xludf.DUMMYFUNCTION("""COMPUTED_VALUE"""),0)</f>
        <v>0</v>
      </c>
      <c r="M31" s="37">
        <f ca="1">IFERROR(__xludf.DUMMYFUNCTION("""COMPUTED_VALUE"""),0)</f>
        <v>0</v>
      </c>
      <c r="N31" s="37">
        <f ca="1">IFERROR(__xludf.DUMMYFUNCTION("""COMPUTED_VALUE"""),0)</f>
        <v>0</v>
      </c>
      <c r="O31" s="37">
        <f ca="1">IFERROR(__xludf.DUMMYFUNCTION("""COMPUTED_VALUE"""),0)</f>
        <v>0</v>
      </c>
      <c r="P31" s="37">
        <f ca="1">IFERROR(__xludf.DUMMYFUNCTION("""COMPUTED_VALUE"""),1134)</f>
        <v>1134</v>
      </c>
      <c r="Q31" s="37">
        <f ca="1">IFERROR(__xludf.DUMMYFUNCTION("""COMPUTED_VALUE"""),0)</f>
        <v>0</v>
      </c>
      <c r="R31" s="37">
        <f ca="1">IFERROR(__xludf.DUMMYFUNCTION("""COMPUTED_VALUE"""),0)</f>
        <v>0</v>
      </c>
      <c r="S31" s="37">
        <f ca="1">IFERROR(__xludf.DUMMYFUNCTION("""COMPUTED_VALUE"""),0)</f>
        <v>0</v>
      </c>
      <c r="T31" s="37">
        <f ca="1">IFERROR(__xludf.DUMMYFUNCTION("""COMPUTED_VALUE"""),3633)</f>
        <v>3633</v>
      </c>
      <c r="U31" s="37">
        <f ca="1">IFERROR(__xludf.DUMMYFUNCTION("""COMPUTED_VALUE"""),0)</f>
        <v>0</v>
      </c>
      <c r="V31" s="37">
        <f ca="1">IFERROR(__xludf.DUMMYFUNCTION("""COMPUTED_VALUE"""),0)</f>
        <v>0</v>
      </c>
      <c r="W31" s="37">
        <f ca="1">IFERROR(__xludf.DUMMYFUNCTION("""COMPUTED_VALUE"""),0)</f>
        <v>0</v>
      </c>
      <c r="X31" s="37">
        <f ca="1">IFERROR(__xludf.DUMMYFUNCTION("""COMPUTED_VALUE"""),0)</f>
        <v>0</v>
      </c>
      <c r="Y31" s="37">
        <f ca="1">IFERROR(__xludf.DUMMYFUNCTION("""COMPUTED_VALUE"""),0)</f>
        <v>0</v>
      </c>
      <c r="Z31" s="37">
        <f ca="1">IFERROR(__xludf.DUMMYFUNCTION("""COMPUTED_VALUE"""),0)</f>
        <v>0</v>
      </c>
    </row>
    <row r="32" spans="1:26" ht="12.75">
      <c r="A32" s="38" t="str">
        <f ca="1">IFERROR(__xludf.DUMMYFUNCTION("""COMPUTED_VALUE"""),"Araguaina")</f>
        <v>Araguaina</v>
      </c>
      <c r="B32" s="38" t="str">
        <f ca="1">IFERROR(__xludf.DUMMYFUNCTION("""COMPUTED_VALUE"""),"Araguaina")</f>
        <v>Araguaina</v>
      </c>
      <c r="C32" s="39" t="str">
        <f ca="1">IFERROR(__xludf.DUMMYFUNCTION("""COMPUTED_VALUE"""),"A.A.  ESCOLA ESPIRITA ANDRE LUIZ")</f>
        <v>A.A.  ESCOLA ESPIRITA ANDRE LUIZ</v>
      </c>
      <c r="D32" s="40" t="str">
        <f ca="1">IFERROR(__xludf.DUMMYFUNCTION("""COMPUTED_VALUE"""),"01066416000175")</f>
        <v>01066416000175</v>
      </c>
      <c r="E32" s="41" t="str">
        <f ca="1">IFERROR(__xludf.DUMMYFUNCTION("""COMPUTED_VALUE"""),"001")</f>
        <v>001</v>
      </c>
      <c r="F32" s="42" t="str">
        <f ca="1">IFERROR(__xludf.DUMMYFUNCTION("""COMPUTED_VALUE"""),"0638")</f>
        <v>0638</v>
      </c>
      <c r="G32" s="42" t="str">
        <f ca="1">IFERROR(__xludf.DUMMYFUNCTION("""COMPUTED_VALUE"""),"463582")</f>
        <v>463582</v>
      </c>
      <c r="H32" s="42">
        <f ca="1">IFERROR(__xludf.DUMMYFUNCTION("""COMPUTED_VALUE"""),0)</f>
        <v>0</v>
      </c>
      <c r="I32" s="42">
        <f ca="1">IFERROR(__xludf.DUMMYFUNCTION("""COMPUTED_VALUE"""),0)</f>
        <v>0</v>
      </c>
      <c r="J32" s="42">
        <f ca="1">IFERROR(__xludf.DUMMYFUNCTION("""COMPUTED_VALUE"""),0)</f>
        <v>0</v>
      </c>
      <c r="K32" s="42">
        <f ca="1">IFERROR(__xludf.DUMMYFUNCTION("""COMPUTED_VALUE"""),16464)</f>
        <v>16464</v>
      </c>
      <c r="L32" s="42">
        <f ca="1">IFERROR(__xludf.DUMMYFUNCTION("""COMPUTED_VALUE"""),0)</f>
        <v>0</v>
      </c>
      <c r="M32" s="42">
        <f ca="1">IFERROR(__xludf.DUMMYFUNCTION("""COMPUTED_VALUE"""),0)</f>
        <v>0</v>
      </c>
      <c r="N32" s="42">
        <f ca="1">IFERROR(__xludf.DUMMYFUNCTION("""COMPUTED_VALUE"""),0)</f>
        <v>0</v>
      </c>
      <c r="O32" s="42">
        <f ca="1">IFERROR(__xludf.DUMMYFUNCTION("""COMPUTED_VALUE"""),0)</f>
        <v>0</v>
      </c>
      <c r="P32" s="42">
        <f ca="1">IFERROR(__xludf.DUMMYFUNCTION("""COMPUTED_VALUE"""),378)</f>
        <v>378</v>
      </c>
      <c r="Q32" s="42">
        <f ca="1">IFERROR(__xludf.DUMMYFUNCTION("""COMPUTED_VALUE"""),0)</f>
        <v>0</v>
      </c>
      <c r="R32" s="42">
        <f ca="1">IFERROR(__xludf.DUMMYFUNCTION("""COMPUTED_VALUE"""),0)</f>
        <v>0</v>
      </c>
      <c r="S32" s="42">
        <f ca="1">IFERROR(__xludf.DUMMYFUNCTION("""COMPUTED_VALUE"""),0)</f>
        <v>0</v>
      </c>
      <c r="T32" s="42">
        <f ca="1">IFERROR(__xludf.DUMMYFUNCTION("""COMPUTED_VALUE"""),0)</f>
        <v>0</v>
      </c>
      <c r="U32" s="42">
        <f ca="1">IFERROR(__xludf.DUMMYFUNCTION("""COMPUTED_VALUE"""),0)</f>
        <v>0</v>
      </c>
      <c r="V32" s="42">
        <f ca="1">IFERROR(__xludf.DUMMYFUNCTION("""COMPUTED_VALUE"""),0)</f>
        <v>0</v>
      </c>
      <c r="W32" s="42">
        <f ca="1">IFERROR(__xludf.DUMMYFUNCTION("""COMPUTED_VALUE"""),0)</f>
        <v>0</v>
      </c>
      <c r="X32" s="42">
        <f ca="1">IFERROR(__xludf.DUMMYFUNCTION("""COMPUTED_VALUE"""),0)</f>
        <v>0</v>
      </c>
      <c r="Y32" s="42">
        <f ca="1">IFERROR(__xludf.DUMMYFUNCTION("""COMPUTED_VALUE"""),0)</f>
        <v>0</v>
      </c>
      <c r="Z32" s="42">
        <f ca="1">IFERROR(__xludf.DUMMYFUNCTION("""COMPUTED_VALUE"""),1397.2)</f>
        <v>1397.2</v>
      </c>
    </row>
    <row r="33" spans="1:26" ht="12.75">
      <c r="A33" s="33" t="str">
        <f ca="1">IFERROR(__xludf.DUMMYFUNCTION("""COMPUTED_VALUE"""),"Araguaina")</f>
        <v>Araguaina</v>
      </c>
      <c r="B33" s="33" t="str">
        <f ca="1">IFERROR(__xludf.DUMMYFUNCTION("""COMPUTED_VALUE"""),"Araguaina")</f>
        <v>Araguaina</v>
      </c>
      <c r="C33" s="34" t="str">
        <f ca="1">IFERROR(__xludf.DUMMYFUNCTION("""COMPUTED_VALUE"""),"A.A. ESC. E.FRANCISCO MAXIMO DE SOUZA")</f>
        <v>A.A. ESC. E.FRANCISCO MAXIMO DE SOUZA</v>
      </c>
      <c r="D33" s="35" t="str">
        <f ca="1">IFERROR(__xludf.DUMMYFUNCTION("""COMPUTED_VALUE"""),"01345127000105")</f>
        <v>01345127000105</v>
      </c>
      <c r="E33" s="36" t="str">
        <f ca="1">IFERROR(__xludf.DUMMYFUNCTION("""COMPUTED_VALUE"""),"001")</f>
        <v>001</v>
      </c>
      <c r="F33" s="37" t="str">
        <f ca="1">IFERROR(__xludf.DUMMYFUNCTION("""COMPUTED_VALUE"""),"0638")</f>
        <v>0638</v>
      </c>
      <c r="G33" s="37" t="str">
        <f ca="1">IFERROR(__xludf.DUMMYFUNCTION("""COMPUTED_VALUE"""),"0463167")</f>
        <v>0463167</v>
      </c>
      <c r="H33" s="37">
        <f ca="1">IFERROR(__xludf.DUMMYFUNCTION("""COMPUTED_VALUE"""),0)</f>
        <v>0</v>
      </c>
      <c r="I33" s="37">
        <f ca="1">IFERROR(__xludf.DUMMYFUNCTION("""COMPUTED_VALUE"""),0)</f>
        <v>0</v>
      </c>
      <c r="J33" s="37">
        <f ca="1">IFERROR(__xludf.DUMMYFUNCTION("""COMPUTED_VALUE"""),6930)</f>
        <v>6930</v>
      </c>
      <c r="K33" s="37">
        <f ca="1">IFERROR(__xludf.DUMMYFUNCTION("""COMPUTED_VALUE"""),0)</f>
        <v>0</v>
      </c>
      <c r="L33" s="37">
        <f ca="1">IFERROR(__xludf.DUMMYFUNCTION("""COMPUTED_VALUE"""),0)</f>
        <v>0</v>
      </c>
      <c r="M33" s="37">
        <f ca="1">IFERROR(__xludf.DUMMYFUNCTION("""COMPUTED_VALUE"""),0)</f>
        <v>0</v>
      </c>
      <c r="N33" s="37">
        <f ca="1">IFERROR(__xludf.DUMMYFUNCTION("""COMPUTED_VALUE"""),0)</f>
        <v>0</v>
      </c>
      <c r="O33" s="37">
        <f ca="1">IFERROR(__xludf.DUMMYFUNCTION("""COMPUTED_VALUE"""),0)</f>
        <v>0</v>
      </c>
      <c r="P33" s="37">
        <f ca="1">IFERROR(__xludf.DUMMYFUNCTION("""COMPUTED_VALUE"""),798)</f>
        <v>798</v>
      </c>
      <c r="Q33" s="37">
        <f ca="1">IFERROR(__xludf.DUMMYFUNCTION("""COMPUTED_VALUE"""),5964)</f>
        <v>5964</v>
      </c>
      <c r="R33" s="37">
        <f ca="1">IFERROR(__xludf.DUMMYFUNCTION("""COMPUTED_VALUE"""),0)</f>
        <v>0</v>
      </c>
      <c r="S33" s="37">
        <f ca="1">IFERROR(__xludf.DUMMYFUNCTION("""COMPUTED_VALUE"""),0)</f>
        <v>0</v>
      </c>
      <c r="T33" s="37">
        <f ca="1">IFERROR(__xludf.DUMMYFUNCTION("""COMPUTED_VALUE"""),3066)</f>
        <v>3066</v>
      </c>
      <c r="U33" s="37">
        <f ca="1">IFERROR(__xludf.DUMMYFUNCTION("""COMPUTED_VALUE"""),0)</f>
        <v>0</v>
      </c>
      <c r="V33" s="37">
        <f ca="1">IFERROR(__xludf.DUMMYFUNCTION("""COMPUTED_VALUE"""),0)</f>
        <v>0</v>
      </c>
      <c r="W33" s="37">
        <f ca="1">IFERROR(__xludf.DUMMYFUNCTION("""COMPUTED_VALUE"""),0)</f>
        <v>0</v>
      </c>
      <c r="X33" s="37">
        <f ca="1">IFERROR(__xludf.DUMMYFUNCTION("""COMPUTED_VALUE"""),0)</f>
        <v>0</v>
      </c>
      <c r="Y33" s="37">
        <f ca="1">IFERROR(__xludf.DUMMYFUNCTION("""COMPUTED_VALUE"""),0)</f>
        <v>0</v>
      </c>
      <c r="Z33" s="37">
        <f ca="1">IFERROR(__xludf.DUMMYFUNCTION("""COMPUTED_VALUE"""),0)</f>
        <v>0</v>
      </c>
    </row>
    <row r="34" spans="1:26" ht="12.75">
      <c r="A34" s="38" t="str">
        <f ca="1">IFERROR(__xludf.DUMMYFUNCTION("""COMPUTED_VALUE"""),"Araguaina")</f>
        <v>Araguaina</v>
      </c>
      <c r="B34" s="38" t="str">
        <f ca="1">IFERROR(__xludf.DUMMYFUNCTION("""COMPUTED_VALUE"""),"Araguaina")</f>
        <v>Araguaina</v>
      </c>
      <c r="C34" s="39" t="str">
        <f ca="1">IFERROR(__xludf.DUMMYFUNCTION("""COMPUTED_VALUE"""),"ASS. COM. COL EST. SANCHA FERREIRA")</f>
        <v>ASS. COM. COL EST. SANCHA FERREIRA</v>
      </c>
      <c r="D34" s="40" t="str">
        <f ca="1">IFERROR(__xludf.DUMMYFUNCTION("""COMPUTED_VALUE"""),"01338702000142")</f>
        <v>01338702000142</v>
      </c>
      <c r="E34" s="41" t="str">
        <f ca="1">IFERROR(__xludf.DUMMYFUNCTION("""COMPUTED_VALUE"""),"001")</f>
        <v>001</v>
      </c>
      <c r="F34" s="42" t="str">
        <f ca="1">IFERROR(__xludf.DUMMYFUNCTION("""COMPUTED_VALUE"""),"0638")</f>
        <v>0638</v>
      </c>
      <c r="G34" s="42" t="str">
        <f ca="1">IFERROR(__xludf.DUMMYFUNCTION("""COMPUTED_VALUE"""),"0466913")</f>
        <v>0466913</v>
      </c>
      <c r="H34" s="42">
        <f ca="1">IFERROR(__xludf.DUMMYFUNCTION("""COMPUTED_VALUE"""),0)</f>
        <v>0</v>
      </c>
      <c r="I34" s="42">
        <f ca="1">IFERROR(__xludf.DUMMYFUNCTION("""COMPUTED_VALUE"""),0)</f>
        <v>0</v>
      </c>
      <c r="J34" s="42">
        <f ca="1">IFERROR(__xludf.DUMMYFUNCTION("""COMPUTED_VALUE"""),0)</f>
        <v>0</v>
      </c>
      <c r="K34" s="42">
        <f ca="1">IFERROR(__xludf.DUMMYFUNCTION("""COMPUTED_VALUE"""),14033.6)</f>
        <v>14033.6</v>
      </c>
      <c r="L34" s="42">
        <f ca="1">IFERROR(__xludf.DUMMYFUNCTION("""COMPUTED_VALUE"""),0)</f>
        <v>0</v>
      </c>
      <c r="M34" s="42">
        <f ca="1">IFERROR(__xludf.DUMMYFUNCTION("""COMPUTED_VALUE"""),0)</f>
        <v>0</v>
      </c>
      <c r="N34" s="42">
        <f ca="1">IFERROR(__xludf.DUMMYFUNCTION("""COMPUTED_VALUE"""),0)</f>
        <v>0</v>
      </c>
      <c r="O34" s="42">
        <f ca="1">IFERROR(__xludf.DUMMYFUNCTION("""COMPUTED_VALUE"""),0)</f>
        <v>0</v>
      </c>
      <c r="P34" s="42">
        <f ca="1">IFERROR(__xludf.DUMMYFUNCTION("""COMPUTED_VALUE"""),231)</f>
        <v>231</v>
      </c>
      <c r="Q34" s="42">
        <f ca="1">IFERROR(__xludf.DUMMYFUNCTION("""COMPUTED_VALUE"""),0)</f>
        <v>0</v>
      </c>
      <c r="R34" s="42">
        <f ca="1">IFERROR(__xludf.DUMMYFUNCTION("""COMPUTED_VALUE"""),0)</f>
        <v>0</v>
      </c>
      <c r="S34" s="42">
        <f ca="1">IFERROR(__xludf.DUMMYFUNCTION("""COMPUTED_VALUE"""),0)</f>
        <v>0</v>
      </c>
      <c r="T34" s="42">
        <f ca="1">IFERROR(__xludf.DUMMYFUNCTION("""COMPUTED_VALUE"""),0)</f>
        <v>0</v>
      </c>
      <c r="U34" s="42">
        <f ca="1">IFERROR(__xludf.DUMMYFUNCTION("""COMPUTED_VALUE"""),0)</f>
        <v>0</v>
      </c>
      <c r="V34" s="42">
        <f ca="1">IFERROR(__xludf.DUMMYFUNCTION("""COMPUTED_VALUE"""),0)</f>
        <v>0</v>
      </c>
      <c r="W34" s="42">
        <f ca="1">IFERROR(__xludf.DUMMYFUNCTION("""COMPUTED_VALUE"""),0)</f>
        <v>0</v>
      </c>
      <c r="X34" s="42">
        <f ca="1">IFERROR(__xludf.DUMMYFUNCTION("""COMPUTED_VALUE"""),0)</f>
        <v>0</v>
      </c>
      <c r="Y34" s="42">
        <f ca="1">IFERROR(__xludf.DUMMYFUNCTION("""COMPUTED_VALUE"""),0)</f>
        <v>0</v>
      </c>
      <c r="Z34" s="42">
        <f ca="1">IFERROR(__xludf.DUMMYFUNCTION("""COMPUTED_VALUE"""),1197.6)</f>
        <v>1197.5999999999999</v>
      </c>
    </row>
    <row r="35" spans="1:26" ht="12.75">
      <c r="A35" s="33" t="str">
        <f ca="1">IFERROR(__xludf.DUMMYFUNCTION("""COMPUTED_VALUE"""),"Araguaina")</f>
        <v>Araguaina</v>
      </c>
      <c r="B35" s="33" t="str">
        <f ca="1">IFERROR(__xludf.DUMMYFUNCTION("""COMPUTED_VALUE"""),"Araguaina")</f>
        <v>Araguaina</v>
      </c>
      <c r="C35" s="34" t="str">
        <f ca="1">IFERROR(__xludf.DUMMYFUNCTION("""COMPUTED_VALUE"""),"A.A. ESC. HENRIQUE CIRQUEIRA AMORIM")</f>
        <v>A.A. ESC. HENRIQUE CIRQUEIRA AMORIM</v>
      </c>
      <c r="D35" s="35" t="str">
        <f ca="1">IFERROR(__xludf.DUMMYFUNCTION("""COMPUTED_VALUE"""),"01088234000103")</f>
        <v>01088234000103</v>
      </c>
      <c r="E35" s="36" t="str">
        <f ca="1">IFERROR(__xludf.DUMMYFUNCTION("""COMPUTED_VALUE"""),"001")</f>
        <v>001</v>
      </c>
      <c r="F35" s="37" t="str">
        <f ca="1">IFERROR(__xludf.DUMMYFUNCTION("""COMPUTED_VALUE"""),"0638")</f>
        <v>0638</v>
      </c>
      <c r="G35" s="37" t="str">
        <f ca="1">IFERROR(__xludf.DUMMYFUNCTION("""COMPUTED_VALUE"""),"0465194")</f>
        <v>0465194</v>
      </c>
      <c r="H35" s="37">
        <f ca="1">IFERROR(__xludf.DUMMYFUNCTION("""COMPUTED_VALUE"""),0)</f>
        <v>0</v>
      </c>
      <c r="I35" s="37">
        <f ca="1">IFERROR(__xludf.DUMMYFUNCTION("""COMPUTED_VALUE"""),0)</f>
        <v>0</v>
      </c>
      <c r="J35" s="37">
        <f ca="1">IFERROR(__xludf.DUMMYFUNCTION("""COMPUTED_VALUE"""),6468)</f>
        <v>6468</v>
      </c>
      <c r="K35" s="37">
        <f ca="1">IFERROR(__xludf.DUMMYFUNCTION("""COMPUTED_VALUE"""),0)</f>
        <v>0</v>
      </c>
      <c r="L35" s="37">
        <f ca="1">IFERROR(__xludf.DUMMYFUNCTION("""COMPUTED_VALUE"""),0)</f>
        <v>0</v>
      </c>
      <c r="M35" s="37">
        <f ca="1">IFERROR(__xludf.DUMMYFUNCTION("""COMPUTED_VALUE"""),0)</f>
        <v>0</v>
      </c>
      <c r="N35" s="37">
        <f ca="1">IFERROR(__xludf.DUMMYFUNCTION("""COMPUTED_VALUE"""),0)</f>
        <v>0</v>
      </c>
      <c r="O35" s="37">
        <f ca="1">IFERROR(__xludf.DUMMYFUNCTION("""COMPUTED_VALUE"""),0)</f>
        <v>0</v>
      </c>
      <c r="P35" s="37">
        <f ca="1">IFERROR(__xludf.DUMMYFUNCTION("""COMPUTED_VALUE"""),0)</f>
        <v>0</v>
      </c>
      <c r="Q35" s="37">
        <f ca="1">IFERROR(__xludf.DUMMYFUNCTION("""COMPUTED_VALUE"""),4746)</f>
        <v>4746</v>
      </c>
      <c r="R35" s="37">
        <f ca="1">IFERROR(__xludf.DUMMYFUNCTION("""COMPUTED_VALUE"""),0)</f>
        <v>0</v>
      </c>
      <c r="S35" s="37">
        <f ca="1">IFERROR(__xludf.DUMMYFUNCTION("""COMPUTED_VALUE"""),0)</f>
        <v>0</v>
      </c>
      <c r="T35" s="37">
        <f ca="1">IFERROR(__xludf.DUMMYFUNCTION("""COMPUTED_VALUE"""),0)</f>
        <v>0</v>
      </c>
      <c r="U35" s="37">
        <f ca="1">IFERROR(__xludf.DUMMYFUNCTION("""COMPUTED_VALUE"""),0)</f>
        <v>0</v>
      </c>
      <c r="V35" s="37">
        <f ca="1">IFERROR(__xludf.DUMMYFUNCTION("""COMPUTED_VALUE"""),0)</f>
        <v>0</v>
      </c>
      <c r="W35" s="37">
        <f ca="1">IFERROR(__xludf.DUMMYFUNCTION("""COMPUTED_VALUE"""),0)</f>
        <v>0</v>
      </c>
      <c r="X35" s="37">
        <f ca="1">IFERROR(__xludf.DUMMYFUNCTION("""COMPUTED_VALUE"""),0)</f>
        <v>0</v>
      </c>
      <c r="Y35" s="37">
        <f ca="1">IFERROR(__xludf.DUMMYFUNCTION("""COMPUTED_VALUE"""),0)</f>
        <v>0</v>
      </c>
      <c r="Z35" s="37">
        <f ca="1">IFERROR(__xludf.DUMMYFUNCTION("""COMPUTED_VALUE"""),0)</f>
        <v>0</v>
      </c>
    </row>
    <row r="36" spans="1:26" ht="12.75">
      <c r="A36" s="38" t="str">
        <f ca="1">IFERROR(__xludf.DUMMYFUNCTION("""COMPUTED_VALUE"""),"Araguaina")</f>
        <v>Araguaina</v>
      </c>
      <c r="B36" s="38" t="str">
        <f ca="1">IFERROR(__xludf.DUMMYFUNCTION("""COMPUTED_VALUE"""),"Araguaina")</f>
        <v>Araguaina</v>
      </c>
      <c r="C36" s="39" t="str">
        <f ca="1">IFERROR(__xludf.DUMMYFUNCTION("""COMPUTED_VALUE"""),"A.A. ESC. EST. JOAO GUILHERME L. KUNZE")</f>
        <v>A.A. ESC. EST. JOAO GUILHERME L. KUNZE</v>
      </c>
      <c r="D36" s="40" t="str">
        <f ca="1">IFERROR(__xludf.DUMMYFUNCTION("""COMPUTED_VALUE"""),"01071400000150")</f>
        <v>01071400000150</v>
      </c>
      <c r="E36" s="41" t="str">
        <f ca="1">IFERROR(__xludf.DUMMYFUNCTION("""COMPUTED_VALUE"""),"001")</f>
        <v>001</v>
      </c>
      <c r="F36" s="42" t="str">
        <f ca="1">IFERROR(__xludf.DUMMYFUNCTION("""COMPUTED_VALUE"""),"0638")</f>
        <v>0638</v>
      </c>
      <c r="G36" s="42" t="str">
        <f ca="1">IFERROR(__xludf.DUMMYFUNCTION("""COMPUTED_VALUE"""),"0463639")</f>
        <v>0463639</v>
      </c>
      <c r="H36" s="42">
        <f ca="1">IFERROR(__xludf.DUMMYFUNCTION("""COMPUTED_VALUE"""),0)</f>
        <v>0</v>
      </c>
      <c r="I36" s="42">
        <f ca="1">IFERROR(__xludf.DUMMYFUNCTION("""COMPUTED_VALUE"""),0)</f>
        <v>0</v>
      </c>
      <c r="J36" s="42">
        <f ca="1">IFERROR(__xludf.DUMMYFUNCTION("""COMPUTED_VALUE"""),6657)</f>
        <v>6657</v>
      </c>
      <c r="K36" s="42">
        <f ca="1">IFERROR(__xludf.DUMMYFUNCTION("""COMPUTED_VALUE"""),0)</f>
        <v>0</v>
      </c>
      <c r="L36" s="42">
        <f ca="1">IFERROR(__xludf.DUMMYFUNCTION("""COMPUTED_VALUE"""),0)</f>
        <v>0</v>
      </c>
      <c r="M36" s="42">
        <f ca="1">IFERROR(__xludf.DUMMYFUNCTION("""COMPUTED_VALUE"""),0)</f>
        <v>0</v>
      </c>
      <c r="N36" s="42">
        <f ca="1">IFERROR(__xludf.DUMMYFUNCTION("""COMPUTED_VALUE"""),0)</f>
        <v>0</v>
      </c>
      <c r="O36" s="42">
        <f ca="1">IFERROR(__xludf.DUMMYFUNCTION("""COMPUTED_VALUE"""),0)</f>
        <v>0</v>
      </c>
      <c r="P36" s="42">
        <f ca="1">IFERROR(__xludf.DUMMYFUNCTION("""COMPUTED_VALUE"""),336)</f>
        <v>336</v>
      </c>
      <c r="Q36" s="42">
        <f ca="1">IFERROR(__xludf.DUMMYFUNCTION("""COMPUTED_VALUE"""),0)</f>
        <v>0</v>
      </c>
      <c r="R36" s="42">
        <f ca="1">IFERROR(__xludf.DUMMYFUNCTION("""COMPUTED_VALUE"""),0)</f>
        <v>0</v>
      </c>
      <c r="S36" s="42">
        <f ca="1">IFERROR(__xludf.DUMMYFUNCTION("""COMPUTED_VALUE"""),0)</f>
        <v>0</v>
      </c>
      <c r="T36" s="42">
        <f ca="1">IFERROR(__xludf.DUMMYFUNCTION("""COMPUTED_VALUE"""),0)</f>
        <v>0</v>
      </c>
      <c r="U36" s="42">
        <f ca="1">IFERROR(__xludf.DUMMYFUNCTION("""COMPUTED_VALUE"""),0)</f>
        <v>0</v>
      </c>
      <c r="V36" s="42">
        <f ca="1">IFERROR(__xludf.DUMMYFUNCTION("""COMPUTED_VALUE"""),0)</f>
        <v>0</v>
      </c>
      <c r="W36" s="42">
        <f ca="1">IFERROR(__xludf.DUMMYFUNCTION("""COMPUTED_VALUE"""),0)</f>
        <v>0</v>
      </c>
      <c r="X36" s="42">
        <f ca="1">IFERROR(__xludf.DUMMYFUNCTION("""COMPUTED_VALUE"""),0)</f>
        <v>0</v>
      </c>
      <c r="Y36" s="42">
        <f ca="1">IFERROR(__xludf.DUMMYFUNCTION("""COMPUTED_VALUE"""),0)</f>
        <v>0</v>
      </c>
      <c r="Z36" s="42">
        <f ca="1">IFERROR(__xludf.DUMMYFUNCTION("""COMPUTED_VALUE"""),0)</f>
        <v>0</v>
      </c>
    </row>
    <row r="37" spans="1:26" ht="12.75">
      <c r="A37" s="33" t="str">
        <f ca="1">IFERROR(__xludf.DUMMYFUNCTION("""COMPUTED_VALUE"""),"Araguaina")</f>
        <v>Araguaina</v>
      </c>
      <c r="B37" s="33" t="str">
        <f ca="1">IFERROR(__xludf.DUMMYFUNCTION("""COMPUTED_VALUE"""),"Araguaina")</f>
        <v>Araguaina</v>
      </c>
      <c r="C37" s="34" t="str">
        <f ca="1">IFERROR(__xludf.DUMMYFUNCTION("""COMPUTED_VALUE"""),"A.A. ESC. EST. MANOEL GOMES DA CUNHA")</f>
        <v>A.A. ESC. EST. MANOEL GOMES DA CUNHA</v>
      </c>
      <c r="D37" s="35" t="str">
        <f ca="1">IFERROR(__xludf.DUMMYFUNCTION("""COMPUTED_VALUE"""),"01443216000194")</f>
        <v>01443216000194</v>
      </c>
      <c r="E37" s="36" t="str">
        <f ca="1">IFERROR(__xludf.DUMMYFUNCTION("""COMPUTED_VALUE"""),"001")</f>
        <v>001</v>
      </c>
      <c r="F37" s="37" t="str">
        <f ca="1">IFERROR(__xludf.DUMMYFUNCTION("""COMPUTED_VALUE"""),"0638")</f>
        <v>0638</v>
      </c>
      <c r="G37" s="37" t="str">
        <f ca="1">IFERROR(__xludf.DUMMYFUNCTION("""COMPUTED_VALUE"""),"0468355")</f>
        <v>0468355</v>
      </c>
      <c r="H37" s="37">
        <f ca="1">IFERROR(__xludf.DUMMYFUNCTION("""COMPUTED_VALUE"""),0)</f>
        <v>0</v>
      </c>
      <c r="I37" s="37">
        <f ca="1">IFERROR(__xludf.DUMMYFUNCTION("""COMPUTED_VALUE"""),0)</f>
        <v>0</v>
      </c>
      <c r="J37" s="37">
        <f ca="1">IFERROR(__xludf.DUMMYFUNCTION("""COMPUTED_VALUE"""),3969)</f>
        <v>3969</v>
      </c>
      <c r="K37" s="37">
        <f ca="1">IFERROR(__xludf.DUMMYFUNCTION("""COMPUTED_VALUE"""),0)</f>
        <v>0</v>
      </c>
      <c r="L37" s="37">
        <f ca="1">IFERROR(__xludf.DUMMYFUNCTION("""COMPUTED_VALUE"""),0)</f>
        <v>0</v>
      </c>
      <c r="M37" s="37">
        <f ca="1">IFERROR(__xludf.DUMMYFUNCTION("""COMPUTED_VALUE"""),0)</f>
        <v>0</v>
      </c>
      <c r="N37" s="37">
        <f ca="1">IFERROR(__xludf.DUMMYFUNCTION("""COMPUTED_VALUE"""),0)</f>
        <v>0</v>
      </c>
      <c r="O37" s="37">
        <f ca="1">IFERROR(__xludf.DUMMYFUNCTION("""COMPUTED_VALUE"""),0)</f>
        <v>0</v>
      </c>
      <c r="P37" s="37">
        <f ca="1">IFERROR(__xludf.DUMMYFUNCTION("""COMPUTED_VALUE"""),231)</f>
        <v>231</v>
      </c>
      <c r="Q37" s="37">
        <f ca="1">IFERROR(__xludf.DUMMYFUNCTION("""COMPUTED_VALUE"""),3696)</f>
        <v>3696</v>
      </c>
      <c r="R37" s="37">
        <f ca="1">IFERROR(__xludf.DUMMYFUNCTION("""COMPUTED_VALUE"""),0)</f>
        <v>0</v>
      </c>
      <c r="S37" s="37">
        <f ca="1">IFERROR(__xludf.DUMMYFUNCTION("""COMPUTED_VALUE"""),0)</f>
        <v>0</v>
      </c>
      <c r="T37" s="37">
        <f ca="1">IFERROR(__xludf.DUMMYFUNCTION("""COMPUTED_VALUE"""),0)</f>
        <v>0</v>
      </c>
      <c r="U37" s="37">
        <f ca="1">IFERROR(__xludf.DUMMYFUNCTION("""COMPUTED_VALUE"""),0)</f>
        <v>0</v>
      </c>
      <c r="V37" s="37">
        <f ca="1">IFERROR(__xludf.DUMMYFUNCTION("""COMPUTED_VALUE"""),0)</f>
        <v>0</v>
      </c>
      <c r="W37" s="37">
        <f ca="1">IFERROR(__xludf.DUMMYFUNCTION("""COMPUTED_VALUE"""),0)</f>
        <v>0</v>
      </c>
      <c r="X37" s="37">
        <f ca="1">IFERROR(__xludf.DUMMYFUNCTION("""COMPUTED_VALUE"""),0)</f>
        <v>0</v>
      </c>
      <c r="Y37" s="37">
        <f ca="1">IFERROR(__xludf.DUMMYFUNCTION("""COMPUTED_VALUE"""),0)</f>
        <v>0</v>
      </c>
      <c r="Z37" s="37">
        <f ca="1">IFERROR(__xludf.DUMMYFUNCTION("""COMPUTED_VALUE"""),0)</f>
        <v>0</v>
      </c>
    </row>
    <row r="38" spans="1:26" ht="12.75">
      <c r="A38" s="38" t="str">
        <f ca="1">IFERROR(__xludf.DUMMYFUNCTION("""COMPUTED_VALUE"""),"Araguaina")</f>
        <v>Araguaina</v>
      </c>
      <c r="B38" s="38" t="str">
        <f ca="1">IFERROR(__xludf.DUMMYFUNCTION("""COMPUTED_VALUE"""),"Araguaina")</f>
        <v>Araguaina</v>
      </c>
      <c r="C38" s="39" t="str">
        <f ca="1">IFERROR(__xludf.DUMMYFUNCTION("""COMPUTED_VALUE"""),"A.A. ESCOLA ESTADUAL MAL. RONDON")</f>
        <v>A.A. ESCOLA ESTADUAL MAL. RONDON</v>
      </c>
      <c r="D38" s="40" t="str">
        <f ca="1">IFERROR(__xludf.DUMMYFUNCTION("""COMPUTED_VALUE"""),"01068349000128")</f>
        <v>01068349000128</v>
      </c>
      <c r="E38" s="41" t="str">
        <f ca="1">IFERROR(__xludf.DUMMYFUNCTION("""COMPUTED_VALUE"""),"001")</f>
        <v>001</v>
      </c>
      <c r="F38" s="42" t="str">
        <f ca="1">IFERROR(__xludf.DUMMYFUNCTION("""COMPUTED_VALUE"""),"0638")</f>
        <v>0638</v>
      </c>
      <c r="G38" s="42" t="str">
        <f ca="1">IFERROR(__xludf.DUMMYFUNCTION("""COMPUTED_VALUE"""),"046368X")</f>
        <v>046368X</v>
      </c>
      <c r="H38" s="42">
        <f ca="1">IFERROR(__xludf.DUMMYFUNCTION("""COMPUTED_VALUE"""),0)</f>
        <v>0</v>
      </c>
      <c r="I38" s="42">
        <f ca="1">IFERROR(__xludf.DUMMYFUNCTION("""COMPUTED_VALUE"""),0)</f>
        <v>0</v>
      </c>
      <c r="J38" s="42">
        <f ca="1">IFERROR(__xludf.DUMMYFUNCTION("""COMPUTED_VALUE"""),10206)</f>
        <v>10206</v>
      </c>
      <c r="K38" s="42">
        <f ca="1">IFERROR(__xludf.DUMMYFUNCTION("""COMPUTED_VALUE"""),0)</f>
        <v>0</v>
      </c>
      <c r="L38" s="42">
        <f ca="1">IFERROR(__xludf.DUMMYFUNCTION("""COMPUTED_VALUE"""),0)</f>
        <v>0</v>
      </c>
      <c r="M38" s="42">
        <f ca="1">IFERROR(__xludf.DUMMYFUNCTION("""COMPUTED_VALUE"""),0)</f>
        <v>0</v>
      </c>
      <c r="N38" s="42">
        <f ca="1">IFERROR(__xludf.DUMMYFUNCTION("""COMPUTED_VALUE"""),0)</f>
        <v>0</v>
      </c>
      <c r="O38" s="42">
        <f ca="1">IFERROR(__xludf.DUMMYFUNCTION("""COMPUTED_VALUE"""),0)</f>
        <v>0</v>
      </c>
      <c r="P38" s="42">
        <f ca="1">IFERROR(__xludf.DUMMYFUNCTION("""COMPUTED_VALUE"""),399)</f>
        <v>399</v>
      </c>
      <c r="Q38" s="42">
        <f ca="1">IFERROR(__xludf.DUMMYFUNCTION("""COMPUTED_VALUE"""),0)</f>
        <v>0</v>
      </c>
      <c r="R38" s="42">
        <f ca="1">IFERROR(__xludf.DUMMYFUNCTION("""COMPUTED_VALUE"""),0)</f>
        <v>0</v>
      </c>
      <c r="S38" s="42">
        <f ca="1">IFERROR(__xludf.DUMMYFUNCTION("""COMPUTED_VALUE"""),0)</f>
        <v>0</v>
      </c>
      <c r="T38" s="42">
        <f ca="1">IFERROR(__xludf.DUMMYFUNCTION("""COMPUTED_VALUE"""),2163)</f>
        <v>2163</v>
      </c>
      <c r="U38" s="42">
        <f ca="1">IFERROR(__xludf.DUMMYFUNCTION("""COMPUTED_VALUE"""),0)</f>
        <v>0</v>
      </c>
      <c r="V38" s="42">
        <f ca="1">IFERROR(__xludf.DUMMYFUNCTION("""COMPUTED_VALUE"""),0)</f>
        <v>0</v>
      </c>
      <c r="W38" s="42">
        <f ca="1">IFERROR(__xludf.DUMMYFUNCTION("""COMPUTED_VALUE"""),0)</f>
        <v>0</v>
      </c>
      <c r="X38" s="42">
        <f ca="1">IFERROR(__xludf.DUMMYFUNCTION("""COMPUTED_VALUE"""),0)</f>
        <v>0</v>
      </c>
      <c r="Y38" s="42">
        <f ca="1">IFERROR(__xludf.DUMMYFUNCTION("""COMPUTED_VALUE"""),0)</f>
        <v>0</v>
      </c>
      <c r="Z38" s="42">
        <f ca="1">IFERROR(__xludf.DUMMYFUNCTION("""COMPUTED_VALUE"""),0)</f>
        <v>0</v>
      </c>
    </row>
    <row r="39" spans="1:26" ht="12.75">
      <c r="A39" s="33" t="str">
        <f ca="1">IFERROR(__xludf.DUMMYFUNCTION("""COMPUTED_VALUE"""),"Araguaina")</f>
        <v>Araguaina</v>
      </c>
      <c r="B39" s="33" t="str">
        <f ca="1">IFERROR(__xludf.DUMMYFUNCTION("""COMPUTED_VALUE"""),"Araguaina")</f>
        <v>Araguaina</v>
      </c>
      <c r="C39" s="34" t="str">
        <f ca="1">IFERROR(__xludf.DUMMYFUNCTION("""COMPUTED_VALUE"""),"A. DE A.DA ESCOLA ESTADUAL MODELO")</f>
        <v>A. DE A.DA ESCOLA ESTADUAL MODELO</v>
      </c>
      <c r="D39" s="35" t="str">
        <f ca="1">IFERROR(__xludf.DUMMYFUNCTION("""COMPUTED_VALUE"""),"01133696000197")</f>
        <v>01133696000197</v>
      </c>
      <c r="E39" s="36" t="str">
        <f ca="1">IFERROR(__xludf.DUMMYFUNCTION("""COMPUTED_VALUE"""),"001")</f>
        <v>001</v>
      </c>
      <c r="F39" s="37" t="str">
        <f ca="1">IFERROR(__xludf.DUMMYFUNCTION("""COMPUTED_VALUE"""),"0638")</f>
        <v>0638</v>
      </c>
      <c r="G39" s="37" t="str">
        <f ca="1">IFERROR(__xludf.DUMMYFUNCTION("""COMPUTED_VALUE"""),"484520")</f>
        <v>484520</v>
      </c>
      <c r="H39" s="37">
        <f ca="1">IFERROR(__xludf.DUMMYFUNCTION("""COMPUTED_VALUE"""),0)</f>
        <v>0</v>
      </c>
      <c r="I39" s="37">
        <f ca="1">IFERROR(__xludf.DUMMYFUNCTION("""COMPUTED_VALUE"""),0)</f>
        <v>0</v>
      </c>
      <c r="J39" s="37">
        <f ca="1">IFERROR(__xludf.DUMMYFUNCTION("""COMPUTED_VALUE"""),20580)</f>
        <v>20580</v>
      </c>
      <c r="K39" s="37">
        <f ca="1">IFERROR(__xludf.DUMMYFUNCTION("""COMPUTED_VALUE"""),0)</f>
        <v>0</v>
      </c>
      <c r="L39" s="37">
        <f ca="1">IFERROR(__xludf.DUMMYFUNCTION("""COMPUTED_VALUE"""),0)</f>
        <v>0</v>
      </c>
      <c r="M39" s="37">
        <f ca="1">IFERROR(__xludf.DUMMYFUNCTION("""COMPUTED_VALUE"""),0)</f>
        <v>0</v>
      </c>
      <c r="N39" s="37">
        <f ca="1">IFERROR(__xludf.DUMMYFUNCTION("""COMPUTED_VALUE"""),0)</f>
        <v>0</v>
      </c>
      <c r="O39" s="37">
        <f ca="1">IFERROR(__xludf.DUMMYFUNCTION("""COMPUTED_VALUE"""),0)</f>
        <v>0</v>
      </c>
      <c r="P39" s="37">
        <f ca="1">IFERROR(__xludf.DUMMYFUNCTION("""COMPUTED_VALUE"""),1134)</f>
        <v>1134</v>
      </c>
      <c r="Q39" s="37">
        <f ca="1">IFERROR(__xludf.DUMMYFUNCTION("""COMPUTED_VALUE"""),0)</f>
        <v>0</v>
      </c>
      <c r="R39" s="37">
        <f ca="1">IFERROR(__xludf.DUMMYFUNCTION("""COMPUTED_VALUE"""),0)</f>
        <v>0</v>
      </c>
      <c r="S39" s="37">
        <f ca="1">IFERROR(__xludf.DUMMYFUNCTION("""COMPUTED_VALUE"""),0)</f>
        <v>0</v>
      </c>
      <c r="T39" s="37">
        <f ca="1">IFERROR(__xludf.DUMMYFUNCTION("""COMPUTED_VALUE"""),0)</f>
        <v>0</v>
      </c>
      <c r="U39" s="37">
        <f ca="1">IFERROR(__xludf.DUMMYFUNCTION("""COMPUTED_VALUE"""),0)</f>
        <v>0</v>
      </c>
      <c r="V39" s="37">
        <f ca="1">IFERROR(__xludf.DUMMYFUNCTION("""COMPUTED_VALUE"""),0)</f>
        <v>0</v>
      </c>
      <c r="W39" s="37">
        <f ca="1">IFERROR(__xludf.DUMMYFUNCTION("""COMPUTED_VALUE"""),0)</f>
        <v>0</v>
      </c>
      <c r="X39" s="37">
        <f ca="1">IFERROR(__xludf.DUMMYFUNCTION("""COMPUTED_VALUE"""),0)</f>
        <v>0</v>
      </c>
      <c r="Y39" s="37">
        <f ca="1">IFERROR(__xludf.DUMMYFUNCTION("""COMPUTED_VALUE"""),0)</f>
        <v>0</v>
      </c>
      <c r="Z39" s="37">
        <f ca="1">IFERROR(__xludf.DUMMYFUNCTION("""COMPUTED_VALUE"""),0)</f>
        <v>0</v>
      </c>
    </row>
    <row r="40" spans="1:26" ht="12.75">
      <c r="A40" s="38" t="str">
        <f ca="1">IFERROR(__xludf.DUMMYFUNCTION("""COMPUTED_VALUE"""),"Araguaina")</f>
        <v>Araguaina</v>
      </c>
      <c r="B40" s="38" t="str">
        <f ca="1">IFERROR(__xludf.DUMMYFUNCTION("""COMPUTED_VALUE"""),"Araguaina")</f>
        <v>Araguaina</v>
      </c>
      <c r="C40" s="39" t="str">
        <f ca="1">IFERROR(__xludf.DUMMYFUNCTION("""COMPUTED_VALUE"""),"A.A. ESC. E.NORTE GOIANO DE ARAGUAINA")</f>
        <v>A.A. ESC. E.NORTE GOIANO DE ARAGUAINA</v>
      </c>
      <c r="D40" s="40" t="str">
        <f ca="1">IFERROR(__xludf.DUMMYFUNCTION("""COMPUTED_VALUE"""),"01195483000190")</f>
        <v>01195483000190</v>
      </c>
      <c r="E40" s="41" t="str">
        <f ca="1">IFERROR(__xludf.DUMMYFUNCTION("""COMPUTED_VALUE"""),"001")</f>
        <v>001</v>
      </c>
      <c r="F40" s="42" t="str">
        <f ca="1">IFERROR(__xludf.DUMMYFUNCTION("""COMPUTED_VALUE"""),"0638")</f>
        <v>0638</v>
      </c>
      <c r="G40" s="42" t="str">
        <f ca="1">IFERROR(__xludf.DUMMYFUNCTION("""COMPUTED_VALUE"""),"0464724")</f>
        <v>0464724</v>
      </c>
      <c r="H40" s="42">
        <f ca="1">IFERROR(__xludf.DUMMYFUNCTION("""COMPUTED_VALUE"""),0)</f>
        <v>0</v>
      </c>
      <c r="I40" s="42">
        <f ca="1">IFERROR(__xludf.DUMMYFUNCTION("""COMPUTED_VALUE"""),0)</f>
        <v>0</v>
      </c>
      <c r="J40" s="42">
        <f ca="1">IFERROR(__xludf.DUMMYFUNCTION("""COMPUTED_VALUE"""),5523)</f>
        <v>5523</v>
      </c>
      <c r="K40" s="42">
        <f ca="1">IFERROR(__xludf.DUMMYFUNCTION("""COMPUTED_VALUE"""),0)</f>
        <v>0</v>
      </c>
      <c r="L40" s="42">
        <f ca="1">IFERROR(__xludf.DUMMYFUNCTION("""COMPUTED_VALUE"""),0)</f>
        <v>0</v>
      </c>
      <c r="M40" s="42">
        <f ca="1">IFERROR(__xludf.DUMMYFUNCTION("""COMPUTED_VALUE"""),0)</f>
        <v>0</v>
      </c>
      <c r="N40" s="42">
        <f ca="1">IFERROR(__xludf.DUMMYFUNCTION("""COMPUTED_VALUE"""),0)</f>
        <v>0</v>
      </c>
      <c r="O40" s="42">
        <f ca="1">IFERROR(__xludf.DUMMYFUNCTION("""COMPUTED_VALUE"""),0)</f>
        <v>0</v>
      </c>
      <c r="P40" s="42">
        <f ca="1">IFERROR(__xludf.DUMMYFUNCTION("""COMPUTED_VALUE"""),252)</f>
        <v>252</v>
      </c>
      <c r="Q40" s="42">
        <f ca="1">IFERROR(__xludf.DUMMYFUNCTION("""COMPUTED_VALUE"""),0)</f>
        <v>0</v>
      </c>
      <c r="R40" s="42">
        <f ca="1">IFERROR(__xludf.DUMMYFUNCTION("""COMPUTED_VALUE"""),0)</f>
        <v>0</v>
      </c>
      <c r="S40" s="42">
        <f ca="1">IFERROR(__xludf.DUMMYFUNCTION("""COMPUTED_VALUE"""),0)</f>
        <v>0</v>
      </c>
      <c r="T40" s="42">
        <f ca="1">IFERROR(__xludf.DUMMYFUNCTION("""COMPUTED_VALUE"""),0)</f>
        <v>0</v>
      </c>
      <c r="U40" s="42">
        <f ca="1">IFERROR(__xludf.DUMMYFUNCTION("""COMPUTED_VALUE"""),0)</f>
        <v>0</v>
      </c>
      <c r="V40" s="42">
        <f ca="1">IFERROR(__xludf.DUMMYFUNCTION("""COMPUTED_VALUE"""),0)</f>
        <v>0</v>
      </c>
      <c r="W40" s="42">
        <f ca="1">IFERROR(__xludf.DUMMYFUNCTION("""COMPUTED_VALUE"""),0)</f>
        <v>0</v>
      </c>
      <c r="X40" s="42">
        <f ca="1">IFERROR(__xludf.DUMMYFUNCTION("""COMPUTED_VALUE"""),0)</f>
        <v>0</v>
      </c>
      <c r="Y40" s="42">
        <f ca="1">IFERROR(__xludf.DUMMYFUNCTION("""COMPUTED_VALUE"""),0)</f>
        <v>0</v>
      </c>
      <c r="Z40" s="42">
        <f ca="1">IFERROR(__xludf.DUMMYFUNCTION("""COMPUTED_VALUE"""),0)</f>
        <v>0</v>
      </c>
    </row>
    <row r="41" spans="1:26" ht="12.75">
      <c r="A41" s="33" t="str">
        <f ca="1">IFERROR(__xludf.DUMMYFUNCTION("""COMPUTED_VALUE"""),"Araguaina")</f>
        <v>Araguaina</v>
      </c>
      <c r="B41" s="33" t="str">
        <f ca="1">IFERROR(__xludf.DUMMYFUNCTION("""COMPUTED_VALUE"""),"Araguaina")</f>
        <v>Araguaina</v>
      </c>
      <c r="C41" s="34" t="str">
        <f ca="1">IFERROR(__xludf.DUMMYFUNCTION("""COMPUTED_VALUE"""),"A.A. ESCOLA EST.PROF.ALFREDO NASSER")</f>
        <v>A.A. ESCOLA EST.PROF.ALFREDO NASSER</v>
      </c>
      <c r="D41" s="35" t="str">
        <f ca="1">IFERROR(__xludf.DUMMYFUNCTION("""COMPUTED_VALUE"""),"01223632000187")</f>
        <v>01223632000187</v>
      </c>
      <c r="E41" s="36" t="str">
        <f ca="1">IFERROR(__xludf.DUMMYFUNCTION("""COMPUTED_VALUE"""),"001")</f>
        <v>001</v>
      </c>
      <c r="F41" s="37" t="str">
        <f ca="1">IFERROR(__xludf.DUMMYFUNCTION("""COMPUTED_VALUE"""),"0638")</f>
        <v>0638</v>
      </c>
      <c r="G41" s="37" t="str">
        <f ca="1">IFERROR(__xludf.DUMMYFUNCTION("""COMPUTED_VALUE"""),"0465135")</f>
        <v>0465135</v>
      </c>
      <c r="H41" s="37">
        <f ca="1">IFERROR(__xludf.DUMMYFUNCTION("""COMPUTED_VALUE"""),0)</f>
        <v>0</v>
      </c>
      <c r="I41" s="37">
        <f ca="1">IFERROR(__xludf.DUMMYFUNCTION("""COMPUTED_VALUE"""),0)</f>
        <v>0</v>
      </c>
      <c r="J41" s="37">
        <f ca="1">IFERROR(__xludf.DUMMYFUNCTION("""COMPUTED_VALUE"""),15351)</f>
        <v>15351</v>
      </c>
      <c r="K41" s="37">
        <f ca="1">IFERROR(__xludf.DUMMYFUNCTION("""COMPUTED_VALUE"""),0)</f>
        <v>0</v>
      </c>
      <c r="L41" s="37">
        <f ca="1">IFERROR(__xludf.DUMMYFUNCTION("""COMPUTED_VALUE"""),0)</f>
        <v>0</v>
      </c>
      <c r="M41" s="37">
        <f ca="1">IFERROR(__xludf.DUMMYFUNCTION("""COMPUTED_VALUE"""),0)</f>
        <v>0</v>
      </c>
      <c r="N41" s="37">
        <f ca="1">IFERROR(__xludf.DUMMYFUNCTION("""COMPUTED_VALUE"""),0)</f>
        <v>0</v>
      </c>
      <c r="O41" s="37">
        <f ca="1">IFERROR(__xludf.DUMMYFUNCTION("""COMPUTED_VALUE"""),0)</f>
        <v>0</v>
      </c>
      <c r="P41" s="37">
        <f ca="1">IFERROR(__xludf.DUMMYFUNCTION("""COMPUTED_VALUE"""),0)</f>
        <v>0</v>
      </c>
      <c r="Q41" s="37">
        <f ca="1">IFERROR(__xludf.DUMMYFUNCTION("""COMPUTED_VALUE"""),0)</f>
        <v>0</v>
      </c>
      <c r="R41" s="37">
        <f ca="1">IFERROR(__xludf.DUMMYFUNCTION("""COMPUTED_VALUE"""),0)</f>
        <v>0</v>
      </c>
      <c r="S41" s="37">
        <f ca="1">IFERROR(__xludf.DUMMYFUNCTION("""COMPUTED_VALUE"""),0)</f>
        <v>0</v>
      </c>
      <c r="T41" s="37">
        <f ca="1">IFERROR(__xludf.DUMMYFUNCTION("""COMPUTED_VALUE"""),0)</f>
        <v>0</v>
      </c>
      <c r="U41" s="37">
        <f ca="1">IFERROR(__xludf.DUMMYFUNCTION("""COMPUTED_VALUE"""),0)</f>
        <v>0</v>
      </c>
      <c r="V41" s="37">
        <f ca="1">IFERROR(__xludf.DUMMYFUNCTION("""COMPUTED_VALUE"""),0)</f>
        <v>0</v>
      </c>
      <c r="W41" s="37">
        <f ca="1">IFERROR(__xludf.DUMMYFUNCTION("""COMPUTED_VALUE"""),0)</f>
        <v>0</v>
      </c>
      <c r="X41" s="37">
        <f ca="1">IFERROR(__xludf.DUMMYFUNCTION("""COMPUTED_VALUE"""),0)</f>
        <v>0</v>
      </c>
      <c r="Y41" s="37">
        <f ca="1">IFERROR(__xludf.DUMMYFUNCTION("""COMPUTED_VALUE"""),0)</f>
        <v>0</v>
      </c>
      <c r="Z41" s="37">
        <f ca="1">IFERROR(__xludf.DUMMYFUNCTION("""COMPUTED_VALUE"""),0)</f>
        <v>0</v>
      </c>
    </row>
    <row r="42" spans="1:26" ht="12.75">
      <c r="A42" s="38" t="str">
        <f ca="1">IFERROR(__xludf.DUMMYFUNCTION("""COMPUTED_VALUE"""),"Araguaina")</f>
        <v>Araguaina</v>
      </c>
      <c r="B42" s="38" t="str">
        <f ca="1">IFERROR(__xludf.DUMMYFUNCTION("""COMPUTED_VALUE"""),"Araguaina")</f>
        <v>Araguaina</v>
      </c>
      <c r="C42" s="39" t="str">
        <f ca="1">IFERROR(__xludf.DUMMYFUNCTION("""COMPUTED_VALUE"""),"A.A. ESC. EST. DE ARAGUAINA / PROF. JOÃO ALVES BATISTA")</f>
        <v>A.A. ESC. EST. DE ARAGUAINA / PROF. JOÃO ALVES BATISTA</v>
      </c>
      <c r="D42" s="40" t="str">
        <f ca="1">IFERROR(__xludf.DUMMYFUNCTION("""COMPUTED_VALUE"""),"25062332000121")</f>
        <v>25062332000121</v>
      </c>
      <c r="E42" s="41" t="str">
        <f ca="1">IFERROR(__xludf.DUMMYFUNCTION("""COMPUTED_VALUE"""),"001")</f>
        <v>001</v>
      </c>
      <c r="F42" s="42" t="str">
        <f ca="1">IFERROR(__xludf.DUMMYFUNCTION("""COMPUTED_VALUE"""),"0638")</f>
        <v>0638</v>
      </c>
      <c r="G42" s="42" t="str">
        <f ca="1">IFERROR(__xludf.DUMMYFUNCTION("""COMPUTED_VALUE"""),"463116")</f>
        <v>463116</v>
      </c>
      <c r="H42" s="42">
        <f ca="1">IFERROR(__xludf.DUMMYFUNCTION("""COMPUTED_VALUE"""),0)</f>
        <v>0</v>
      </c>
      <c r="I42" s="42">
        <f ca="1">IFERROR(__xludf.DUMMYFUNCTION("""COMPUTED_VALUE"""),0)</f>
        <v>0</v>
      </c>
      <c r="J42" s="42">
        <f ca="1">IFERROR(__xludf.DUMMYFUNCTION("""COMPUTED_VALUE"""),6216)</f>
        <v>6216</v>
      </c>
      <c r="K42" s="42">
        <f ca="1">IFERROR(__xludf.DUMMYFUNCTION("""COMPUTED_VALUE"""),0)</f>
        <v>0</v>
      </c>
      <c r="L42" s="42">
        <f ca="1">IFERROR(__xludf.DUMMYFUNCTION("""COMPUTED_VALUE"""),0)</f>
        <v>0</v>
      </c>
      <c r="M42" s="42">
        <f ca="1">IFERROR(__xludf.DUMMYFUNCTION("""COMPUTED_VALUE"""),0)</f>
        <v>0</v>
      </c>
      <c r="N42" s="42">
        <f ca="1">IFERROR(__xludf.DUMMYFUNCTION("""COMPUTED_VALUE"""),0)</f>
        <v>0</v>
      </c>
      <c r="O42" s="42">
        <f ca="1">IFERROR(__xludf.DUMMYFUNCTION("""COMPUTED_VALUE"""),0)</f>
        <v>0</v>
      </c>
      <c r="P42" s="42">
        <f ca="1">IFERROR(__xludf.DUMMYFUNCTION("""COMPUTED_VALUE"""),231)</f>
        <v>231</v>
      </c>
      <c r="Q42" s="42">
        <f ca="1">IFERROR(__xludf.DUMMYFUNCTION("""COMPUTED_VALUE"""),0)</f>
        <v>0</v>
      </c>
      <c r="R42" s="42">
        <f ca="1">IFERROR(__xludf.DUMMYFUNCTION("""COMPUTED_VALUE"""),0)</f>
        <v>0</v>
      </c>
      <c r="S42" s="42">
        <f ca="1">IFERROR(__xludf.DUMMYFUNCTION("""COMPUTED_VALUE"""),0)</f>
        <v>0</v>
      </c>
      <c r="T42" s="42">
        <f ca="1">IFERROR(__xludf.DUMMYFUNCTION("""COMPUTED_VALUE"""),0)</f>
        <v>0</v>
      </c>
      <c r="U42" s="42">
        <f ca="1">IFERROR(__xludf.DUMMYFUNCTION("""COMPUTED_VALUE"""),0)</f>
        <v>0</v>
      </c>
      <c r="V42" s="42">
        <f ca="1">IFERROR(__xludf.DUMMYFUNCTION("""COMPUTED_VALUE"""),0)</f>
        <v>0</v>
      </c>
      <c r="W42" s="42">
        <f ca="1">IFERROR(__xludf.DUMMYFUNCTION("""COMPUTED_VALUE"""),0)</f>
        <v>0</v>
      </c>
      <c r="X42" s="42">
        <f ca="1">IFERROR(__xludf.DUMMYFUNCTION("""COMPUTED_VALUE"""),0)</f>
        <v>0</v>
      </c>
      <c r="Y42" s="42">
        <f ca="1">IFERROR(__xludf.DUMMYFUNCTION("""COMPUTED_VALUE"""),0)</f>
        <v>0</v>
      </c>
      <c r="Z42" s="42">
        <f ca="1">IFERROR(__xludf.DUMMYFUNCTION("""COMPUTED_VALUE"""),0)</f>
        <v>0</v>
      </c>
    </row>
    <row r="43" spans="1:26" ht="12.75">
      <c r="A43" s="33" t="str">
        <f ca="1">IFERROR(__xludf.DUMMYFUNCTION("""COMPUTED_VALUE"""),"Araguaina")</f>
        <v>Araguaina</v>
      </c>
      <c r="B43" s="33" t="str">
        <f ca="1">IFERROR(__xludf.DUMMYFUNCTION("""COMPUTED_VALUE"""),"Araguaina")</f>
        <v>Araguaina</v>
      </c>
      <c r="C43" s="34" t="str">
        <f ca="1">IFERROR(__xludf.DUMMYFUNCTION("""COMPUTED_VALUE"""),"A.A. ESCOLA ESTADUAL VILA NOVA")</f>
        <v>A.A. ESCOLA ESTADUAL VILA NOVA</v>
      </c>
      <c r="D43" s="35" t="str">
        <f ca="1">IFERROR(__xludf.DUMMYFUNCTION("""COMPUTED_VALUE"""),"01071404000139")</f>
        <v>01071404000139</v>
      </c>
      <c r="E43" s="36" t="str">
        <f ca="1">IFERROR(__xludf.DUMMYFUNCTION("""COMPUTED_VALUE"""),"001")</f>
        <v>001</v>
      </c>
      <c r="F43" s="37" t="str">
        <f ca="1">IFERROR(__xludf.DUMMYFUNCTION("""COMPUTED_VALUE"""),"0638")</f>
        <v>0638</v>
      </c>
      <c r="G43" s="37" t="str">
        <f ca="1">IFERROR(__xludf.DUMMYFUNCTION("""COMPUTED_VALUE"""),"0463744")</f>
        <v>0463744</v>
      </c>
      <c r="H43" s="37">
        <f ca="1">IFERROR(__xludf.DUMMYFUNCTION("""COMPUTED_VALUE"""),0)</f>
        <v>0</v>
      </c>
      <c r="I43" s="37">
        <f ca="1">IFERROR(__xludf.DUMMYFUNCTION("""COMPUTED_VALUE"""),0)</f>
        <v>0</v>
      </c>
      <c r="J43" s="37">
        <f ca="1">IFERROR(__xludf.DUMMYFUNCTION("""COMPUTED_VALUE"""),0)</f>
        <v>0</v>
      </c>
      <c r="K43" s="37">
        <f ca="1">IFERROR(__xludf.DUMMYFUNCTION("""COMPUTED_VALUE"""),0)</f>
        <v>0</v>
      </c>
      <c r="L43" s="37">
        <f ca="1">IFERROR(__xludf.DUMMYFUNCTION("""COMPUTED_VALUE"""),0)</f>
        <v>0</v>
      </c>
      <c r="M43" s="37">
        <f ca="1">IFERROR(__xludf.DUMMYFUNCTION("""COMPUTED_VALUE"""),0)</f>
        <v>0</v>
      </c>
      <c r="N43" s="37">
        <f ca="1">IFERROR(__xludf.DUMMYFUNCTION("""COMPUTED_VALUE"""),0)</f>
        <v>0</v>
      </c>
      <c r="O43" s="37">
        <f ca="1">IFERROR(__xludf.DUMMYFUNCTION("""COMPUTED_VALUE"""),0)</f>
        <v>0</v>
      </c>
      <c r="P43" s="37">
        <f ca="1">IFERROR(__xludf.DUMMYFUNCTION("""COMPUTED_VALUE"""),0)</f>
        <v>0</v>
      </c>
      <c r="Q43" s="37">
        <f ca="1">IFERROR(__xludf.DUMMYFUNCTION("""COMPUTED_VALUE"""),0)</f>
        <v>0</v>
      </c>
      <c r="R43" s="37">
        <f ca="1">IFERROR(__xludf.DUMMYFUNCTION("""COMPUTED_VALUE"""),0)</f>
        <v>0</v>
      </c>
      <c r="S43" s="37">
        <f ca="1">IFERROR(__xludf.DUMMYFUNCTION("""COMPUTED_VALUE"""),0)</f>
        <v>0</v>
      </c>
      <c r="T43" s="37">
        <f ca="1">IFERROR(__xludf.DUMMYFUNCTION("""COMPUTED_VALUE"""),2709)</f>
        <v>2709</v>
      </c>
      <c r="U43" s="37">
        <f ca="1">IFERROR(__xludf.DUMMYFUNCTION("""COMPUTED_VALUE"""),0)</f>
        <v>0</v>
      </c>
      <c r="V43" s="37">
        <f ca="1">IFERROR(__xludf.DUMMYFUNCTION("""COMPUTED_VALUE"""),0)</f>
        <v>0</v>
      </c>
      <c r="W43" s="37">
        <f ca="1">IFERROR(__xludf.DUMMYFUNCTION("""COMPUTED_VALUE"""),0)</f>
        <v>0</v>
      </c>
      <c r="X43" s="37">
        <f ca="1">IFERROR(__xludf.DUMMYFUNCTION("""COMPUTED_VALUE"""),0)</f>
        <v>0</v>
      </c>
      <c r="Y43" s="37">
        <f ca="1">IFERROR(__xludf.DUMMYFUNCTION("""COMPUTED_VALUE"""),0)</f>
        <v>0</v>
      </c>
      <c r="Z43" s="37">
        <f ca="1">IFERROR(__xludf.DUMMYFUNCTION("""COMPUTED_VALUE"""),0)</f>
        <v>0</v>
      </c>
    </row>
    <row r="44" spans="1:26" ht="12.75">
      <c r="A44" s="38" t="str">
        <f ca="1">IFERROR(__xludf.DUMMYFUNCTION("""COMPUTED_VALUE"""),"Araguaina")</f>
        <v>Araguaina</v>
      </c>
      <c r="B44" s="38" t="str">
        <f ca="1">IFERROR(__xludf.DUMMYFUNCTION("""COMPUTED_VALUE"""),"Araguaina")</f>
        <v>Araguaina</v>
      </c>
      <c r="C44" s="39" t="str">
        <f ca="1">IFERROR(__xludf.DUMMYFUNCTION("""COMPUTED_VALUE"""),"A.A. ESC. EST.WELDER M.ABREU SALES")</f>
        <v>A.A. ESC. EST.WELDER M.ABREU SALES</v>
      </c>
      <c r="D44" s="40" t="str">
        <f ca="1">IFERROR(__xludf.DUMMYFUNCTION("""COMPUTED_VALUE"""),"01190182000173")</f>
        <v>01190182000173</v>
      </c>
      <c r="E44" s="41" t="str">
        <f ca="1">IFERROR(__xludf.DUMMYFUNCTION("""COMPUTED_VALUE"""),"001")</f>
        <v>001</v>
      </c>
      <c r="F44" s="42" t="str">
        <f ca="1">IFERROR(__xludf.DUMMYFUNCTION("""COMPUTED_VALUE"""),"0638")</f>
        <v>0638</v>
      </c>
      <c r="G44" s="42" t="str">
        <f ca="1">IFERROR(__xludf.DUMMYFUNCTION("""COMPUTED_VALUE"""),"0465054")</f>
        <v>0465054</v>
      </c>
      <c r="H44" s="42">
        <f ca="1">IFERROR(__xludf.DUMMYFUNCTION("""COMPUTED_VALUE"""),0)</f>
        <v>0</v>
      </c>
      <c r="I44" s="42">
        <f ca="1">IFERROR(__xludf.DUMMYFUNCTION("""COMPUTED_VALUE"""),0)</f>
        <v>0</v>
      </c>
      <c r="J44" s="42">
        <f ca="1">IFERROR(__xludf.DUMMYFUNCTION("""COMPUTED_VALUE"""),10941)</f>
        <v>10941</v>
      </c>
      <c r="K44" s="42">
        <f ca="1">IFERROR(__xludf.DUMMYFUNCTION("""COMPUTED_VALUE"""),0)</f>
        <v>0</v>
      </c>
      <c r="L44" s="42">
        <f ca="1">IFERROR(__xludf.DUMMYFUNCTION("""COMPUTED_VALUE"""),0)</f>
        <v>0</v>
      </c>
      <c r="M44" s="42">
        <f ca="1">IFERROR(__xludf.DUMMYFUNCTION("""COMPUTED_VALUE"""),0)</f>
        <v>0</v>
      </c>
      <c r="N44" s="42">
        <f ca="1">IFERROR(__xludf.DUMMYFUNCTION("""COMPUTED_VALUE"""),0)</f>
        <v>0</v>
      </c>
      <c r="O44" s="42">
        <f ca="1">IFERROR(__xludf.DUMMYFUNCTION("""COMPUTED_VALUE"""),0)</f>
        <v>0</v>
      </c>
      <c r="P44" s="42">
        <f ca="1">IFERROR(__xludf.DUMMYFUNCTION("""COMPUTED_VALUE"""),294)</f>
        <v>294</v>
      </c>
      <c r="Q44" s="42">
        <f ca="1">IFERROR(__xludf.DUMMYFUNCTION("""COMPUTED_VALUE"""),0)</f>
        <v>0</v>
      </c>
      <c r="R44" s="42">
        <f ca="1">IFERROR(__xludf.DUMMYFUNCTION("""COMPUTED_VALUE"""),0)</f>
        <v>0</v>
      </c>
      <c r="S44" s="42">
        <f ca="1">IFERROR(__xludf.DUMMYFUNCTION("""COMPUTED_VALUE"""),0)</f>
        <v>0</v>
      </c>
      <c r="T44" s="42">
        <f ca="1">IFERROR(__xludf.DUMMYFUNCTION("""COMPUTED_VALUE"""),0)</f>
        <v>0</v>
      </c>
      <c r="U44" s="42">
        <f ca="1">IFERROR(__xludf.DUMMYFUNCTION("""COMPUTED_VALUE"""),0)</f>
        <v>0</v>
      </c>
      <c r="V44" s="42">
        <f ca="1">IFERROR(__xludf.DUMMYFUNCTION("""COMPUTED_VALUE"""),0)</f>
        <v>0</v>
      </c>
      <c r="W44" s="42">
        <f ca="1">IFERROR(__xludf.DUMMYFUNCTION("""COMPUTED_VALUE"""),0)</f>
        <v>0</v>
      </c>
      <c r="X44" s="42">
        <f ca="1">IFERROR(__xludf.DUMMYFUNCTION("""COMPUTED_VALUE"""),0)</f>
        <v>0</v>
      </c>
      <c r="Y44" s="42">
        <f ca="1">IFERROR(__xludf.DUMMYFUNCTION("""COMPUTED_VALUE"""),0)</f>
        <v>0</v>
      </c>
      <c r="Z44" s="42">
        <f ca="1">IFERROR(__xludf.DUMMYFUNCTION("""COMPUTED_VALUE"""),0)</f>
        <v>0</v>
      </c>
    </row>
    <row r="45" spans="1:26" ht="12.75">
      <c r="A45" s="33" t="str">
        <f ca="1">IFERROR(__xludf.DUMMYFUNCTION("""COMPUTED_VALUE"""),"Araguaina")</f>
        <v>Araguaina</v>
      </c>
      <c r="B45" s="33" t="str">
        <f ca="1">IFERROR(__xludf.DUMMYFUNCTION("""COMPUTED_VALUE"""),"Araguaina")</f>
        <v>Araguaina</v>
      </c>
      <c r="C45" s="34" t="str">
        <f ca="1">IFERROR(__xludf.DUMMYFUNCTION("""COMPUTED_VALUE"""),"A. DE AP. DA E.PAROQUIAL LUIZ AUGUSTO")</f>
        <v>A. DE AP. DA E.PAROQUIAL LUIZ AUGUSTO</v>
      </c>
      <c r="D45" s="35" t="str">
        <f ca="1">IFERROR(__xludf.DUMMYFUNCTION("""COMPUTED_VALUE"""),"01912262000195")</f>
        <v>01912262000195</v>
      </c>
      <c r="E45" s="36" t="str">
        <f ca="1">IFERROR(__xludf.DUMMYFUNCTION("""COMPUTED_VALUE"""),"001")</f>
        <v>001</v>
      </c>
      <c r="F45" s="37" t="str">
        <f ca="1">IFERROR(__xludf.DUMMYFUNCTION("""COMPUTED_VALUE"""),"0638")</f>
        <v>0638</v>
      </c>
      <c r="G45" s="37" t="str">
        <f ca="1">IFERROR(__xludf.DUMMYFUNCTION("""COMPUTED_VALUE"""),"486000")</f>
        <v>486000</v>
      </c>
      <c r="H45" s="37">
        <f ca="1">IFERROR(__xludf.DUMMYFUNCTION("""COMPUTED_VALUE"""),0)</f>
        <v>0</v>
      </c>
      <c r="I45" s="37">
        <f ca="1">IFERROR(__xludf.DUMMYFUNCTION("""COMPUTED_VALUE"""),0)</f>
        <v>0</v>
      </c>
      <c r="J45" s="37">
        <f ca="1">IFERROR(__xludf.DUMMYFUNCTION("""COMPUTED_VALUE"""),34314)</f>
        <v>34314</v>
      </c>
      <c r="K45" s="37">
        <f ca="1">IFERROR(__xludf.DUMMYFUNCTION("""COMPUTED_VALUE"""),0)</f>
        <v>0</v>
      </c>
      <c r="L45" s="37">
        <f ca="1">IFERROR(__xludf.DUMMYFUNCTION("""COMPUTED_VALUE"""),0)</f>
        <v>0</v>
      </c>
      <c r="M45" s="37">
        <f ca="1">IFERROR(__xludf.DUMMYFUNCTION("""COMPUTED_VALUE"""),0)</f>
        <v>0</v>
      </c>
      <c r="N45" s="37">
        <f ca="1">IFERROR(__xludf.DUMMYFUNCTION("""COMPUTED_VALUE"""),0)</f>
        <v>0</v>
      </c>
      <c r="O45" s="37">
        <f ca="1">IFERROR(__xludf.DUMMYFUNCTION("""COMPUTED_VALUE"""),0)</f>
        <v>0</v>
      </c>
      <c r="P45" s="37">
        <f ca="1">IFERROR(__xludf.DUMMYFUNCTION("""COMPUTED_VALUE"""),882)</f>
        <v>882</v>
      </c>
      <c r="Q45" s="37">
        <f ca="1">IFERROR(__xludf.DUMMYFUNCTION("""COMPUTED_VALUE"""),0)</f>
        <v>0</v>
      </c>
      <c r="R45" s="37">
        <f ca="1">IFERROR(__xludf.DUMMYFUNCTION("""COMPUTED_VALUE"""),0)</f>
        <v>0</v>
      </c>
      <c r="S45" s="37">
        <f ca="1">IFERROR(__xludf.DUMMYFUNCTION("""COMPUTED_VALUE"""),0)</f>
        <v>0</v>
      </c>
      <c r="T45" s="37">
        <f ca="1">IFERROR(__xludf.DUMMYFUNCTION("""COMPUTED_VALUE"""),0)</f>
        <v>0</v>
      </c>
      <c r="U45" s="37">
        <f ca="1">IFERROR(__xludf.DUMMYFUNCTION("""COMPUTED_VALUE"""),0)</f>
        <v>0</v>
      </c>
      <c r="V45" s="37">
        <f ca="1">IFERROR(__xludf.DUMMYFUNCTION("""COMPUTED_VALUE"""),0)</f>
        <v>0</v>
      </c>
      <c r="W45" s="37">
        <f ca="1">IFERROR(__xludf.DUMMYFUNCTION("""COMPUTED_VALUE"""),0)</f>
        <v>0</v>
      </c>
      <c r="X45" s="37">
        <f ca="1">IFERROR(__xludf.DUMMYFUNCTION("""COMPUTED_VALUE"""),0)</f>
        <v>0</v>
      </c>
      <c r="Y45" s="37">
        <f ca="1">IFERROR(__xludf.DUMMYFUNCTION("""COMPUTED_VALUE"""),0)</f>
        <v>0</v>
      </c>
      <c r="Z45" s="37">
        <f ca="1">IFERROR(__xludf.DUMMYFUNCTION("""COMPUTED_VALUE"""),0)</f>
        <v>0</v>
      </c>
    </row>
    <row r="46" spans="1:26" ht="12.75">
      <c r="A46" s="38" t="str">
        <f ca="1">IFERROR(__xludf.DUMMYFUNCTION("""COMPUTED_VALUE"""),"Araguaina")</f>
        <v>Araguaina</v>
      </c>
      <c r="B46" s="38" t="str">
        <f ca="1">IFERROR(__xludf.DUMMYFUNCTION("""COMPUTED_VALUE"""),"Araguana")</f>
        <v>Araguana</v>
      </c>
      <c r="C46" s="39" t="str">
        <f ca="1">IFERROR(__xludf.DUMMYFUNCTION("""COMPUTED_VALUE"""),"ASS. APOIO ESC. EST. MACHADO DE ASSIS")</f>
        <v>ASS. APOIO ESC. EST. MACHADO DE ASSIS</v>
      </c>
      <c r="D46" s="40" t="str">
        <f ca="1">IFERROR(__xludf.DUMMYFUNCTION("""COMPUTED_VALUE"""),"01243663000108")</f>
        <v>01243663000108</v>
      </c>
      <c r="E46" s="41" t="str">
        <f ca="1">IFERROR(__xludf.DUMMYFUNCTION("""COMPUTED_VALUE"""),"001")</f>
        <v>001</v>
      </c>
      <c r="F46" s="42" t="str">
        <f ca="1">IFERROR(__xludf.DUMMYFUNCTION("""COMPUTED_VALUE"""),"3773")</f>
        <v>3773</v>
      </c>
      <c r="G46" s="42" t="str">
        <f ca="1">IFERROR(__xludf.DUMMYFUNCTION("""COMPUTED_VALUE"""),"322091")</f>
        <v>322091</v>
      </c>
      <c r="H46" s="42">
        <f ca="1">IFERROR(__xludf.DUMMYFUNCTION("""COMPUTED_VALUE"""),0)</f>
        <v>0</v>
      </c>
      <c r="I46" s="42">
        <f ca="1">IFERROR(__xludf.DUMMYFUNCTION("""COMPUTED_VALUE"""),0)</f>
        <v>0</v>
      </c>
      <c r="J46" s="42">
        <f ca="1">IFERROR(__xludf.DUMMYFUNCTION("""COMPUTED_VALUE"""),4536)</f>
        <v>4536</v>
      </c>
      <c r="K46" s="42">
        <f ca="1">IFERROR(__xludf.DUMMYFUNCTION("""COMPUTED_VALUE"""),0)</f>
        <v>0</v>
      </c>
      <c r="L46" s="42">
        <f ca="1">IFERROR(__xludf.DUMMYFUNCTION("""COMPUTED_VALUE"""),0)</f>
        <v>0</v>
      </c>
      <c r="M46" s="42">
        <f ca="1">IFERROR(__xludf.DUMMYFUNCTION("""COMPUTED_VALUE"""),0)</f>
        <v>0</v>
      </c>
      <c r="N46" s="42">
        <f ca="1">IFERROR(__xludf.DUMMYFUNCTION("""COMPUTED_VALUE"""),0)</f>
        <v>0</v>
      </c>
      <c r="O46" s="42">
        <f ca="1">IFERROR(__xludf.DUMMYFUNCTION("""COMPUTED_VALUE"""),0)</f>
        <v>0</v>
      </c>
      <c r="P46" s="42">
        <f ca="1">IFERROR(__xludf.DUMMYFUNCTION("""COMPUTED_VALUE"""),168)</f>
        <v>168</v>
      </c>
      <c r="Q46" s="42">
        <f ca="1">IFERROR(__xludf.DUMMYFUNCTION("""COMPUTED_VALUE"""),4557)</f>
        <v>4557</v>
      </c>
      <c r="R46" s="42">
        <f ca="1">IFERROR(__xludf.DUMMYFUNCTION("""COMPUTED_VALUE"""),0)</f>
        <v>0</v>
      </c>
      <c r="S46" s="42">
        <f ca="1">IFERROR(__xludf.DUMMYFUNCTION("""COMPUTED_VALUE"""),0)</f>
        <v>0</v>
      </c>
      <c r="T46" s="42">
        <f ca="1">IFERROR(__xludf.DUMMYFUNCTION("""COMPUTED_VALUE"""),0)</f>
        <v>0</v>
      </c>
      <c r="U46" s="42">
        <f ca="1">IFERROR(__xludf.DUMMYFUNCTION("""COMPUTED_VALUE"""),0)</f>
        <v>0</v>
      </c>
      <c r="V46" s="42">
        <f ca="1">IFERROR(__xludf.DUMMYFUNCTION("""COMPUTED_VALUE"""),0)</f>
        <v>0</v>
      </c>
      <c r="W46" s="42">
        <f ca="1">IFERROR(__xludf.DUMMYFUNCTION("""COMPUTED_VALUE"""),0)</f>
        <v>0</v>
      </c>
      <c r="X46" s="42">
        <f ca="1">IFERROR(__xludf.DUMMYFUNCTION("""COMPUTED_VALUE"""),0)</f>
        <v>0</v>
      </c>
      <c r="Y46" s="42">
        <f ca="1">IFERROR(__xludf.DUMMYFUNCTION("""COMPUTED_VALUE"""),0)</f>
        <v>0</v>
      </c>
      <c r="Z46" s="42">
        <f ca="1">IFERROR(__xludf.DUMMYFUNCTION("""COMPUTED_VALUE"""),0)</f>
        <v>0</v>
      </c>
    </row>
    <row r="47" spans="1:26" ht="12.75">
      <c r="A47" s="33" t="str">
        <f ca="1">IFERROR(__xludf.DUMMYFUNCTION("""COMPUTED_VALUE"""),"Araguaina")</f>
        <v>Araguaina</v>
      </c>
      <c r="B47" s="33" t="str">
        <f ca="1">IFERROR(__xludf.DUMMYFUNCTION("""COMPUTED_VALUE"""),"Araguana")</f>
        <v>Araguana</v>
      </c>
      <c r="C47" s="34" t="str">
        <f ca="1">IFERROR(__xludf.DUMMYFUNCTION("""COMPUTED_VALUE"""),"A.A. ESC. EST. SAO PEDRO")</f>
        <v>A.A. ESC. EST. SAO PEDRO</v>
      </c>
      <c r="D47" s="35" t="str">
        <f ca="1">IFERROR(__xludf.DUMMYFUNCTION("""COMPUTED_VALUE"""),"01230353000140")</f>
        <v>01230353000140</v>
      </c>
      <c r="E47" s="36" t="str">
        <f ca="1">IFERROR(__xludf.DUMMYFUNCTION("""COMPUTED_VALUE"""),"001")</f>
        <v>001</v>
      </c>
      <c r="F47" s="37" t="str">
        <f ca="1">IFERROR(__xludf.DUMMYFUNCTION("""COMPUTED_VALUE"""),"0638")</f>
        <v>0638</v>
      </c>
      <c r="G47" s="37" t="str">
        <f ca="1">IFERROR(__xludf.DUMMYFUNCTION("""COMPUTED_VALUE"""),"73903")</f>
        <v>73903</v>
      </c>
      <c r="H47" s="37">
        <f ca="1">IFERROR(__xludf.DUMMYFUNCTION("""COMPUTED_VALUE"""),0)</f>
        <v>0</v>
      </c>
      <c r="I47" s="37">
        <f ca="1">IFERROR(__xludf.DUMMYFUNCTION("""COMPUTED_VALUE"""),0)</f>
        <v>0</v>
      </c>
      <c r="J47" s="37">
        <f ca="1">IFERROR(__xludf.DUMMYFUNCTION("""COMPUTED_VALUE"""),1302)</f>
        <v>1302</v>
      </c>
      <c r="K47" s="37">
        <f ca="1">IFERROR(__xludf.DUMMYFUNCTION("""COMPUTED_VALUE"""),0)</f>
        <v>0</v>
      </c>
      <c r="L47" s="37">
        <f ca="1">IFERROR(__xludf.DUMMYFUNCTION("""COMPUTED_VALUE"""),0)</f>
        <v>0</v>
      </c>
      <c r="M47" s="37">
        <f ca="1">IFERROR(__xludf.DUMMYFUNCTION("""COMPUTED_VALUE"""),0)</f>
        <v>0</v>
      </c>
      <c r="N47" s="37">
        <f ca="1">IFERROR(__xludf.DUMMYFUNCTION("""COMPUTED_VALUE"""),0)</f>
        <v>0</v>
      </c>
      <c r="O47" s="37">
        <f ca="1">IFERROR(__xludf.DUMMYFUNCTION("""COMPUTED_VALUE"""),0)</f>
        <v>0</v>
      </c>
      <c r="P47" s="37">
        <f ca="1">IFERROR(__xludf.DUMMYFUNCTION("""COMPUTED_VALUE"""),0)</f>
        <v>0</v>
      </c>
      <c r="Q47" s="37">
        <f ca="1">IFERROR(__xludf.DUMMYFUNCTION("""COMPUTED_VALUE"""),1071)</f>
        <v>1071</v>
      </c>
      <c r="R47" s="37">
        <f ca="1">IFERROR(__xludf.DUMMYFUNCTION("""COMPUTED_VALUE"""),0)</f>
        <v>0</v>
      </c>
      <c r="S47" s="37">
        <f ca="1">IFERROR(__xludf.DUMMYFUNCTION("""COMPUTED_VALUE"""),0)</f>
        <v>0</v>
      </c>
      <c r="T47" s="37">
        <f ca="1">IFERROR(__xludf.DUMMYFUNCTION("""COMPUTED_VALUE"""),0)</f>
        <v>0</v>
      </c>
      <c r="U47" s="37">
        <f ca="1">IFERROR(__xludf.DUMMYFUNCTION("""COMPUTED_VALUE"""),0)</f>
        <v>0</v>
      </c>
      <c r="V47" s="37">
        <f ca="1">IFERROR(__xludf.DUMMYFUNCTION("""COMPUTED_VALUE"""),0)</f>
        <v>0</v>
      </c>
      <c r="W47" s="37">
        <f ca="1">IFERROR(__xludf.DUMMYFUNCTION("""COMPUTED_VALUE"""),0)</f>
        <v>0</v>
      </c>
      <c r="X47" s="37">
        <f ca="1">IFERROR(__xludf.DUMMYFUNCTION("""COMPUTED_VALUE"""),0)</f>
        <v>0</v>
      </c>
      <c r="Y47" s="37">
        <f ca="1">IFERROR(__xludf.DUMMYFUNCTION("""COMPUTED_VALUE"""),0)</f>
        <v>0</v>
      </c>
      <c r="Z47" s="37">
        <f ca="1">IFERROR(__xludf.DUMMYFUNCTION("""COMPUTED_VALUE"""),0)</f>
        <v>0</v>
      </c>
    </row>
    <row r="48" spans="1:26" ht="12.75">
      <c r="A48" s="38" t="str">
        <f ca="1">IFERROR(__xludf.DUMMYFUNCTION("""COMPUTED_VALUE"""),"Araguaina")</f>
        <v>Araguaina</v>
      </c>
      <c r="B48" s="38" t="str">
        <f ca="1">IFERROR(__xludf.DUMMYFUNCTION("""COMPUTED_VALUE"""),"Babaculandia")</f>
        <v>Babaculandia</v>
      </c>
      <c r="C48" s="39" t="str">
        <f ca="1">IFERROR(__xludf.DUMMYFUNCTION("""COMPUTED_VALUE"""),"A.PAIS E M.C.E.LEOPOLDO DE BULHOES")</f>
        <v>A.PAIS E M.C.E.LEOPOLDO DE BULHOES</v>
      </c>
      <c r="D48" s="40" t="str">
        <f ca="1">IFERROR(__xludf.DUMMYFUNCTION("""COMPUTED_VALUE"""),"01146116000104")</f>
        <v>01146116000104</v>
      </c>
      <c r="E48" s="41" t="str">
        <f ca="1">IFERROR(__xludf.DUMMYFUNCTION("""COMPUTED_VALUE"""),"001")</f>
        <v>001</v>
      </c>
      <c r="F48" s="42" t="str">
        <f ca="1">IFERROR(__xludf.DUMMYFUNCTION("""COMPUTED_VALUE"""),"0638")</f>
        <v>0638</v>
      </c>
      <c r="G48" s="42" t="str">
        <f ca="1">IFERROR(__xludf.DUMMYFUNCTION("""COMPUTED_VALUE"""),"465232")</f>
        <v>465232</v>
      </c>
      <c r="H48" s="42">
        <f ca="1">IFERROR(__xludf.DUMMYFUNCTION("""COMPUTED_VALUE"""),0)</f>
        <v>0</v>
      </c>
      <c r="I48" s="42">
        <f ca="1">IFERROR(__xludf.DUMMYFUNCTION("""COMPUTED_VALUE"""),0)</f>
        <v>0</v>
      </c>
      <c r="J48" s="42">
        <f ca="1">IFERROR(__xludf.DUMMYFUNCTION("""COMPUTED_VALUE"""),5544)</f>
        <v>5544</v>
      </c>
      <c r="K48" s="42">
        <f ca="1">IFERROR(__xludf.DUMMYFUNCTION("""COMPUTED_VALUE"""),0)</f>
        <v>0</v>
      </c>
      <c r="L48" s="42">
        <f ca="1">IFERROR(__xludf.DUMMYFUNCTION("""COMPUTED_VALUE"""),0)</f>
        <v>0</v>
      </c>
      <c r="M48" s="42">
        <f ca="1">IFERROR(__xludf.DUMMYFUNCTION("""COMPUTED_VALUE"""),0)</f>
        <v>0</v>
      </c>
      <c r="N48" s="42">
        <f ca="1">IFERROR(__xludf.DUMMYFUNCTION("""COMPUTED_VALUE"""),0)</f>
        <v>0</v>
      </c>
      <c r="O48" s="42">
        <f ca="1">IFERROR(__xludf.DUMMYFUNCTION("""COMPUTED_VALUE"""),0)</f>
        <v>0</v>
      </c>
      <c r="P48" s="42">
        <f ca="1">IFERROR(__xludf.DUMMYFUNCTION("""COMPUTED_VALUE"""),672)</f>
        <v>672</v>
      </c>
      <c r="Q48" s="42">
        <f ca="1">IFERROR(__xludf.DUMMYFUNCTION("""COMPUTED_VALUE"""),9786)</f>
        <v>9786</v>
      </c>
      <c r="R48" s="42">
        <f ca="1">IFERROR(__xludf.DUMMYFUNCTION("""COMPUTED_VALUE"""),0)</f>
        <v>0</v>
      </c>
      <c r="S48" s="42">
        <f ca="1">IFERROR(__xludf.DUMMYFUNCTION("""COMPUTED_VALUE"""),0)</f>
        <v>0</v>
      </c>
      <c r="T48" s="42">
        <f ca="1">IFERROR(__xludf.DUMMYFUNCTION("""COMPUTED_VALUE"""),0)</f>
        <v>0</v>
      </c>
      <c r="U48" s="42">
        <f ca="1">IFERROR(__xludf.DUMMYFUNCTION("""COMPUTED_VALUE"""),0)</f>
        <v>0</v>
      </c>
      <c r="V48" s="42">
        <f ca="1">IFERROR(__xludf.DUMMYFUNCTION("""COMPUTED_VALUE"""),0)</f>
        <v>0</v>
      </c>
      <c r="W48" s="42">
        <f ca="1">IFERROR(__xludf.DUMMYFUNCTION("""COMPUTED_VALUE"""),0)</f>
        <v>0</v>
      </c>
      <c r="X48" s="42">
        <f ca="1">IFERROR(__xludf.DUMMYFUNCTION("""COMPUTED_VALUE"""),0)</f>
        <v>0</v>
      </c>
      <c r="Y48" s="42">
        <f ca="1">IFERROR(__xludf.DUMMYFUNCTION("""COMPUTED_VALUE"""),0)</f>
        <v>0</v>
      </c>
      <c r="Z48" s="42">
        <f ca="1">IFERROR(__xludf.DUMMYFUNCTION("""COMPUTED_VALUE"""),0)</f>
        <v>0</v>
      </c>
    </row>
    <row r="49" spans="1:26" ht="12.75">
      <c r="A49" s="33" t="str">
        <f ca="1">IFERROR(__xludf.DUMMYFUNCTION("""COMPUTED_VALUE"""),"Araguaina")</f>
        <v>Araguaina</v>
      </c>
      <c r="B49" s="33" t="str">
        <f ca="1">IFERROR(__xludf.DUMMYFUNCTION("""COMPUTED_VALUE"""),"Babaculandia")</f>
        <v>Babaculandia</v>
      </c>
      <c r="C49" s="34" t="str">
        <f ca="1">IFERROR(__xludf.DUMMYFUNCTION("""COMPUTED_VALUE"""),"A.A. ESCOLA ESTADUAL RUI BARBOSA")</f>
        <v>A.A. ESCOLA ESTADUAL RUI BARBOSA</v>
      </c>
      <c r="D49" s="35" t="str">
        <f ca="1">IFERROR(__xludf.DUMMYFUNCTION("""COMPUTED_VALUE"""),"01181184000104")</f>
        <v>01181184000104</v>
      </c>
      <c r="E49" s="36" t="str">
        <f ca="1">IFERROR(__xludf.DUMMYFUNCTION("""COMPUTED_VALUE"""),"001")</f>
        <v>001</v>
      </c>
      <c r="F49" s="37" t="str">
        <f ca="1">IFERROR(__xludf.DUMMYFUNCTION("""COMPUTED_VALUE"""),"0638")</f>
        <v>0638</v>
      </c>
      <c r="G49" s="37" t="str">
        <f ca="1">IFERROR(__xludf.DUMMYFUNCTION("""COMPUTED_VALUE"""),"477117")</f>
        <v>477117</v>
      </c>
      <c r="H49" s="37">
        <f ca="1">IFERROR(__xludf.DUMMYFUNCTION("""COMPUTED_VALUE"""),0)</f>
        <v>0</v>
      </c>
      <c r="I49" s="37">
        <f ca="1">IFERROR(__xludf.DUMMYFUNCTION("""COMPUTED_VALUE"""),0)</f>
        <v>0</v>
      </c>
      <c r="J49" s="37">
        <f ca="1">IFERROR(__xludf.DUMMYFUNCTION("""COMPUTED_VALUE"""),3255)</f>
        <v>3255</v>
      </c>
      <c r="K49" s="37">
        <f ca="1">IFERROR(__xludf.DUMMYFUNCTION("""COMPUTED_VALUE"""),0)</f>
        <v>0</v>
      </c>
      <c r="L49" s="37">
        <f ca="1">IFERROR(__xludf.DUMMYFUNCTION("""COMPUTED_VALUE"""),0)</f>
        <v>0</v>
      </c>
      <c r="M49" s="37">
        <f ca="1">IFERROR(__xludf.DUMMYFUNCTION("""COMPUTED_VALUE"""),0)</f>
        <v>0</v>
      </c>
      <c r="N49" s="37">
        <f ca="1">IFERROR(__xludf.DUMMYFUNCTION("""COMPUTED_VALUE"""),0)</f>
        <v>0</v>
      </c>
      <c r="O49" s="37">
        <f ca="1">IFERROR(__xludf.DUMMYFUNCTION("""COMPUTED_VALUE"""),0)</f>
        <v>0</v>
      </c>
      <c r="P49" s="37">
        <f ca="1">IFERROR(__xludf.DUMMYFUNCTION("""COMPUTED_VALUE"""),399)</f>
        <v>399</v>
      </c>
      <c r="Q49" s="37">
        <f ca="1">IFERROR(__xludf.DUMMYFUNCTION("""COMPUTED_VALUE"""),2163)</f>
        <v>2163</v>
      </c>
      <c r="R49" s="37">
        <f ca="1">IFERROR(__xludf.DUMMYFUNCTION("""COMPUTED_VALUE"""),0)</f>
        <v>0</v>
      </c>
      <c r="S49" s="37">
        <f ca="1">IFERROR(__xludf.DUMMYFUNCTION("""COMPUTED_VALUE"""),0)</f>
        <v>0</v>
      </c>
      <c r="T49" s="37">
        <f ca="1">IFERROR(__xludf.DUMMYFUNCTION("""COMPUTED_VALUE"""),0)</f>
        <v>0</v>
      </c>
      <c r="U49" s="37">
        <f ca="1">IFERROR(__xludf.DUMMYFUNCTION("""COMPUTED_VALUE"""),0)</f>
        <v>0</v>
      </c>
      <c r="V49" s="37">
        <f ca="1">IFERROR(__xludf.DUMMYFUNCTION("""COMPUTED_VALUE"""),0)</f>
        <v>0</v>
      </c>
      <c r="W49" s="37">
        <f ca="1">IFERROR(__xludf.DUMMYFUNCTION("""COMPUTED_VALUE"""),0)</f>
        <v>0</v>
      </c>
      <c r="X49" s="37">
        <f ca="1">IFERROR(__xludf.DUMMYFUNCTION("""COMPUTED_VALUE"""),0)</f>
        <v>0</v>
      </c>
      <c r="Y49" s="37">
        <f ca="1">IFERROR(__xludf.DUMMYFUNCTION("""COMPUTED_VALUE"""),0)</f>
        <v>0</v>
      </c>
      <c r="Z49" s="37">
        <f ca="1">IFERROR(__xludf.DUMMYFUNCTION("""COMPUTED_VALUE"""),0)</f>
        <v>0</v>
      </c>
    </row>
    <row r="50" spans="1:26" ht="12.75">
      <c r="A50" s="38" t="str">
        <f ca="1">IFERROR(__xludf.DUMMYFUNCTION("""COMPUTED_VALUE"""),"Araguaina")</f>
        <v>Araguaina</v>
      </c>
      <c r="B50" s="38" t="str">
        <f ca="1">IFERROR(__xludf.DUMMYFUNCTION("""COMPUTED_VALUE"""),"Barra do Ouro")</f>
        <v>Barra do Ouro</v>
      </c>
      <c r="C50" s="39" t="str">
        <f ca="1">IFERROR(__xludf.DUMMYFUNCTION("""COMPUTED_VALUE"""),"A.A. A ESCOLA ESTADUAL BREJAO")</f>
        <v>A.A. A ESCOLA ESTADUAL BREJAO</v>
      </c>
      <c r="D50" s="40" t="str">
        <f ca="1">IFERROR(__xludf.DUMMYFUNCTION("""COMPUTED_VALUE"""),"02392799000134")</f>
        <v>02392799000134</v>
      </c>
      <c r="E50" s="41" t="str">
        <f ca="1">IFERROR(__xludf.DUMMYFUNCTION("""COMPUTED_VALUE"""),"001")</f>
        <v>001</v>
      </c>
      <c r="F50" s="42" t="str">
        <f ca="1">IFERROR(__xludf.DUMMYFUNCTION("""COMPUTED_VALUE"""),"0638")</f>
        <v>0638</v>
      </c>
      <c r="G50" s="42" t="str">
        <f ca="1">IFERROR(__xludf.DUMMYFUNCTION("""COMPUTED_VALUE"""),"83615")</f>
        <v>83615</v>
      </c>
      <c r="H50" s="42">
        <f ca="1">IFERROR(__xludf.DUMMYFUNCTION("""COMPUTED_VALUE"""),0)</f>
        <v>0</v>
      </c>
      <c r="I50" s="42">
        <f ca="1">IFERROR(__xludf.DUMMYFUNCTION("""COMPUTED_VALUE"""),0)</f>
        <v>0</v>
      </c>
      <c r="J50" s="42">
        <f ca="1">IFERROR(__xludf.DUMMYFUNCTION("""COMPUTED_VALUE"""),2709)</f>
        <v>2709</v>
      </c>
      <c r="K50" s="42">
        <f ca="1">IFERROR(__xludf.DUMMYFUNCTION("""COMPUTED_VALUE"""),0)</f>
        <v>0</v>
      </c>
      <c r="L50" s="42">
        <f ca="1">IFERROR(__xludf.DUMMYFUNCTION("""COMPUTED_VALUE"""),0)</f>
        <v>0</v>
      </c>
      <c r="M50" s="42">
        <f ca="1">IFERROR(__xludf.DUMMYFUNCTION("""COMPUTED_VALUE"""),0)</f>
        <v>0</v>
      </c>
      <c r="N50" s="42">
        <f ca="1">IFERROR(__xludf.DUMMYFUNCTION("""COMPUTED_VALUE"""),0)</f>
        <v>0</v>
      </c>
      <c r="O50" s="42">
        <f ca="1">IFERROR(__xludf.DUMMYFUNCTION("""COMPUTED_VALUE"""),0)</f>
        <v>0</v>
      </c>
      <c r="P50" s="42">
        <f ca="1">IFERROR(__xludf.DUMMYFUNCTION("""COMPUTED_VALUE"""),210)</f>
        <v>210</v>
      </c>
      <c r="Q50" s="42">
        <f ca="1">IFERROR(__xludf.DUMMYFUNCTION("""COMPUTED_VALUE"""),1512)</f>
        <v>1512</v>
      </c>
      <c r="R50" s="42">
        <f ca="1">IFERROR(__xludf.DUMMYFUNCTION("""COMPUTED_VALUE"""),0)</f>
        <v>0</v>
      </c>
      <c r="S50" s="42">
        <f ca="1">IFERROR(__xludf.DUMMYFUNCTION("""COMPUTED_VALUE"""),0)</f>
        <v>0</v>
      </c>
      <c r="T50" s="42">
        <f ca="1">IFERROR(__xludf.DUMMYFUNCTION("""COMPUTED_VALUE"""),0)</f>
        <v>0</v>
      </c>
      <c r="U50" s="42">
        <f ca="1">IFERROR(__xludf.DUMMYFUNCTION("""COMPUTED_VALUE"""),0)</f>
        <v>0</v>
      </c>
      <c r="V50" s="42">
        <f ca="1">IFERROR(__xludf.DUMMYFUNCTION("""COMPUTED_VALUE"""),0)</f>
        <v>0</v>
      </c>
      <c r="W50" s="42">
        <f ca="1">IFERROR(__xludf.DUMMYFUNCTION("""COMPUTED_VALUE"""),0)</f>
        <v>0</v>
      </c>
      <c r="X50" s="42">
        <f ca="1">IFERROR(__xludf.DUMMYFUNCTION("""COMPUTED_VALUE"""),0)</f>
        <v>0</v>
      </c>
      <c r="Y50" s="42">
        <f ca="1">IFERROR(__xludf.DUMMYFUNCTION("""COMPUTED_VALUE"""),0)</f>
        <v>0</v>
      </c>
      <c r="Z50" s="42">
        <f ca="1">IFERROR(__xludf.DUMMYFUNCTION("""COMPUTED_VALUE"""),0)</f>
        <v>0</v>
      </c>
    </row>
    <row r="51" spans="1:26" ht="12.75">
      <c r="A51" s="33" t="str">
        <f ca="1">IFERROR(__xludf.DUMMYFUNCTION("""COMPUTED_VALUE"""),"Araguaina")</f>
        <v>Araguaina</v>
      </c>
      <c r="B51" s="33" t="str">
        <f ca="1">IFERROR(__xludf.DUMMYFUNCTION("""COMPUTED_VALUE"""),"Barra do Ouro")</f>
        <v>Barra do Ouro</v>
      </c>
      <c r="C51" s="34" t="str">
        <f ca="1">IFERROR(__xludf.DUMMYFUNCTION("""COMPUTED_VALUE"""),"A.COM. ESC. EST. BARRA DO OURO/PROF. VICENTE JOSÉ VIEIRA")</f>
        <v>A.COM. ESC. EST. BARRA DO OURO/PROF. VICENTE JOSÉ VIEIRA</v>
      </c>
      <c r="D51" s="35" t="str">
        <f ca="1">IFERROR(__xludf.DUMMYFUNCTION("""COMPUTED_VALUE"""),"01341481000161")</f>
        <v>01341481000161</v>
      </c>
      <c r="E51" s="36" t="str">
        <f ca="1">IFERROR(__xludf.DUMMYFUNCTION("""COMPUTED_VALUE"""),"001")</f>
        <v>001</v>
      </c>
      <c r="F51" s="37" t="str">
        <f ca="1">IFERROR(__xludf.DUMMYFUNCTION("""COMPUTED_VALUE"""),"0638")</f>
        <v>0638</v>
      </c>
      <c r="G51" s="37" t="str">
        <f ca="1">IFERROR(__xludf.DUMMYFUNCTION("""COMPUTED_VALUE"""),"0069973")</f>
        <v>0069973</v>
      </c>
      <c r="H51" s="37">
        <f ca="1">IFERROR(__xludf.DUMMYFUNCTION("""COMPUTED_VALUE"""),0)</f>
        <v>0</v>
      </c>
      <c r="I51" s="37">
        <f ca="1">IFERROR(__xludf.DUMMYFUNCTION("""COMPUTED_VALUE"""),0)</f>
        <v>0</v>
      </c>
      <c r="J51" s="37">
        <f ca="1">IFERROR(__xludf.DUMMYFUNCTION("""COMPUTED_VALUE"""),5355)</f>
        <v>5355</v>
      </c>
      <c r="K51" s="37">
        <f ca="1">IFERROR(__xludf.DUMMYFUNCTION("""COMPUTED_VALUE"""),0)</f>
        <v>0</v>
      </c>
      <c r="L51" s="37">
        <f ca="1">IFERROR(__xludf.DUMMYFUNCTION("""COMPUTED_VALUE"""),0)</f>
        <v>0</v>
      </c>
      <c r="M51" s="37">
        <f ca="1">IFERROR(__xludf.DUMMYFUNCTION("""COMPUTED_VALUE"""),0)</f>
        <v>0</v>
      </c>
      <c r="N51" s="37">
        <f ca="1">IFERROR(__xludf.DUMMYFUNCTION("""COMPUTED_VALUE"""),0)</f>
        <v>0</v>
      </c>
      <c r="O51" s="37">
        <f ca="1">IFERROR(__xludf.DUMMYFUNCTION("""COMPUTED_VALUE"""),0)</f>
        <v>0</v>
      </c>
      <c r="P51" s="37">
        <f ca="1">IFERROR(__xludf.DUMMYFUNCTION("""COMPUTED_VALUE"""),0)</f>
        <v>0</v>
      </c>
      <c r="Q51" s="37">
        <f ca="1">IFERROR(__xludf.DUMMYFUNCTION("""COMPUTED_VALUE"""),2667)</f>
        <v>2667</v>
      </c>
      <c r="R51" s="37">
        <f ca="1">IFERROR(__xludf.DUMMYFUNCTION("""COMPUTED_VALUE"""),0)</f>
        <v>0</v>
      </c>
      <c r="S51" s="37">
        <f ca="1">IFERROR(__xludf.DUMMYFUNCTION("""COMPUTED_VALUE"""),0)</f>
        <v>0</v>
      </c>
      <c r="T51" s="37">
        <f ca="1">IFERROR(__xludf.DUMMYFUNCTION("""COMPUTED_VALUE"""),0)</f>
        <v>0</v>
      </c>
      <c r="U51" s="37">
        <f ca="1">IFERROR(__xludf.DUMMYFUNCTION("""COMPUTED_VALUE"""),0)</f>
        <v>0</v>
      </c>
      <c r="V51" s="37">
        <f ca="1">IFERROR(__xludf.DUMMYFUNCTION("""COMPUTED_VALUE"""),0)</f>
        <v>0</v>
      </c>
      <c r="W51" s="37">
        <f ca="1">IFERROR(__xludf.DUMMYFUNCTION("""COMPUTED_VALUE"""),0)</f>
        <v>0</v>
      </c>
      <c r="X51" s="37">
        <f ca="1">IFERROR(__xludf.DUMMYFUNCTION("""COMPUTED_VALUE"""),0)</f>
        <v>0</v>
      </c>
      <c r="Y51" s="37">
        <f ca="1">IFERROR(__xludf.DUMMYFUNCTION("""COMPUTED_VALUE"""),0)</f>
        <v>0</v>
      </c>
      <c r="Z51" s="37">
        <f ca="1">IFERROR(__xludf.DUMMYFUNCTION("""COMPUTED_VALUE"""),0)</f>
        <v>0</v>
      </c>
    </row>
    <row r="52" spans="1:26" ht="12.75">
      <c r="A52" s="38" t="str">
        <f ca="1">IFERROR(__xludf.DUMMYFUNCTION("""COMPUTED_VALUE"""),"Araguaina")</f>
        <v>Araguaina</v>
      </c>
      <c r="B52" s="38" t="str">
        <f ca="1">IFERROR(__xludf.DUMMYFUNCTION("""COMPUTED_VALUE"""),"Campos Lindos")</f>
        <v>Campos Lindos</v>
      </c>
      <c r="C52" s="39" t="str">
        <f ca="1">IFERROR(__xludf.DUMMYFUNCTION("""COMPUTED_VALUE"""),"A.A. DA ESC. EST. MANOEL ALVES GRANDE")</f>
        <v>A.A. DA ESC. EST. MANOEL ALVES GRANDE</v>
      </c>
      <c r="D52" s="40" t="str">
        <f ca="1">IFERROR(__xludf.DUMMYFUNCTION("""COMPUTED_VALUE"""),"02199744000102")</f>
        <v>02199744000102</v>
      </c>
      <c r="E52" s="41" t="str">
        <f ca="1">IFERROR(__xludf.DUMMYFUNCTION("""COMPUTED_VALUE"""),"001")</f>
        <v>001</v>
      </c>
      <c r="F52" s="42" t="str">
        <f ca="1">IFERROR(__xludf.DUMMYFUNCTION("""COMPUTED_VALUE"""),"2064")</f>
        <v>2064</v>
      </c>
      <c r="G52" s="42" t="str">
        <f ca="1">IFERROR(__xludf.DUMMYFUNCTION("""COMPUTED_VALUE"""),"0130117")</f>
        <v>0130117</v>
      </c>
      <c r="H52" s="42">
        <f ca="1">IFERROR(__xludf.DUMMYFUNCTION("""COMPUTED_VALUE"""),0)</f>
        <v>0</v>
      </c>
      <c r="I52" s="42">
        <f ca="1">IFERROR(__xludf.DUMMYFUNCTION("""COMPUTED_VALUE"""),0)</f>
        <v>0</v>
      </c>
      <c r="J52" s="42">
        <f ca="1">IFERROR(__xludf.DUMMYFUNCTION("""COMPUTED_VALUE"""),3591)</f>
        <v>3591</v>
      </c>
      <c r="K52" s="42">
        <f ca="1">IFERROR(__xludf.DUMMYFUNCTION("""COMPUTED_VALUE"""),0)</f>
        <v>0</v>
      </c>
      <c r="L52" s="42">
        <f ca="1">IFERROR(__xludf.DUMMYFUNCTION("""COMPUTED_VALUE"""),0)</f>
        <v>0</v>
      </c>
      <c r="M52" s="42">
        <f ca="1">IFERROR(__xludf.DUMMYFUNCTION("""COMPUTED_VALUE"""),0)</f>
        <v>0</v>
      </c>
      <c r="N52" s="42">
        <f ca="1">IFERROR(__xludf.DUMMYFUNCTION("""COMPUTED_VALUE"""),0)</f>
        <v>0</v>
      </c>
      <c r="O52" s="42">
        <f ca="1">IFERROR(__xludf.DUMMYFUNCTION("""COMPUTED_VALUE"""),0)</f>
        <v>0</v>
      </c>
      <c r="P52" s="42">
        <f ca="1">IFERROR(__xludf.DUMMYFUNCTION("""COMPUTED_VALUE"""),0)</f>
        <v>0</v>
      </c>
      <c r="Q52" s="42">
        <f ca="1">IFERROR(__xludf.DUMMYFUNCTION("""COMPUTED_VALUE"""),9660)</f>
        <v>9660</v>
      </c>
      <c r="R52" s="42">
        <f ca="1">IFERROR(__xludf.DUMMYFUNCTION("""COMPUTED_VALUE"""),0)</f>
        <v>0</v>
      </c>
      <c r="S52" s="42">
        <f ca="1">IFERROR(__xludf.DUMMYFUNCTION("""COMPUTED_VALUE"""),0)</f>
        <v>0</v>
      </c>
      <c r="T52" s="42">
        <f ca="1">IFERROR(__xludf.DUMMYFUNCTION("""COMPUTED_VALUE"""),252)</f>
        <v>252</v>
      </c>
      <c r="U52" s="42">
        <f ca="1">IFERROR(__xludf.DUMMYFUNCTION("""COMPUTED_VALUE"""),0)</f>
        <v>0</v>
      </c>
      <c r="V52" s="42">
        <f ca="1">IFERROR(__xludf.DUMMYFUNCTION("""COMPUTED_VALUE"""),0)</f>
        <v>0</v>
      </c>
      <c r="W52" s="42">
        <f ca="1">IFERROR(__xludf.DUMMYFUNCTION("""COMPUTED_VALUE"""),0)</f>
        <v>0</v>
      </c>
      <c r="X52" s="42">
        <f ca="1">IFERROR(__xludf.DUMMYFUNCTION("""COMPUTED_VALUE"""),0)</f>
        <v>0</v>
      </c>
      <c r="Y52" s="42">
        <f ca="1">IFERROR(__xludf.DUMMYFUNCTION("""COMPUTED_VALUE"""),0)</f>
        <v>0</v>
      </c>
      <c r="Z52" s="42">
        <f ca="1">IFERROR(__xludf.DUMMYFUNCTION("""COMPUTED_VALUE"""),0)</f>
        <v>0</v>
      </c>
    </row>
    <row r="53" spans="1:26" ht="12.75">
      <c r="A53" s="33" t="str">
        <f ca="1">IFERROR(__xludf.DUMMYFUNCTION("""COMPUTED_VALUE"""),"Araguaina")</f>
        <v>Araguaina</v>
      </c>
      <c r="B53" s="33" t="str">
        <f ca="1">IFERROR(__xludf.DUMMYFUNCTION("""COMPUTED_VALUE"""),"Carmolandia")</f>
        <v>Carmolandia</v>
      </c>
      <c r="C53" s="34" t="str">
        <f ca="1">IFERROR(__xludf.DUMMYFUNCTION("""COMPUTED_VALUE"""),"A.A. E. EST. BARTOLOMEU BUENO DA SILVA")</f>
        <v>A.A. E. EST. BARTOLOMEU BUENO DA SILVA</v>
      </c>
      <c r="D53" s="35" t="str">
        <f ca="1">IFERROR(__xludf.DUMMYFUNCTION("""COMPUTED_VALUE"""),"01181172000171")</f>
        <v>01181172000171</v>
      </c>
      <c r="E53" s="36" t="str">
        <f ca="1">IFERROR(__xludf.DUMMYFUNCTION("""COMPUTED_VALUE"""),"001")</f>
        <v>001</v>
      </c>
      <c r="F53" s="37" t="str">
        <f ca="1">IFERROR(__xludf.DUMMYFUNCTION("""COMPUTED_VALUE"""),"0638")</f>
        <v>0638</v>
      </c>
      <c r="G53" s="37" t="str">
        <f ca="1">IFERROR(__xludf.DUMMYFUNCTION("""COMPUTED_VALUE"""),"0465038")</f>
        <v>0465038</v>
      </c>
      <c r="H53" s="37">
        <f ca="1">IFERROR(__xludf.DUMMYFUNCTION("""COMPUTED_VALUE"""),0)</f>
        <v>0</v>
      </c>
      <c r="I53" s="37">
        <f ca="1">IFERROR(__xludf.DUMMYFUNCTION("""COMPUTED_VALUE"""),0)</f>
        <v>0</v>
      </c>
      <c r="J53" s="37">
        <f ca="1">IFERROR(__xludf.DUMMYFUNCTION("""COMPUTED_VALUE"""),609)</f>
        <v>609</v>
      </c>
      <c r="K53" s="37">
        <f ca="1">IFERROR(__xludf.DUMMYFUNCTION("""COMPUTED_VALUE"""),0)</f>
        <v>0</v>
      </c>
      <c r="L53" s="37">
        <f ca="1">IFERROR(__xludf.DUMMYFUNCTION("""COMPUTED_VALUE"""),0)</f>
        <v>0</v>
      </c>
      <c r="M53" s="37">
        <f ca="1">IFERROR(__xludf.DUMMYFUNCTION("""COMPUTED_VALUE"""),0)</f>
        <v>0</v>
      </c>
      <c r="N53" s="37">
        <f ca="1">IFERROR(__xludf.DUMMYFUNCTION("""COMPUTED_VALUE"""),0)</f>
        <v>0</v>
      </c>
      <c r="O53" s="37">
        <f ca="1">IFERROR(__xludf.DUMMYFUNCTION("""COMPUTED_VALUE"""),0)</f>
        <v>0</v>
      </c>
      <c r="P53" s="37">
        <f ca="1">IFERROR(__xludf.DUMMYFUNCTION("""COMPUTED_VALUE"""),0)</f>
        <v>0</v>
      </c>
      <c r="Q53" s="37">
        <f ca="1">IFERROR(__xludf.DUMMYFUNCTION("""COMPUTED_VALUE"""),1827)</f>
        <v>1827</v>
      </c>
      <c r="R53" s="37">
        <f ca="1">IFERROR(__xludf.DUMMYFUNCTION("""COMPUTED_VALUE"""),0)</f>
        <v>0</v>
      </c>
      <c r="S53" s="37">
        <f ca="1">IFERROR(__xludf.DUMMYFUNCTION("""COMPUTED_VALUE"""),0)</f>
        <v>0</v>
      </c>
      <c r="T53" s="37">
        <f ca="1">IFERROR(__xludf.DUMMYFUNCTION("""COMPUTED_VALUE"""),168)</f>
        <v>168</v>
      </c>
      <c r="U53" s="37">
        <f ca="1">IFERROR(__xludf.DUMMYFUNCTION("""COMPUTED_VALUE"""),0)</f>
        <v>0</v>
      </c>
      <c r="V53" s="37">
        <f ca="1">IFERROR(__xludf.DUMMYFUNCTION("""COMPUTED_VALUE"""),0)</f>
        <v>0</v>
      </c>
      <c r="W53" s="37">
        <f ca="1">IFERROR(__xludf.DUMMYFUNCTION("""COMPUTED_VALUE"""),0)</f>
        <v>0</v>
      </c>
      <c r="X53" s="37">
        <f ca="1">IFERROR(__xludf.DUMMYFUNCTION("""COMPUTED_VALUE"""),0)</f>
        <v>0</v>
      </c>
      <c r="Y53" s="37">
        <f ca="1">IFERROR(__xludf.DUMMYFUNCTION("""COMPUTED_VALUE"""),0)</f>
        <v>0</v>
      </c>
      <c r="Z53" s="37">
        <f ca="1">IFERROR(__xludf.DUMMYFUNCTION("""COMPUTED_VALUE"""),0)</f>
        <v>0</v>
      </c>
    </row>
    <row r="54" spans="1:26" ht="12.75">
      <c r="A54" s="38" t="str">
        <f ca="1">IFERROR(__xludf.DUMMYFUNCTION("""COMPUTED_VALUE"""),"Araguaina")</f>
        <v>Araguaina</v>
      </c>
      <c r="B54" s="38" t="str">
        <f ca="1">IFERROR(__xludf.DUMMYFUNCTION("""COMPUTED_VALUE"""),"Filadelfia")</f>
        <v>Filadelfia</v>
      </c>
      <c r="C54" s="39" t="str">
        <f ca="1">IFERROR(__xludf.DUMMYFUNCTION("""COMPUTED_VALUE"""),"A.A. DO COL.MUNICIPAL DE FILADELFIA")</f>
        <v>A.A. DO COL.MUNICIPAL DE FILADELFIA</v>
      </c>
      <c r="D54" s="40" t="str">
        <f ca="1">IFERROR(__xludf.DUMMYFUNCTION("""COMPUTED_VALUE"""),"02189621000190")</f>
        <v>02189621000190</v>
      </c>
      <c r="E54" s="41" t="str">
        <f ca="1">IFERROR(__xludf.DUMMYFUNCTION("""COMPUTED_VALUE"""),"001")</f>
        <v>001</v>
      </c>
      <c r="F54" s="42" t="str">
        <f ca="1">IFERROR(__xludf.DUMMYFUNCTION("""COMPUTED_VALUE"""),"2064")</f>
        <v>2064</v>
      </c>
      <c r="G54" s="42" t="str">
        <f ca="1">IFERROR(__xludf.DUMMYFUNCTION("""COMPUTED_VALUE"""),"54127")</f>
        <v>54127</v>
      </c>
      <c r="H54" s="42">
        <f ca="1">IFERROR(__xludf.DUMMYFUNCTION("""COMPUTED_VALUE"""),0)</f>
        <v>0</v>
      </c>
      <c r="I54" s="42">
        <f ca="1">IFERROR(__xludf.DUMMYFUNCTION("""COMPUTED_VALUE"""),0)</f>
        <v>0</v>
      </c>
      <c r="J54" s="42">
        <f ca="1">IFERROR(__xludf.DUMMYFUNCTION("""COMPUTED_VALUE"""),0)</f>
        <v>0</v>
      </c>
      <c r="K54" s="42">
        <f ca="1">IFERROR(__xludf.DUMMYFUNCTION("""COMPUTED_VALUE"""),0)</f>
        <v>0</v>
      </c>
      <c r="L54" s="42">
        <f ca="1">IFERROR(__xludf.DUMMYFUNCTION("""COMPUTED_VALUE"""),0)</f>
        <v>0</v>
      </c>
      <c r="M54" s="42">
        <f ca="1">IFERROR(__xludf.DUMMYFUNCTION("""COMPUTED_VALUE"""),0)</f>
        <v>0</v>
      </c>
      <c r="N54" s="42">
        <f ca="1">IFERROR(__xludf.DUMMYFUNCTION("""COMPUTED_VALUE"""),0)</f>
        <v>0</v>
      </c>
      <c r="O54" s="42">
        <f ca="1">IFERROR(__xludf.DUMMYFUNCTION("""COMPUTED_VALUE"""),0)</f>
        <v>0</v>
      </c>
      <c r="P54" s="42">
        <f ca="1">IFERROR(__xludf.DUMMYFUNCTION("""COMPUTED_VALUE"""),420)</f>
        <v>420</v>
      </c>
      <c r="Q54" s="42">
        <f ca="1">IFERROR(__xludf.DUMMYFUNCTION("""COMPUTED_VALUE"""),4494)</f>
        <v>4494</v>
      </c>
      <c r="R54" s="42">
        <f ca="1">IFERROR(__xludf.DUMMYFUNCTION("""COMPUTED_VALUE"""),0)</f>
        <v>0</v>
      </c>
      <c r="S54" s="42">
        <f ca="1">IFERROR(__xludf.DUMMYFUNCTION("""COMPUTED_VALUE"""),0)</f>
        <v>0</v>
      </c>
      <c r="T54" s="42">
        <f ca="1">IFERROR(__xludf.DUMMYFUNCTION("""COMPUTED_VALUE"""),0)</f>
        <v>0</v>
      </c>
      <c r="U54" s="42">
        <f ca="1">IFERROR(__xludf.DUMMYFUNCTION("""COMPUTED_VALUE"""),0)</f>
        <v>0</v>
      </c>
      <c r="V54" s="42">
        <f ca="1">IFERROR(__xludf.DUMMYFUNCTION("""COMPUTED_VALUE"""),0)</f>
        <v>0</v>
      </c>
      <c r="W54" s="42">
        <f ca="1">IFERROR(__xludf.DUMMYFUNCTION("""COMPUTED_VALUE"""),0)</f>
        <v>0</v>
      </c>
      <c r="X54" s="42">
        <f ca="1">IFERROR(__xludf.DUMMYFUNCTION("""COMPUTED_VALUE"""),0)</f>
        <v>0</v>
      </c>
      <c r="Y54" s="42">
        <f ca="1">IFERROR(__xludf.DUMMYFUNCTION("""COMPUTED_VALUE"""),0)</f>
        <v>0</v>
      </c>
      <c r="Z54" s="42">
        <f ca="1">IFERROR(__xludf.DUMMYFUNCTION("""COMPUTED_VALUE"""),0)</f>
        <v>0</v>
      </c>
    </row>
    <row r="55" spans="1:26" ht="12.75">
      <c r="A55" s="33" t="str">
        <f ca="1">IFERROR(__xludf.DUMMYFUNCTION("""COMPUTED_VALUE"""),"Araguaina")</f>
        <v>Araguaina</v>
      </c>
      <c r="B55" s="33" t="str">
        <f ca="1">IFERROR(__xludf.DUMMYFUNCTION("""COMPUTED_VALUE"""),"Filadelfia")</f>
        <v>Filadelfia</v>
      </c>
      <c r="C55" s="34" t="str">
        <f ca="1">IFERROR(__xludf.DUMMYFUNCTION("""COMPUTED_VALUE"""),"A.P. E M. ESC. EST. ADEUVALDO O.MORAES")</f>
        <v>A.P. E M. ESC. EST. ADEUVALDO O.MORAES</v>
      </c>
      <c r="D55" s="35" t="str">
        <f ca="1">IFERROR(__xludf.DUMMYFUNCTION("""COMPUTED_VALUE"""),"01912087000136")</f>
        <v>01912087000136</v>
      </c>
      <c r="E55" s="36" t="str">
        <f ca="1">IFERROR(__xludf.DUMMYFUNCTION("""COMPUTED_VALUE"""),"001")</f>
        <v>001</v>
      </c>
      <c r="F55" s="37" t="str">
        <f ca="1">IFERROR(__xludf.DUMMYFUNCTION("""COMPUTED_VALUE"""),"2064")</f>
        <v>2064</v>
      </c>
      <c r="G55" s="37" t="str">
        <f ca="1">IFERROR(__xludf.DUMMYFUNCTION("""COMPUTED_VALUE"""),"127434")</f>
        <v>127434</v>
      </c>
      <c r="H55" s="37">
        <f ca="1">IFERROR(__xludf.DUMMYFUNCTION("""COMPUTED_VALUE"""),0)</f>
        <v>0</v>
      </c>
      <c r="I55" s="37">
        <f ca="1">IFERROR(__xludf.DUMMYFUNCTION("""COMPUTED_VALUE"""),0)</f>
        <v>0</v>
      </c>
      <c r="J55" s="37">
        <f ca="1">IFERROR(__xludf.DUMMYFUNCTION("""COMPUTED_VALUE"""),5880)</f>
        <v>5880</v>
      </c>
      <c r="K55" s="37">
        <f ca="1">IFERROR(__xludf.DUMMYFUNCTION("""COMPUTED_VALUE"""),0)</f>
        <v>0</v>
      </c>
      <c r="L55" s="37">
        <f ca="1">IFERROR(__xludf.DUMMYFUNCTION("""COMPUTED_VALUE"""),0)</f>
        <v>0</v>
      </c>
      <c r="M55" s="37">
        <f ca="1">IFERROR(__xludf.DUMMYFUNCTION("""COMPUTED_VALUE"""),0)</f>
        <v>0</v>
      </c>
      <c r="N55" s="37">
        <f ca="1">IFERROR(__xludf.DUMMYFUNCTION("""COMPUTED_VALUE"""),0)</f>
        <v>0</v>
      </c>
      <c r="O55" s="37">
        <f ca="1">IFERROR(__xludf.DUMMYFUNCTION("""COMPUTED_VALUE"""),0)</f>
        <v>0</v>
      </c>
      <c r="P55" s="37">
        <f ca="1">IFERROR(__xludf.DUMMYFUNCTION("""COMPUTED_VALUE"""),672)</f>
        <v>672</v>
      </c>
      <c r="Q55" s="37">
        <f ca="1">IFERROR(__xludf.DUMMYFUNCTION("""COMPUTED_VALUE"""),0)</f>
        <v>0</v>
      </c>
      <c r="R55" s="37">
        <f ca="1">IFERROR(__xludf.DUMMYFUNCTION("""COMPUTED_VALUE"""),0)</f>
        <v>0</v>
      </c>
      <c r="S55" s="37">
        <f ca="1">IFERROR(__xludf.DUMMYFUNCTION("""COMPUTED_VALUE"""),0)</f>
        <v>0</v>
      </c>
      <c r="T55" s="37">
        <f ca="1">IFERROR(__xludf.DUMMYFUNCTION("""COMPUTED_VALUE"""),0)</f>
        <v>0</v>
      </c>
      <c r="U55" s="37">
        <f ca="1">IFERROR(__xludf.DUMMYFUNCTION("""COMPUTED_VALUE"""),0)</f>
        <v>0</v>
      </c>
      <c r="V55" s="37">
        <f ca="1">IFERROR(__xludf.DUMMYFUNCTION("""COMPUTED_VALUE"""),0)</f>
        <v>0</v>
      </c>
      <c r="W55" s="37">
        <f ca="1">IFERROR(__xludf.DUMMYFUNCTION("""COMPUTED_VALUE"""),0)</f>
        <v>0</v>
      </c>
      <c r="X55" s="37">
        <f ca="1">IFERROR(__xludf.DUMMYFUNCTION("""COMPUTED_VALUE"""),0)</f>
        <v>0</v>
      </c>
      <c r="Y55" s="37">
        <f ca="1">IFERROR(__xludf.DUMMYFUNCTION("""COMPUTED_VALUE"""),0)</f>
        <v>0</v>
      </c>
      <c r="Z55" s="37">
        <f ca="1">IFERROR(__xludf.DUMMYFUNCTION("""COMPUTED_VALUE"""),0)</f>
        <v>0</v>
      </c>
    </row>
    <row r="56" spans="1:26" ht="12.75">
      <c r="A56" s="38" t="str">
        <f ca="1">IFERROR(__xludf.DUMMYFUNCTION("""COMPUTED_VALUE"""),"Araguaina")</f>
        <v>Araguaina</v>
      </c>
      <c r="B56" s="38" t="str">
        <f ca="1">IFERROR(__xludf.DUMMYFUNCTION("""COMPUTED_VALUE"""),"Filadelfia")</f>
        <v>Filadelfia</v>
      </c>
      <c r="C56" s="39" t="str">
        <f ca="1">IFERROR(__xludf.DUMMYFUNCTION("""COMPUTED_VALUE"""),"A.A. ESC EST PROFESSOR JOSÉ FRANCISCO DOS MONTES")</f>
        <v>A.A. ESC EST PROFESSOR JOSÉ FRANCISCO DOS MONTES</v>
      </c>
      <c r="D56" s="40" t="str">
        <f ca="1">IFERROR(__xludf.DUMMYFUNCTION("""COMPUTED_VALUE"""),"27853677000129")</f>
        <v>27853677000129</v>
      </c>
      <c r="E56" s="41" t="str">
        <f ca="1">IFERROR(__xludf.DUMMYFUNCTION("""COMPUTED_VALUE"""),"001")</f>
        <v>001</v>
      </c>
      <c r="F56" s="42" t="str">
        <f ca="1">IFERROR(__xludf.DUMMYFUNCTION("""COMPUTED_VALUE"""),"2064")</f>
        <v>2064</v>
      </c>
      <c r="G56" s="42" t="str">
        <f ca="1">IFERROR(__xludf.DUMMYFUNCTION("""COMPUTED_VALUE"""),"198315")</f>
        <v>198315</v>
      </c>
      <c r="H56" s="42">
        <f ca="1">IFERROR(__xludf.DUMMYFUNCTION("""COMPUTED_VALUE"""),0)</f>
        <v>0</v>
      </c>
      <c r="I56" s="42">
        <f ca="1">IFERROR(__xludf.DUMMYFUNCTION("""COMPUTED_VALUE"""),0)</f>
        <v>0</v>
      </c>
      <c r="J56" s="42">
        <f ca="1">IFERROR(__xludf.DUMMYFUNCTION("""COMPUTED_VALUE"""),1113)</f>
        <v>1113</v>
      </c>
      <c r="K56" s="42">
        <f ca="1">IFERROR(__xludf.DUMMYFUNCTION("""COMPUTED_VALUE"""),0)</f>
        <v>0</v>
      </c>
      <c r="L56" s="42">
        <f ca="1">IFERROR(__xludf.DUMMYFUNCTION("""COMPUTED_VALUE"""),0)</f>
        <v>0</v>
      </c>
      <c r="M56" s="42">
        <f ca="1">IFERROR(__xludf.DUMMYFUNCTION("""COMPUTED_VALUE"""),0)</f>
        <v>0</v>
      </c>
      <c r="N56" s="42">
        <f ca="1">IFERROR(__xludf.DUMMYFUNCTION("""COMPUTED_VALUE"""),0)</f>
        <v>0</v>
      </c>
      <c r="O56" s="42">
        <f ca="1">IFERROR(__xludf.DUMMYFUNCTION("""COMPUTED_VALUE"""),0)</f>
        <v>0</v>
      </c>
      <c r="P56" s="42">
        <f ca="1">IFERROR(__xludf.DUMMYFUNCTION("""COMPUTED_VALUE"""),0)</f>
        <v>0</v>
      </c>
      <c r="Q56" s="42">
        <f ca="1">IFERROR(__xludf.DUMMYFUNCTION("""COMPUTED_VALUE"""),2037)</f>
        <v>2037</v>
      </c>
      <c r="R56" s="42">
        <f ca="1">IFERROR(__xludf.DUMMYFUNCTION("""COMPUTED_VALUE"""),0)</f>
        <v>0</v>
      </c>
      <c r="S56" s="42">
        <f ca="1">IFERROR(__xludf.DUMMYFUNCTION("""COMPUTED_VALUE"""),0)</f>
        <v>0</v>
      </c>
      <c r="T56" s="42">
        <f ca="1">IFERROR(__xludf.DUMMYFUNCTION("""COMPUTED_VALUE"""),462)</f>
        <v>462</v>
      </c>
      <c r="U56" s="42">
        <f ca="1">IFERROR(__xludf.DUMMYFUNCTION("""COMPUTED_VALUE"""),0)</f>
        <v>0</v>
      </c>
      <c r="V56" s="42">
        <f ca="1">IFERROR(__xludf.DUMMYFUNCTION("""COMPUTED_VALUE"""),0)</f>
        <v>0</v>
      </c>
      <c r="W56" s="42">
        <f ca="1">IFERROR(__xludf.DUMMYFUNCTION("""COMPUTED_VALUE"""),0)</f>
        <v>0</v>
      </c>
      <c r="X56" s="42">
        <f ca="1">IFERROR(__xludf.DUMMYFUNCTION("""COMPUTED_VALUE"""),0)</f>
        <v>0</v>
      </c>
      <c r="Y56" s="42">
        <f ca="1">IFERROR(__xludf.DUMMYFUNCTION("""COMPUTED_VALUE"""),0)</f>
        <v>0</v>
      </c>
      <c r="Z56" s="42">
        <f ca="1">IFERROR(__xludf.DUMMYFUNCTION("""COMPUTED_VALUE"""),0)</f>
        <v>0</v>
      </c>
    </row>
    <row r="57" spans="1:26" ht="12.75">
      <c r="A57" s="33" t="str">
        <f ca="1">IFERROR(__xludf.DUMMYFUNCTION("""COMPUTED_VALUE"""),"Araguaina")</f>
        <v>Araguaina</v>
      </c>
      <c r="B57" s="33" t="str">
        <f ca="1">IFERROR(__xludf.DUMMYFUNCTION("""COMPUTED_VALUE"""),"Goiatins")</f>
        <v>Goiatins</v>
      </c>
      <c r="C57" s="34" t="str">
        <f ca="1">IFERROR(__xludf.DUMMYFUNCTION("""COMPUTED_VALUE"""),"ASS. COM.COL. EST. ADA ASSIS TEIXEIRA")</f>
        <v>ASS. COM.COL. EST. ADA ASSIS TEIXEIRA</v>
      </c>
      <c r="D57" s="35" t="str">
        <f ca="1">IFERROR(__xludf.DUMMYFUNCTION("""COMPUTED_VALUE"""),"01440731000110")</f>
        <v>01440731000110</v>
      </c>
      <c r="E57" s="36" t="str">
        <f ca="1">IFERROR(__xludf.DUMMYFUNCTION("""COMPUTED_VALUE"""),"001")</f>
        <v>001</v>
      </c>
      <c r="F57" s="37" t="str">
        <f ca="1">IFERROR(__xludf.DUMMYFUNCTION("""COMPUTED_VALUE"""),"2064")</f>
        <v>2064</v>
      </c>
      <c r="G57" s="37" t="str">
        <f ca="1">IFERROR(__xludf.DUMMYFUNCTION("""COMPUTED_VALUE"""),"0013323")</f>
        <v>0013323</v>
      </c>
      <c r="H57" s="37">
        <f ca="1">IFERROR(__xludf.DUMMYFUNCTION("""COMPUTED_VALUE"""),0)</f>
        <v>0</v>
      </c>
      <c r="I57" s="37">
        <f ca="1">IFERROR(__xludf.DUMMYFUNCTION("""COMPUTED_VALUE"""),0)</f>
        <v>0</v>
      </c>
      <c r="J57" s="37">
        <f ca="1">IFERROR(__xludf.DUMMYFUNCTION("""COMPUTED_VALUE"""),4431)</f>
        <v>4431</v>
      </c>
      <c r="K57" s="37">
        <f ca="1">IFERROR(__xludf.DUMMYFUNCTION("""COMPUTED_VALUE"""),0)</f>
        <v>0</v>
      </c>
      <c r="L57" s="37">
        <f ca="1">IFERROR(__xludf.DUMMYFUNCTION("""COMPUTED_VALUE"""),0)</f>
        <v>0</v>
      </c>
      <c r="M57" s="37">
        <f ca="1">IFERROR(__xludf.DUMMYFUNCTION("""COMPUTED_VALUE"""),0)</f>
        <v>0</v>
      </c>
      <c r="N57" s="37">
        <f ca="1">IFERROR(__xludf.DUMMYFUNCTION("""COMPUTED_VALUE"""),0)</f>
        <v>0</v>
      </c>
      <c r="O57" s="37">
        <f ca="1">IFERROR(__xludf.DUMMYFUNCTION("""COMPUTED_VALUE"""),0)</f>
        <v>0</v>
      </c>
      <c r="P57" s="37">
        <f ca="1">IFERROR(__xludf.DUMMYFUNCTION("""COMPUTED_VALUE"""),294)</f>
        <v>294</v>
      </c>
      <c r="Q57" s="37">
        <f ca="1">IFERROR(__xludf.DUMMYFUNCTION("""COMPUTED_VALUE"""),9723)</f>
        <v>9723</v>
      </c>
      <c r="R57" s="37">
        <f ca="1">IFERROR(__xludf.DUMMYFUNCTION("""COMPUTED_VALUE"""),0)</f>
        <v>0</v>
      </c>
      <c r="S57" s="37">
        <f ca="1">IFERROR(__xludf.DUMMYFUNCTION("""COMPUTED_VALUE"""),0)</f>
        <v>0</v>
      </c>
      <c r="T57" s="37">
        <f ca="1">IFERROR(__xludf.DUMMYFUNCTION("""COMPUTED_VALUE"""),0)</f>
        <v>0</v>
      </c>
      <c r="U57" s="37">
        <f ca="1">IFERROR(__xludf.DUMMYFUNCTION("""COMPUTED_VALUE"""),0)</f>
        <v>0</v>
      </c>
      <c r="V57" s="37">
        <f ca="1">IFERROR(__xludf.DUMMYFUNCTION("""COMPUTED_VALUE"""),0)</f>
        <v>0</v>
      </c>
      <c r="W57" s="37">
        <f ca="1">IFERROR(__xludf.DUMMYFUNCTION("""COMPUTED_VALUE"""),0)</f>
        <v>0</v>
      </c>
      <c r="X57" s="37">
        <f ca="1">IFERROR(__xludf.DUMMYFUNCTION("""COMPUTED_VALUE"""),0)</f>
        <v>0</v>
      </c>
      <c r="Y57" s="37">
        <f ca="1">IFERROR(__xludf.DUMMYFUNCTION("""COMPUTED_VALUE"""),0)</f>
        <v>0</v>
      </c>
      <c r="Z57" s="37">
        <f ca="1">IFERROR(__xludf.DUMMYFUNCTION("""COMPUTED_VALUE"""),0)</f>
        <v>0</v>
      </c>
    </row>
    <row r="58" spans="1:26" ht="12.75">
      <c r="A58" s="38" t="str">
        <f ca="1">IFERROR(__xludf.DUMMYFUNCTION("""COMPUTED_VALUE"""),"Araguaina")</f>
        <v>Araguaina</v>
      </c>
      <c r="B58" s="38" t="str">
        <f ca="1">IFERROR(__xludf.DUMMYFUNCTION("""COMPUTED_VALUE"""),"Muricilandia")</f>
        <v>Muricilandia</v>
      </c>
      <c r="C58" s="39" t="str">
        <f ca="1">IFERROR(__xludf.DUMMYFUNCTION("""COMPUTED_VALUE"""),"A.A. DA ESC. EST. MAL. COSTA E SILVA")</f>
        <v>A.A. DA ESC. EST. MAL. COSTA E SILVA</v>
      </c>
      <c r="D58" s="40" t="str">
        <f ca="1">IFERROR(__xludf.DUMMYFUNCTION("""COMPUTED_VALUE"""),"02032269000185")</f>
        <v>02032269000185</v>
      </c>
      <c r="E58" s="41" t="str">
        <f ca="1">IFERROR(__xludf.DUMMYFUNCTION("""COMPUTED_VALUE"""),"001")</f>
        <v>001</v>
      </c>
      <c r="F58" s="42" t="str">
        <f ca="1">IFERROR(__xludf.DUMMYFUNCTION("""COMPUTED_VALUE"""),"0638")</f>
        <v>0638</v>
      </c>
      <c r="G58" s="42" t="str">
        <f ca="1">IFERROR(__xludf.DUMMYFUNCTION("""COMPUTED_VALUE"""),"83550")</f>
        <v>83550</v>
      </c>
      <c r="H58" s="42">
        <f ca="1">IFERROR(__xludf.DUMMYFUNCTION("""COMPUTED_VALUE"""),0)</f>
        <v>0</v>
      </c>
      <c r="I58" s="42">
        <f ca="1">IFERROR(__xludf.DUMMYFUNCTION("""COMPUTED_VALUE"""),0)</f>
        <v>0</v>
      </c>
      <c r="J58" s="42">
        <f ca="1">IFERROR(__xludf.DUMMYFUNCTION("""COMPUTED_VALUE"""),0)</f>
        <v>0</v>
      </c>
      <c r="K58" s="42">
        <f ca="1">IFERROR(__xludf.DUMMYFUNCTION("""COMPUTED_VALUE"""),0)</f>
        <v>0</v>
      </c>
      <c r="L58" s="42">
        <f ca="1">IFERROR(__xludf.DUMMYFUNCTION("""COMPUTED_VALUE"""),5040)</f>
        <v>5040</v>
      </c>
      <c r="M58" s="42">
        <f ca="1">IFERROR(__xludf.DUMMYFUNCTION("""COMPUTED_VALUE"""),0)</f>
        <v>0</v>
      </c>
      <c r="N58" s="42">
        <f ca="1">IFERROR(__xludf.DUMMYFUNCTION("""COMPUTED_VALUE"""),0)</f>
        <v>0</v>
      </c>
      <c r="O58" s="42">
        <f ca="1">IFERROR(__xludf.DUMMYFUNCTION("""COMPUTED_VALUE"""),0)</f>
        <v>0</v>
      </c>
      <c r="P58" s="42">
        <f ca="1">IFERROR(__xludf.DUMMYFUNCTION("""COMPUTED_VALUE"""),0)</f>
        <v>0</v>
      </c>
      <c r="Q58" s="42">
        <f ca="1">IFERROR(__xludf.DUMMYFUNCTION("""COMPUTED_VALUE"""),0)</f>
        <v>0</v>
      </c>
      <c r="R58" s="42">
        <f ca="1">IFERROR(__xludf.DUMMYFUNCTION("""COMPUTED_VALUE"""),0)</f>
        <v>0</v>
      </c>
      <c r="S58" s="42">
        <f ca="1">IFERROR(__xludf.DUMMYFUNCTION("""COMPUTED_VALUE"""),0)</f>
        <v>0</v>
      </c>
      <c r="T58" s="42">
        <f ca="1">IFERROR(__xludf.DUMMYFUNCTION("""COMPUTED_VALUE"""),0)</f>
        <v>0</v>
      </c>
      <c r="U58" s="42">
        <f ca="1">IFERROR(__xludf.DUMMYFUNCTION("""COMPUTED_VALUE"""),0)</f>
        <v>0</v>
      </c>
      <c r="V58" s="42">
        <f ca="1">IFERROR(__xludf.DUMMYFUNCTION("""COMPUTED_VALUE"""),0)</f>
        <v>0</v>
      </c>
      <c r="W58" s="42">
        <f ca="1">IFERROR(__xludf.DUMMYFUNCTION("""COMPUTED_VALUE"""),0)</f>
        <v>0</v>
      </c>
      <c r="X58" s="42">
        <f ca="1">IFERROR(__xludf.DUMMYFUNCTION("""COMPUTED_VALUE"""),0)</f>
        <v>0</v>
      </c>
      <c r="Y58" s="42">
        <f ca="1">IFERROR(__xludf.DUMMYFUNCTION("""COMPUTED_VALUE"""),0)</f>
        <v>0</v>
      </c>
      <c r="Z58" s="42">
        <f ca="1">IFERROR(__xludf.DUMMYFUNCTION("""COMPUTED_VALUE"""),0)</f>
        <v>0</v>
      </c>
    </row>
    <row r="59" spans="1:26" ht="12.75">
      <c r="A59" s="33" t="str">
        <f ca="1">IFERROR(__xludf.DUMMYFUNCTION("""COMPUTED_VALUE"""),"Araguaina")</f>
        <v>Araguaina</v>
      </c>
      <c r="B59" s="33" t="str">
        <f ca="1">IFERROR(__xludf.DUMMYFUNCTION("""COMPUTED_VALUE"""),"Muricilandia")</f>
        <v>Muricilandia</v>
      </c>
      <c r="C59" s="34" t="str">
        <f ca="1">IFERROR(__xludf.DUMMYFUNCTION("""COMPUTED_VALUE"""),"A.COM. DE AP. COL. EST. DE MURICILANDIA")</f>
        <v>A.COM. DE AP. COL. EST. DE MURICILANDIA</v>
      </c>
      <c r="D59" s="35" t="str">
        <f ca="1">IFERROR(__xludf.DUMMYFUNCTION("""COMPUTED_VALUE"""),"01911084000188")</f>
        <v>01911084000188</v>
      </c>
      <c r="E59" s="36" t="str">
        <f ca="1">IFERROR(__xludf.DUMMYFUNCTION("""COMPUTED_VALUE"""),"001")</f>
        <v>001</v>
      </c>
      <c r="F59" s="37" t="str">
        <f ca="1">IFERROR(__xludf.DUMMYFUNCTION("""COMPUTED_VALUE"""),"0638")</f>
        <v>0638</v>
      </c>
      <c r="G59" s="37" t="str">
        <f ca="1">IFERROR(__xludf.DUMMYFUNCTION("""COMPUTED_VALUE"""),"8350X")</f>
        <v>8350X</v>
      </c>
      <c r="H59" s="37">
        <f ca="1">IFERROR(__xludf.DUMMYFUNCTION("""COMPUTED_VALUE"""),0)</f>
        <v>0</v>
      </c>
      <c r="I59" s="37">
        <f ca="1">IFERROR(__xludf.DUMMYFUNCTION("""COMPUTED_VALUE"""),0)</f>
        <v>0</v>
      </c>
      <c r="J59" s="37">
        <f ca="1">IFERROR(__xludf.DUMMYFUNCTION("""COMPUTED_VALUE"""),0)</f>
        <v>0</v>
      </c>
      <c r="K59" s="37">
        <f ca="1">IFERROR(__xludf.DUMMYFUNCTION("""COMPUTED_VALUE"""),0)</f>
        <v>0</v>
      </c>
      <c r="L59" s="37">
        <f ca="1">IFERROR(__xludf.DUMMYFUNCTION("""COMPUTED_VALUE"""),2310)</f>
        <v>2310</v>
      </c>
      <c r="M59" s="37">
        <f ca="1">IFERROR(__xludf.DUMMYFUNCTION("""COMPUTED_VALUE"""),0)</f>
        <v>0</v>
      </c>
      <c r="N59" s="37">
        <f ca="1">IFERROR(__xludf.DUMMYFUNCTION("""COMPUTED_VALUE"""),0)</f>
        <v>0</v>
      </c>
      <c r="O59" s="37">
        <f ca="1">IFERROR(__xludf.DUMMYFUNCTION("""COMPUTED_VALUE"""),0)</f>
        <v>0</v>
      </c>
      <c r="P59" s="37">
        <f ca="1">IFERROR(__xludf.DUMMYFUNCTION("""COMPUTED_VALUE"""),294)</f>
        <v>294</v>
      </c>
      <c r="Q59" s="37">
        <f ca="1">IFERROR(__xludf.DUMMYFUNCTION("""COMPUTED_VALUE"""),0)</f>
        <v>0</v>
      </c>
      <c r="R59" s="37">
        <f ca="1">IFERROR(__xludf.DUMMYFUNCTION("""COMPUTED_VALUE"""),0)</f>
        <v>0</v>
      </c>
      <c r="S59" s="37">
        <f ca="1">IFERROR(__xludf.DUMMYFUNCTION("""COMPUTED_VALUE"""),0)</f>
        <v>0</v>
      </c>
      <c r="T59" s="37">
        <f ca="1">IFERROR(__xludf.DUMMYFUNCTION("""COMPUTED_VALUE"""),0)</f>
        <v>0</v>
      </c>
      <c r="U59" s="37">
        <f ca="1">IFERROR(__xludf.DUMMYFUNCTION("""COMPUTED_VALUE"""),0)</f>
        <v>0</v>
      </c>
      <c r="V59" s="37">
        <f ca="1">IFERROR(__xludf.DUMMYFUNCTION("""COMPUTED_VALUE"""),0)</f>
        <v>0</v>
      </c>
      <c r="W59" s="37">
        <f ca="1">IFERROR(__xludf.DUMMYFUNCTION("""COMPUTED_VALUE"""),0)</f>
        <v>0</v>
      </c>
      <c r="X59" s="37">
        <f ca="1">IFERROR(__xludf.DUMMYFUNCTION("""COMPUTED_VALUE"""),0)</f>
        <v>0</v>
      </c>
      <c r="Y59" s="37">
        <f ca="1">IFERROR(__xludf.DUMMYFUNCTION("""COMPUTED_VALUE"""),0)</f>
        <v>0</v>
      </c>
      <c r="Z59" s="37">
        <f ca="1">IFERROR(__xludf.DUMMYFUNCTION("""COMPUTED_VALUE"""),0)</f>
        <v>0</v>
      </c>
    </row>
    <row r="60" spans="1:26" ht="12.75">
      <c r="A60" s="38" t="str">
        <f ca="1">IFERROR(__xludf.DUMMYFUNCTION("""COMPUTED_VALUE"""),"Araguaina")</f>
        <v>Araguaina</v>
      </c>
      <c r="B60" s="38" t="str">
        <f ca="1">IFERROR(__xludf.DUMMYFUNCTION("""COMPUTED_VALUE"""),"Nova Olinda")</f>
        <v>Nova Olinda</v>
      </c>
      <c r="C60" s="39" t="str">
        <f ca="1">IFERROR(__xludf.DUMMYFUNCTION("""COMPUTED_VALUE"""),"A.A. ESC. COL. E. HELIO DE SOUZA BUENO")</f>
        <v>A.A. ESC. COL. E. HELIO DE SOUZA BUENO</v>
      </c>
      <c r="D60" s="40" t="str">
        <f ca="1">IFERROR(__xludf.DUMMYFUNCTION("""COMPUTED_VALUE"""),"01186466000196")</f>
        <v>01186466000196</v>
      </c>
      <c r="E60" s="41" t="str">
        <f ca="1">IFERROR(__xludf.DUMMYFUNCTION("""COMPUTED_VALUE"""),"001")</f>
        <v>001</v>
      </c>
      <c r="F60" s="42" t="str">
        <f ca="1">IFERROR(__xludf.DUMMYFUNCTION("""COMPUTED_VALUE"""),"0638")</f>
        <v>0638</v>
      </c>
      <c r="G60" s="42" t="str">
        <f ca="1">IFERROR(__xludf.DUMMYFUNCTION("""COMPUTED_VALUE"""),"0462985")</f>
        <v>0462985</v>
      </c>
      <c r="H60" s="42">
        <f ca="1">IFERROR(__xludf.DUMMYFUNCTION("""COMPUTED_VALUE"""),0)</f>
        <v>0</v>
      </c>
      <c r="I60" s="42">
        <f ca="1">IFERROR(__xludf.DUMMYFUNCTION("""COMPUTED_VALUE"""),0)</f>
        <v>0</v>
      </c>
      <c r="J60" s="42">
        <f ca="1">IFERROR(__xludf.DUMMYFUNCTION("""COMPUTED_VALUE"""),13062)</f>
        <v>13062</v>
      </c>
      <c r="K60" s="42">
        <f ca="1">IFERROR(__xludf.DUMMYFUNCTION("""COMPUTED_VALUE"""),0)</f>
        <v>0</v>
      </c>
      <c r="L60" s="42">
        <f ca="1">IFERROR(__xludf.DUMMYFUNCTION("""COMPUTED_VALUE"""),0)</f>
        <v>0</v>
      </c>
      <c r="M60" s="42">
        <f ca="1">IFERROR(__xludf.DUMMYFUNCTION("""COMPUTED_VALUE"""),0)</f>
        <v>0</v>
      </c>
      <c r="N60" s="42">
        <f ca="1">IFERROR(__xludf.DUMMYFUNCTION("""COMPUTED_VALUE"""),0)</f>
        <v>0</v>
      </c>
      <c r="O60" s="42">
        <f ca="1">IFERROR(__xludf.DUMMYFUNCTION("""COMPUTED_VALUE"""),0)</f>
        <v>0</v>
      </c>
      <c r="P60" s="42">
        <f ca="1">IFERROR(__xludf.DUMMYFUNCTION("""COMPUTED_VALUE"""),924)</f>
        <v>924</v>
      </c>
      <c r="Q60" s="42">
        <f ca="1">IFERROR(__xludf.DUMMYFUNCTION("""COMPUTED_VALUE"""),15708)</f>
        <v>15708</v>
      </c>
      <c r="R60" s="42">
        <f ca="1">IFERROR(__xludf.DUMMYFUNCTION("""COMPUTED_VALUE"""),0)</f>
        <v>0</v>
      </c>
      <c r="S60" s="42">
        <f ca="1">IFERROR(__xludf.DUMMYFUNCTION("""COMPUTED_VALUE"""),0)</f>
        <v>0</v>
      </c>
      <c r="T60" s="42">
        <f ca="1">IFERROR(__xludf.DUMMYFUNCTION("""COMPUTED_VALUE"""),2184)</f>
        <v>2184</v>
      </c>
      <c r="U60" s="42">
        <f ca="1">IFERROR(__xludf.DUMMYFUNCTION("""COMPUTED_VALUE"""),0)</f>
        <v>0</v>
      </c>
      <c r="V60" s="42">
        <f ca="1">IFERROR(__xludf.DUMMYFUNCTION("""COMPUTED_VALUE"""),0)</f>
        <v>0</v>
      </c>
      <c r="W60" s="42">
        <f ca="1">IFERROR(__xludf.DUMMYFUNCTION("""COMPUTED_VALUE"""),0)</f>
        <v>0</v>
      </c>
      <c r="X60" s="42">
        <f ca="1">IFERROR(__xludf.DUMMYFUNCTION("""COMPUTED_VALUE"""),0)</f>
        <v>0</v>
      </c>
      <c r="Y60" s="42">
        <f ca="1">IFERROR(__xludf.DUMMYFUNCTION("""COMPUTED_VALUE"""),0)</f>
        <v>0</v>
      </c>
      <c r="Z60" s="42">
        <f ca="1">IFERROR(__xludf.DUMMYFUNCTION("""COMPUTED_VALUE"""),0)</f>
        <v>0</v>
      </c>
    </row>
    <row r="61" spans="1:26" ht="12.75">
      <c r="A61" s="33" t="str">
        <f ca="1">IFERROR(__xludf.DUMMYFUNCTION("""COMPUTED_VALUE"""),"Araguaina")</f>
        <v>Araguaina</v>
      </c>
      <c r="B61" s="33" t="str">
        <f ca="1">IFERROR(__xludf.DUMMYFUNCTION("""COMPUTED_VALUE"""),"Nova Olinda")</f>
        <v>Nova Olinda</v>
      </c>
      <c r="C61" s="34" t="str">
        <f ca="1">IFERROR(__xludf.DUMMYFUNCTION("""COMPUTED_VALUE"""),"ASSOCIAÇÃO DE APOIO A ESCOLA ESPECIAL RENASCER")</f>
        <v>ASSOCIAÇÃO DE APOIO A ESCOLA ESPECIAL RENASCER</v>
      </c>
      <c r="D61" s="35" t="str">
        <f ca="1">IFERROR(__xludf.DUMMYFUNCTION("""COMPUTED_VALUE"""),"07951646000101")</f>
        <v>07951646000101</v>
      </c>
      <c r="E61" s="36" t="str">
        <f ca="1">IFERROR(__xludf.DUMMYFUNCTION("""COMPUTED_VALUE"""),"001")</f>
        <v>001</v>
      </c>
      <c r="F61" s="37" t="str">
        <f ca="1">IFERROR(__xludf.DUMMYFUNCTION("""COMPUTED_VALUE"""),"0638")</f>
        <v>0638</v>
      </c>
      <c r="G61" s="37" t="str">
        <f ca="1">IFERROR(__xludf.DUMMYFUNCTION("""COMPUTED_VALUE"""),"541028")</f>
        <v>541028</v>
      </c>
      <c r="H61" s="37">
        <f ca="1">IFERROR(__xludf.DUMMYFUNCTION("""COMPUTED_VALUE"""),0)</f>
        <v>0</v>
      </c>
      <c r="I61" s="37">
        <f ca="1">IFERROR(__xludf.DUMMYFUNCTION("""COMPUTED_VALUE"""),0)</f>
        <v>0</v>
      </c>
      <c r="J61" s="37">
        <f ca="1">IFERROR(__xludf.DUMMYFUNCTION("""COMPUTED_VALUE"""),210)</f>
        <v>210</v>
      </c>
      <c r="K61" s="37">
        <f ca="1">IFERROR(__xludf.DUMMYFUNCTION("""COMPUTED_VALUE"""),0)</f>
        <v>0</v>
      </c>
      <c r="L61" s="37">
        <f ca="1">IFERROR(__xludf.DUMMYFUNCTION("""COMPUTED_VALUE"""),0)</f>
        <v>0</v>
      </c>
      <c r="M61" s="37">
        <f ca="1">IFERROR(__xludf.DUMMYFUNCTION("""COMPUTED_VALUE"""),0)</f>
        <v>0</v>
      </c>
      <c r="N61" s="37">
        <f ca="1">IFERROR(__xludf.DUMMYFUNCTION("""COMPUTED_VALUE"""),0)</f>
        <v>0</v>
      </c>
      <c r="O61" s="37">
        <f ca="1">IFERROR(__xludf.DUMMYFUNCTION("""COMPUTED_VALUE"""),0)</f>
        <v>0</v>
      </c>
      <c r="P61" s="37">
        <f ca="1">IFERROR(__xludf.DUMMYFUNCTION("""COMPUTED_VALUE"""),210)</f>
        <v>210</v>
      </c>
      <c r="Q61" s="37">
        <f ca="1">IFERROR(__xludf.DUMMYFUNCTION("""COMPUTED_VALUE"""),0)</f>
        <v>0</v>
      </c>
      <c r="R61" s="37">
        <f ca="1">IFERROR(__xludf.DUMMYFUNCTION("""COMPUTED_VALUE"""),0)</f>
        <v>0</v>
      </c>
      <c r="S61" s="37">
        <f ca="1">IFERROR(__xludf.DUMMYFUNCTION("""COMPUTED_VALUE"""),0)</f>
        <v>0</v>
      </c>
      <c r="T61" s="37">
        <f ca="1">IFERROR(__xludf.DUMMYFUNCTION("""COMPUTED_VALUE"""),1008)</f>
        <v>1008</v>
      </c>
      <c r="U61" s="37">
        <f ca="1">IFERROR(__xludf.DUMMYFUNCTION("""COMPUTED_VALUE"""),0)</f>
        <v>0</v>
      </c>
      <c r="V61" s="37">
        <f ca="1">IFERROR(__xludf.DUMMYFUNCTION("""COMPUTED_VALUE"""),0)</f>
        <v>0</v>
      </c>
      <c r="W61" s="37">
        <f ca="1">IFERROR(__xludf.DUMMYFUNCTION("""COMPUTED_VALUE"""),0)</f>
        <v>0</v>
      </c>
      <c r="X61" s="37">
        <f ca="1">IFERROR(__xludf.DUMMYFUNCTION("""COMPUTED_VALUE"""),0)</f>
        <v>0</v>
      </c>
      <c r="Y61" s="37">
        <f ca="1">IFERROR(__xludf.DUMMYFUNCTION("""COMPUTED_VALUE"""),0)</f>
        <v>0</v>
      </c>
      <c r="Z61" s="37">
        <f ca="1">IFERROR(__xludf.DUMMYFUNCTION("""COMPUTED_VALUE"""),0)</f>
        <v>0</v>
      </c>
    </row>
    <row r="62" spans="1:26" ht="12.75">
      <c r="A62" s="38" t="str">
        <f ca="1">IFERROR(__xludf.DUMMYFUNCTION("""COMPUTED_VALUE"""),"Araguaina")</f>
        <v>Araguaina</v>
      </c>
      <c r="B62" s="38" t="str">
        <f ca="1">IFERROR(__xludf.DUMMYFUNCTION("""COMPUTED_VALUE"""),"Nova Olinda")</f>
        <v>Nova Olinda</v>
      </c>
      <c r="C62" s="39" t="str">
        <f ca="1">IFERROR(__xludf.DUMMYFUNCTION("""COMPUTED_VALUE"""),"A.A. E. E. PROFA. HAMEDY CURY QUEIROZ")</f>
        <v>A.A. E. E. PROFA. HAMEDY CURY QUEIROZ</v>
      </c>
      <c r="D62" s="40" t="str">
        <f ca="1">IFERROR(__xludf.DUMMYFUNCTION("""COMPUTED_VALUE"""),"01431375000179")</f>
        <v>01431375000179</v>
      </c>
      <c r="E62" s="41" t="str">
        <f ca="1">IFERROR(__xludf.DUMMYFUNCTION("""COMPUTED_VALUE"""),"001")</f>
        <v>001</v>
      </c>
      <c r="F62" s="42" t="str">
        <f ca="1">IFERROR(__xludf.DUMMYFUNCTION("""COMPUTED_VALUE"""),"0638")</f>
        <v>0638</v>
      </c>
      <c r="G62" s="42" t="str">
        <f ca="1">IFERROR(__xludf.DUMMYFUNCTION("""COMPUTED_VALUE"""),"0468010")</f>
        <v>0468010</v>
      </c>
      <c r="H62" s="42">
        <f ca="1">IFERROR(__xludf.DUMMYFUNCTION("""COMPUTED_VALUE"""),0)</f>
        <v>0</v>
      </c>
      <c r="I62" s="42">
        <f ca="1">IFERROR(__xludf.DUMMYFUNCTION("""COMPUTED_VALUE"""),0)</f>
        <v>0</v>
      </c>
      <c r="J62" s="42">
        <f ca="1">IFERROR(__xludf.DUMMYFUNCTION("""COMPUTED_VALUE"""),8610)</f>
        <v>8610</v>
      </c>
      <c r="K62" s="42">
        <f ca="1">IFERROR(__xludf.DUMMYFUNCTION("""COMPUTED_VALUE"""),0)</f>
        <v>0</v>
      </c>
      <c r="L62" s="42">
        <f ca="1">IFERROR(__xludf.DUMMYFUNCTION("""COMPUTED_VALUE"""),0)</f>
        <v>0</v>
      </c>
      <c r="M62" s="42">
        <f ca="1">IFERROR(__xludf.DUMMYFUNCTION("""COMPUTED_VALUE"""),0)</f>
        <v>0</v>
      </c>
      <c r="N62" s="42">
        <f ca="1">IFERROR(__xludf.DUMMYFUNCTION("""COMPUTED_VALUE"""),0)</f>
        <v>0</v>
      </c>
      <c r="O62" s="42">
        <f ca="1">IFERROR(__xludf.DUMMYFUNCTION("""COMPUTED_VALUE"""),0)</f>
        <v>0</v>
      </c>
      <c r="P62" s="42">
        <f ca="1">IFERROR(__xludf.DUMMYFUNCTION("""COMPUTED_VALUE"""),546)</f>
        <v>546</v>
      </c>
      <c r="Q62" s="42">
        <f ca="1">IFERROR(__xludf.DUMMYFUNCTION("""COMPUTED_VALUE"""),0)</f>
        <v>0</v>
      </c>
      <c r="R62" s="42">
        <f ca="1">IFERROR(__xludf.DUMMYFUNCTION("""COMPUTED_VALUE"""),0)</f>
        <v>0</v>
      </c>
      <c r="S62" s="42">
        <f ca="1">IFERROR(__xludf.DUMMYFUNCTION("""COMPUTED_VALUE"""),0)</f>
        <v>0</v>
      </c>
      <c r="T62" s="42">
        <f ca="1">IFERROR(__xludf.DUMMYFUNCTION("""COMPUTED_VALUE"""),0)</f>
        <v>0</v>
      </c>
      <c r="U62" s="42">
        <f ca="1">IFERROR(__xludf.DUMMYFUNCTION("""COMPUTED_VALUE"""),0)</f>
        <v>0</v>
      </c>
      <c r="V62" s="42">
        <f ca="1">IFERROR(__xludf.DUMMYFUNCTION("""COMPUTED_VALUE"""),0)</f>
        <v>0</v>
      </c>
      <c r="W62" s="42">
        <f ca="1">IFERROR(__xludf.DUMMYFUNCTION("""COMPUTED_VALUE"""),0)</f>
        <v>0</v>
      </c>
      <c r="X62" s="42">
        <f ca="1">IFERROR(__xludf.DUMMYFUNCTION("""COMPUTED_VALUE"""),0)</f>
        <v>0</v>
      </c>
      <c r="Y62" s="42">
        <f ca="1">IFERROR(__xludf.DUMMYFUNCTION("""COMPUTED_VALUE"""),0)</f>
        <v>0</v>
      </c>
      <c r="Z62" s="42">
        <f ca="1">IFERROR(__xludf.DUMMYFUNCTION("""COMPUTED_VALUE"""),0)</f>
        <v>0</v>
      </c>
    </row>
    <row r="63" spans="1:26" ht="12.75">
      <c r="A63" s="33" t="str">
        <f ca="1">IFERROR(__xludf.DUMMYFUNCTION("""COMPUTED_VALUE"""),"Araguaina")</f>
        <v>Araguaina</v>
      </c>
      <c r="B63" s="33" t="str">
        <f ca="1">IFERROR(__xludf.DUMMYFUNCTION("""COMPUTED_VALUE"""),"Piraque")</f>
        <v>Piraque</v>
      </c>
      <c r="C63" s="34" t="str">
        <f ca="1">IFERROR(__xludf.DUMMYFUNCTION("""COMPUTED_VALUE"""),"A.A.  ESCOLA ESTADUAL SAO JOSE")</f>
        <v>A.A.  ESCOLA ESTADUAL SAO JOSE</v>
      </c>
      <c r="D63" s="35" t="str">
        <f ca="1">IFERROR(__xludf.DUMMYFUNCTION("""COMPUTED_VALUE"""),"01243654000109")</f>
        <v>01243654000109</v>
      </c>
      <c r="E63" s="36" t="str">
        <f ca="1">IFERROR(__xludf.DUMMYFUNCTION("""COMPUTED_VALUE"""),"001")</f>
        <v>001</v>
      </c>
      <c r="F63" s="37" t="str">
        <f ca="1">IFERROR(__xludf.DUMMYFUNCTION("""COMPUTED_VALUE"""),"0638")</f>
        <v>0638</v>
      </c>
      <c r="G63" s="37" t="str">
        <f ca="1">IFERROR(__xludf.DUMMYFUNCTION("""COMPUTED_VALUE"""),"465283")</f>
        <v>465283</v>
      </c>
      <c r="H63" s="37">
        <f ca="1">IFERROR(__xludf.DUMMYFUNCTION("""COMPUTED_VALUE"""),0)</f>
        <v>0</v>
      </c>
      <c r="I63" s="37">
        <f ca="1">IFERROR(__xludf.DUMMYFUNCTION("""COMPUTED_VALUE"""),0)</f>
        <v>0</v>
      </c>
      <c r="J63" s="37">
        <f ca="1">IFERROR(__xludf.DUMMYFUNCTION("""COMPUTED_VALUE"""),2688)</f>
        <v>2688</v>
      </c>
      <c r="K63" s="37">
        <f ca="1">IFERROR(__xludf.DUMMYFUNCTION("""COMPUTED_VALUE"""),0)</f>
        <v>0</v>
      </c>
      <c r="L63" s="37">
        <f ca="1">IFERROR(__xludf.DUMMYFUNCTION("""COMPUTED_VALUE"""),0)</f>
        <v>0</v>
      </c>
      <c r="M63" s="37">
        <f ca="1">IFERROR(__xludf.DUMMYFUNCTION("""COMPUTED_VALUE"""),0)</f>
        <v>0</v>
      </c>
      <c r="N63" s="37">
        <f ca="1">IFERROR(__xludf.DUMMYFUNCTION("""COMPUTED_VALUE"""),0)</f>
        <v>0</v>
      </c>
      <c r="O63" s="37">
        <f ca="1">IFERROR(__xludf.DUMMYFUNCTION("""COMPUTED_VALUE"""),0)</f>
        <v>0</v>
      </c>
      <c r="P63" s="37">
        <f ca="1">IFERROR(__xludf.DUMMYFUNCTION("""COMPUTED_VALUE"""),0)</f>
        <v>0</v>
      </c>
      <c r="Q63" s="37">
        <f ca="1">IFERROR(__xludf.DUMMYFUNCTION("""COMPUTED_VALUE"""),1743)</f>
        <v>1743</v>
      </c>
      <c r="R63" s="37">
        <f ca="1">IFERROR(__xludf.DUMMYFUNCTION("""COMPUTED_VALUE"""),0)</f>
        <v>0</v>
      </c>
      <c r="S63" s="37">
        <f ca="1">IFERROR(__xludf.DUMMYFUNCTION("""COMPUTED_VALUE"""),0)</f>
        <v>0</v>
      </c>
      <c r="T63" s="37">
        <f ca="1">IFERROR(__xludf.DUMMYFUNCTION("""COMPUTED_VALUE"""),0)</f>
        <v>0</v>
      </c>
      <c r="U63" s="37">
        <f ca="1">IFERROR(__xludf.DUMMYFUNCTION("""COMPUTED_VALUE"""),0)</f>
        <v>0</v>
      </c>
      <c r="V63" s="37">
        <f ca="1">IFERROR(__xludf.DUMMYFUNCTION("""COMPUTED_VALUE"""),0)</f>
        <v>0</v>
      </c>
      <c r="W63" s="37">
        <f ca="1">IFERROR(__xludf.DUMMYFUNCTION("""COMPUTED_VALUE"""),0)</f>
        <v>0</v>
      </c>
      <c r="X63" s="37">
        <f ca="1">IFERROR(__xludf.DUMMYFUNCTION("""COMPUTED_VALUE"""),0)</f>
        <v>0</v>
      </c>
      <c r="Y63" s="37">
        <f ca="1">IFERROR(__xludf.DUMMYFUNCTION("""COMPUTED_VALUE"""),0)</f>
        <v>0</v>
      </c>
      <c r="Z63" s="37">
        <f ca="1">IFERROR(__xludf.DUMMYFUNCTION("""COMPUTED_VALUE"""),0)</f>
        <v>0</v>
      </c>
    </row>
    <row r="64" spans="1:26" ht="12.75">
      <c r="A64" s="38" t="str">
        <f ca="1">IFERROR(__xludf.DUMMYFUNCTION("""COMPUTED_VALUE"""),"Araguaina")</f>
        <v>Araguaina</v>
      </c>
      <c r="B64" s="38" t="str">
        <f ca="1">IFERROR(__xludf.DUMMYFUNCTION("""COMPUTED_VALUE"""),"Riachinho")</f>
        <v>Riachinho</v>
      </c>
      <c r="C64" s="39" t="str">
        <f ca="1">IFERROR(__xludf.DUMMYFUNCTION("""COMPUTED_VALUE"""),"ASSOC. DE APOIO ESC. EST. JOAO XXIII")</f>
        <v>ASSOC. DE APOIO ESC. EST. JOAO XXIII</v>
      </c>
      <c r="D64" s="40" t="str">
        <f ca="1">IFERROR(__xludf.DUMMYFUNCTION("""COMPUTED_VALUE"""),"01136006000153")</f>
        <v>01136006000153</v>
      </c>
      <c r="E64" s="41" t="str">
        <f ca="1">IFERROR(__xludf.DUMMYFUNCTION("""COMPUTED_VALUE"""),"001")</f>
        <v>001</v>
      </c>
      <c r="F64" s="42" t="str">
        <f ca="1">IFERROR(__xludf.DUMMYFUNCTION("""COMPUTED_VALUE"""),"3973")</f>
        <v>3973</v>
      </c>
      <c r="G64" s="42" t="str">
        <f ca="1">IFERROR(__xludf.DUMMYFUNCTION("""COMPUTED_VALUE"""),"51969")</f>
        <v>51969</v>
      </c>
      <c r="H64" s="42">
        <f ca="1">IFERROR(__xludf.DUMMYFUNCTION("""COMPUTED_VALUE"""),0)</f>
        <v>0</v>
      </c>
      <c r="I64" s="42">
        <f ca="1">IFERROR(__xludf.DUMMYFUNCTION("""COMPUTED_VALUE"""),0)</f>
        <v>0</v>
      </c>
      <c r="J64" s="42">
        <f ca="1">IFERROR(__xludf.DUMMYFUNCTION("""COMPUTED_VALUE"""),0)</f>
        <v>0</v>
      </c>
      <c r="K64" s="42">
        <f ca="1">IFERROR(__xludf.DUMMYFUNCTION("""COMPUTED_VALUE"""),0)</f>
        <v>0</v>
      </c>
      <c r="L64" s="42">
        <f ca="1">IFERROR(__xludf.DUMMYFUNCTION("""COMPUTED_VALUE"""),0)</f>
        <v>0</v>
      </c>
      <c r="M64" s="42">
        <f ca="1">IFERROR(__xludf.DUMMYFUNCTION("""COMPUTED_VALUE"""),0)</f>
        <v>0</v>
      </c>
      <c r="N64" s="42">
        <f ca="1">IFERROR(__xludf.DUMMYFUNCTION("""COMPUTED_VALUE"""),0)</f>
        <v>0</v>
      </c>
      <c r="O64" s="42">
        <f ca="1">IFERROR(__xludf.DUMMYFUNCTION("""COMPUTED_VALUE"""),0)</f>
        <v>0</v>
      </c>
      <c r="P64" s="42">
        <f ca="1">IFERROR(__xludf.DUMMYFUNCTION("""COMPUTED_VALUE"""),105)</f>
        <v>105</v>
      </c>
      <c r="Q64" s="42">
        <f ca="1">IFERROR(__xludf.DUMMYFUNCTION("""COMPUTED_VALUE"""),4032)</f>
        <v>4032</v>
      </c>
      <c r="R64" s="42">
        <f ca="1">IFERROR(__xludf.DUMMYFUNCTION("""COMPUTED_VALUE"""),0)</f>
        <v>0</v>
      </c>
      <c r="S64" s="42">
        <f ca="1">IFERROR(__xludf.DUMMYFUNCTION("""COMPUTED_VALUE"""),0)</f>
        <v>0</v>
      </c>
      <c r="T64" s="42">
        <f ca="1">IFERROR(__xludf.DUMMYFUNCTION("""COMPUTED_VALUE"""),0)</f>
        <v>0</v>
      </c>
      <c r="U64" s="42">
        <f ca="1">IFERROR(__xludf.DUMMYFUNCTION("""COMPUTED_VALUE"""),0)</f>
        <v>0</v>
      </c>
      <c r="V64" s="42">
        <f ca="1">IFERROR(__xludf.DUMMYFUNCTION("""COMPUTED_VALUE"""),0)</f>
        <v>0</v>
      </c>
      <c r="W64" s="42">
        <f ca="1">IFERROR(__xludf.DUMMYFUNCTION("""COMPUTED_VALUE"""),0)</f>
        <v>0</v>
      </c>
      <c r="X64" s="42">
        <f ca="1">IFERROR(__xludf.DUMMYFUNCTION("""COMPUTED_VALUE"""),0)</f>
        <v>0</v>
      </c>
      <c r="Y64" s="42">
        <f ca="1">IFERROR(__xludf.DUMMYFUNCTION("""COMPUTED_VALUE"""),0)</f>
        <v>0</v>
      </c>
      <c r="Z64" s="42">
        <f ca="1">IFERROR(__xludf.DUMMYFUNCTION("""COMPUTED_VALUE"""),0)</f>
        <v>0</v>
      </c>
    </row>
    <row r="65" spans="1:29" ht="12.75">
      <c r="A65" s="33" t="str">
        <f ca="1">IFERROR(__xludf.DUMMYFUNCTION("""COMPUTED_VALUE"""),"Araguaina")</f>
        <v>Araguaina</v>
      </c>
      <c r="B65" s="33" t="str">
        <f ca="1">IFERROR(__xludf.DUMMYFUNCTION("""COMPUTED_VALUE"""),"Santa Fe do Araguaia")</f>
        <v>Santa Fe do Araguaia</v>
      </c>
      <c r="C65" s="34" t="str">
        <f ca="1">IFERROR(__xludf.DUMMYFUNCTION("""COMPUTED_VALUE"""),"A.A. ESC. EST. ANAIDES BRITO MIRANDA")</f>
        <v>A.A. ESC. EST. ANAIDES BRITO MIRANDA</v>
      </c>
      <c r="D65" s="35" t="str">
        <f ca="1">IFERROR(__xludf.DUMMYFUNCTION("""COMPUTED_VALUE"""),"01919025000156")</f>
        <v>01919025000156</v>
      </c>
      <c r="E65" s="36" t="str">
        <f ca="1">IFERROR(__xludf.DUMMYFUNCTION("""COMPUTED_VALUE"""),"001")</f>
        <v>001</v>
      </c>
      <c r="F65" s="37" t="str">
        <f ca="1">IFERROR(__xludf.DUMMYFUNCTION("""COMPUTED_VALUE"""),"4791")</f>
        <v>4791</v>
      </c>
      <c r="G65" s="37" t="str">
        <f ca="1">IFERROR(__xludf.DUMMYFUNCTION("""COMPUTED_VALUE"""),"54682")</f>
        <v>54682</v>
      </c>
      <c r="H65" s="37">
        <f ca="1">IFERROR(__xludf.DUMMYFUNCTION("""COMPUTED_VALUE"""),0)</f>
        <v>0</v>
      </c>
      <c r="I65" s="37">
        <f ca="1">IFERROR(__xludf.DUMMYFUNCTION("""COMPUTED_VALUE"""),0)</f>
        <v>0</v>
      </c>
      <c r="J65" s="37">
        <f ca="1">IFERROR(__xludf.DUMMYFUNCTION("""COMPUTED_VALUE"""),0)</f>
        <v>0</v>
      </c>
      <c r="K65" s="37">
        <f ca="1">IFERROR(__xludf.DUMMYFUNCTION("""COMPUTED_VALUE"""),0)</f>
        <v>0</v>
      </c>
      <c r="L65" s="37">
        <f ca="1">IFERROR(__xludf.DUMMYFUNCTION("""COMPUTED_VALUE"""),0)</f>
        <v>0</v>
      </c>
      <c r="M65" s="37">
        <f ca="1">IFERROR(__xludf.DUMMYFUNCTION("""COMPUTED_VALUE"""),0)</f>
        <v>0</v>
      </c>
      <c r="N65" s="37">
        <f ca="1">IFERROR(__xludf.DUMMYFUNCTION("""COMPUTED_VALUE"""),0)</f>
        <v>0</v>
      </c>
      <c r="O65" s="37">
        <f ca="1">IFERROR(__xludf.DUMMYFUNCTION("""COMPUTED_VALUE"""),0)</f>
        <v>0</v>
      </c>
      <c r="P65" s="37">
        <f ca="1">IFERROR(__xludf.DUMMYFUNCTION("""COMPUTED_VALUE"""),0)</f>
        <v>0</v>
      </c>
      <c r="Q65" s="37">
        <f ca="1">IFERROR(__xludf.DUMMYFUNCTION("""COMPUTED_VALUE"""),4788)</f>
        <v>4788</v>
      </c>
      <c r="R65" s="37">
        <f ca="1">IFERROR(__xludf.DUMMYFUNCTION("""COMPUTED_VALUE"""),0)</f>
        <v>0</v>
      </c>
      <c r="S65" s="37">
        <f ca="1">IFERROR(__xludf.DUMMYFUNCTION("""COMPUTED_VALUE"""),0)</f>
        <v>0</v>
      </c>
      <c r="T65" s="37">
        <f ca="1">IFERROR(__xludf.DUMMYFUNCTION("""COMPUTED_VALUE"""),0)</f>
        <v>0</v>
      </c>
      <c r="U65" s="37">
        <f ca="1">IFERROR(__xludf.DUMMYFUNCTION("""COMPUTED_VALUE"""),0)</f>
        <v>0</v>
      </c>
      <c r="V65" s="37">
        <f ca="1">IFERROR(__xludf.DUMMYFUNCTION("""COMPUTED_VALUE"""),0)</f>
        <v>0</v>
      </c>
      <c r="W65" s="37">
        <f ca="1">IFERROR(__xludf.DUMMYFUNCTION("""COMPUTED_VALUE"""),0)</f>
        <v>0</v>
      </c>
      <c r="X65" s="37">
        <f ca="1">IFERROR(__xludf.DUMMYFUNCTION("""COMPUTED_VALUE"""),0)</f>
        <v>0</v>
      </c>
      <c r="Y65" s="37">
        <f ca="1">IFERROR(__xludf.DUMMYFUNCTION("""COMPUTED_VALUE"""),0)</f>
        <v>0</v>
      </c>
      <c r="Z65" s="37">
        <f ca="1">IFERROR(__xludf.DUMMYFUNCTION("""COMPUTED_VALUE"""),0)</f>
        <v>0</v>
      </c>
    </row>
    <row r="66" spans="1:29" ht="12.75">
      <c r="A66" s="38" t="str">
        <f ca="1">IFERROR(__xludf.DUMMYFUNCTION("""COMPUTED_VALUE"""),"Araguaina")</f>
        <v>Araguaina</v>
      </c>
      <c r="B66" s="38" t="str">
        <f ca="1">IFERROR(__xludf.DUMMYFUNCTION("""COMPUTED_VALUE"""),"Santa Fe do Araguaia")</f>
        <v>Santa Fe do Araguaia</v>
      </c>
      <c r="C66" s="39" t="str">
        <f ca="1">IFERROR(__xludf.DUMMYFUNCTION("""COMPUTED_VALUE"""),"A. DE AP. DA ESCOLA EST. CASTRO ALVES")</f>
        <v>A. DE AP. DA ESCOLA EST. CASTRO ALVES</v>
      </c>
      <c r="D66" s="40" t="str">
        <f ca="1">IFERROR(__xludf.DUMMYFUNCTION("""COMPUTED_VALUE"""),"01673181000180")</f>
        <v>01673181000180</v>
      </c>
      <c r="E66" s="41" t="str">
        <f ca="1">IFERROR(__xludf.DUMMYFUNCTION("""COMPUTED_VALUE"""),"001")</f>
        <v>001</v>
      </c>
      <c r="F66" s="42" t="str">
        <f ca="1">IFERROR(__xludf.DUMMYFUNCTION("""COMPUTED_VALUE"""),"4791")</f>
        <v>4791</v>
      </c>
      <c r="G66" s="42" t="str">
        <f ca="1">IFERROR(__xludf.DUMMYFUNCTION("""COMPUTED_VALUE"""),"54739")</f>
        <v>54739</v>
      </c>
      <c r="H66" s="42">
        <f ca="1">IFERROR(__xludf.DUMMYFUNCTION("""COMPUTED_VALUE"""),0)</f>
        <v>0</v>
      </c>
      <c r="I66" s="42">
        <f ca="1">IFERROR(__xludf.DUMMYFUNCTION("""COMPUTED_VALUE"""),0)</f>
        <v>0</v>
      </c>
      <c r="J66" s="42">
        <f ca="1">IFERROR(__xludf.DUMMYFUNCTION("""COMPUTED_VALUE"""),7896)</f>
        <v>7896</v>
      </c>
      <c r="K66" s="42">
        <f ca="1">IFERROR(__xludf.DUMMYFUNCTION("""COMPUTED_VALUE"""),0)</f>
        <v>0</v>
      </c>
      <c r="L66" s="42">
        <f ca="1">IFERROR(__xludf.DUMMYFUNCTION("""COMPUTED_VALUE"""),0)</f>
        <v>0</v>
      </c>
      <c r="M66" s="42">
        <f ca="1">IFERROR(__xludf.DUMMYFUNCTION("""COMPUTED_VALUE"""),0)</f>
        <v>0</v>
      </c>
      <c r="N66" s="42">
        <f ca="1">IFERROR(__xludf.DUMMYFUNCTION("""COMPUTED_VALUE"""),0)</f>
        <v>0</v>
      </c>
      <c r="O66" s="42">
        <f ca="1">IFERROR(__xludf.DUMMYFUNCTION("""COMPUTED_VALUE"""),0)</f>
        <v>0</v>
      </c>
      <c r="P66" s="42">
        <f ca="1">IFERROR(__xludf.DUMMYFUNCTION("""COMPUTED_VALUE"""),441)</f>
        <v>441</v>
      </c>
      <c r="Q66" s="42">
        <f ca="1">IFERROR(__xludf.DUMMYFUNCTION("""COMPUTED_VALUE"""),1659)</f>
        <v>1659</v>
      </c>
      <c r="R66" s="42">
        <f ca="1">IFERROR(__xludf.DUMMYFUNCTION("""COMPUTED_VALUE"""),0)</f>
        <v>0</v>
      </c>
      <c r="S66" s="42">
        <f ca="1">IFERROR(__xludf.DUMMYFUNCTION("""COMPUTED_VALUE"""),0)</f>
        <v>0</v>
      </c>
      <c r="T66" s="42">
        <f ca="1">IFERROR(__xludf.DUMMYFUNCTION("""COMPUTED_VALUE"""),399)</f>
        <v>399</v>
      </c>
      <c r="U66" s="42">
        <f ca="1">IFERROR(__xludf.DUMMYFUNCTION("""COMPUTED_VALUE"""),0)</f>
        <v>0</v>
      </c>
      <c r="V66" s="42">
        <f ca="1">IFERROR(__xludf.DUMMYFUNCTION("""COMPUTED_VALUE"""),0)</f>
        <v>0</v>
      </c>
      <c r="W66" s="42">
        <f ca="1">IFERROR(__xludf.DUMMYFUNCTION("""COMPUTED_VALUE"""),0)</f>
        <v>0</v>
      </c>
      <c r="X66" s="42">
        <f ca="1">IFERROR(__xludf.DUMMYFUNCTION("""COMPUTED_VALUE"""),0)</f>
        <v>0</v>
      </c>
      <c r="Y66" s="42">
        <f ca="1">IFERROR(__xludf.DUMMYFUNCTION("""COMPUTED_VALUE"""),0)</f>
        <v>0</v>
      </c>
      <c r="Z66" s="42">
        <f ca="1">IFERROR(__xludf.DUMMYFUNCTION("""COMPUTED_VALUE"""),0)</f>
        <v>0</v>
      </c>
    </row>
    <row r="67" spans="1:29" ht="12.75">
      <c r="A67" s="33" t="str">
        <f ca="1">IFERROR(__xludf.DUMMYFUNCTION("""COMPUTED_VALUE"""),"Araguaina")</f>
        <v>Araguaina</v>
      </c>
      <c r="B67" s="33" t="str">
        <f ca="1">IFERROR(__xludf.DUMMYFUNCTION("""COMPUTED_VALUE"""),"Wanderlandia")</f>
        <v>Wanderlandia</v>
      </c>
      <c r="C67" s="34" t="str">
        <f ca="1">IFERROR(__xludf.DUMMYFUNCTION("""COMPUTED_VALUE"""),"A.A. COL. ESTADUAL JOSE LUIZ SIQUEIRA")</f>
        <v>A.A. COL. ESTADUAL JOSE LUIZ SIQUEIRA</v>
      </c>
      <c r="D67" s="35" t="str">
        <f ca="1">IFERROR(__xludf.DUMMYFUNCTION("""COMPUTED_VALUE"""),"01257082000117")</f>
        <v>01257082000117</v>
      </c>
      <c r="E67" s="36" t="str">
        <f ca="1">IFERROR(__xludf.DUMMYFUNCTION("""COMPUTED_VALUE"""),"001")</f>
        <v>001</v>
      </c>
      <c r="F67" s="37" t="str">
        <f ca="1">IFERROR(__xludf.DUMMYFUNCTION("""COMPUTED_VALUE"""),"0638")</f>
        <v>0638</v>
      </c>
      <c r="G67" s="37" t="str">
        <f ca="1">IFERROR(__xludf.DUMMYFUNCTION("""COMPUTED_VALUE"""),"0465291")</f>
        <v>0465291</v>
      </c>
      <c r="H67" s="37">
        <f ca="1">IFERROR(__xludf.DUMMYFUNCTION("""COMPUTED_VALUE"""),0)</f>
        <v>0</v>
      </c>
      <c r="I67" s="37">
        <f ca="1">IFERROR(__xludf.DUMMYFUNCTION("""COMPUTED_VALUE"""),0)</f>
        <v>0</v>
      </c>
      <c r="J67" s="37">
        <f ca="1">IFERROR(__xludf.DUMMYFUNCTION("""COMPUTED_VALUE"""),2583)</f>
        <v>2583</v>
      </c>
      <c r="K67" s="37">
        <f ca="1">IFERROR(__xludf.DUMMYFUNCTION("""COMPUTED_VALUE"""),0)</f>
        <v>0</v>
      </c>
      <c r="L67" s="37">
        <f ca="1">IFERROR(__xludf.DUMMYFUNCTION("""COMPUTED_VALUE"""),0)</f>
        <v>0</v>
      </c>
      <c r="M67" s="37">
        <f ca="1">IFERROR(__xludf.DUMMYFUNCTION("""COMPUTED_VALUE"""),0)</f>
        <v>0</v>
      </c>
      <c r="N67" s="37">
        <f ca="1">IFERROR(__xludf.DUMMYFUNCTION("""COMPUTED_VALUE"""),0)</f>
        <v>0</v>
      </c>
      <c r="O67" s="37">
        <f ca="1">IFERROR(__xludf.DUMMYFUNCTION("""COMPUTED_VALUE"""),0)</f>
        <v>0</v>
      </c>
      <c r="P67" s="37">
        <f ca="1">IFERROR(__xludf.DUMMYFUNCTION("""COMPUTED_VALUE"""),483)</f>
        <v>483</v>
      </c>
      <c r="Q67" s="37">
        <f ca="1">IFERROR(__xludf.DUMMYFUNCTION("""COMPUTED_VALUE"""),6048)</f>
        <v>6048</v>
      </c>
      <c r="R67" s="37">
        <f ca="1">IFERROR(__xludf.DUMMYFUNCTION("""COMPUTED_VALUE"""),0)</f>
        <v>0</v>
      </c>
      <c r="S67" s="37">
        <f ca="1">IFERROR(__xludf.DUMMYFUNCTION("""COMPUTED_VALUE"""),0)</f>
        <v>0</v>
      </c>
      <c r="T67" s="37">
        <f ca="1">IFERROR(__xludf.DUMMYFUNCTION("""COMPUTED_VALUE"""),0)</f>
        <v>0</v>
      </c>
      <c r="U67" s="37">
        <f ca="1">IFERROR(__xludf.DUMMYFUNCTION("""COMPUTED_VALUE"""),0)</f>
        <v>0</v>
      </c>
      <c r="V67" s="37">
        <f ca="1">IFERROR(__xludf.DUMMYFUNCTION("""COMPUTED_VALUE"""),0)</f>
        <v>0</v>
      </c>
      <c r="W67" s="37">
        <f ca="1">IFERROR(__xludf.DUMMYFUNCTION("""COMPUTED_VALUE"""),0)</f>
        <v>0</v>
      </c>
      <c r="X67" s="37">
        <f ca="1">IFERROR(__xludf.DUMMYFUNCTION("""COMPUTED_VALUE"""),0)</f>
        <v>0</v>
      </c>
      <c r="Y67" s="37">
        <f ca="1">IFERROR(__xludf.DUMMYFUNCTION("""COMPUTED_VALUE"""),0)</f>
        <v>0</v>
      </c>
      <c r="Z67" s="37">
        <f ca="1">IFERROR(__xludf.DUMMYFUNCTION("""COMPUTED_VALUE"""),0)</f>
        <v>0</v>
      </c>
    </row>
    <row r="68" spans="1:29" ht="12.75">
      <c r="A68" s="38" t="str">
        <f ca="1">IFERROR(__xludf.DUMMYFUNCTION("""COMPUTED_VALUE"""),"Araguaina")</f>
        <v>Araguaina</v>
      </c>
      <c r="B68" s="38" t="str">
        <f ca="1">IFERROR(__xludf.DUMMYFUNCTION("""COMPUTED_VALUE"""),"Wanderlandia")</f>
        <v>Wanderlandia</v>
      </c>
      <c r="C68" s="39" t="str">
        <f ca="1">IFERROR(__xludf.DUMMYFUNCTION("""COMPUTED_VALUE"""),"ASSOCIAÇÃO DE APOIO DA ESCOLA ESPECIAL MORADA DO SOL")</f>
        <v>ASSOCIAÇÃO DE APOIO DA ESCOLA ESPECIAL MORADA DO SOL</v>
      </c>
      <c r="D68" s="40" t="str">
        <f ca="1">IFERROR(__xludf.DUMMYFUNCTION("""COMPUTED_VALUE"""),"07941368000101")</f>
        <v>07941368000101</v>
      </c>
      <c r="E68" s="41" t="str">
        <f ca="1">IFERROR(__xludf.DUMMYFUNCTION("""COMPUTED_VALUE"""),"001")</f>
        <v>001</v>
      </c>
      <c r="F68" s="42" t="str">
        <f ca="1">IFERROR(__xludf.DUMMYFUNCTION("""COMPUTED_VALUE"""),"0638")</f>
        <v>0638</v>
      </c>
      <c r="G68" s="42" t="str">
        <f ca="1">IFERROR(__xludf.DUMMYFUNCTION("""COMPUTED_VALUE"""),"537349")</f>
        <v>537349</v>
      </c>
      <c r="H68" s="42">
        <f ca="1">IFERROR(__xludf.DUMMYFUNCTION("""COMPUTED_VALUE"""),0)</f>
        <v>0</v>
      </c>
      <c r="I68" s="42">
        <f ca="1">IFERROR(__xludf.DUMMYFUNCTION("""COMPUTED_VALUE"""),0)</f>
        <v>0</v>
      </c>
      <c r="J68" s="42">
        <f ca="1">IFERROR(__xludf.DUMMYFUNCTION("""COMPUTED_VALUE"""),84)</f>
        <v>84</v>
      </c>
      <c r="K68" s="42">
        <f ca="1">IFERROR(__xludf.DUMMYFUNCTION("""COMPUTED_VALUE"""),0)</f>
        <v>0</v>
      </c>
      <c r="L68" s="42">
        <f ca="1">IFERROR(__xludf.DUMMYFUNCTION("""COMPUTED_VALUE"""),0)</f>
        <v>0</v>
      </c>
      <c r="M68" s="42">
        <f ca="1">IFERROR(__xludf.DUMMYFUNCTION("""COMPUTED_VALUE"""),0)</f>
        <v>0</v>
      </c>
      <c r="N68" s="42">
        <f ca="1">IFERROR(__xludf.DUMMYFUNCTION("""COMPUTED_VALUE"""),0)</f>
        <v>0</v>
      </c>
      <c r="O68" s="42">
        <f ca="1">IFERROR(__xludf.DUMMYFUNCTION("""COMPUTED_VALUE"""),0)</f>
        <v>0</v>
      </c>
      <c r="P68" s="42">
        <f ca="1">IFERROR(__xludf.DUMMYFUNCTION("""COMPUTED_VALUE"""),189)</f>
        <v>189</v>
      </c>
      <c r="Q68" s="42">
        <f ca="1">IFERROR(__xludf.DUMMYFUNCTION("""COMPUTED_VALUE"""),0)</f>
        <v>0</v>
      </c>
      <c r="R68" s="42">
        <f ca="1">IFERROR(__xludf.DUMMYFUNCTION("""COMPUTED_VALUE"""),0)</f>
        <v>0</v>
      </c>
      <c r="S68" s="42">
        <f ca="1">IFERROR(__xludf.DUMMYFUNCTION("""COMPUTED_VALUE"""),0)</f>
        <v>0</v>
      </c>
      <c r="T68" s="42">
        <f ca="1">IFERROR(__xludf.DUMMYFUNCTION("""COMPUTED_VALUE"""),1932)</f>
        <v>1932</v>
      </c>
      <c r="U68" s="42">
        <f ca="1">IFERROR(__xludf.DUMMYFUNCTION("""COMPUTED_VALUE"""),0)</f>
        <v>0</v>
      </c>
      <c r="V68" s="42">
        <f ca="1">IFERROR(__xludf.DUMMYFUNCTION("""COMPUTED_VALUE"""),0)</f>
        <v>0</v>
      </c>
      <c r="W68" s="42">
        <f ca="1">IFERROR(__xludf.DUMMYFUNCTION("""COMPUTED_VALUE"""),0)</f>
        <v>0</v>
      </c>
      <c r="X68" s="42">
        <f ca="1">IFERROR(__xludf.DUMMYFUNCTION("""COMPUTED_VALUE"""),0)</f>
        <v>0</v>
      </c>
      <c r="Y68" s="42">
        <f ca="1">IFERROR(__xludf.DUMMYFUNCTION("""COMPUTED_VALUE"""),0)</f>
        <v>0</v>
      </c>
      <c r="Z68" s="42">
        <f ca="1">IFERROR(__xludf.DUMMYFUNCTION("""COMPUTED_VALUE"""),0)</f>
        <v>0</v>
      </c>
    </row>
    <row r="69" spans="1:29" ht="12.75">
      <c r="A69" s="33" t="str">
        <f ca="1">IFERROR(__xludf.DUMMYFUNCTION("""COMPUTED_VALUE"""),"Araguaina")</f>
        <v>Araguaina</v>
      </c>
      <c r="B69" s="33" t="str">
        <f ca="1">IFERROR(__xludf.DUMMYFUNCTION("""COMPUTED_VALUE"""),"Wanderlandia")</f>
        <v>Wanderlandia</v>
      </c>
      <c r="C69" s="34" t="str">
        <f ca="1">IFERROR(__xludf.DUMMYFUNCTION("""COMPUTED_VALUE"""),"A.APOIO ESCOLA ESTADUAL D. PEDRO II")</f>
        <v>A.APOIO ESCOLA ESTADUAL D. PEDRO II</v>
      </c>
      <c r="D69" s="35" t="str">
        <f ca="1">IFERROR(__xludf.DUMMYFUNCTION("""COMPUTED_VALUE"""),"01186465000141")</f>
        <v>01186465000141</v>
      </c>
      <c r="E69" s="36" t="str">
        <f ca="1">IFERROR(__xludf.DUMMYFUNCTION("""COMPUTED_VALUE"""),"001")</f>
        <v>001</v>
      </c>
      <c r="F69" s="37" t="str">
        <f ca="1">IFERROR(__xludf.DUMMYFUNCTION("""COMPUTED_VALUE"""),"0638")</f>
        <v>0638</v>
      </c>
      <c r="G69" s="37" t="str">
        <f ca="1">IFERROR(__xludf.DUMMYFUNCTION("""COMPUTED_VALUE"""),"0463108")</f>
        <v>0463108</v>
      </c>
      <c r="H69" s="37">
        <f ca="1">IFERROR(__xludf.DUMMYFUNCTION("""COMPUTED_VALUE"""),0)</f>
        <v>0</v>
      </c>
      <c r="I69" s="37">
        <f ca="1">IFERROR(__xludf.DUMMYFUNCTION("""COMPUTED_VALUE"""),0)</f>
        <v>0</v>
      </c>
      <c r="J69" s="37">
        <f ca="1">IFERROR(__xludf.DUMMYFUNCTION("""COMPUTED_VALUE"""),5334)</f>
        <v>5334</v>
      </c>
      <c r="K69" s="37">
        <f ca="1">IFERROR(__xludf.DUMMYFUNCTION("""COMPUTED_VALUE"""),0)</f>
        <v>0</v>
      </c>
      <c r="L69" s="37">
        <f ca="1">IFERROR(__xludf.DUMMYFUNCTION("""COMPUTED_VALUE"""),0)</f>
        <v>0</v>
      </c>
      <c r="M69" s="37">
        <f ca="1">IFERROR(__xludf.DUMMYFUNCTION("""COMPUTED_VALUE"""),0)</f>
        <v>0</v>
      </c>
      <c r="N69" s="37">
        <f ca="1">IFERROR(__xludf.DUMMYFUNCTION("""COMPUTED_VALUE"""),0)</f>
        <v>0</v>
      </c>
      <c r="O69" s="37">
        <f ca="1">IFERROR(__xludf.DUMMYFUNCTION("""COMPUTED_VALUE"""),0)</f>
        <v>0</v>
      </c>
      <c r="P69" s="37">
        <f ca="1">IFERROR(__xludf.DUMMYFUNCTION("""COMPUTED_VALUE"""),399)</f>
        <v>399</v>
      </c>
      <c r="Q69" s="37">
        <f ca="1">IFERROR(__xludf.DUMMYFUNCTION("""COMPUTED_VALUE"""),0)</f>
        <v>0</v>
      </c>
      <c r="R69" s="37">
        <f ca="1">IFERROR(__xludf.DUMMYFUNCTION("""COMPUTED_VALUE"""),0)</f>
        <v>0</v>
      </c>
      <c r="S69" s="37">
        <f ca="1">IFERROR(__xludf.DUMMYFUNCTION("""COMPUTED_VALUE"""),0)</f>
        <v>0</v>
      </c>
      <c r="T69" s="37">
        <f ca="1">IFERROR(__xludf.DUMMYFUNCTION("""COMPUTED_VALUE"""),1302)</f>
        <v>1302</v>
      </c>
      <c r="U69" s="37">
        <f ca="1">IFERROR(__xludf.DUMMYFUNCTION("""COMPUTED_VALUE"""),0)</f>
        <v>0</v>
      </c>
      <c r="V69" s="37">
        <f ca="1">IFERROR(__xludf.DUMMYFUNCTION("""COMPUTED_VALUE"""),0)</f>
        <v>0</v>
      </c>
      <c r="W69" s="37">
        <f ca="1">IFERROR(__xludf.DUMMYFUNCTION("""COMPUTED_VALUE"""),0)</f>
        <v>0</v>
      </c>
      <c r="X69" s="37">
        <f ca="1">IFERROR(__xludf.DUMMYFUNCTION("""COMPUTED_VALUE"""),0)</f>
        <v>0</v>
      </c>
      <c r="Y69" s="37">
        <f ca="1">IFERROR(__xludf.DUMMYFUNCTION("""COMPUTED_VALUE"""),0)</f>
        <v>0</v>
      </c>
      <c r="Z69" s="37">
        <f ca="1">IFERROR(__xludf.DUMMYFUNCTION("""COMPUTED_VALUE"""),0)</f>
        <v>0</v>
      </c>
    </row>
    <row r="70" spans="1:29" ht="12.75">
      <c r="A70" s="38" t="str">
        <f ca="1">IFERROR(__xludf.DUMMYFUNCTION("""COMPUTED_VALUE"""),"Araguaina")</f>
        <v>Araguaina</v>
      </c>
      <c r="B70" s="38" t="str">
        <f ca="1">IFERROR(__xludf.DUMMYFUNCTION("""COMPUTED_VALUE"""),"Xambioa")</f>
        <v>Xambioa</v>
      </c>
      <c r="C70" s="39" t="str">
        <f ca="1">IFERROR(__xludf.DUMMYFUNCTION("""COMPUTED_VALUE"""),"A.A. COL. MUL. PROFA. JULIANA BARROS")</f>
        <v>A.A. COL. MUL. PROFA. JULIANA BARROS</v>
      </c>
      <c r="D70" s="40" t="str">
        <f ca="1">IFERROR(__xludf.DUMMYFUNCTION("""COMPUTED_VALUE"""),"01136047000140")</f>
        <v>01136047000140</v>
      </c>
      <c r="E70" s="41" t="str">
        <f ca="1">IFERROR(__xludf.DUMMYFUNCTION("""COMPUTED_VALUE"""),"001")</f>
        <v>001</v>
      </c>
      <c r="F70" s="42" t="str">
        <f ca="1">IFERROR(__xludf.DUMMYFUNCTION("""COMPUTED_VALUE"""),"3773")</f>
        <v>3773</v>
      </c>
      <c r="G70" s="42" t="str">
        <f ca="1">IFERROR(__xludf.DUMMYFUNCTION("""COMPUTED_VALUE"""),"0330027")</f>
        <v>0330027</v>
      </c>
      <c r="H70" s="42">
        <f ca="1">IFERROR(__xludf.DUMMYFUNCTION("""COMPUTED_VALUE"""),0)</f>
        <v>0</v>
      </c>
      <c r="I70" s="42">
        <f ca="1">IFERROR(__xludf.DUMMYFUNCTION("""COMPUTED_VALUE"""),0)</f>
        <v>0</v>
      </c>
      <c r="J70" s="42">
        <f ca="1">IFERROR(__xludf.DUMMYFUNCTION("""COMPUTED_VALUE"""),2730)</f>
        <v>2730</v>
      </c>
      <c r="K70" s="42">
        <f ca="1">IFERROR(__xludf.DUMMYFUNCTION("""COMPUTED_VALUE"""),0)</f>
        <v>0</v>
      </c>
      <c r="L70" s="42">
        <f ca="1">IFERROR(__xludf.DUMMYFUNCTION("""COMPUTED_VALUE"""),0)</f>
        <v>0</v>
      </c>
      <c r="M70" s="42">
        <f ca="1">IFERROR(__xludf.DUMMYFUNCTION("""COMPUTED_VALUE"""),0)</f>
        <v>0</v>
      </c>
      <c r="N70" s="42">
        <f ca="1">IFERROR(__xludf.DUMMYFUNCTION("""COMPUTED_VALUE"""),0)</f>
        <v>0</v>
      </c>
      <c r="O70" s="42">
        <f ca="1">IFERROR(__xludf.DUMMYFUNCTION("""COMPUTED_VALUE"""),0)</f>
        <v>0</v>
      </c>
      <c r="P70" s="42">
        <f ca="1">IFERROR(__xludf.DUMMYFUNCTION("""COMPUTED_VALUE"""),0)</f>
        <v>0</v>
      </c>
      <c r="Q70" s="42">
        <f ca="1">IFERROR(__xludf.DUMMYFUNCTION("""COMPUTED_VALUE"""),0)</f>
        <v>0</v>
      </c>
      <c r="R70" s="42">
        <f ca="1">IFERROR(__xludf.DUMMYFUNCTION("""COMPUTED_VALUE"""),0)</f>
        <v>0</v>
      </c>
      <c r="S70" s="42">
        <f ca="1">IFERROR(__xludf.DUMMYFUNCTION("""COMPUTED_VALUE"""),0)</f>
        <v>0</v>
      </c>
      <c r="T70" s="42">
        <f ca="1">IFERROR(__xludf.DUMMYFUNCTION("""COMPUTED_VALUE"""),1281)</f>
        <v>1281</v>
      </c>
      <c r="U70" s="42">
        <f ca="1">IFERROR(__xludf.DUMMYFUNCTION("""COMPUTED_VALUE"""),0)</f>
        <v>0</v>
      </c>
      <c r="V70" s="42">
        <f ca="1">IFERROR(__xludf.DUMMYFUNCTION("""COMPUTED_VALUE"""),0)</f>
        <v>0</v>
      </c>
      <c r="W70" s="42">
        <f ca="1">IFERROR(__xludf.DUMMYFUNCTION("""COMPUTED_VALUE"""),0)</f>
        <v>0</v>
      </c>
      <c r="X70" s="42">
        <f ca="1">IFERROR(__xludf.DUMMYFUNCTION("""COMPUTED_VALUE"""),0)</f>
        <v>0</v>
      </c>
      <c r="Y70" s="42">
        <f ca="1">IFERROR(__xludf.DUMMYFUNCTION("""COMPUTED_VALUE"""),0)</f>
        <v>0</v>
      </c>
      <c r="Z70" s="42">
        <f ca="1">IFERROR(__xludf.DUMMYFUNCTION("""COMPUTED_VALUE"""),0)</f>
        <v>0</v>
      </c>
    </row>
    <row r="71" spans="1:29" ht="12.75">
      <c r="A71" s="33" t="str">
        <f ca="1">IFERROR(__xludf.DUMMYFUNCTION("""COMPUTED_VALUE"""),"Araguaina")</f>
        <v>Araguaina</v>
      </c>
      <c r="B71" s="33" t="str">
        <f ca="1">IFERROR(__xludf.DUMMYFUNCTION("""COMPUTED_VALUE"""),"Xambioa")</f>
        <v>Xambioa</v>
      </c>
      <c r="C71" s="34" t="str">
        <f ca="1">IFERROR(__xludf.DUMMYFUNCTION("""COMPUTED_VALUE"""),"A. COM. DA ESC. EST. EURICO MOTA")</f>
        <v>A. COM. DA ESC. EST. EURICO MOTA</v>
      </c>
      <c r="D71" s="35" t="str">
        <f ca="1">IFERROR(__xludf.DUMMYFUNCTION("""COMPUTED_VALUE"""),"01718086000155")</f>
        <v>01718086000155</v>
      </c>
      <c r="E71" s="36" t="str">
        <f ca="1">IFERROR(__xludf.DUMMYFUNCTION("""COMPUTED_VALUE"""),"001")</f>
        <v>001</v>
      </c>
      <c r="F71" s="37" t="str">
        <f ca="1">IFERROR(__xludf.DUMMYFUNCTION("""COMPUTED_VALUE"""),"3773")</f>
        <v>3773</v>
      </c>
      <c r="G71" s="37" t="str">
        <f ca="1">IFERROR(__xludf.DUMMYFUNCTION("""COMPUTED_VALUE"""),"0324744")</f>
        <v>0324744</v>
      </c>
      <c r="H71" s="37">
        <f ca="1">IFERROR(__xludf.DUMMYFUNCTION("""COMPUTED_VALUE"""),0)</f>
        <v>0</v>
      </c>
      <c r="I71" s="37">
        <f ca="1">IFERROR(__xludf.DUMMYFUNCTION("""COMPUTED_VALUE"""),0)</f>
        <v>0</v>
      </c>
      <c r="J71" s="37">
        <f ca="1">IFERROR(__xludf.DUMMYFUNCTION("""COMPUTED_VALUE"""),0)</f>
        <v>0</v>
      </c>
      <c r="K71" s="37">
        <f ca="1">IFERROR(__xludf.DUMMYFUNCTION("""COMPUTED_VALUE"""),0)</f>
        <v>0</v>
      </c>
      <c r="L71" s="37">
        <f ca="1">IFERROR(__xludf.DUMMYFUNCTION("""COMPUTED_VALUE"""),0)</f>
        <v>0</v>
      </c>
      <c r="M71" s="37">
        <f ca="1">IFERROR(__xludf.DUMMYFUNCTION("""COMPUTED_VALUE"""),0)</f>
        <v>0</v>
      </c>
      <c r="N71" s="37">
        <f ca="1">IFERROR(__xludf.DUMMYFUNCTION("""COMPUTED_VALUE"""),0)</f>
        <v>0</v>
      </c>
      <c r="O71" s="37">
        <f ca="1">IFERROR(__xludf.DUMMYFUNCTION("""COMPUTED_VALUE"""),0)</f>
        <v>0</v>
      </c>
      <c r="P71" s="37">
        <f ca="1">IFERROR(__xludf.DUMMYFUNCTION("""COMPUTED_VALUE"""),0)</f>
        <v>0</v>
      </c>
      <c r="Q71" s="37">
        <f ca="1">IFERROR(__xludf.DUMMYFUNCTION("""COMPUTED_VALUE"""),9723)</f>
        <v>9723</v>
      </c>
      <c r="R71" s="37">
        <f ca="1">IFERROR(__xludf.DUMMYFUNCTION("""COMPUTED_VALUE"""),0)</f>
        <v>0</v>
      </c>
      <c r="S71" s="37">
        <f ca="1">IFERROR(__xludf.DUMMYFUNCTION("""COMPUTED_VALUE"""),0)</f>
        <v>0</v>
      </c>
      <c r="T71" s="37">
        <f ca="1">IFERROR(__xludf.DUMMYFUNCTION("""COMPUTED_VALUE"""),0)</f>
        <v>0</v>
      </c>
      <c r="U71" s="37">
        <f ca="1">IFERROR(__xludf.DUMMYFUNCTION("""COMPUTED_VALUE"""),0)</f>
        <v>0</v>
      </c>
      <c r="V71" s="37">
        <f ca="1">IFERROR(__xludf.DUMMYFUNCTION("""COMPUTED_VALUE"""),0)</f>
        <v>0</v>
      </c>
      <c r="W71" s="37">
        <f ca="1">IFERROR(__xludf.DUMMYFUNCTION("""COMPUTED_VALUE"""),0)</f>
        <v>0</v>
      </c>
      <c r="X71" s="37">
        <f ca="1">IFERROR(__xludf.DUMMYFUNCTION("""COMPUTED_VALUE"""),0)</f>
        <v>0</v>
      </c>
      <c r="Y71" s="37">
        <f ca="1">IFERROR(__xludf.DUMMYFUNCTION("""COMPUTED_VALUE"""),0)</f>
        <v>0</v>
      </c>
      <c r="Z71" s="37">
        <f ca="1">IFERROR(__xludf.DUMMYFUNCTION("""COMPUTED_VALUE"""),0)</f>
        <v>0</v>
      </c>
    </row>
    <row r="72" spans="1:29" ht="12.75">
      <c r="A72" s="38" t="str">
        <f ca="1">IFERROR(__xludf.DUMMYFUNCTION("""COMPUTED_VALUE"""),"Araguaina")</f>
        <v>Araguaina</v>
      </c>
      <c r="B72" s="38" t="str">
        <f ca="1">IFERROR(__xludf.DUMMYFUNCTION("""COMPUTED_VALUE"""),"Xambioa")</f>
        <v>Xambioa</v>
      </c>
      <c r="C72" s="39" t="str">
        <f ca="1">IFERROR(__xludf.DUMMYFUNCTION("""COMPUTED_VALUE"""),"AS. DE A. A ESC.PAROQUIAL SAO MIGUEL")</f>
        <v>AS. DE A. A ESC.PAROQUIAL SAO MIGUEL</v>
      </c>
      <c r="D72" s="40" t="str">
        <f ca="1">IFERROR(__xludf.DUMMYFUNCTION("""COMPUTED_VALUE"""),"01133698000186")</f>
        <v>01133698000186</v>
      </c>
      <c r="E72" s="41" t="str">
        <f ca="1">IFERROR(__xludf.DUMMYFUNCTION("""COMPUTED_VALUE"""),"001")</f>
        <v>001</v>
      </c>
      <c r="F72" s="42" t="str">
        <f ca="1">IFERROR(__xludf.DUMMYFUNCTION("""COMPUTED_VALUE"""),"3773")</f>
        <v>3773</v>
      </c>
      <c r="G72" s="42" t="str">
        <f ca="1">IFERROR(__xludf.DUMMYFUNCTION("""COMPUTED_VALUE"""),"330035")</f>
        <v>330035</v>
      </c>
      <c r="H72" s="42">
        <f ca="1">IFERROR(__xludf.DUMMYFUNCTION("""COMPUTED_VALUE"""),0)</f>
        <v>0</v>
      </c>
      <c r="I72" s="42">
        <f ca="1">IFERROR(__xludf.DUMMYFUNCTION("""COMPUTED_VALUE"""),0)</f>
        <v>0</v>
      </c>
      <c r="J72" s="42">
        <f ca="1">IFERROR(__xludf.DUMMYFUNCTION("""COMPUTED_VALUE"""),5838)</f>
        <v>5838</v>
      </c>
      <c r="K72" s="42">
        <f ca="1">IFERROR(__xludf.DUMMYFUNCTION("""COMPUTED_VALUE"""),0)</f>
        <v>0</v>
      </c>
      <c r="L72" s="42">
        <f ca="1">IFERROR(__xludf.DUMMYFUNCTION("""COMPUTED_VALUE"""),0)</f>
        <v>0</v>
      </c>
      <c r="M72" s="42">
        <f ca="1">IFERROR(__xludf.DUMMYFUNCTION("""COMPUTED_VALUE"""),0)</f>
        <v>0</v>
      </c>
      <c r="N72" s="42">
        <f ca="1">IFERROR(__xludf.DUMMYFUNCTION("""COMPUTED_VALUE"""),0)</f>
        <v>0</v>
      </c>
      <c r="O72" s="42">
        <f ca="1">IFERROR(__xludf.DUMMYFUNCTION("""COMPUTED_VALUE"""),0)</f>
        <v>0</v>
      </c>
      <c r="P72" s="42">
        <f ca="1">IFERROR(__xludf.DUMMYFUNCTION("""COMPUTED_VALUE"""),210)</f>
        <v>210</v>
      </c>
      <c r="Q72" s="42">
        <f ca="1">IFERROR(__xludf.DUMMYFUNCTION("""COMPUTED_VALUE"""),0)</f>
        <v>0</v>
      </c>
      <c r="R72" s="42">
        <f ca="1">IFERROR(__xludf.DUMMYFUNCTION("""COMPUTED_VALUE"""),0)</f>
        <v>0</v>
      </c>
      <c r="S72" s="42">
        <f ca="1">IFERROR(__xludf.DUMMYFUNCTION("""COMPUTED_VALUE"""),0)</f>
        <v>0</v>
      </c>
      <c r="T72" s="42">
        <f ca="1">IFERROR(__xludf.DUMMYFUNCTION("""COMPUTED_VALUE"""),0)</f>
        <v>0</v>
      </c>
      <c r="U72" s="42">
        <f ca="1">IFERROR(__xludf.DUMMYFUNCTION("""COMPUTED_VALUE"""),0)</f>
        <v>0</v>
      </c>
      <c r="V72" s="42">
        <f ca="1">IFERROR(__xludf.DUMMYFUNCTION("""COMPUTED_VALUE"""),0)</f>
        <v>0</v>
      </c>
      <c r="W72" s="42">
        <f ca="1">IFERROR(__xludf.DUMMYFUNCTION("""COMPUTED_VALUE"""),0)</f>
        <v>0</v>
      </c>
      <c r="X72" s="42">
        <f ca="1">IFERROR(__xludf.DUMMYFUNCTION("""COMPUTED_VALUE"""),0)</f>
        <v>0</v>
      </c>
      <c r="Y72" s="42">
        <f ca="1">IFERROR(__xludf.DUMMYFUNCTION("""COMPUTED_VALUE"""),0)</f>
        <v>0</v>
      </c>
      <c r="Z72" s="42">
        <f ca="1">IFERROR(__xludf.DUMMYFUNCTION("""COMPUTED_VALUE"""),0)</f>
        <v>0</v>
      </c>
    </row>
    <row r="73" spans="1:29" ht="12.75">
      <c r="A73" s="33" t="str">
        <f ca="1">IFERROR(__xludf.DUMMYFUNCTION("""COMPUTED_VALUE"""),"Araguatins")</f>
        <v>Araguatins</v>
      </c>
      <c r="B73" s="33" t="str">
        <f ca="1">IFERROR(__xludf.DUMMYFUNCTION("""COMPUTED_VALUE"""),"Araguatins")</f>
        <v>Araguatins</v>
      </c>
      <c r="C73" s="34" t="str">
        <f ca="1">IFERROR(__xludf.DUMMYFUNCTION("""COMPUTED_VALUE"""),"ASSOC. APOIO AO CEM PROFESSORA ANTONINA MILHOMEM")</f>
        <v>ASSOC. APOIO AO CEM PROFESSORA ANTONINA MILHOMEM</v>
      </c>
      <c r="D73" s="35" t="str">
        <f ca="1">IFERROR(__xludf.DUMMYFUNCTION("""COMPUTED_VALUE"""),"04675931000140")</f>
        <v>04675931000140</v>
      </c>
      <c r="E73" s="36" t="str">
        <f ca="1">IFERROR(__xludf.DUMMYFUNCTION("""COMPUTED_VALUE"""),"001")</f>
        <v>001</v>
      </c>
      <c r="F73" s="37" t="str">
        <f ca="1">IFERROR(__xludf.DUMMYFUNCTION("""COMPUTED_VALUE"""),"1305")</f>
        <v>1305</v>
      </c>
      <c r="G73" s="37" t="str">
        <f ca="1">IFERROR(__xludf.DUMMYFUNCTION("""COMPUTED_VALUE"""),"209082")</f>
        <v>209082</v>
      </c>
      <c r="H73" s="37">
        <f ca="1">IFERROR(__xludf.DUMMYFUNCTION("""COMPUTED_VALUE"""),0)</f>
        <v>0</v>
      </c>
      <c r="I73" s="37">
        <f ca="1">IFERROR(__xludf.DUMMYFUNCTION("""COMPUTED_VALUE"""),0)</f>
        <v>0</v>
      </c>
      <c r="J73" s="37">
        <f ca="1">IFERROR(__xludf.DUMMYFUNCTION("""COMPUTED_VALUE"""),4263)</f>
        <v>4263</v>
      </c>
      <c r="K73" s="37">
        <f ca="1">IFERROR(__xludf.DUMMYFUNCTION("""COMPUTED_VALUE"""),0)</f>
        <v>0</v>
      </c>
      <c r="L73" s="37">
        <f ca="1">IFERROR(__xludf.DUMMYFUNCTION("""COMPUTED_VALUE"""),0)</f>
        <v>0</v>
      </c>
      <c r="M73" s="37">
        <f ca="1">IFERROR(__xludf.DUMMYFUNCTION("""COMPUTED_VALUE"""),0)</f>
        <v>0</v>
      </c>
      <c r="N73" s="37">
        <f ca="1">IFERROR(__xludf.DUMMYFUNCTION("""COMPUTED_VALUE"""),0)</f>
        <v>0</v>
      </c>
      <c r="O73" s="37">
        <f ca="1">IFERROR(__xludf.DUMMYFUNCTION("""COMPUTED_VALUE"""),0)</f>
        <v>0</v>
      </c>
      <c r="P73" s="37">
        <f ca="1">IFERROR(__xludf.DUMMYFUNCTION("""COMPUTED_VALUE"""),315)</f>
        <v>315</v>
      </c>
      <c r="Q73" s="37">
        <f ca="1">IFERROR(__xludf.DUMMYFUNCTION("""COMPUTED_VALUE"""),7581)</f>
        <v>7581</v>
      </c>
      <c r="R73" s="37">
        <f ca="1">IFERROR(__xludf.DUMMYFUNCTION("""COMPUTED_VALUE"""),0)</f>
        <v>0</v>
      </c>
      <c r="S73" s="37">
        <f ca="1">IFERROR(__xludf.DUMMYFUNCTION("""COMPUTED_VALUE"""),0)</f>
        <v>0</v>
      </c>
      <c r="T73" s="37">
        <f ca="1">IFERROR(__xludf.DUMMYFUNCTION("""COMPUTED_VALUE"""),0)</f>
        <v>0</v>
      </c>
      <c r="U73" s="37">
        <f ca="1">IFERROR(__xludf.DUMMYFUNCTION("""COMPUTED_VALUE"""),0)</f>
        <v>0</v>
      </c>
      <c r="V73" s="37">
        <f ca="1">IFERROR(__xludf.DUMMYFUNCTION("""COMPUTED_VALUE"""),0)</f>
        <v>0</v>
      </c>
      <c r="W73" s="37">
        <f ca="1">IFERROR(__xludf.DUMMYFUNCTION("""COMPUTED_VALUE"""),0)</f>
        <v>0</v>
      </c>
      <c r="X73" s="37">
        <f ca="1">IFERROR(__xludf.DUMMYFUNCTION("""COMPUTED_VALUE"""),0)</f>
        <v>0</v>
      </c>
      <c r="Y73" s="37">
        <f ca="1">IFERROR(__xludf.DUMMYFUNCTION("""COMPUTED_VALUE"""),0)</f>
        <v>0</v>
      </c>
      <c r="Z73" s="37">
        <f ca="1">IFERROR(__xludf.DUMMYFUNCTION("""COMPUTED_VALUE"""),0)</f>
        <v>0</v>
      </c>
    </row>
    <row r="74" spans="1:29" ht="12.75">
      <c r="A74" s="38" t="str">
        <f ca="1">IFERROR(__xludf.DUMMYFUNCTION("""COMPUTED_VALUE"""),"Araguatins")</f>
        <v>Araguatins</v>
      </c>
      <c r="B74" s="38" t="str">
        <f ca="1">IFERROR(__xludf.DUMMYFUNCTION("""COMPUTED_VALUE"""),"Araguatins")</f>
        <v>Araguatins</v>
      </c>
      <c r="C74" s="39" t="str">
        <f ca="1">IFERROR(__xludf.DUMMYFUNCTION("""COMPUTED_VALUE"""),"A.A. E. EST. ATANAZIO DE MOURA SEIXAS")</f>
        <v>A.A. E. EST. ATANAZIO DE MOURA SEIXAS</v>
      </c>
      <c r="D74" s="40" t="str">
        <f ca="1">IFERROR(__xludf.DUMMYFUNCTION("""COMPUTED_VALUE"""),"01068353000196")</f>
        <v>01068353000196</v>
      </c>
      <c r="E74" s="41" t="str">
        <f ca="1">IFERROR(__xludf.DUMMYFUNCTION("""COMPUTED_VALUE"""),"001")</f>
        <v>001</v>
      </c>
      <c r="F74" s="42" t="str">
        <f ca="1">IFERROR(__xludf.DUMMYFUNCTION("""COMPUTED_VALUE"""),"1305")</f>
        <v>1305</v>
      </c>
      <c r="G74" s="42" t="str">
        <f ca="1">IFERROR(__xludf.DUMMYFUNCTION("""COMPUTED_VALUE"""),"109215")</f>
        <v>109215</v>
      </c>
      <c r="H74" s="42">
        <f ca="1">IFERROR(__xludf.DUMMYFUNCTION("""COMPUTED_VALUE"""),0)</f>
        <v>0</v>
      </c>
      <c r="I74" s="42">
        <f ca="1">IFERROR(__xludf.DUMMYFUNCTION("""COMPUTED_VALUE"""),0)</f>
        <v>0</v>
      </c>
      <c r="J74" s="42">
        <f ca="1">IFERROR(__xludf.DUMMYFUNCTION("""COMPUTED_VALUE"""),1512)</f>
        <v>1512</v>
      </c>
      <c r="K74" s="42">
        <f ca="1">IFERROR(__xludf.DUMMYFUNCTION("""COMPUTED_VALUE"""),0)</f>
        <v>0</v>
      </c>
      <c r="L74" s="42">
        <f ca="1">IFERROR(__xludf.DUMMYFUNCTION("""COMPUTED_VALUE"""),0)</f>
        <v>0</v>
      </c>
      <c r="M74" s="42">
        <f ca="1">IFERROR(__xludf.DUMMYFUNCTION("""COMPUTED_VALUE"""),0)</f>
        <v>0</v>
      </c>
      <c r="N74" s="42">
        <f ca="1">IFERROR(__xludf.DUMMYFUNCTION("""COMPUTED_VALUE"""),0)</f>
        <v>0</v>
      </c>
      <c r="O74" s="42">
        <f ca="1">IFERROR(__xludf.DUMMYFUNCTION("""COMPUTED_VALUE"""),0)</f>
        <v>0</v>
      </c>
      <c r="P74" s="42">
        <f ca="1">IFERROR(__xludf.DUMMYFUNCTION("""COMPUTED_VALUE"""),0)</f>
        <v>0</v>
      </c>
      <c r="Q74" s="42">
        <f ca="1">IFERROR(__xludf.DUMMYFUNCTION("""COMPUTED_VALUE"""),693)</f>
        <v>693</v>
      </c>
      <c r="R74" s="42">
        <f ca="1">IFERROR(__xludf.DUMMYFUNCTION("""COMPUTED_VALUE"""),0)</f>
        <v>0</v>
      </c>
      <c r="S74" s="42">
        <f ca="1">IFERROR(__xludf.DUMMYFUNCTION("""COMPUTED_VALUE"""),0)</f>
        <v>0</v>
      </c>
      <c r="T74" s="42">
        <f ca="1">IFERROR(__xludf.DUMMYFUNCTION("""COMPUTED_VALUE"""),252)</f>
        <v>252</v>
      </c>
      <c r="U74" s="42">
        <f ca="1">IFERROR(__xludf.DUMMYFUNCTION("""COMPUTED_VALUE"""),0)</f>
        <v>0</v>
      </c>
      <c r="V74" s="42">
        <f ca="1">IFERROR(__xludf.DUMMYFUNCTION("""COMPUTED_VALUE"""),0)</f>
        <v>0</v>
      </c>
      <c r="W74" s="42">
        <f ca="1">IFERROR(__xludf.DUMMYFUNCTION("""COMPUTED_VALUE"""),0)</f>
        <v>0</v>
      </c>
      <c r="X74" s="42">
        <f ca="1">IFERROR(__xludf.DUMMYFUNCTION("""COMPUTED_VALUE"""),0)</f>
        <v>0</v>
      </c>
      <c r="Y74" s="42">
        <f ca="1">IFERROR(__xludf.DUMMYFUNCTION("""COMPUTED_VALUE"""),0)</f>
        <v>0</v>
      </c>
      <c r="Z74" s="42">
        <f ca="1">IFERROR(__xludf.DUMMYFUNCTION("""COMPUTED_VALUE"""),0)</f>
        <v>0</v>
      </c>
    </row>
    <row r="75" spans="1:29" ht="12.75">
      <c r="A75" s="43" t="str">
        <f ca="1">IFERROR(__xludf.DUMMYFUNCTION("""COMPUTED_VALUE"""),"Araguatins")</f>
        <v>Araguatins</v>
      </c>
      <c r="B75" s="43" t="str">
        <f ca="1">IFERROR(__xludf.DUMMYFUNCTION("""COMPUTED_VALUE"""),"Araguatins")</f>
        <v>Araguatins</v>
      </c>
      <c r="C75" s="44" t="str">
        <f ca="1">IFERROR(__xludf.DUMMYFUNCTION("""COMPUTED_VALUE"""),"A.A. COL. EST. LEONIDAS G. DUARTE")</f>
        <v>A.A. COL. EST. LEONIDAS G. DUARTE</v>
      </c>
      <c r="D75" s="45" t="str">
        <f ca="1">IFERROR(__xludf.DUMMYFUNCTION("""COMPUTED_VALUE"""),"01190189000195")</f>
        <v>01190189000195</v>
      </c>
      <c r="E75" s="46" t="str">
        <f ca="1">IFERROR(__xludf.DUMMYFUNCTION("""COMPUTED_VALUE"""),"001")</f>
        <v>001</v>
      </c>
      <c r="F75" s="47" t="str">
        <f ca="1">IFERROR(__xludf.DUMMYFUNCTION("""COMPUTED_VALUE"""),"1305")</f>
        <v>1305</v>
      </c>
      <c r="G75" s="47" t="str">
        <f ca="1">IFERROR(__xludf.DUMMYFUNCTION("""COMPUTED_VALUE"""),"0019143")</f>
        <v>0019143</v>
      </c>
      <c r="H75" s="47">
        <f ca="1">IFERROR(__xludf.DUMMYFUNCTION("""COMPUTED_VALUE"""),0)</f>
        <v>0</v>
      </c>
      <c r="I75" s="47">
        <f ca="1">IFERROR(__xludf.DUMMYFUNCTION("""COMPUTED_VALUE"""),0)</f>
        <v>0</v>
      </c>
      <c r="J75" s="47">
        <f ca="1">IFERROR(__xludf.DUMMYFUNCTION("""COMPUTED_VALUE"""),9408)</f>
        <v>9408</v>
      </c>
      <c r="K75" s="47">
        <f ca="1">IFERROR(__xludf.DUMMYFUNCTION("""COMPUTED_VALUE"""),0)</f>
        <v>0</v>
      </c>
      <c r="L75" s="47">
        <f ca="1">IFERROR(__xludf.DUMMYFUNCTION("""COMPUTED_VALUE"""),0)</f>
        <v>0</v>
      </c>
      <c r="M75" s="47">
        <f ca="1">IFERROR(__xludf.DUMMYFUNCTION("""COMPUTED_VALUE"""),0)</f>
        <v>0</v>
      </c>
      <c r="N75" s="47">
        <f ca="1">IFERROR(__xludf.DUMMYFUNCTION("""COMPUTED_VALUE"""),0)</f>
        <v>0</v>
      </c>
      <c r="O75" s="47">
        <f ca="1">IFERROR(__xludf.DUMMYFUNCTION("""COMPUTED_VALUE"""),0)</f>
        <v>0</v>
      </c>
      <c r="P75" s="47">
        <f ca="1">IFERROR(__xludf.DUMMYFUNCTION("""COMPUTED_VALUE"""),336)</f>
        <v>336</v>
      </c>
      <c r="Q75" s="47">
        <f ca="1">IFERROR(__xludf.DUMMYFUNCTION("""COMPUTED_VALUE"""),0)</f>
        <v>0</v>
      </c>
      <c r="R75" s="47">
        <f ca="1">IFERROR(__xludf.DUMMYFUNCTION("""COMPUTED_VALUE"""),0)</f>
        <v>0</v>
      </c>
      <c r="S75" s="47">
        <f ca="1">IFERROR(__xludf.DUMMYFUNCTION("""COMPUTED_VALUE"""),0)</f>
        <v>0</v>
      </c>
      <c r="T75" s="47">
        <f ca="1">IFERROR(__xludf.DUMMYFUNCTION("""COMPUTED_VALUE"""),0)</f>
        <v>0</v>
      </c>
      <c r="U75" s="47">
        <f ca="1">IFERROR(__xludf.DUMMYFUNCTION("""COMPUTED_VALUE"""),0)</f>
        <v>0</v>
      </c>
      <c r="V75" s="47">
        <f ca="1">IFERROR(__xludf.DUMMYFUNCTION("""COMPUTED_VALUE"""),0)</f>
        <v>0</v>
      </c>
      <c r="W75" s="47">
        <f ca="1">IFERROR(__xludf.DUMMYFUNCTION("""COMPUTED_VALUE"""),0)</f>
        <v>0</v>
      </c>
      <c r="X75" s="47">
        <f ca="1">IFERROR(__xludf.DUMMYFUNCTION("""COMPUTED_VALUE"""),0)</f>
        <v>0</v>
      </c>
      <c r="Y75" s="47">
        <f ca="1">IFERROR(__xludf.DUMMYFUNCTION("""COMPUTED_VALUE"""),0)</f>
        <v>0</v>
      </c>
      <c r="Z75" s="47">
        <f ca="1">IFERROR(__xludf.DUMMYFUNCTION("""COMPUTED_VALUE"""),0)</f>
        <v>0</v>
      </c>
      <c r="AA75" s="48"/>
      <c r="AB75" s="48"/>
      <c r="AC75" s="48"/>
    </row>
    <row r="76" spans="1:29" ht="12.75">
      <c r="A76" s="38" t="str">
        <f ca="1">IFERROR(__xludf.DUMMYFUNCTION("""COMPUTED_VALUE"""),"Araguatins")</f>
        <v>Araguatins</v>
      </c>
      <c r="B76" s="38" t="str">
        <f ca="1">IFERROR(__xludf.DUMMYFUNCTION("""COMPUTED_VALUE"""),"Araguatins")</f>
        <v>Araguatins</v>
      </c>
      <c r="C76" s="39" t="str">
        <f ca="1">IFERROR(__xludf.DUMMYFUNCTION("""COMPUTED_VALUE"""),"A.A. A ESC. EST. OSVALDO FRANCO")</f>
        <v>A.A. A ESC. EST. OSVALDO FRANCO</v>
      </c>
      <c r="D76" s="40" t="str">
        <f ca="1">IFERROR(__xludf.DUMMYFUNCTION("""COMPUTED_VALUE"""),"01392733000181")</f>
        <v>01392733000181</v>
      </c>
      <c r="E76" s="41" t="str">
        <f ca="1">IFERROR(__xludf.DUMMYFUNCTION("""COMPUTED_VALUE"""),"001")</f>
        <v>001</v>
      </c>
      <c r="F76" s="42" t="str">
        <f ca="1">IFERROR(__xludf.DUMMYFUNCTION("""COMPUTED_VALUE"""),"1305")</f>
        <v>1305</v>
      </c>
      <c r="G76" s="42" t="str">
        <f ca="1">IFERROR(__xludf.DUMMYFUNCTION("""COMPUTED_VALUE"""),"109738")</f>
        <v>109738</v>
      </c>
      <c r="H76" s="42">
        <f ca="1">IFERROR(__xludf.DUMMYFUNCTION("""COMPUTED_VALUE"""),0)</f>
        <v>0</v>
      </c>
      <c r="I76" s="42">
        <f ca="1">IFERROR(__xludf.DUMMYFUNCTION("""COMPUTED_VALUE"""),0)</f>
        <v>0</v>
      </c>
      <c r="J76" s="42">
        <f ca="1">IFERROR(__xludf.DUMMYFUNCTION("""COMPUTED_VALUE"""),7413)</f>
        <v>7413</v>
      </c>
      <c r="K76" s="42">
        <f ca="1">IFERROR(__xludf.DUMMYFUNCTION("""COMPUTED_VALUE"""),0)</f>
        <v>0</v>
      </c>
      <c r="L76" s="42">
        <f ca="1">IFERROR(__xludf.DUMMYFUNCTION("""COMPUTED_VALUE"""),0)</f>
        <v>0</v>
      </c>
      <c r="M76" s="42">
        <f ca="1">IFERROR(__xludf.DUMMYFUNCTION("""COMPUTED_VALUE"""),0)</f>
        <v>0</v>
      </c>
      <c r="N76" s="42">
        <f ca="1">IFERROR(__xludf.DUMMYFUNCTION("""COMPUTED_VALUE"""),0)</f>
        <v>0</v>
      </c>
      <c r="O76" s="42">
        <f ca="1">IFERROR(__xludf.DUMMYFUNCTION("""COMPUTED_VALUE"""),0)</f>
        <v>0</v>
      </c>
      <c r="P76" s="42">
        <f ca="1">IFERROR(__xludf.DUMMYFUNCTION("""COMPUTED_VALUE"""),462)</f>
        <v>462</v>
      </c>
      <c r="Q76" s="42">
        <f ca="1">IFERROR(__xludf.DUMMYFUNCTION("""COMPUTED_VALUE"""),0)</f>
        <v>0</v>
      </c>
      <c r="R76" s="42">
        <f ca="1">IFERROR(__xludf.DUMMYFUNCTION("""COMPUTED_VALUE"""),0)</f>
        <v>0</v>
      </c>
      <c r="S76" s="42">
        <f ca="1">IFERROR(__xludf.DUMMYFUNCTION("""COMPUTED_VALUE"""),0)</f>
        <v>0</v>
      </c>
      <c r="T76" s="42">
        <f ca="1">IFERROR(__xludf.DUMMYFUNCTION("""COMPUTED_VALUE"""),3843)</f>
        <v>3843</v>
      </c>
      <c r="U76" s="42">
        <f ca="1">IFERROR(__xludf.DUMMYFUNCTION("""COMPUTED_VALUE"""),0)</f>
        <v>0</v>
      </c>
      <c r="V76" s="42">
        <f ca="1">IFERROR(__xludf.DUMMYFUNCTION("""COMPUTED_VALUE"""),0)</f>
        <v>0</v>
      </c>
      <c r="W76" s="42">
        <f ca="1">IFERROR(__xludf.DUMMYFUNCTION("""COMPUTED_VALUE"""),0)</f>
        <v>0</v>
      </c>
      <c r="X76" s="42">
        <f ca="1">IFERROR(__xludf.DUMMYFUNCTION("""COMPUTED_VALUE"""),0)</f>
        <v>0</v>
      </c>
      <c r="Y76" s="42">
        <f ca="1">IFERROR(__xludf.DUMMYFUNCTION("""COMPUTED_VALUE"""),0)</f>
        <v>0</v>
      </c>
      <c r="Z76" s="42">
        <f ca="1">IFERROR(__xludf.DUMMYFUNCTION("""COMPUTED_VALUE"""),0)</f>
        <v>0</v>
      </c>
    </row>
    <row r="77" spans="1:29" ht="12.75">
      <c r="A77" s="33" t="str">
        <f ca="1">IFERROR(__xludf.DUMMYFUNCTION("""COMPUTED_VALUE"""),"Araguatins")</f>
        <v>Araguatins</v>
      </c>
      <c r="B77" s="33" t="str">
        <f ca="1">IFERROR(__xludf.DUMMYFUNCTION("""COMPUTED_VALUE"""),"Araguatins")</f>
        <v>Araguatins</v>
      </c>
      <c r="C77" s="34" t="str">
        <f ca="1">IFERROR(__xludf.DUMMYFUNCTION("""COMPUTED_VALUE"""),"A.A. ESC. ESTADUAL ALDINAR GONÇALVES DE CARVALHO")</f>
        <v>A.A. ESC. ESTADUAL ALDINAR GONÇALVES DE CARVALHO</v>
      </c>
      <c r="D77" s="35" t="str">
        <f ca="1">IFERROR(__xludf.DUMMYFUNCTION("""COMPUTED_VALUE"""),"09465471000140")</f>
        <v>09465471000140</v>
      </c>
      <c r="E77" s="36" t="str">
        <f ca="1">IFERROR(__xludf.DUMMYFUNCTION("""COMPUTED_VALUE"""),"001")</f>
        <v>001</v>
      </c>
      <c r="F77" s="37" t="str">
        <f ca="1">IFERROR(__xludf.DUMMYFUNCTION("""COMPUTED_VALUE"""),"1305")</f>
        <v>1305</v>
      </c>
      <c r="G77" s="37" t="str">
        <f ca="1">IFERROR(__xludf.DUMMYFUNCTION("""COMPUTED_VALUE"""),"196657")</f>
        <v>196657</v>
      </c>
      <c r="H77" s="37">
        <f ca="1">IFERROR(__xludf.DUMMYFUNCTION("""COMPUTED_VALUE"""),0)</f>
        <v>0</v>
      </c>
      <c r="I77" s="37">
        <f ca="1">IFERROR(__xludf.DUMMYFUNCTION("""COMPUTED_VALUE"""),0)</f>
        <v>0</v>
      </c>
      <c r="J77" s="37">
        <f ca="1">IFERROR(__xludf.DUMMYFUNCTION("""COMPUTED_VALUE"""),0)</f>
        <v>0</v>
      </c>
      <c r="K77" s="37">
        <f ca="1">IFERROR(__xludf.DUMMYFUNCTION("""COMPUTED_VALUE"""),49313.6)</f>
        <v>49313.599999999999</v>
      </c>
      <c r="L77" s="37">
        <f ca="1">IFERROR(__xludf.DUMMYFUNCTION("""COMPUTED_VALUE"""),0)</f>
        <v>0</v>
      </c>
      <c r="M77" s="37">
        <f ca="1">IFERROR(__xludf.DUMMYFUNCTION("""COMPUTED_VALUE"""),0)</f>
        <v>0</v>
      </c>
      <c r="N77" s="37">
        <f ca="1">IFERROR(__xludf.DUMMYFUNCTION("""COMPUTED_VALUE"""),0)</f>
        <v>0</v>
      </c>
      <c r="O77" s="37">
        <f ca="1">IFERROR(__xludf.DUMMYFUNCTION("""COMPUTED_VALUE"""),0)</f>
        <v>0</v>
      </c>
      <c r="P77" s="37">
        <f ca="1">IFERROR(__xludf.DUMMYFUNCTION("""COMPUTED_VALUE"""),630)</f>
        <v>630</v>
      </c>
      <c r="Q77" s="37">
        <f ca="1">IFERROR(__xludf.DUMMYFUNCTION("""COMPUTED_VALUE"""),0)</f>
        <v>0</v>
      </c>
      <c r="R77" s="37">
        <f ca="1">IFERROR(__xludf.DUMMYFUNCTION("""COMPUTED_VALUE"""),3920)</f>
        <v>3920</v>
      </c>
      <c r="S77" s="37">
        <f ca="1">IFERROR(__xludf.DUMMYFUNCTION("""COMPUTED_VALUE"""),0)</f>
        <v>0</v>
      </c>
      <c r="T77" s="37">
        <f ca="1">IFERROR(__xludf.DUMMYFUNCTION("""COMPUTED_VALUE"""),0)</f>
        <v>0</v>
      </c>
      <c r="U77" s="37">
        <f ca="1">IFERROR(__xludf.DUMMYFUNCTION("""COMPUTED_VALUE"""),0)</f>
        <v>0</v>
      </c>
      <c r="V77" s="37">
        <f ca="1">IFERROR(__xludf.DUMMYFUNCTION("""COMPUTED_VALUE"""),0)</f>
        <v>0</v>
      </c>
      <c r="W77" s="37">
        <f ca="1">IFERROR(__xludf.DUMMYFUNCTION("""COMPUTED_VALUE"""),0)</f>
        <v>0</v>
      </c>
      <c r="X77" s="37">
        <f ca="1">IFERROR(__xludf.DUMMYFUNCTION("""COMPUTED_VALUE"""),0)</f>
        <v>0</v>
      </c>
      <c r="Y77" s="37">
        <f ca="1">IFERROR(__xludf.DUMMYFUNCTION("""COMPUTED_VALUE"""),0)</f>
        <v>0</v>
      </c>
      <c r="Z77" s="37">
        <f ca="1">IFERROR(__xludf.DUMMYFUNCTION("""COMPUTED_VALUE"""),4491)</f>
        <v>4491</v>
      </c>
    </row>
    <row r="78" spans="1:29" ht="12.75">
      <c r="A78" s="38" t="str">
        <f ca="1">IFERROR(__xludf.DUMMYFUNCTION("""COMPUTED_VALUE"""),"Araguatins")</f>
        <v>Araguatins</v>
      </c>
      <c r="B78" s="38" t="str">
        <f ca="1">IFERROR(__xludf.DUMMYFUNCTION("""COMPUTED_VALUE"""),"Araguatins")</f>
        <v>Araguatins</v>
      </c>
      <c r="C78" s="39" t="str">
        <f ca="1">IFERROR(__xludf.DUMMYFUNCTION("""COMPUTED_VALUE"""),"ASSOC. DE APOIO ESC. EST. FREI SAVINO")</f>
        <v>ASSOC. DE APOIO ESC. EST. FREI SAVINO</v>
      </c>
      <c r="D78" s="40" t="str">
        <f ca="1">IFERROR(__xludf.DUMMYFUNCTION("""COMPUTED_VALUE"""),"01181389000181")</f>
        <v>01181389000181</v>
      </c>
      <c r="E78" s="41" t="str">
        <f ca="1">IFERROR(__xludf.DUMMYFUNCTION("""COMPUTED_VALUE"""),"001")</f>
        <v>001</v>
      </c>
      <c r="F78" s="42" t="str">
        <f ca="1">IFERROR(__xludf.DUMMYFUNCTION("""COMPUTED_VALUE"""),"1305")</f>
        <v>1305</v>
      </c>
      <c r="G78" s="42" t="str">
        <f ca="1">IFERROR(__xludf.DUMMYFUNCTION("""COMPUTED_VALUE"""),"0019437")</f>
        <v>0019437</v>
      </c>
      <c r="H78" s="42">
        <f ca="1">IFERROR(__xludf.DUMMYFUNCTION("""COMPUTED_VALUE"""),0)</f>
        <v>0</v>
      </c>
      <c r="I78" s="42">
        <f ca="1">IFERROR(__xludf.DUMMYFUNCTION("""COMPUTED_VALUE"""),0)</f>
        <v>0</v>
      </c>
      <c r="J78" s="42">
        <f ca="1">IFERROR(__xludf.DUMMYFUNCTION("""COMPUTED_VALUE"""),1113)</f>
        <v>1113</v>
      </c>
      <c r="K78" s="42">
        <f ca="1">IFERROR(__xludf.DUMMYFUNCTION("""COMPUTED_VALUE"""),0)</f>
        <v>0</v>
      </c>
      <c r="L78" s="42">
        <f ca="1">IFERROR(__xludf.DUMMYFUNCTION("""COMPUTED_VALUE"""),0)</f>
        <v>0</v>
      </c>
      <c r="M78" s="42">
        <f ca="1">IFERROR(__xludf.DUMMYFUNCTION("""COMPUTED_VALUE"""),0)</f>
        <v>0</v>
      </c>
      <c r="N78" s="42">
        <f ca="1">IFERROR(__xludf.DUMMYFUNCTION("""COMPUTED_VALUE"""),0)</f>
        <v>0</v>
      </c>
      <c r="O78" s="42">
        <f ca="1">IFERROR(__xludf.DUMMYFUNCTION("""COMPUTED_VALUE"""),0)</f>
        <v>0</v>
      </c>
      <c r="P78" s="42">
        <f ca="1">IFERROR(__xludf.DUMMYFUNCTION("""COMPUTED_VALUE"""),294)</f>
        <v>294</v>
      </c>
      <c r="Q78" s="42">
        <f ca="1">IFERROR(__xludf.DUMMYFUNCTION("""COMPUTED_VALUE"""),756)</f>
        <v>756</v>
      </c>
      <c r="R78" s="42">
        <f ca="1">IFERROR(__xludf.DUMMYFUNCTION("""COMPUTED_VALUE"""),0)</f>
        <v>0</v>
      </c>
      <c r="S78" s="42">
        <f ca="1">IFERROR(__xludf.DUMMYFUNCTION("""COMPUTED_VALUE"""),0)</f>
        <v>0</v>
      </c>
      <c r="T78" s="42">
        <f ca="1">IFERROR(__xludf.DUMMYFUNCTION("""COMPUTED_VALUE"""),0)</f>
        <v>0</v>
      </c>
      <c r="U78" s="42">
        <f ca="1">IFERROR(__xludf.DUMMYFUNCTION("""COMPUTED_VALUE"""),0)</f>
        <v>0</v>
      </c>
      <c r="V78" s="42">
        <f ca="1">IFERROR(__xludf.DUMMYFUNCTION("""COMPUTED_VALUE"""),0)</f>
        <v>0</v>
      </c>
      <c r="W78" s="42">
        <f ca="1">IFERROR(__xludf.DUMMYFUNCTION("""COMPUTED_VALUE"""),0)</f>
        <v>0</v>
      </c>
      <c r="X78" s="42">
        <f ca="1">IFERROR(__xludf.DUMMYFUNCTION("""COMPUTED_VALUE"""),0)</f>
        <v>0</v>
      </c>
      <c r="Y78" s="42">
        <f ca="1">IFERROR(__xludf.DUMMYFUNCTION("""COMPUTED_VALUE"""),0)</f>
        <v>0</v>
      </c>
      <c r="Z78" s="42">
        <f ca="1">IFERROR(__xludf.DUMMYFUNCTION("""COMPUTED_VALUE"""),0)</f>
        <v>0</v>
      </c>
    </row>
    <row r="79" spans="1:29" ht="12.75">
      <c r="A79" s="33" t="str">
        <f ca="1">IFERROR(__xludf.DUMMYFUNCTION("""COMPUTED_VALUE"""),"Araguatins")</f>
        <v>Araguatins</v>
      </c>
      <c r="B79" s="33" t="str">
        <f ca="1">IFERROR(__xludf.DUMMYFUNCTION("""COMPUTED_VALUE"""),"Araguatins")</f>
        <v>Araguatins</v>
      </c>
      <c r="C79" s="34" t="str">
        <f ca="1">IFERROR(__xludf.DUMMYFUNCTION("""COMPUTED_VALUE"""),"ASSOC. APOIO ESC. EST. DENISE GOMIDE AMUI")</f>
        <v>ASSOC. APOIO ESC. EST. DENISE GOMIDE AMUI</v>
      </c>
      <c r="D79" s="35" t="str">
        <f ca="1">IFERROR(__xludf.DUMMYFUNCTION("""COMPUTED_VALUE"""),"01136000000186")</f>
        <v>01136000000186</v>
      </c>
      <c r="E79" s="36" t="str">
        <f ca="1">IFERROR(__xludf.DUMMYFUNCTION("""COMPUTED_VALUE"""),"001")</f>
        <v>001</v>
      </c>
      <c r="F79" s="37" t="str">
        <f ca="1">IFERROR(__xludf.DUMMYFUNCTION("""COMPUTED_VALUE"""),"1305")</f>
        <v>1305</v>
      </c>
      <c r="G79" s="37" t="str">
        <f ca="1">IFERROR(__xludf.DUMMYFUNCTION("""COMPUTED_VALUE"""),"0109223")</f>
        <v>0109223</v>
      </c>
      <c r="H79" s="37">
        <f ca="1">IFERROR(__xludf.DUMMYFUNCTION("""COMPUTED_VALUE"""),0)</f>
        <v>0</v>
      </c>
      <c r="I79" s="37">
        <f ca="1">IFERROR(__xludf.DUMMYFUNCTION("""COMPUTED_VALUE"""),0)</f>
        <v>0</v>
      </c>
      <c r="J79" s="37">
        <f ca="1">IFERROR(__xludf.DUMMYFUNCTION("""COMPUTED_VALUE"""),0)</f>
        <v>0</v>
      </c>
      <c r="K79" s="37">
        <f ca="1">IFERROR(__xludf.DUMMYFUNCTION("""COMPUTED_VALUE"""),0)</f>
        <v>0</v>
      </c>
      <c r="L79" s="37">
        <f ca="1">IFERROR(__xludf.DUMMYFUNCTION("""COMPUTED_VALUE"""),0)</f>
        <v>0</v>
      </c>
      <c r="M79" s="37">
        <f ca="1">IFERROR(__xludf.DUMMYFUNCTION("""COMPUTED_VALUE"""),0)</f>
        <v>0</v>
      </c>
      <c r="N79" s="37">
        <f ca="1">IFERROR(__xludf.DUMMYFUNCTION("""COMPUTED_VALUE"""),0)</f>
        <v>0</v>
      </c>
      <c r="O79" s="37">
        <f ca="1">IFERROR(__xludf.DUMMYFUNCTION("""COMPUTED_VALUE"""),0)</f>
        <v>0</v>
      </c>
      <c r="P79" s="37">
        <f ca="1">IFERROR(__xludf.DUMMYFUNCTION("""COMPUTED_VALUE"""),231)</f>
        <v>231</v>
      </c>
      <c r="Q79" s="37">
        <f ca="1">IFERROR(__xludf.DUMMYFUNCTION("""COMPUTED_VALUE"""),12642)</f>
        <v>12642</v>
      </c>
      <c r="R79" s="37">
        <f ca="1">IFERROR(__xludf.DUMMYFUNCTION("""COMPUTED_VALUE"""),0)</f>
        <v>0</v>
      </c>
      <c r="S79" s="37">
        <f ca="1">IFERROR(__xludf.DUMMYFUNCTION("""COMPUTED_VALUE"""),0)</f>
        <v>0</v>
      </c>
      <c r="T79" s="37">
        <f ca="1">IFERROR(__xludf.DUMMYFUNCTION("""COMPUTED_VALUE"""),0)</f>
        <v>0</v>
      </c>
      <c r="U79" s="37">
        <f ca="1">IFERROR(__xludf.DUMMYFUNCTION("""COMPUTED_VALUE"""),0)</f>
        <v>0</v>
      </c>
      <c r="V79" s="37">
        <f ca="1">IFERROR(__xludf.DUMMYFUNCTION("""COMPUTED_VALUE"""),0)</f>
        <v>0</v>
      </c>
      <c r="W79" s="37">
        <f ca="1">IFERROR(__xludf.DUMMYFUNCTION("""COMPUTED_VALUE"""),0)</f>
        <v>0</v>
      </c>
      <c r="X79" s="37">
        <f ca="1">IFERROR(__xludf.DUMMYFUNCTION("""COMPUTED_VALUE"""),0)</f>
        <v>0</v>
      </c>
      <c r="Y79" s="37">
        <f ca="1">IFERROR(__xludf.DUMMYFUNCTION("""COMPUTED_VALUE"""),0)</f>
        <v>0</v>
      </c>
      <c r="Z79" s="37">
        <f ca="1">IFERROR(__xludf.DUMMYFUNCTION("""COMPUTED_VALUE"""),0)</f>
        <v>0</v>
      </c>
    </row>
    <row r="80" spans="1:29" ht="12.75">
      <c r="A80" s="38" t="str">
        <f ca="1">IFERROR(__xludf.DUMMYFUNCTION("""COMPUTED_VALUE"""),"Araguatins")</f>
        <v>Araguatins</v>
      </c>
      <c r="B80" s="38" t="str">
        <f ca="1">IFERROR(__xludf.DUMMYFUNCTION("""COMPUTED_VALUE"""),"Araguatins")</f>
        <v>Araguatins</v>
      </c>
      <c r="C80" s="39" t="str">
        <f ca="1">IFERROR(__xludf.DUMMYFUNCTION("""COMPUTED_VALUE"""),"A.A.  A ESC. EST. SANTA GERTRUDES")</f>
        <v>A.A.  A ESC. EST. SANTA GERTRUDES</v>
      </c>
      <c r="D80" s="40" t="str">
        <f ca="1">IFERROR(__xludf.DUMMYFUNCTION("""COMPUTED_VALUE"""),"03713455000142")</f>
        <v>03713455000142</v>
      </c>
      <c r="E80" s="41" t="str">
        <f ca="1">IFERROR(__xludf.DUMMYFUNCTION("""COMPUTED_VALUE"""),"001")</f>
        <v>001</v>
      </c>
      <c r="F80" s="42" t="str">
        <f ca="1">IFERROR(__xludf.DUMMYFUNCTION("""COMPUTED_VALUE"""),"1305")</f>
        <v>1305</v>
      </c>
      <c r="G80" s="42" t="str">
        <f ca="1">IFERROR(__xludf.DUMMYFUNCTION("""COMPUTED_VALUE"""),"78271")</f>
        <v>78271</v>
      </c>
      <c r="H80" s="42">
        <f ca="1">IFERROR(__xludf.DUMMYFUNCTION("""COMPUTED_VALUE"""),0)</f>
        <v>0</v>
      </c>
      <c r="I80" s="42">
        <f ca="1">IFERROR(__xludf.DUMMYFUNCTION("""COMPUTED_VALUE"""),0)</f>
        <v>0</v>
      </c>
      <c r="J80" s="42">
        <f ca="1">IFERROR(__xludf.DUMMYFUNCTION("""COMPUTED_VALUE"""),1995)</f>
        <v>1995</v>
      </c>
      <c r="K80" s="42">
        <f ca="1">IFERROR(__xludf.DUMMYFUNCTION("""COMPUTED_VALUE"""),0)</f>
        <v>0</v>
      </c>
      <c r="L80" s="42">
        <f ca="1">IFERROR(__xludf.DUMMYFUNCTION("""COMPUTED_VALUE"""),0)</f>
        <v>0</v>
      </c>
      <c r="M80" s="42">
        <f ca="1">IFERROR(__xludf.DUMMYFUNCTION("""COMPUTED_VALUE"""),0)</f>
        <v>0</v>
      </c>
      <c r="N80" s="42">
        <f ca="1">IFERROR(__xludf.DUMMYFUNCTION("""COMPUTED_VALUE"""),0)</f>
        <v>0</v>
      </c>
      <c r="O80" s="42">
        <f ca="1">IFERROR(__xludf.DUMMYFUNCTION("""COMPUTED_VALUE"""),0)</f>
        <v>0</v>
      </c>
      <c r="P80" s="42">
        <f ca="1">IFERROR(__xludf.DUMMYFUNCTION("""COMPUTED_VALUE"""),315)</f>
        <v>315</v>
      </c>
      <c r="Q80" s="42">
        <f ca="1">IFERROR(__xludf.DUMMYFUNCTION("""COMPUTED_VALUE"""),1092)</f>
        <v>1092</v>
      </c>
      <c r="R80" s="42">
        <f ca="1">IFERROR(__xludf.DUMMYFUNCTION("""COMPUTED_VALUE"""),0)</f>
        <v>0</v>
      </c>
      <c r="S80" s="42">
        <f ca="1">IFERROR(__xludf.DUMMYFUNCTION("""COMPUTED_VALUE"""),0)</f>
        <v>0</v>
      </c>
      <c r="T80" s="42">
        <f ca="1">IFERROR(__xludf.DUMMYFUNCTION("""COMPUTED_VALUE"""),0)</f>
        <v>0</v>
      </c>
      <c r="U80" s="42">
        <f ca="1">IFERROR(__xludf.DUMMYFUNCTION("""COMPUTED_VALUE"""),0)</f>
        <v>0</v>
      </c>
      <c r="V80" s="42">
        <f ca="1">IFERROR(__xludf.DUMMYFUNCTION("""COMPUTED_VALUE"""),0)</f>
        <v>0</v>
      </c>
      <c r="W80" s="42">
        <f ca="1">IFERROR(__xludf.DUMMYFUNCTION("""COMPUTED_VALUE"""),0)</f>
        <v>0</v>
      </c>
      <c r="X80" s="42">
        <f ca="1">IFERROR(__xludf.DUMMYFUNCTION("""COMPUTED_VALUE"""),0)</f>
        <v>0</v>
      </c>
      <c r="Y80" s="42">
        <f ca="1">IFERROR(__xludf.DUMMYFUNCTION("""COMPUTED_VALUE"""),0)</f>
        <v>0</v>
      </c>
      <c r="Z80" s="42">
        <f ca="1">IFERROR(__xludf.DUMMYFUNCTION("""COMPUTED_VALUE"""),0)</f>
        <v>0</v>
      </c>
    </row>
    <row r="81" spans="1:26" ht="12.75">
      <c r="A81" s="33" t="str">
        <f ca="1">IFERROR(__xludf.DUMMYFUNCTION("""COMPUTED_VALUE"""),"Araguatins")</f>
        <v>Araguatins</v>
      </c>
      <c r="B81" s="33" t="str">
        <f ca="1">IFERROR(__xludf.DUMMYFUNCTION("""COMPUTED_VALUE"""),"Araguatins")</f>
        <v>Araguatins</v>
      </c>
      <c r="C81" s="34" t="str">
        <f ca="1">IFERROR(__xludf.DUMMYFUNCTION("""COMPUTED_VALUE"""),"A.A.  A ESCOLA ISOLADA BOA SORTE")</f>
        <v>A.A.  A ESCOLA ISOLADA BOA SORTE</v>
      </c>
      <c r="D81" s="35" t="str">
        <f ca="1">IFERROR(__xludf.DUMMYFUNCTION("""COMPUTED_VALUE"""),"03765304000138")</f>
        <v>03765304000138</v>
      </c>
      <c r="E81" s="36" t="str">
        <f ca="1">IFERROR(__xludf.DUMMYFUNCTION("""COMPUTED_VALUE"""),"001")</f>
        <v>001</v>
      </c>
      <c r="F81" s="37" t="str">
        <f ca="1">IFERROR(__xludf.DUMMYFUNCTION("""COMPUTED_VALUE"""),"1305")</f>
        <v>1305</v>
      </c>
      <c r="G81" s="37" t="str">
        <f ca="1">IFERROR(__xludf.DUMMYFUNCTION("""COMPUTED_VALUE"""),"78964")</f>
        <v>78964</v>
      </c>
      <c r="H81" s="37">
        <f ca="1">IFERROR(__xludf.DUMMYFUNCTION("""COMPUTED_VALUE"""),0)</f>
        <v>0</v>
      </c>
      <c r="I81" s="37">
        <f ca="1">IFERROR(__xludf.DUMMYFUNCTION("""COMPUTED_VALUE"""),0)</f>
        <v>0</v>
      </c>
      <c r="J81" s="37">
        <f ca="1">IFERROR(__xludf.DUMMYFUNCTION("""COMPUTED_VALUE"""),1197)</f>
        <v>1197</v>
      </c>
      <c r="K81" s="37">
        <f ca="1">IFERROR(__xludf.DUMMYFUNCTION("""COMPUTED_VALUE"""),0)</f>
        <v>0</v>
      </c>
      <c r="L81" s="37">
        <f ca="1">IFERROR(__xludf.DUMMYFUNCTION("""COMPUTED_VALUE"""),0)</f>
        <v>0</v>
      </c>
      <c r="M81" s="37">
        <f ca="1">IFERROR(__xludf.DUMMYFUNCTION("""COMPUTED_VALUE"""),0)</f>
        <v>0</v>
      </c>
      <c r="N81" s="37">
        <f ca="1">IFERROR(__xludf.DUMMYFUNCTION("""COMPUTED_VALUE"""),0)</f>
        <v>0</v>
      </c>
      <c r="O81" s="37">
        <f ca="1">IFERROR(__xludf.DUMMYFUNCTION("""COMPUTED_VALUE"""),0)</f>
        <v>0</v>
      </c>
      <c r="P81" s="37">
        <f ca="1">IFERROR(__xludf.DUMMYFUNCTION("""COMPUTED_VALUE"""),168)</f>
        <v>168</v>
      </c>
      <c r="Q81" s="37">
        <f ca="1">IFERROR(__xludf.DUMMYFUNCTION("""COMPUTED_VALUE"""),651)</f>
        <v>651</v>
      </c>
      <c r="R81" s="37">
        <f ca="1">IFERROR(__xludf.DUMMYFUNCTION("""COMPUTED_VALUE"""),0)</f>
        <v>0</v>
      </c>
      <c r="S81" s="37">
        <f ca="1">IFERROR(__xludf.DUMMYFUNCTION("""COMPUTED_VALUE"""),0)</f>
        <v>0</v>
      </c>
      <c r="T81" s="37">
        <f ca="1">IFERROR(__xludf.DUMMYFUNCTION("""COMPUTED_VALUE"""),126)</f>
        <v>126</v>
      </c>
      <c r="U81" s="37">
        <f ca="1">IFERROR(__xludf.DUMMYFUNCTION("""COMPUTED_VALUE"""),0)</f>
        <v>0</v>
      </c>
      <c r="V81" s="37">
        <f ca="1">IFERROR(__xludf.DUMMYFUNCTION("""COMPUTED_VALUE"""),0)</f>
        <v>0</v>
      </c>
      <c r="W81" s="37">
        <f ca="1">IFERROR(__xludf.DUMMYFUNCTION("""COMPUTED_VALUE"""),0)</f>
        <v>0</v>
      </c>
      <c r="X81" s="37">
        <f ca="1">IFERROR(__xludf.DUMMYFUNCTION("""COMPUTED_VALUE"""),0)</f>
        <v>0</v>
      </c>
      <c r="Y81" s="37">
        <f ca="1">IFERROR(__xludf.DUMMYFUNCTION("""COMPUTED_VALUE"""),0)</f>
        <v>0</v>
      </c>
      <c r="Z81" s="37">
        <f ca="1">IFERROR(__xludf.DUMMYFUNCTION("""COMPUTED_VALUE"""),0)</f>
        <v>0</v>
      </c>
    </row>
    <row r="82" spans="1:26" ht="12.75">
      <c r="A82" s="38" t="str">
        <f ca="1">IFERROR(__xludf.DUMMYFUNCTION("""COMPUTED_VALUE"""),"Araguatins")</f>
        <v>Araguatins</v>
      </c>
      <c r="B82" s="38" t="str">
        <f ca="1">IFERROR(__xludf.DUMMYFUNCTION("""COMPUTED_VALUE"""),"Augustinopolis")</f>
        <v>Augustinopolis</v>
      </c>
      <c r="C82" s="39" t="str">
        <f ca="1">IFERROR(__xludf.DUMMYFUNCTION("""COMPUTED_VALUE"""),"A.A. CENTRO EST. DE EDUCACAO LA SALLE")</f>
        <v>A.A. CENTRO EST. DE EDUCACAO LA SALLE</v>
      </c>
      <c r="D82" s="40" t="str">
        <f ca="1">IFERROR(__xludf.DUMMYFUNCTION("""COMPUTED_VALUE"""),"01223753000129")</f>
        <v>01223753000129</v>
      </c>
      <c r="E82" s="41" t="str">
        <f ca="1">IFERROR(__xludf.DUMMYFUNCTION("""COMPUTED_VALUE"""),"001")</f>
        <v>001</v>
      </c>
      <c r="F82" s="42" t="str">
        <f ca="1">IFERROR(__xludf.DUMMYFUNCTION("""COMPUTED_VALUE"""),"3975")</f>
        <v>3975</v>
      </c>
      <c r="G82" s="42" t="str">
        <f ca="1">IFERROR(__xludf.DUMMYFUNCTION("""COMPUTED_VALUE"""),"19216")</f>
        <v>19216</v>
      </c>
      <c r="H82" s="42">
        <f ca="1">IFERROR(__xludf.DUMMYFUNCTION("""COMPUTED_VALUE"""),0)</f>
        <v>0</v>
      </c>
      <c r="I82" s="42">
        <f ca="1">IFERROR(__xludf.DUMMYFUNCTION("""COMPUTED_VALUE"""),0)</f>
        <v>0</v>
      </c>
      <c r="J82" s="42">
        <f ca="1">IFERROR(__xludf.DUMMYFUNCTION("""COMPUTED_VALUE"""),10353)</f>
        <v>10353</v>
      </c>
      <c r="K82" s="42">
        <f ca="1">IFERROR(__xludf.DUMMYFUNCTION("""COMPUTED_VALUE"""),0)</f>
        <v>0</v>
      </c>
      <c r="L82" s="42">
        <f ca="1">IFERROR(__xludf.DUMMYFUNCTION("""COMPUTED_VALUE"""),0)</f>
        <v>0</v>
      </c>
      <c r="M82" s="42">
        <f ca="1">IFERROR(__xludf.DUMMYFUNCTION("""COMPUTED_VALUE"""),0)</f>
        <v>0</v>
      </c>
      <c r="N82" s="42">
        <f ca="1">IFERROR(__xludf.DUMMYFUNCTION("""COMPUTED_VALUE"""),0)</f>
        <v>0</v>
      </c>
      <c r="O82" s="42">
        <f ca="1">IFERROR(__xludf.DUMMYFUNCTION("""COMPUTED_VALUE"""),0)</f>
        <v>0</v>
      </c>
      <c r="P82" s="42">
        <f ca="1">IFERROR(__xludf.DUMMYFUNCTION("""COMPUTED_VALUE"""),840)</f>
        <v>840</v>
      </c>
      <c r="Q82" s="42">
        <f ca="1">IFERROR(__xludf.DUMMYFUNCTION("""COMPUTED_VALUE"""),4620)</f>
        <v>4620</v>
      </c>
      <c r="R82" s="42">
        <f ca="1">IFERROR(__xludf.DUMMYFUNCTION("""COMPUTED_VALUE"""),0)</f>
        <v>0</v>
      </c>
      <c r="S82" s="42">
        <f ca="1">IFERROR(__xludf.DUMMYFUNCTION("""COMPUTED_VALUE"""),0)</f>
        <v>0</v>
      </c>
      <c r="T82" s="42">
        <f ca="1">IFERROR(__xludf.DUMMYFUNCTION("""COMPUTED_VALUE"""),0)</f>
        <v>0</v>
      </c>
      <c r="U82" s="42">
        <f ca="1">IFERROR(__xludf.DUMMYFUNCTION("""COMPUTED_VALUE"""),0)</f>
        <v>0</v>
      </c>
      <c r="V82" s="42">
        <f ca="1">IFERROR(__xludf.DUMMYFUNCTION("""COMPUTED_VALUE"""),0)</f>
        <v>0</v>
      </c>
      <c r="W82" s="42">
        <f ca="1">IFERROR(__xludf.DUMMYFUNCTION("""COMPUTED_VALUE"""),0)</f>
        <v>0</v>
      </c>
      <c r="X82" s="42">
        <f ca="1">IFERROR(__xludf.DUMMYFUNCTION("""COMPUTED_VALUE"""),0)</f>
        <v>0</v>
      </c>
      <c r="Y82" s="42">
        <f ca="1">IFERROR(__xludf.DUMMYFUNCTION("""COMPUTED_VALUE"""),0)</f>
        <v>0</v>
      </c>
      <c r="Z82" s="42">
        <f ca="1">IFERROR(__xludf.DUMMYFUNCTION("""COMPUTED_VALUE"""),0)</f>
        <v>0</v>
      </c>
    </row>
    <row r="83" spans="1:26" ht="12.75">
      <c r="A83" s="33" t="str">
        <f ca="1">IFERROR(__xludf.DUMMYFUNCTION("""COMPUTED_VALUE"""),"Araguatins")</f>
        <v>Araguatins</v>
      </c>
      <c r="B83" s="33" t="str">
        <f ca="1">IFERROR(__xludf.DUMMYFUNCTION("""COMPUTED_VALUE"""),"Augustinopolis")</f>
        <v>Augustinopolis</v>
      </c>
      <c r="C83" s="34" t="str">
        <f ca="1">IFERROR(__xludf.DUMMYFUNCTION("""COMPUTED_VALUE"""),"ASSOC. DE APOIO COL. EST. MANOEL VICENTE SOUZA")</f>
        <v>ASSOC. DE APOIO COL. EST. MANOEL VICENTE SOUZA</v>
      </c>
      <c r="D83" s="35" t="str">
        <f ca="1">IFERROR(__xludf.DUMMYFUNCTION("""COMPUTED_VALUE"""),"01223642000112")</f>
        <v>01223642000112</v>
      </c>
      <c r="E83" s="36" t="str">
        <f ca="1">IFERROR(__xludf.DUMMYFUNCTION("""COMPUTED_VALUE"""),"001")</f>
        <v>001</v>
      </c>
      <c r="F83" s="37" t="str">
        <f ca="1">IFERROR(__xludf.DUMMYFUNCTION("""COMPUTED_VALUE"""),"3975")</f>
        <v>3975</v>
      </c>
      <c r="G83" s="37" t="str">
        <f ca="1">IFERROR(__xludf.DUMMYFUNCTION("""COMPUTED_VALUE"""),"139297")</f>
        <v>139297</v>
      </c>
      <c r="H83" s="37">
        <f ca="1">IFERROR(__xludf.DUMMYFUNCTION("""COMPUTED_VALUE"""),0)</f>
        <v>0</v>
      </c>
      <c r="I83" s="37">
        <f ca="1">IFERROR(__xludf.DUMMYFUNCTION("""COMPUTED_VALUE"""),0)</f>
        <v>0</v>
      </c>
      <c r="J83" s="37">
        <f ca="1">IFERROR(__xludf.DUMMYFUNCTION("""COMPUTED_VALUE"""),0)</f>
        <v>0</v>
      </c>
      <c r="K83" s="37">
        <f ca="1">IFERROR(__xludf.DUMMYFUNCTION("""COMPUTED_VALUE"""),0)</f>
        <v>0</v>
      </c>
      <c r="L83" s="37">
        <f ca="1">IFERROR(__xludf.DUMMYFUNCTION("""COMPUTED_VALUE"""),0)</f>
        <v>0</v>
      </c>
      <c r="M83" s="37">
        <f ca="1">IFERROR(__xludf.DUMMYFUNCTION("""COMPUTED_VALUE"""),0)</f>
        <v>0</v>
      </c>
      <c r="N83" s="37">
        <f ca="1">IFERROR(__xludf.DUMMYFUNCTION("""COMPUTED_VALUE"""),0)</f>
        <v>0</v>
      </c>
      <c r="O83" s="37">
        <f ca="1">IFERROR(__xludf.DUMMYFUNCTION("""COMPUTED_VALUE"""),0)</f>
        <v>0</v>
      </c>
      <c r="P83" s="37">
        <f ca="1">IFERROR(__xludf.DUMMYFUNCTION("""COMPUTED_VALUE"""),0)</f>
        <v>0</v>
      </c>
      <c r="Q83" s="37">
        <f ca="1">IFERROR(__xludf.DUMMYFUNCTION("""COMPUTED_VALUE"""),2541)</f>
        <v>2541</v>
      </c>
      <c r="R83" s="37">
        <f ca="1">IFERROR(__xludf.DUMMYFUNCTION("""COMPUTED_VALUE"""),0)</f>
        <v>0</v>
      </c>
      <c r="S83" s="37">
        <f ca="1">IFERROR(__xludf.DUMMYFUNCTION("""COMPUTED_VALUE"""),23857.6)</f>
        <v>23857.599999999999</v>
      </c>
      <c r="T83" s="37">
        <f ca="1">IFERROR(__xludf.DUMMYFUNCTION("""COMPUTED_VALUE"""),0)</f>
        <v>0</v>
      </c>
      <c r="U83" s="37">
        <f ca="1">IFERROR(__xludf.DUMMYFUNCTION("""COMPUTED_VALUE"""),0)</f>
        <v>0</v>
      </c>
      <c r="V83" s="37">
        <f ca="1">IFERROR(__xludf.DUMMYFUNCTION("""COMPUTED_VALUE"""),0)</f>
        <v>0</v>
      </c>
      <c r="W83" s="37">
        <f ca="1">IFERROR(__xludf.DUMMYFUNCTION("""COMPUTED_VALUE"""),2412)</f>
        <v>2412</v>
      </c>
      <c r="X83" s="37">
        <f ca="1">IFERROR(__xludf.DUMMYFUNCTION("""COMPUTED_VALUE"""),0)</f>
        <v>0</v>
      </c>
      <c r="Y83" s="37">
        <f ca="1">IFERROR(__xludf.DUMMYFUNCTION("""COMPUTED_VALUE"""),0)</f>
        <v>0</v>
      </c>
      <c r="Z83" s="37">
        <f ca="1">IFERROR(__xludf.DUMMYFUNCTION("""COMPUTED_VALUE"""),0)</f>
        <v>0</v>
      </c>
    </row>
    <row r="84" spans="1:26" ht="12.75">
      <c r="A84" s="38" t="str">
        <f ca="1">IFERROR(__xludf.DUMMYFUNCTION("""COMPUTED_VALUE"""),"Araguatins")</f>
        <v>Araguatins</v>
      </c>
      <c r="B84" s="38" t="str">
        <f ca="1">IFERROR(__xludf.DUMMYFUNCTION("""COMPUTED_VALUE"""),"Augustinopolis")</f>
        <v>Augustinopolis</v>
      </c>
      <c r="C84" s="39" t="str">
        <f ca="1">IFERROR(__xludf.DUMMYFUNCTION("""COMPUTED_VALUE"""),"A.A. ESCOLA ESTADUAL AUGUSTINOPOLIS")</f>
        <v>A.A. ESCOLA ESTADUAL AUGUSTINOPOLIS</v>
      </c>
      <c r="D84" s="40" t="str">
        <f ca="1">IFERROR(__xludf.DUMMYFUNCTION("""COMPUTED_VALUE"""),"01133692000109")</f>
        <v>01133692000109</v>
      </c>
      <c r="E84" s="41" t="str">
        <f ca="1">IFERROR(__xludf.DUMMYFUNCTION("""COMPUTED_VALUE"""),"001")</f>
        <v>001</v>
      </c>
      <c r="F84" s="42" t="str">
        <f ca="1">IFERROR(__xludf.DUMMYFUNCTION("""COMPUTED_VALUE"""),"3975")</f>
        <v>3975</v>
      </c>
      <c r="G84" s="42" t="str">
        <f ca="1">IFERROR(__xludf.DUMMYFUNCTION("""COMPUTED_VALUE"""),"019151")</f>
        <v>019151</v>
      </c>
      <c r="H84" s="42">
        <f ca="1">IFERROR(__xludf.DUMMYFUNCTION("""COMPUTED_VALUE"""),0)</f>
        <v>0</v>
      </c>
      <c r="I84" s="42">
        <f ca="1">IFERROR(__xludf.DUMMYFUNCTION("""COMPUTED_VALUE"""),0)</f>
        <v>0</v>
      </c>
      <c r="J84" s="42">
        <f ca="1">IFERROR(__xludf.DUMMYFUNCTION("""COMPUTED_VALUE"""),0)</f>
        <v>0</v>
      </c>
      <c r="K84" s="42">
        <f ca="1">IFERROR(__xludf.DUMMYFUNCTION("""COMPUTED_VALUE"""),24696)</f>
        <v>24696</v>
      </c>
      <c r="L84" s="42">
        <f ca="1">IFERROR(__xludf.DUMMYFUNCTION("""COMPUTED_VALUE"""),0)</f>
        <v>0</v>
      </c>
      <c r="M84" s="42">
        <f ca="1">IFERROR(__xludf.DUMMYFUNCTION("""COMPUTED_VALUE"""),0)</f>
        <v>0</v>
      </c>
      <c r="N84" s="42">
        <f ca="1">IFERROR(__xludf.DUMMYFUNCTION("""COMPUTED_VALUE"""),0)</f>
        <v>0</v>
      </c>
      <c r="O84" s="42">
        <f ca="1">IFERROR(__xludf.DUMMYFUNCTION("""COMPUTED_VALUE"""),0)</f>
        <v>0</v>
      </c>
      <c r="P84" s="42">
        <f ca="1">IFERROR(__xludf.DUMMYFUNCTION("""COMPUTED_VALUE"""),273)</f>
        <v>273</v>
      </c>
      <c r="Q84" s="42">
        <f ca="1">IFERROR(__xludf.DUMMYFUNCTION("""COMPUTED_VALUE"""),0)</f>
        <v>0</v>
      </c>
      <c r="R84" s="42">
        <f ca="1">IFERROR(__xludf.DUMMYFUNCTION("""COMPUTED_VALUE"""),0)</f>
        <v>0</v>
      </c>
      <c r="S84" s="42">
        <f ca="1">IFERROR(__xludf.DUMMYFUNCTION("""COMPUTED_VALUE"""),0)</f>
        <v>0</v>
      </c>
      <c r="T84" s="42">
        <f ca="1">IFERROR(__xludf.DUMMYFUNCTION("""COMPUTED_VALUE"""),0)</f>
        <v>0</v>
      </c>
      <c r="U84" s="42">
        <f ca="1">IFERROR(__xludf.DUMMYFUNCTION("""COMPUTED_VALUE"""),0)</f>
        <v>0</v>
      </c>
      <c r="V84" s="42">
        <f ca="1">IFERROR(__xludf.DUMMYFUNCTION("""COMPUTED_VALUE"""),0)</f>
        <v>0</v>
      </c>
      <c r="W84" s="42">
        <f ca="1">IFERROR(__xludf.DUMMYFUNCTION("""COMPUTED_VALUE"""),0)</f>
        <v>0</v>
      </c>
      <c r="X84" s="42">
        <f ca="1">IFERROR(__xludf.DUMMYFUNCTION("""COMPUTED_VALUE"""),0)</f>
        <v>0</v>
      </c>
      <c r="Y84" s="42">
        <f ca="1">IFERROR(__xludf.DUMMYFUNCTION("""COMPUTED_VALUE"""),0)</f>
        <v>0</v>
      </c>
      <c r="Z84" s="42">
        <f ca="1">IFERROR(__xludf.DUMMYFUNCTION("""COMPUTED_VALUE"""),2095.79999999999)</f>
        <v>2095.7999999999902</v>
      </c>
    </row>
    <row r="85" spans="1:26" ht="12.75">
      <c r="A85" s="33" t="str">
        <f ca="1">IFERROR(__xludf.DUMMYFUNCTION("""COMPUTED_VALUE"""),"Araguatins")</f>
        <v>Araguatins</v>
      </c>
      <c r="B85" s="33" t="str">
        <f ca="1">IFERROR(__xludf.DUMMYFUNCTION("""COMPUTED_VALUE"""),"Augustinopolis")</f>
        <v>Augustinopolis</v>
      </c>
      <c r="C85" s="34" t="str">
        <f ca="1">IFERROR(__xludf.DUMMYFUNCTION("""COMPUTED_VALUE"""),"ASSOC. DE AP.ESC. EST. FAZ.DEZESSEIS")</f>
        <v>ASSOC. DE AP.ESC. EST. FAZ.DEZESSEIS</v>
      </c>
      <c r="D85" s="35" t="str">
        <f ca="1">IFERROR(__xludf.DUMMYFUNCTION("""COMPUTED_VALUE"""),"01133695000142")</f>
        <v>01133695000142</v>
      </c>
      <c r="E85" s="36" t="str">
        <f ca="1">IFERROR(__xludf.DUMMYFUNCTION("""COMPUTED_VALUE"""),"001")</f>
        <v>001</v>
      </c>
      <c r="F85" s="37" t="str">
        <f ca="1">IFERROR(__xludf.DUMMYFUNCTION("""COMPUTED_VALUE"""),"3975")</f>
        <v>3975</v>
      </c>
      <c r="G85" s="37" t="str">
        <f ca="1">IFERROR(__xludf.DUMMYFUNCTION("""COMPUTED_VALUE"""),"0019615")</f>
        <v>0019615</v>
      </c>
      <c r="H85" s="37">
        <f ca="1">IFERROR(__xludf.DUMMYFUNCTION("""COMPUTED_VALUE"""),0)</f>
        <v>0</v>
      </c>
      <c r="I85" s="37">
        <f ca="1">IFERROR(__xludf.DUMMYFUNCTION("""COMPUTED_VALUE"""),0)</f>
        <v>0</v>
      </c>
      <c r="J85" s="37">
        <f ca="1">IFERROR(__xludf.DUMMYFUNCTION("""COMPUTED_VALUE"""),2184)</f>
        <v>2184</v>
      </c>
      <c r="K85" s="37">
        <f ca="1">IFERROR(__xludf.DUMMYFUNCTION("""COMPUTED_VALUE"""),0)</f>
        <v>0</v>
      </c>
      <c r="L85" s="37">
        <f ca="1">IFERROR(__xludf.DUMMYFUNCTION("""COMPUTED_VALUE"""),0)</f>
        <v>0</v>
      </c>
      <c r="M85" s="37">
        <f ca="1">IFERROR(__xludf.DUMMYFUNCTION("""COMPUTED_VALUE"""),0)</f>
        <v>0</v>
      </c>
      <c r="N85" s="37">
        <f ca="1">IFERROR(__xludf.DUMMYFUNCTION("""COMPUTED_VALUE"""),0)</f>
        <v>0</v>
      </c>
      <c r="O85" s="37">
        <f ca="1">IFERROR(__xludf.DUMMYFUNCTION("""COMPUTED_VALUE"""),0)</f>
        <v>0</v>
      </c>
      <c r="P85" s="37">
        <f ca="1">IFERROR(__xludf.DUMMYFUNCTION("""COMPUTED_VALUE"""),147)</f>
        <v>147</v>
      </c>
      <c r="Q85" s="37">
        <f ca="1">IFERROR(__xludf.DUMMYFUNCTION("""COMPUTED_VALUE"""),924)</f>
        <v>924</v>
      </c>
      <c r="R85" s="37">
        <f ca="1">IFERROR(__xludf.DUMMYFUNCTION("""COMPUTED_VALUE"""),0)</f>
        <v>0</v>
      </c>
      <c r="S85" s="37">
        <f ca="1">IFERROR(__xludf.DUMMYFUNCTION("""COMPUTED_VALUE"""),0)</f>
        <v>0</v>
      </c>
      <c r="T85" s="37">
        <f ca="1">IFERROR(__xludf.DUMMYFUNCTION("""COMPUTED_VALUE"""),3129)</f>
        <v>3129</v>
      </c>
      <c r="U85" s="37">
        <f ca="1">IFERROR(__xludf.DUMMYFUNCTION("""COMPUTED_VALUE"""),0)</f>
        <v>0</v>
      </c>
      <c r="V85" s="37">
        <f ca="1">IFERROR(__xludf.DUMMYFUNCTION("""COMPUTED_VALUE"""),0)</f>
        <v>0</v>
      </c>
      <c r="W85" s="37">
        <f ca="1">IFERROR(__xludf.DUMMYFUNCTION("""COMPUTED_VALUE"""),0)</f>
        <v>0</v>
      </c>
      <c r="X85" s="37">
        <f ca="1">IFERROR(__xludf.DUMMYFUNCTION("""COMPUTED_VALUE"""),0)</f>
        <v>0</v>
      </c>
      <c r="Y85" s="37">
        <f ca="1">IFERROR(__xludf.DUMMYFUNCTION("""COMPUTED_VALUE"""),0)</f>
        <v>0</v>
      </c>
      <c r="Z85" s="37">
        <f ca="1">IFERROR(__xludf.DUMMYFUNCTION("""COMPUTED_VALUE"""),0)</f>
        <v>0</v>
      </c>
    </row>
    <row r="86" spans="1:26" ht="12.75">
      <c r="A86" s="38" t="str">
        <f ca="1">IFERROR(__xludf.DUMMYFUNCTION("""COMPUTED_VALUE"""),"Araguatins")</f>
        <v>Araguatins</v>
      </c>
      <c r="B86" s="38" t="str">
        <f ca="1">IFERROR(__xludf.DUMMYFUNCTION("""COMPUTED_VALUE"""),"Augustinopolis")</f>
        <v>Augustinopolis</v>
      </c>
      <c r="C86" s="39" t="str">
        <f ca="1">IFERROR(__xludf.DUMMYFUNCTION("""COMPUTED_VALUE"""),"A.A. DA ESCOLA EST. SANTA GENOVEVA")</f>
        <v>A.A. DA ESCOLA EST. SANTA GENOVEVA</v>
      </c>
      <c r="D86" s="40" t="str">
        <f ca="1">IFERROR(__xludf.DUMMYFUNCTION("""COMPUTED_VALUE"""),"01068357000174")</f>
        <v>01068357000174</v>
      </c>
      <c r="E86" s="41" t="str">
        <f ca="1">IFERROR(__xludf.DUMMYFUNCTION("""COMPUTED_VALUE"""),"001")</f>
        <v>001</v>
      </c>
      <c r="F86" s="42" t="str">
        <f ca="1">IFERROR(__xludf.DUMMYFUNCTION("""COMPUTED_VALUE"""),"3975")</f>
        <v>3975</v>
      </c>
      <c r="G86" s="42" t="str">
        <f ca="1">IFERROR(__xludf.DUMMYFUNCTION("""COMPUTED_VALUE"""),"0019461")</f>
        <v>0019461</v>
      </c>
      <c r="H86" s="42">
        <f ca="1">IFERROR(__xludf.DUMMYFUNCTION("""COMPUTED_VALUE"""),0)</f>
        <v>0</v>
      </c>
      <c r="I86" s="42">
        <f ca="1">IFERROR(__xludf.DUMMYFUNCTION("""COMPUTED_VALUE"""),0)</f>
        <v>0</v>
      </c>
      <c r="J86" s="42">
        <f ca="1">IFERROR(__xludf.DUMMYFUNCTION("""COMPUTED_VALUE"""),11214)</f>
        <v>11214</v>
      </c>
      <c r="K86" s="42">
        <f ca="1">IFERROR(__xludf.DUMMYFUNCTION("""COMPUTED_VALUE"""),0)</f>
        <v>0</v>
      </c>
      <c r="L86" s="42">
        <f ca="1">IFERROR(__xludf.DUMMYFUNCTION("""COMPUTED_VALUE"""),0)</f>
        <v>0</v>
      </c>
      <c r="M86" s="42">
        <f ca="1">IFERROR(__xludf.DUMMYFUNCTION("""COMPUTED_VALUE"""),0)</f>
        <v>0</v>
      </c>
      <c r="N86" s="42">
        <f ca="1">IFERROR(__xludf.DUMMYFUNCTION("""COMPUTED_VALUE"""),0)</f>
        <v>0</v>
      </c>
      <c r="O86" s="42">
        <f ca="1">IFERROR(__xludf.DUMMYFUNCTION("""COMPUTED_VALUE"""),0)</f>
        <v>0</v>
      </c>
      <c r="P86" s="42">
        <f ca="1">IFERROR(__xludf.DUMMYFUNCTION("""COMPUTED_VALUE"""),378)</f>
        <v>378</v>
      </c>
      <c r="Q86" s="42">
        <f ca="1">IFERROR(__xludf.DUMMYFUNCTION("""COMPUTED_VALUE"""),3213)</f>
        <v>3213</v>
      </c>
      <c r="R86" s="42">
        <f ca="1">IFERROR(__xludf.DUMMYFUNCTION("""COMPUTED_VALUE"""),0)</f>
        <v>0</v>
      </c>
      <c r="S86" s="42">
        <f ca="1">IFERROR(__xludf.DUMMYFUNCTION("""COMPUTED_VALUE"""),0)</f>
        <v>0</v>
      </c>
      <c r="T86" s="42">
        <f ca="1">IFERROR(__xludf.DUMMYFUNCTION("""COMPUTED_VALUE"""),0)</f>
        <v>0</v>
      </c>
      <c r="U86" s="42">
        <f ca="1">IFERROR(__xludf.DUMMYFUNCTION("""COMPUTED_VALUE"""),0)</f>
        <v>0</v>
      </c>
      <c r="V86" s="42">
        <f ca="1">IFERROR(__xludf.DUMMYFUNCTION("""COMPUTED_VALUE"""),0)</f>
        <v>0</v>
      </c>
      <c r="W86" s="42">
        <f ca="1">IFERROR(__xludf.DUMMYFUNCTION("""COMPUTED_VALUE"""),0)</f>
        <v>0</v>
      </c>
      <c r="X86" s="42">
        <f ca="1">IFERROR(__xludf.DUMMYFUNCTION("""COMPUTED_VALUE"""),0)</f>
        <v>0</v>
      </c>
      <c r="Y86" s="42">
        <f ca="1">IFERROR(__xludf.DUMMYFUNCTION("""COMPUTED_VALUE"""),0)</f>
        <v>0</v>
      </c>
      <c r="Z86" s="42">
        <f ca="1">IFERROR(__xludf.DUMMYFUNCTION("""COMPUTED_VALUE"""),0)</f>
        <v>0</v>
      </c>
    </row>
    <row r="87" spans="1:26" ht="12.75">
      <c r="A87" s="33" t="str">
        <f ca="1">IFERROR(__xludf.DUMMYFUNCTION("""COMPUTED_VALUE"""),"Araguatins")</f>
        <v>Araguatins</v>
      </c>
      <c r="B87" s="33" t="str">
        <f ca="1">IFERROR(__xludf.DUMMYFUNCTION("""COMPUTED_VALUE"""),"Axixa do Tocantins")</f>
        <v>Axixa do Tocantins</v>
      </c>
      <c r="C87" s="34" t="str">
        <f ca="1">IFERROR(__xludf.DUMMYFUNCTION("""COMPUTED_VALUE"""),"ASSOC. DE APOIO COLÉGIO. EST. MAL. RIBAS JUNIOR")</f>
        <v>ASSOC. DE APOIO COLÉGIO. EST. MAL. RIBAS JUNIOR</v>
      </c>
      <c r="D87" s="35" t="str">
        <f ca="1">IFERROR(__xludf.DUMMYFUNCTION("""COMPUTED_VALUE"""),"01086979000125")</f>
        <v>01086979000125</v>
      </c>
      <c r="E87" s="36" t="str">
        <f ca="1">IFERROR(__xludf.DUMMYFUNCTION("""COMPUTED_VALUE"""),"001")</f>
        <v>001</v>
      </c>
      <c r="F87" s="37" t="str">
        <f ca="1">IFERROR(__xludf.DUMMYFUNCTION("""COMPUTED_VALUE"""),"1305")</f>
        <v>1305</v>
      </c>
      <c r="G87" s="37" t="str">
        <f ca="1">IFERROR(__xludf.DUMMYFUNCTION("""COMPUTED_VALUE"""),"209201")</f>
        <v>209201</v>
      </c>
      <c r="H87" s="37">
        <f ca="1">IFERROR(__xludf.DUMMYFUNCTION("""COMPUTED_VALUE"""),0)</f>
        <v>0</v>
      </c>
      <c r="I87" s="37">
        <f ca="1">IFERROR(__xludf.DUMMYFUNCTION("""COMPUTED_VALUE"""),0)</f>
        <v>0</v>
      </c>
      <c r="J87" s="37">
        <f ca="1">IFERROR(__xludf.DUMMYFUNCTION("""COMPUTED_VALUE"""),0)</f>
        <v>0</v>
      </c>
      <c r="K87" s="37">
        <f ca="1">IFERROR(__xludf.DUMMYFUNCTION("""COMPUTED_VALUE"""),0)</f>
        <v>0</v>
      </c>
      <c r="L87" s="37">
        <f ca="1">IFERROR(__xludf.DUMMYFUNCTION("""COMPUTED_VALUE"""),0)</f>
        <v>0</v>
      </c>
      <c r="M87" s="37">
        <f ca="1">IFERROR(__xludf.DUMMYFUNCTION("""COMPUTED_VALUE"""),0)</f>
        <v>0</v>
      </c>
      <c r="N87" s="37">
        <f ca="1">IFERROR(__xludf.DUMMYFUNCTION("""COMPUTED_VALUE"""),0)</f>
        <v>0</v>
      </c>
      <c r="O87" s="37">
        <f ca="1">IFERROR(__xludf.DUMMYFUNCTION("""COMPUTED_VALUE"""),0)</f>
        <v>0</v>
      </c>
      <c r="P87" s="37">
        <f ca="1">IFERROR(__xludf.DUMMYFUNCTION("""COMPUTED_VALUE"""),273)</f>
        <v>273</v>
      </c>
      <c r="Q87" s="37">
        <f ca="1">IFERROR(__xludf.DUMMYFUNCTION("""COMPUTED_VALUE"""),12474)</f>
        <v>12474</v>
      </c>
      <c r="R87" s="37">
        <f ca="1">IFERROR(__xludf.DUMMYFUNCTION("""COMPUTED_VALUE"""),0)</f>
        <v>0</v>
      </c>
      <c r="S87" s="37">
        <f ca="1">IFERROR(__xludf.DUMMYFUNCTION("""COMPUTED_VALUE"""),0)</f>
        <v>0</v>
      </c>
      <c r="T87" s="37">
        <f ca="1">IFERROR(__xludf.DUMMYFUNCTION("""COMPUTED_VALUE"""),0)</f>
        <v>0</v>
      </c>
      <c r="U87" s="37">
        <f ca="1">IFERROR(__xludf.DUMMYFUNCTION("""COMPUTED_VALUE"""),0)</f>
        <v>0</v>
      </c>
      <c r="V87" s="37">
        <f ca="1">IFERROR(__xludf.DUMMYFUNCTION("""COMPUTED_VALUE"""),0)</f>
        <v>0</v>
      </c>
      <c r="W87" s="37">
        <f ca="1">IFERROR(__xludf.DUMMYFUNCTION("""COMPUTED_VALUE"""),0)</f>
        <v>0</v>
      </c>
      <c r="X87" s="37">
        <f ca="1">IFERROR(__xludf.DUMMYFUNCTION("""COMPUTED_VALUE"""),0)</f>
        <v>0</v>
      </c>
      <c r="Y87" s="37">
        <f ca="1">IFERROR(__xludf.DUMMYFUNCTION("""COMPUTED_VALUE"""),0)</f>
        <v>0</v>
      </c>
      <c r="Z87" s="37">
        <f ca="1">IFERROR(__xludf.DUMMYFUNCTION("""COMPUTED_VALUE"""),0)</f>
        <v>0</v>
      </c>
    </row>
    <row r="88" spans="1:26" ht="12.75">
      <c r="A88" s="38" t="str">
        <f ca="1">IFERROR(__xludf.DUMMYFUNCTION("""COMPUTED_VALUE"""),"Araguatins")</f>
        <v>Araguatins</v>
      </c>
      <c r="B88" s="38" t="str">
        <f ca="1">IFERROR(__xludf.DUMMYFUNCTION("""COMPUTED_VALUE"""),"Axixa do Tocantins")</f>
        <v>Axixa do Tocantins</v>
      </c>
      <c r="C88" s="39" t="str">
        <f ca="1">IFERROR(__xludf.DUMMYFUNCTION("""COMPUTED_VALUE"""),"A.A. ESC. EST. SAO FRANCISCO DE ASSIS")</f>
        <v>A.A. ESC. EST. SAO FRANCISCO DE ASSIS</v>
      </c>
      <c r="D88" s="40" t="str">
        <f ca="1">IFERROR(__xludf.DUMMYFUNCTION("""COMPUTED_VALUE"""),"01086980000150")</f>
        <v>01086980000150</v>
      </c>
      <c r="E88" s="41" t="str">
        <f ca="1">IFERROR(__xludf.DUMMYFUNCTION("""COMPUTED_VALUE"""),"001")</f>
        <v>001</v>
      </c>
      <c r="F88" s="42" t="str">
        <f ca="1">IFERROR(__xludf.DUMMYFUNCTION("""COMPUTED_VALUE"""),"1305")</f>
        <v>1305</v>
      </c>
      <c r="G88" s="42" t="str">
        <f ca="1">IFERROR(__xludf.DUMMYFUNCTION("""COMPUTED_VALUE"""),"19399")</f>
        <v>19399</v>
      </c>
      <c r="H88" s="42">
        <f ca="1">IFERROR(__xludf.DUMMYFUNCTION("""COMPUTED_VALUE"""),0)</f>
        <v>0</v>
      </c>
      <c r="I88" s="42">
        <f ca="1">IFERROR(__xludf.DUMMYFUNCTION("""COMPUTED_VALUE"""),0)</f>
        <v>0</v>
      </c>
      <c r="J88" s="42">
        <f ca="1">IFERROR(__xludf.DUMMYFUNCTION("""COMPUTED_VALUE"""),4536)</f>
        <v>4536</v>
      </c>
      <c r="K88" s="42">
        <f ca="1">IFERROR(__xludf.DUMMYFUNCTION("""COMPUTED_VALUE"""),0)</f>
        <v>0</v>
      </c>
      <c r="L88" s="42">
        <f ca="1">IFERROR(__xludf.DUMMYFUNCTION("""COMPUTED_VALUE"""),0)</f>
        <v>0</v>
      </c>
      <c r="M88" s="42">
        <f ca="1">IFERROR(__xludf.DUMMYFUNCTION("""COMPUTED_VALUE"""),0)</f>
        <v>0</v>
      </c>
      <c r="N88" s="42">
        <f ca="1">IFERROR(__xludf.DUMMYFUNCTION("""COMPUTED_VALUE"""),0)</f>
        <v>0</v>
      </c>
      <c r="O88" s="42">
        <f ca="1">IFERROR(__xludf.DUMMYFUNCTION("""COMPUTED_VALUE"""),0)</f>
        <v>0</v>
      </c>
      <c r="P88" s="42">
        <f ca="1">IFERROR(__xludf.DUMMYFUNCTION("""COMPUTED_VALUE"""),294)</f>
        <v>294</v>
      </c>
      <c r="Q88" s="42">
        <f ca="1">IFERROR(__xludf.DUMMYFUNCTION("""COMPUTED_VALUE"""),0)</f>
        <v>0</v>
      </c>
      <c r="R88" s="42">
        <f ca="1">IFERROR(__xludf.DUMMYFUNCTION("""COMPUTED_VALUE"""),0)</f>
        <v>0</v>
      </c>
      <c r="S88" s="42">
        <f ca="1">IFERROR(__xludf.DUMMYFUNCTION("""COMPUTED_VALUE"""),0)</f>
        <v>0</v>
      </c>
      <c r="T88" s="42">
        <f ca="1">IFERROR(__xludf.DUMMYFUNCTION("""COMPUTED_VALUE"""),0)</f>
        <v>0</v>
      </c>
      <c r="U88" s="42">
        <f ca="1">IFERROR(__xludf.DUMMYFUNCTION("""COMPUTED_VALUE"""),0)</f>
        <v>0</v>
      </c>
      <c r="V88" s="42">
        <f ca="1">IFERROR(__xludf.DUMMYFUNCTION("""COMPUTED_VALUE"""),0)</f>
        <v>0</v>
      </c>
      <c r="W88" s="42">
        <f ca="1">IFERROR(__xludf.DUMMYFUNCTION("""COMPUTED_VALUE"""),0)</f>
        <v>0</v>
      </c>
      <c r="X88" s="42">
        <f ca="1">IFERROR(__xludf.DUMMYFUNCTION("""COMPUTED_VALUE"""),0)</f>
        <v>0</v>
      </c>
      <c r="Y88" s="42">
        <f ca="1">IFERROR(__xludf.DUMMYFUNCTION("""COMPUTED_VALUE"""),0)</f>
        <v>0</v>
      </c>
      <c r="Z88" s="42">
        <f ca="1">IFERROR(__xludf.DUMMYFUNCTION("""COMPUTED_VALUE"""),0)</f>
        <v>0</v>
      </c>
    </row>
    <row r="89" spans="1:26" ht="12.75">
      <c r="A89" s="33" t="str">
        <f ca="1">IFERROR(__xludf.DUMMYFUNCTION("""COMPUTED_VALUE"""),"Araguatins")</f>
        <v>Araguatins</v>
      </c>
      <c r="B89" s="33" t="str">
        <f ca="1">IFERROR(__xludf.DUMMYFUNCTION("""COMPUTED_VALUE"""),"Buriti do Tocantins")</f>
        <v>Buriti do Tocantins</v>
      </c>
      <c r="C89" s="34" t="str">
        <f ca="1">IFERROR(__xludf.DUMMYFUNCTION("""COMPUTED_VALUE"""),"A. DE APOIO DO COLEGIO EST. BURITI")</f>
        <v>A. DE APOIO DO COLEGIO EST. BURITI</v>
      </c>
      <c r="D89" s="35" t="str">
        <f ca="1">IFERROR(__xludf.DUMMYFUNCTION("""COMPUTED_VALUE"""),"01206217000115")</f>
        <v>01206217000115</v>
      </c>
      <c r="E89" s="36" t="str">
        <f ca="1">IFERROR(__xludf.DUMMYFUNCTION("""COMPUTED_VALUE"""),"001")</f>
        <v>001</v>
      </c>
      <c r="F89" s="37" t="str">
        <f ca="1">IFERROR(__xludf.DUMMYFUNCTION("""COMPUTED_VALUE"""),"1305")</f>
        <v>1305</v>
      </c>
      <c r="G89" s="37" t="str">
        <f ca="1">IFERROR(__xludf.DUMMYFUNCTION("""COMPUTED_VALUE"""),"209406")</f>
        <v>209406</v>
      </c>
      <c r="H89" s="37">
        <f ca="1">IFERROR(__xludf.DUMMYFUNCTION("""COMPUTED_VALUE"""),0)</f>
        <v>0</v>
      </c>
      <c r="I89" s="37">
        <f ca="1">IFERROR(__xludf.DUMMYFUNCTION("""COMPUTED_VALUE"""),0)</f>
        <v>0</v>
      </c>
      <c r="J89" s="37">
        <f ca="1">IFERROR(__xludf.DUMMYFUNCTION("""COMPUTED_VALUE"""),0)</f>
        <v>0</v>
      </c>
      <c r="K89" s="37">
        <f ca="1">IFERROR(__xludf.DUMMYFUNCTION("""COMPUTED_VALUE"""),0)</f>
        <v>0</v>
      </c>
      <c r="L89" s="37">
        <f ca="1">IFERROR(__xludf.DUMMYFUNCTION("""COMPUTED_VALUE"""),0)</f>
        <v>0</v>
      </c>
      <c r="M89" s="37">
        <f ca="1">IFERROR(__xludf.DUMMYFUNCTION("""COMPUTED_VALUE"""),0)</f>
        <v>0</v>
      </c>
      <c r="N89" s="37">
        <f ca="1">IFERROR(__xludf.DUMMYFUNCTION("""COMPUTED_VALUE"""),0)</f>
        <v>0</v>
      </c>
      <c r="O89" s="37">
        <f ca="1">IFERROR(__xludf.DUMMYFUNCTION("""COMPUTED_VALUE"""),0)</f>
        <v>0</v>
      </c>
      <c r="P89" s="37">
        <f ca="1">IFERROR(__xludf.DUMMYFUNCTION("""COMPUTED_VALUE"""),0)</f>
        <v>0</v>
      </c>
      <c r="Q89" s="37">
        <f ca="1">IFERROR(__xludf.DUMMYFUNCTION("""COMPUTED_VALUE"""),0)</f>
        <v>0</v>
      </c>
      <c r="R89" s="37">
        <f ca="1">IFERROR(__xludf.DUMMYFUNCTION("""COMPUTED_VALUE"""),0)</f>
        <v>0</v>
      </c>
      <c r="S89" s="37">
        <f ca="1">IFERROR(__xludf.DUMMYFUNCTION("""COMPUTED_VALUE"""),13943.8)</f>
        <v>13943.8</v>
      </c>
      <c r="T89" s="37">
        <f ca="1">IFERROR(__xludf.DUMMYFUNCTION("""COMPUTED_VALUE"""),0)</f>
        <v>0</v>
      </c>
      <c r="U89" s="37">
        <f ca="1">IFERROR(__xludf.DUMMYFUNCTION("""COMPUTED_VALUE"""),0)</f>
        <v>0</v>
      </c>
      <c r="V89" s="37">
        <f ca="1">IFERROR(__xludf.DUMMYFUNCTION("""COMPUTED_VALUE"""),0)</f>
        <v>0</v>
      </c>
      <c r="W89" s="37">
        <f ca="1">IFERROR(__xludf.DUMMYFUNCTION("""COMPUTED_VALUE"""),1447.19999999999)</f>
        <v>1447.19999999999</v>
      </c>
      <c r="X89" s="37">
        <f ca="1">IFERROR(__xludf.DUMMYFUNCTION("""COMPUTED_VALUE"""),0)</f>
        <v>0</v>
      </c>
      <c r="Y89" s="37">
        <f ca="1">IFERROR(__xludf.DUMMYFUNCTION("""COMPUTED_VALUE"""),0)</f>
        <v>0</v>
      </c>
      <c r="Z89" s="37">
        <f ca="1">IFERROR(__xludf.DUMMYFUNCTION("""COMPUTED_VALUE"""),0)</f>
        <v>0</v>
      </c>
    </row>
    <row r="90" spans="1:26" ht="12.75">
      <c r="A90" s="38" t="str">
        <f ca="1">IFERROR(__xludf.DUMMYFUNCTION("""COMPUTED_VALUE"""),"Araguatins")</f>
        <v>Araguatins</v>
      </c>
      <c r="B90" s="38" t="str">
        <f ca="1">IFERROR(__xludf.DUMMYFUNCTION("""COMPUTED_VALUE"""),"Buriti do Tocantins")</f>
        <v>Buriti do Tocantins</v>
      </c>
      <c r="C90" s="39" t="str">
        <f ca="1">IFERROR(__xludf.DUMMYFUNCTION("""COMPUTED_VALUE"""),"A.A. DA ESCOLA ESTADUAL DARCYNOPOLIS")</f>
        <v>A.A. DA ESCOLA ESTADUAL DARCYNOPOLIS</v>
      </c>
      <c r="D90" s="40" t="str">
        <f ca="1">IFERROR(__xludf.DUMMYFUNCTION("""COMPUTED_VALUE"""),"01190184000162")</f>
        <v>01190184000162</v>
      </c>
      <c r="E90" s="41" t="str">
        <f ca="1">IFERROR(__xludf.DUMMYFUNCTION("""COMPUTED_VALUE"""),"001")</f>
        <v>001</v>
      </c>
      <c r="F90" s="42" t="str">
        <f ca="1">IFERROR(__xludf.DUMMYFUNCTION("""COMPUTED_VALUE"""),"3975")</f>
        <v>3975</v>
      </c>
      <c r="G90" s="42" t="str">
        <f ca="1">IFERROR(__xludf.DUMMYFUNCTION("""COMPUTED_VALUE"""),"0019275")</f>
        <v>0019275</v>
      </c>
      <c r="H90" s="42">
        <f ca="1">IFERROR(__xludf.DUMMYFUNCTION("""COMPUTED_VALUE"""),0)</f>
        <v>0</v>
      </c>
      <c r="I90" s="42">
        <f ca="1">IFERROR(__xludf.DUMMYFUNCTION("""COMPUTED_VALUE"""),0)</f>
        <v>0</v>
      </c>
      <c r="J90" s="42">
        <f ca="1">IFERROR(__xludf.DUMMYFUNCTION("""COMPUTED_VALUE"""),2100)</f>
        <v>2100</v>
      </c>
      <c r="K90" s="42">
        <f ca="1">IFERROR(__xludf.DUMMYFUNCTION("""COMPUTED_VALUE"""),0)</f>
        <v>0</v>
      </c>
      <c r="L90" s="42">
        <f ca="1">IFERROR(__xludf.DUMMYFUNCTION("""COMPUTED_VALUE"""),0)</f>
        <v>0</v>
      </c>
      <c r="M90" s="42">
        <f ca="1">IFERROR(__xludf.DUMMYFUNCTION("""COMPUTED_VALUE"""),0)</f>
        <v>0</v>
      </c>
      <c r="N90" s="42">
        <f ca="1">IFERROR(__xludf.DUMMYFUNCTION("""COMPUTED_VALUE"""),0)</f>
        <v>0</v>
      </c>
      <c r="O90" s="42">
        <f ca="1">IFERROR(__xludf.DUMMYFUNCTION("""COMPUTED_VALUE"""),0)</f>
        <v>0</v>
      </c>
      <c r="P90" s="42">
        <f ca="1">IFERROR(__xludf.DUMMYFUNCTION("""COMPUTED_VALUE"""),336)</f>
        <v>336</v>
      </c>
      <c r="Q90" s="42">
        <f ca="1">IFERROR(__xludf.DUMMYFUNCTION("""COMPUTED_VALUE"""),903)</f>
        <v>903</v>
      </c>
      <c r="R90" s="42">
        <f ca="1">IFERROR(__xludf.DUMMYFUNCTION("""COMPUTED_VALUE"""),0)</f>
        <v>0</v>
      </c>
      <c r="S90" s="42">
        <f ca="1">IFERROR(__xludf.DUMMYFUNCTION("""COMPUTED_VALUE"""),0)</f>
        <v>0</v>
      </c>
      <c r="T90" s="42">
        <f ca="1">IFERROR(__xludf.DUMMYFUNCTION("""COMPUTED_VALUE"""),0)</f>
        <v>0</v>
      </c>
      <c r="U90" s="42">
        <f ca="1">IFERROR(__xludf.DUMMYFUNCTION("""COMPUTED_VALUE"""),0)</f>
        <v>0</v>
      </c>
      <c r="V90" s="42">
        <f ca="1">IFERROR(__xludf.DUMMYFUNCTION("""COMPUTED_VALUE"""),0)</f>
        <v>0</v>
      </c>
      <c r="W90" s="42">
        <f ca="1">IFERROR(__xludf.DUMMYFUNCTION("""COMPUTED_VALUE"""),0)</f>
        <v>0</v>
      </c>
      <c r="X90" s="42">
        <f ca="1">IFERROR(__xludf.DUMMYFUNCTION("""COMPUTED_VALUE"""),0)</f>
        <v>0</v>
      </c>
      <c r="Y90" s="42">
        <f ca="1">IFERROR(__xludf.DUMMYFUNCTION("""COMPUTED_VALUE"""),0)</f>
        <v>0</v>
      </c>
      <c r="Z90" s="42">
        <f ca="1">IFERROR(__xludf.DUMMYFUNCTION("""COMPUTED_VALUE"""),0)</f>
        <v>0</v>
      </c>
    </row>
    <row r="91" spans="1:26" ht="12.75">
      <c r="A91" s="33" t="str">
        <f ca="1">IFERROR(__xludf.DUMMYFUNCTION("""COMPUTED_VALUE"""),"Araguatins")</f>
        <v>Araguatins</v>
      </c>
      <c r="B91" s="33" t="str">
        <f ca="1">IFERROR(__xludf.DUMMYFUNCTION("""COMPUTED_VALUE"""),"Buriti do Tocantins")</f>
        <v>Buriti do Tocantins</v>
      </c>
      <c r="C91" s="34" t="str">
        <f ca="1">IFERROR(__xludf.DUMMYFUNCTION("""COMPUTED_VALUE"""),"A.A. ESC. ESTADUAL MINISTRO NEY BRAGA")</f>
        <v>A.A. ESC. ESTADUAL MINISTRO NEY BRAGA</v>
      </c>
      <c r="D91" s="35" t="str">
        <f ca="1">IFERROR(__xludf.DUMMYFUNCTION("""COMPUTED_VALUE"""),"01206220000139")</f>
        <v>01206220000139</v>
      </c>
      <c r="E91" s="36" t="str">
        <f ca="1">IFERROR(__xludf.DUMMYFUNCTION("""COMPUTED_VALUE"""),"001")</f>
        <v>001</v>
      </c>
      <c r="F91" s="37" t="str">
        <f ca="1">IFERROR(__xludf.DUMMYFUNCTION("""COMPUTED_VALUE"""),"1305")</f>
        <v>1305</v>
      </c>
      <c r="G91" s="37" t="str">
        <f ca="1">IFERROR(__xludf.DUMMYFUNCTION("""COMPUTED_VALUE"""),"10941X")</f>
        <v>10941X</v>
      </c>
      <c r="H91" s="37">
        <f ca="1">IFERROR(__xludf.DUMMYFUNCTION("""COMPUTED_VALUE"""),0)</f>
        <v>0</v>
      </c>
      <c r="I91" s="37">
        <f ca="1">IFERROR(__xludf.DUMMYFUNCTION("""COMPUTED_VALUE"""),0)</f>
        <v>0</v>
      </c>
      <c r="J91" s="37">
        <f ca="1">IFERROR(__xludf.DUMMYFUNCTION("""COMPUTED_VALUE"""),1155)</f>
        <v>1155</v>
      </c>
      <c r="K91" s="37">
        <f ca="1">IFERROR(__xludf.DUMMYFUNCTION("""COMPUTED_VALUE"""),0)</f>
        <v>0</v>
      </c>
      <c r="L91" s="37">
        <f ca="1">IFERROR(__xludf.DUMMYFUNCTION("""COMPUTED_VALUE"""),0)</f>
        <v>0</v>
      </c>
      <c r="M91" s="37">
        <f ca="1">IFERROR(__xludf.DUMMYFUNCTION("""COMPUTED_VALUE"""),0)</f>
        <v>0</v>
      </c>
      <c r="N91" s="37">
        <f ca="1">IFERROR(__xludf.DUMMYFUNCTION("""COMPUTED_VALUE"""),0)</f>
        <v>0</v>
      </c>
      <c r="O91" s="37">
        <f ca="1">IFERROR(__xludf.DUMMYFUNCTION("""COMPUTED_VALUE"""),0)</f>
        <v>0</v>
      </c>
      <c r="P91" s="37">
        <f ca="1">IFERROR(__xludf.DUMMYFUNCTION("""COMPUTED_VALUE"""),273)</f>
        <v>273</v>
      </c>
      <c r="Q91" s="37">
        <f ca="1">IFERROR(__xludf.DUMMYFUNCTION("""COMPUTED_VALUE"""),1071)</f>
        <v>1071</v>
      </c>
      <c r="R91" s="37">
        <f ca="1">IFERROR(__xludf.DUMMYFUNCTION("""COMPUTED_VALUE"""),0)</f>
        <v>0</v>
      </c>
      <c r="S91" s="37">
        <f ca="1">IFERROR(__xludf.DUMMYFUNCTION("""COMPUTED_VALUE"""),0)</f>
        <v>0</v>
      </c>
      <c r="T91" s="37">
        <f ca="1">IFERROR(__xludf.DUMMYFUNCTION("""COMPUTED_VALUE"""),210)</f>
        <v>210</v>
      </c>
      <c r="U91" s="37">
        <f ca="1">IFERROR(__xludf.DUMMYFUNCTION("""COMPUTED_VALUE"""),0)</f>
        <v>0</v>
      </c>
      <c r="V91" s="37">
        <f ca="1">IFERROR(__xludf.DUMMYFUNCTION("""COMPUTED_VALUE"""),0)</f>
        <v>0</v>
      </c>
      <c r="W91" s="37">
        <f ca="1">IFERROR(__xludf.DUMMYFUNCTION("""COMPUTED_VALUE"""),0)</f>
        <v>0</v>
      </c>
      <c r="X91" s="37">
        <f ca="1">IFERROR(__xludf.DUMMYFUNCTION("""COMPUTED_VALUE"""),0)</f>
        <v>0</v>
      </c>
      <c r="Y91" s="37">
        <f ca="1">IFERROR(__xludf.DUMMYFUNCTION("""COMPUTED_VALUE"""),0)</f>
        <v>0</v>
      </c>
      <c r="Z91" s="37">
        <f ca="1">IFERROR(__xludf.DUMMYFUNCTION("""COMPUTED_VALUE"""),0)</f>
        <v>0</v>
      </c>
    </row>
    <row r="92" spans="1:26" ht="12.75">
      <c r="A92" s="38" t="str">
        <f ca="1">IFERROR(__xludf.DUMMYFUNCTION("""COMPUTED_VALUE"""),"Araguatins")</f>
        <v>Araguatins</v>
      </c>
      <c r="B92" s="38" t="str">
        <f ca="1">IFERROR(__xludf.DUMMYFUNCTION("""COMPUTED_VALUE"""),"Buriti do Tocantins")</f>
        <v>Buriti do Tocantins</v>
      </c>
      <c r="C92" s="39" t="str">
        <f ca="1">IFERROR(__xludf.DUMMYFUNCTION("""COMPUTED_VALUE"""),"A.A. ESC. E.PRES.TANCREDO DE A.NEVES")</f>
        <v>A.A. ESC. E.PRES.TANCREDO DE A.NEVES</v>
      </c>
      <c r="D92" s="40" t="str">
        <f ca="1">IFERROR(__xludf.DUMMYFUNCTION("""COMPUTED_VALUE"""),"01112478000176")</f>
        <v>01112478000176</v>
      </c>
      <c r="E92" s="41" t="str">
        <f ca="1">IFERROR(__xludf.DUMMYFUNCTION("""COMPUTED_VALUE"""),"001")</f>
        <v>001</v>
      </c>
      <c r="F92" s="42" t="str">
        <f ca="1">IFERROR(__xludf.DUMMYFUNCTION("""COMPUTED_VALUE"""),"1305")</f>
        <v>1305</v>
      </c>
      <c r="G92" s="42" t="str">
        <f ca="1">IFERROR(__xludf.DUMMYFUNCTION("""COMPUTED_VALUE"""),"10924X")</f>
        <v>10924X</v>
      </c>
      <c r="H92" s="42">
        <f ca="1">IFERROR(__xludf.DUMMYFUNCTION("""COMPUTED_VALUE"""),0)</f>
        <v>0</v>
      </c>
      <c r="I92" s="42">
        <f ca="1">IFERROR(__xludf.DUMMYFUNCTION("""COMPUTED_VALUE"""),0)</f>
        <v>0</v>
      </c>
      <c r="J92" s="42">
        <f ca="1">IFERROR(__xludf.DUMMYFUNCTION("""COMPUTED_VALUE"""),3612)</f>
        <v>3612</v>
      </c>
      <c r="K92" s="42">
        <f ca="1">IFERROR(__xludf.DUMMYFUNCTION("""COMPUTED_VALUE"""),0)</f>
        <v>0</v>
      </c>
      <c r="L92" s="42">
        <f ca="1">IFERROR(__xludf.DUMMYFUNCTION("""COMPUTED_VALUE"""),0)</f>
        <v>0</v>
      </c>
      <c r="M92" s="42">
        <f ca="1">IFERROR(__xludf.DUMMYFUNCTION("""COMPUTED_VALUE"""),0)</f>
        <v>0</v>
      </c>
      <c r="N92" s="42">
        <f ca="1">IFERROR(__xludf.DUMMYFUNCTION("""COMPUTED_VALUE"""),0)</f>
        <v>0</v>
      </c>
      <c r="O92" s="42">
        <f ca="1">IFERROR(__xludf.DUMMYFUNCTION("""COMPUTED_VALUE"""),0)</f>
        <v>0</v>
      </c>
      <c r="P92" s="42">
        <f ca="1">IFERROR(__xludf.DUMMYFUNCTION("""COMPUTED_VALUE"""),756)</f>
        <v>756</v>
      </c>
      <c r="Q92" s="42">
        <f ca="1">IFERROR(__xludf.DUMMYFUNCTION("""COMPUTED_VALUE"""),0)</f>
        <v>0</v>
      </c>
      <c r="R92" s="42">
        <f ca="1">IFERROR(__xludf.DUMMYFUNCTION("""COMPUTED_VALUE"""),0)</f>
        <v>0</v>
      </c>
      <c r="S92" s="42">
        <f ca="1">IFERROR(__xludf.DUMMYFUNCTION("""COMPUTED_VALUE"""),0)</f>
        <v>0</v>
      </c>
      <c r="T92" s="42">
        <f ca="1">IFERROR(__xludf.DUMMYFUNCTION("""COMPUTED_VALUE"""),0)</f>
        <v>0</v>
      </c>
      <c r="U92" s="42">
        <f ca="1">IFERROR(__xludf.DUMMYFUNCTION("""COMPUTED_VALUE"""),0)</f>
        <v>0</v>
      </c>
      <c r="V92" s="42">
        <f ca="1">IFERROR(__xludf.DUMMYFUNCTION("""COMPUTED_VALUE"""),0)</f>
        <v>0</v>
      </c>
      <c r="W92" s="42">
        <f ca="1">IFERROR(__xludf.DUMMYFUNCTION("""COMPUTED_VALUE"""),0)</f>
        <v>0</v>
      </c>
      <c r="X92" s="42">
        <f ca="1">IFERROR(__xludf.DUMMYFUNCTION("""COMPUTED_VALUE"""),0)</f>
        <v>0</v>
      </c>
      <c r="Y92" s="42">
        <f ca="1">IFERROR(__xludf.DUMMYFUNCTION("""COMPUTED_VALUE"""),0)</f>
        <v>0</v>
      </c>
      <c r="Z92" s="42">
        <f ca="1">IFERROR(__xludf.DUMMYFUNCTION("""COMPUTED_VALUE"""),0)</f>
        <v>0</v>
      </c>
    </row>
    <row r="93" spans="1:26" ht="12.75">
      <c r="A93" s="33" t="str">
        <f ca="1">IFERROR(__xludf.DUMMYFUNCTION("""COMPUTED_VALUE"""),"Araguatins")</f>
        <v>Araguatins</v>
      </c>
      <c r="B93" s="33" t="str">
        <f ca="1">IFERROR(__xludf.DUMMYFUNCTION("""COMPUTED_VALUE"""),"Buriti do Tocantins")</f>
        <v>Buriti do Tocantins</v>
      </c>
      <c r="C93" s="34" t="str">
        <f ca="1">IFERROR(__xludf.DUMMYFUNCTION("""COMPUTED_VALUE"""),"A.A. ESC. EST. VICENTE CARLOS DE SOUSA")</f>
        <v>A.A. ESC. EST. VICENTE CARLOS DE SOUSA</v>
      </c>
      <c r="D93" s="35" t="str">
        <f ca="1">IFERROR(__xludf.DUMMYFUNCTION("""COMPUTED_VALUE"""),"01206288000118")</f>
        <v>01206288000118</v>
      </c>
      <c r="E93" s="36" t="str">
        <f ca="1">IFERROR(__xludf.DUMMYFUNCTION("""COMPUTED_VALUE"""),"001")</f>
        <v>001</v>
      </c>
      <c r="F93" s="37" t="str">
        <f ca="1">IFERROR(__xludf.DUMMYFUNCTION("""COMPUTED_VALUE"""),"1305")</f>
        <v>1305</v>
      </c>
      <c r="G93" s="37" t="str">
        <f ca="1">IFERROR(__xludf.DUMMYFUNCTION("""COMPUTED_VALUE"""),"0109614")</f>
        <v>0109614</v>
      </c>
      <c r="H93" s="37">
        <f ca="1">IFERROR(__xludf.DUMMYFUNCTION("""COMPUTED_VALUE"""),0)</f>
        <v>0</v>
      </c>
      <c r="I93" s="37">
        <f ca="1">IFERROR(__xludf.DUMMYFUNCTION("""COMPUTED_VALUE"""),0)</f>
        <v>0</v>
      </c>
      <c r="J93" s="37">
        <f ca="1">IFERROR(__xludf.DUMMYFUNCTION("""COMPUTED_VALUE"""),7917)</f>
        <v>7917</v>
      </c>
      <c r="K93" s="37">
        <f ca="1">IFERROR(__xludf.DUMMYFUNCTION("""COMPUTED_VALUE"""),0)</f>
        <v>0</v>
      </c>
      <c r="L93" s="37">
        <f ca="1">IFERROR(__xludf.DUMMYFUNCTION("""COMPUTED_VALUE"""),0)</f>
        <v>0</v>
      </c>
      <c r="M93" s="37">
        <f ca="1">IFERROR(__xludf.DUMMYFUNCTION("""COMPUTED_VALUE"""),0)</f>
        <v>0</v>
      </c>
      <c r="N93" s="37">
        <f ca="1">IFERROR(__xludf.DUMMYFUNCTION("""COMPUTED_VALUE"""),0)</f>
        <v>0</v>
      </c>
      <c r="O93" s="37">
        <f ca="1">IFERROR(__xludf.DUMMYFUNCTION("""COMPUTED_VALUE"""),0)</f>
        <v>0</v>
      </c>
      <c r="P93" s="37">
        <f ca="1">IFERROR(__xludf.DUMMYFUNCTION("""COMPUTED_VALUE"""),231)</f>
        <v>231</v>
      </c>
      <c r="Q93" s="37">
        <f ca="1">IFERROR(__xludf.DUMMYFUNCTION("""COMPUTED_VALUE"""),2478)</f>
        <v>2478</v>
      </c>
      <c r="R93" s="37">
        <f ca="1">IFERROR(__xludf.DUMMYFUNCTION("""COMPUTED_VALUE"""),0)</f>
        <v>0</v>
      </c>
      <c r="S93" s="37">
        <f ca="1">IFERROR(__xludf.DUMMYFUNCTION("""COMPUTED_VALUE"""),0)</f>
        <v>0</v>
      </c>
      <c r="T93" s="37">
        <f ca="1">IFERROR(__xludf.DUMMYFUNCTION("""COMPUTED_VALUE"""),0)</f>
        <v>0</v>
      </c>
      <c r="U93" s="37">
        <f ca="1">IFERROR(__xludf.DUMMYFUNCTION("""COMPUTED_VALUE"""),0)</f>
        <v>0</v>
      </c>
      <c r="V93" s="37">
        <f ca="1">IFERROR(__xludf.DUMMYFUNCTION("""COMPUTED_VALUE"""),0)</f>
        <v>0</v>
      </c>
      <c r="W93" s="37">
        <f ca="1">IFERROR(__xludf.DUMMYFUNCTION("""COMPUTED_VALUE"""),0)</f>
        <v>0</v>
      </c>
      <c r="X93" s="37">
        <f ca="1">IFERROR(__xludf.DUMMYFUNCTION("""COMPUTED_VALUE"""),0)</f>
        <v>0</v>
      </c>
      <c r="Y93" s="37">
        <f ca="1">IFERROR(__xludf.DUMMYFUNCTION("""COMPUTED_VALUE"""),0)</f>
        <v>0</v>
      </c>
      <c r="Z93" s="37">
        <f ca="1">IFERROR(__xludf.DUMMYFUNCTION("""COMPUTED_VALUE"""),0)</f>
        <v>0</v>
      </c>
    </row>
    <row r="94" spans="1:26" ht="12.75">
      <c r="A94" s="38" t="str">
        <f ca="1">IFERROR(__xludf.DUMMYFUNCTION("""COMPUTED_VALUE"""),"Araguatins")</f>
        <v>Araguatins</v>
      </c>
      <c r="B94" s="38" t="str">
        <f ca="1">IFERROR(__xludf.DUMMYFUNCTION("""COMPUTED_VALUE"""),"Carrasco Bonito")</f>
        <v>Carrasco Bonito</v>
      </c>
      <c r="C94" s="39" t="str">
        <f ca="1">IFERROR(__xludf.DUMMYFUNCTION("""COMPUTED_VALUE"""),"A.A. DA ESC. EST. CICERO GOMES")</f>
        <v>A.A. DA ESC. EST. CICERO GOMES</v>
      </c>
      <c r="D94" s="40" t="str">
        <f ca="1">IFERROR(__xludf.DUMMYFUNCTION("""COMPUTED_VALUE"""),"01068377000145")</f>
        <v>01068377000145</v>
      </c>
      <c r="E94" s="41" t="str">
        <f ca="1">IFERROR(__xludf.DUMMYFUNCTION("""COMPUTED_VALUE"""),"001")</f>
        <v>001</v>
      </c>
      <c r="F94" s="42" t="str">
        <f ca="1">IFERROR(__xludf.DUMMYFUNCTION("""COMPUTED_VALUE"""),"3975")</f>
        <v>3975</v>
      </c>
      <c r="G94" s="42" t="str">
        <f ca="1">IFERROR(__xludf.DUMMYFUNCTION("""COMPUTED_VALUE"""),"19291")</f>
        <v>19291</v>
      </c>
      <c r="H94" s="42">
        <f ca="1">IFERROR(__xludf.DUMMYFUNCTION("""COMPUTED_VALUE"""),0)</f>
        <v>0</v>
      </c>
      <c r="I94" s="42">
        <f ca="1">IFERROR(__xludf.DUMMYFUNCTION("""COMPUTED_VALUE"""),0)</f>
        <v>0</v>
      </c>
      <c r="J94" s="42">
        <f ca="1">IFERROR(__xludf.DUMMYFUNCTION("""COMPUTED_VALUE"""),1344)</f>
        <v>1344</v>
      </c>
      <c r="K94" s="42">
        <f ca="1">IFERROR(__xludf.DUMMYFUNCTION("""COMPUTED_VALUE"""),0)</f>
        <v>0</v>
      </c>
      <c r="L94" s="42">
        <f ca="1">IFERROR(__xludf.DUMMYFUNCTION("""COMPUTED_VALUE"""),0)</f>
        <v>0</v>
      </c>
      <c r="M94" s="42">
        <f ca="1">IFERROR(__xludf.DUMMYFUNCTION("""COMPUTED_VALUE"""),0)</f>
        <v>0</v>
      </c>
      <c r="N94" s="42">
        <f ca="1">IFERROR(__xludf.DUMMYFUNCTION("""COMPUTED_VALUE"""),0)</f>
        <v>0</v>
      </c>
      <c r="O94" s="42">
        <f ca="1">IFERROR(__xludf.DUMMYFUNCTION("""COMPUTED_VALUE"""),0)</f>
        <v>0</v>
      </c>
      <c r="P94" s="42">
        <f ca="1">IFERROR(__xludf.DUMMYFUNCTION("""COMPUTED_VALUE"""),252)</f>
        <v>252</v>
      </c>
      <c r="Q94" s="42">
        <f ca="1">IFERROR(__xludf.DUMMYFUNCTION("""COMPUTED_VALUE"""),2247)</f>
        <v>2247</v>
      </c>
      <c r="R94" s="42">
        <f ca="1">IFERROR(__xludf.DUMMYFUNCTION("""COMPUTED_VALUE"""),0)</f>
        <v>0</v>
      </c>
      <c r="S94" s="42">
        <f ca="1">IFERROR(__xludf.DUMMYFUNCTION("""COMPUTED_VALUE"""),0)</f>
        <v>0</v>
      </c>
      <c r="T94" s="42">
        <f ca="1">IFERROR(__xludf.DUMMYFUNCTION("""COMPUTED_VALUE"""),0)</f>
        <v>0</v>
      </c>
      <c r="U94" s="42">
        <f ca="1">IFERROR(__xludf.DUMMYFUNCTION("""COMPUTED_VALUE"""),0)</f>
        <v>0</v>
      </c>
      <c r="V94" s="42">
        <f ca="1">IFERROR(__xludf.DUMMYFUNCTION("""COMPUTED_VALUE"""),0)</f>
        <v>0</v>
      </c>
      <c r="W94" s="42">
        <f ca="1">IFERROR(__xludf.DUMMYFUNCTION("""COMPUTED_VALUE"""),0)</f>
        <v>0</v>
      </c>
      <c r="X94" s="42">
        <f ca="1">IFERROR(__xludf.DUMMYFUNCTION("""COMPUTED_VALUE"""),0)</f>
        <v>0</v>
      </c>
      <c r="Y94" s="42">
        <f ca="1">IFERROR(__xludf.DUMMYFUNCTION("""COMPUTED_VALUE"""),0)</f>
        <v>0</v>
      </c>
      <c r="Z94" s="42">
        <f ca="1">IFERROR(__xludf.DUMMYFUNCTION("""COMPUTED_VALUE"""),0)</f>
        <v>0</v>
      </c>
    </row>
    <row r="95" spans="1:26" ht="12.75">
      <c r="A95" s="33" t="str">
        <f ca="1">IFERROR(__xludf.DUMMYFUNCTION("""COMPUTED_VALUE"""),"Araguatins")</f>
        <v>Araguatins</v>
      </c>
      <c r="B95" s="33" t="str">
        <f ca="1">IFERROR(__xludf.DUMMYFUNCTION("""COMPUTED_VALUE"""),"Carrasco Bonito")</f>
        <v>Carrasco Bonito</v>
      </c>
      <c r="C95" s="34" t="str">
        <f ca="1">IFERROR(__xludf.DUMMYFUNCTION("""COMPUTED_VALUE"""),"A.A.  DA ESCOLA ESTADUAL INES VIANA")</f>
        <v>A.A.  DA ESCOLA ESTADUAL INES VIANA</v>
      </c>
      <c r="D95" s="35" t="str">
        <f ca="1">IFERROR(__xludf.DUMMYFUNCTION("""COMPUTED_VALUE"""),"02508340000153")</f>
        <v>02508340000153</v>
      </c>
      <c r="E95" s="36" t="str">
        <f ca="1">IFERROR(__xludf.DUMMYFUNCTION("""COMPUTED_VALUE"""),"001")</f>
        <v>001</v>
      </c>
      <c r="F95" s="37" t="str">
        <f ca="1">IFERROR(__xludf.DUMMYFUNCTION("""COMPUTED_VALUE"""),"3975")</f>
        <v>3975</v>
      </c>
      <c r="G95" s="37" t="str">
        <f ca="1">IFERROR(__xludf.DUMMYFUNCTION("""COMPUTED_VALUE"""),"51713")</f>
        <v>51713</v>
      </c>
      <c r="H95" s="37">
        <f ca="1">IFERROR(__xludf.DUMMYFUNCTION("""COMPUTED_VALUE"""),0)</f>
        <v>0</v>
      </c>
      <c r="I95" s="37">
        <f ca="1">IFERROR(__xludf.DUMMYFUNCTION("""COMPUTED_VALUE"""),0)</f>
        <v>0</v>
      </c>
      <c r="J95" s="37">
        <f ca="1">IFERROR(__xludf.DUMMYFUNCTION("""COMPUTED_VALUE"""),1533)</f>
        <v>1533</v>
      </c>
      <c r="K95" s="37">
        <f ca="1">IFERROR(__xludf.DUMMYFUNCTION("""COMPUTED_VALUE"""),0)</f>
        <v>0</v>
      </c>
      <c r="L95" s="37">
        <f ca="1">IFERROR(__xludf.DUMMYFUNCTION("""COMPUTED_VALUE"""),0)</f>
        <v>0</v>
      </c>
      <c r="M95" s="37">
        <f ca="1">IFERROR(__xludf.DUMMYFUNCTION("""COMPUTED_VALUE"""),0)</f>
        <v>0</v>
      </c>
      <c r="N95" s="37">
        <f ca="1">IFERROR(__xludf.DUMMYFUNCTION("""COMPUTED_VALUE"""),0)</f>
        <v>0</v>
      </c>
      <c r="O95" s="37">
        <f ca="1">IFERROR(__xludf.DUMMYFUNCTION("""COMPUTED_VALUE"""),0)</f>
        <v>0</v>
      </c>
      <c r="P95" s="37">
        <f ca="1">IFERROR(__xludf.DUMMYFUNCTION("""COMPUTED_VALUE"""),0)</f>
        <v>0</v>
      </c>
      <c r="Q95" s="37">
        <f ca="1">IFERROR(__xludf.DUMMYFUNCTION("""COMPUTED_VALUE"""),714)</f>
        <v>714</v>
      </c>
      <c r="R95" s="37">
        <f ca="1">IFERROR(__xludf.DUMMYFUNCTION("""COMPUTED_VALUE"""),0)</f>
        <v>0</v>
      </c>
      <c r="S95" s="37">
        <f ca="1">IFERROR(__xludf.DUMMYFUNCTION("""COMPUTED_VALUE"""),0)</f>
        <v>0</v>
      </c>
      <c r="T95" s="37">
        <f ca="1">IFERROR(__xludf.DUMMYFUNCTION("""COMPUTED_VALUE"""),0)</f>
        <v>0</v>
      </c>
      <c r="U95" s="37">
        <f ca="1">IFERROR(__xludf.DUMMYFUNCTION("""COMPUTED_VALUE"""),0)</f>
        <v>0</v>
      </c>
      <c r="V95" s="37">
        <f ca="1">IFERROR(__xludf.DUMMYFUNCTION("""COMPUTED_VALUE"""),0)</f>
        <v>0</v>
      </c>
      <c r="W95" s="37">
        <f ca="1">IFERROR(__xludf.DUMMYFUNCTION("""COMPUTED_VALUE"""),0)</f>
        <v>0</v>
      </c>
      <c r="X95" s="37">
        <f ca="1">IFERROR(__xludf.DUMMYFUNCTION("""COMPUTED_VALUE"""),0)</f>
        <v>0</v>
      </c>
      <c r="Y95" s="37">
        <f ca="1">IFERROR(__xludf.DUMMYFUNCTION("""COMPUTED_VALUE"""),0)</f>
        <v>0</v>
      </c>
      <c r="Z95" s="37">
        <f ca="1">IFERROR(__xludf.DUMMYFUNCTION("""COMPUTED_VALUE"""),0)</f>
        <v>0</v>
      </c>
    </row>
    <row r="96" spans="1:26" ht="12.75">
      <c r="A96" s="38" t="str">
        <f ca="1">IFERROR(__xludf.DUMMYFUNCTION("""COMPUTED_VALUE"""),"Araguatins")</f>
        <v>Araguatins</v>
      </c>
      <c r="B96" s="38" t="str">
        <f ca="1">IFERROR(__xludf.DUMMYFUNCTION("""COMPUTED_VALUE"""),"Esperantina")</f>
        <v>Esperantina</v>
      </c>
      <c r="C96" s="39" t="str">
        <f ca="1">IFERROR(__xludf.DUMMYFUNCTION("""COMPUTED_VALUE"""),"A.A. ESC. EST. JOAQUINA MARIA DA SILVA")</f>
        <v>A.A. ESC. EST. JOAQUINA MARIA DA SILVA</v>
      </c>
      <c r="D96" s="40" t="str">
        <f ca="1">IFERROR(__xludf.DUMMYFUNCTION("""COMPUTED_VALUE"""),"01113183000114")</f>
        <v>01113183000114</v>
      </c>
      <c r="E96" s="41" t="str">
        <f ca="1">IFERROR(__xludf.DUMMYFUNCTION("""COMPUTED_VALUE"""),"001")</f>
        <v>001</v>
      </c>
      <c r="F96" s="42" t="str">
        <f ca="1">IFERROR(__xludf.DUMMYFUNCTION("""COMPUTED_VALUE"""),"1305")</f>
        <v>1305</v>
      </c>
      <c r="G96" s="42" t="str">
        <f ca="1">IFERROR(__xludf.DUMMYFUNCTION("""COMPUTED_VALUE"""),"109665")</f>
        <v>109665</v>
      </c>
      <c r="H96" s="42">
        <f ca="1">IFERROR(__xludf.DUMMYFUNCTION("""COMPUTED_VALUE"""),0)</f>
        <v>0</v>
      </c>
      <c r="I96" s="42">
        <f ca="1">IFERROR(__xludf.DUMMYFUNCTION("""COMPUTED_VALUE"""),0)</f>
        <v>0</v>
      </c>
      <c r="J96" s="42">
        <f ca="1">IFERROR(__xludf.DUMMYFUNCTION("""COMPUTED_VALUE"""),3318)</f>
        <v>3318</v>
      </c>
      <c r="K96" s="42">
        <f ca="1">IFERROR(__xludf.DUMMYFUNCTION("""COMPUTED_VALUE"""),0)</f>
        <v>0</v>
      </c>
      <c r="L96" s="42">
        <f ca="1">IFERROR(__xludf.DUMMYFUNCTION("""COMPUTED_VALUE"""),0)</f>
        <v>0</v>
      </c>
      <c r="M96" s="42">
        <f ca="1">IFERROR(__xludf.DUMMYFUNCTION("""COMPUTED_VALUE"""),0)</f>
        <v>0</v>
      </c>
      <c r="N96" s="42">
        <f ca="1">IFERROR(__xludf.DUMMYFUNCTION("""COMPUTED_VALUE"""),0)</f>
        <v>0</v>
      </c>
      <c r="O96" s="42">
        <f ca="1">IFERROR(__xludf.DUMMYFUNCTION("""COMPUTED_VALUE"""),0)</f>
        <v>0</v>
      </c>
      <c r="P96" s="42">
        <f ca="1">IFERROR(__xludf.DUMMYFUNCTION("""COMPUTED_VALUE"""),0)</f>
        <v>0</v>
      </c>
      <c r="Q96" s="42">
        <f ca="1">IFERROR(__xludf.DUMMYFUNCTION("""COMPUTED_VALUE"""),4725)</f>
        <v>4725</v>
      </c>
      <c r="R96" s="42">
        <f ca="1">IFERROR(__xludf.DUMMYFUNCTION("""COMPUTED_VALUE"""),0)</f>
        <v>0</v>
      </c>
      <c r="S96" s="42">
        <f ca="1">IFERROR(__xludf.DUMMYFUNCTION("""COMPUTED_VALUE"""),0)</f>
        <v>0</v>
      </c>
      <c r="T96" s="42">
        <f ca="1">IFERROR(__xludf.DUMMYFUNCTION("""COMPUTED_VALUE"""),0)</f>
        <v>0</v>
      </c>
      <c r="U96" s="42">
        <f ca="1">IFERROR(__xludf.DUMMYFUNCTION("""COMPUTED_VALUE"""),0)</f>
        <v>0</v>
      </c>
      <c r="V96" s="42">
        <f ca="1">IFERROR(__xludf.DUMMYFUNCTION("""COMPUTED_VALUE"""),0)</f>
        <v>0</v>
      </c>
      <c r="W96" s="42">
        <f ca="1">IFERROR(__xludf.DUMMYFUNCTION("""COMPUTED_VALUE"""),0)</f>
        <v>0</v>
      </c>
      <c r="X96" s="42">
        <f ca="1">IFERROR(__xludf.DUMMYFUNCTION("""COMPUTED_VALUE"""),0)</f>
        <v>0</v>
      </c>
      <c r="Y96" s="42">
        <f ca="1">IFERROR(__xludf.DUMMYFUNCTION("""COMPUTED_VALUE"""),0)</f>
        <v>0</v>
      </c>
      <c r="Z96" s="42">
        <f ca="1">IFERROR(__xludf.DUMMYFUNCTION("""COMPUTED_VALUE"""),0)</f>
        <v>0</v>
      </c>
    </row>
    <row r="97" spans="1:26" ht="12.75">
      <c r="A97" s="33" t="str">
        <f ca="1">IFERROR(__xludf.DUMMYFUNCTION("""COMPUTED_VALUE"""),"Araguatins")</f>
        <v>Araguatins</v>
      </c>
      <c r="B97" s="33" t="str">
        <f ca="1">IFERROR(__xludf.DUMMYFUNCTION("""COMPUTED_VALUE"""),"Esperantina")</f>
        <v>Esperantina</v>
      </c>
      <c r="C97" s="34" t="str">
        <f ca="1">IFERROR(__xludf.DUMMYFUNCTION("""COMPUTED_VALUE"""),"A.A. ESC. ESTADUAL ULISSES GUIMARAES")</f>
        <v>A.A. ESC. ESTADUAL ULISSES GUIMARAES</v>
      </c>
      <c r="D97" s="35" t="str">
        <f ca="1">IFERROR(__xludf.DUMMYFUNCTION("""COMPUTED_VALUE"""),"01190183000118")</f>
        <v>01190183000118</v>
      </c>
      <c r="E97" s="36" t="str">
        <f ca="1">IFERROR(__xludf.DUMMYFUNCTION("""COMPUTED_VALUE"""),"001")</f>
        <v>001</v>
      </c>
      <c r="F97" s="37" t="str">
        <f ca="1">IFERROR(__xludf.DUMMYFUNCTION("""COMPUTED_VALUE"""),"1305")</f>
        <v>1305</v>
      </c>
      <c r="G97" s="37" t="str">
        <f ca="1">IFERROR(__xludf.DUMMYFUNCTION("""COMPUTED_VALUE"""),"109363")</f>
        <v>109363</v>
      </c>
      <c r="H97" s="37">
        <f ca="1">IFERROR(__xludf.DUMMYFUNCTION("""COMPUTED_VALUE"""),0)</f>
        <v>0</v>
      </c>
      <c r="I97" s="37">
        <f ca="1">IFERROR(__xludf.DUMMYFUNCTION("""COMPUTED_VALUE"""),0)</f>
        <v>0</v>
      </c>
      <c r="J97" s="37">
        <f ca="1">IFERROR(__xludf.DUMMYFUNCTION("""COMPUTED_VALUE"""),2457)</f>
        <v>2457</v>
      </c>
      <c r="K97" s="37">
        <f ca="1">IFERROR(__xludf.DUMMYFUNCTION("""COMPUTED_VALUE"""),0)</f>
        <v>0</v>
      </c>
      <c r="L97" s="37">
        <f ca="1">IFERROR(__xludf.DUMMYFUNCTION("""COMPUTED_VALUE"""),0)</f>
        <v>0</v>
      </c>
      <c r="M97" s="37">
        <f ca="1">IFERROR(__xludf.DUMMYFUNCTION("""COMPUTED_VALUE"""),0)</f>
        <v>0</v>
      </c>
      <c r="N97" s="37">
        <f ca="1">IFERROR(__xludf.DUMMYFUNCTION("""COMPUTED_VALUE"""),0)</f>
        <v>0</v>
      </c>
      <c r="O97" s="37">
        <f ca="1">IFERROR(__xludf.DUMMYFUNCTION("""COMPUTED_VALUE"""),0)</f>
        <v>0</v>
      </c>
      <c r="P97" s="37">
        <f ca="1">IFERROR(__xludf.DUMMYFUNCTION("""COMPUTED_VALUE"""),168)</f>
        <v>168</v>
      </c>
      <c r="Q97" s="37">
        <f ca="1">IFERROR(__xludf.DUMMYFUNCTION("""COMPUTED_VALUE"""),4095)</f>
        <v>4095</v>
      </c>
      <c r="R97" s="37">
        <f ca="1">IFERROR(__xludf.DUMMYFUNCTION("""COMPUTED_VALUE"""),0)</f>
        <v>0</v>
      </c>
      <c r="S97" s="37">
        <f ca="1">IFERROR(__xludf.DUMMYFUNCTION("""COMPUTED_VALUE"""),0)</f>
        <v>0</v>
      </c>
      <c r="T97" s="37">
        <f ca="1">IFERROR(__xludf.DUMMYFUNCTION("""COMPUTED_VALUE"""),0)</f>
        <v>0</v>
      </c>
      <c r="U97" s="37">
        <f ca="1">IFERROR(__xludf.DUMMYFUNCTION("""COMPUTED_VALUE"""),0)</f>
        <v>0</v>
      </c>
      <c r="V97" s="37">
        <f ca="1">IFERROR(__xludf.DUMMYFUNCTION("""COMPUTED_VALUE"""),0)</f>
        <v>0</v>
      </c>
      <c r="W97" s="37">
        <f ca="1">IFERROR(__xludf.DUMMYFUNCTION("""COMPUTED_VALUE"""),0)</f>
        <v>0</v>
      </c>
      <c r="X97" s="37">
        <f ca="1">IFERROR(__xludf.DUMMYFUNCTION("""COMPUTED_VALUE"""),0)</f>
        <v>0</v>
      </c>
      <c r="Y97" s="37">
        <f ca="1">IFERROR(__xludf.DUMMYFUNCTION("""COMPUTED_VALUE"""),0)</f>
        <v>0</v>
      </c>
      <c r="Z97" s="37">
        <f ca="1">IFERROR(__xludf.DUMMYFUNCTION("""COMPUTED_VALUE"""),0)</f>
        <v>0</v>
      </c>
    </row>
    <row r="98" spans="1:26" ht="12.75">
      <c r="A98" s="38" t="str">
        <f ca="1">IFERROR(__xludf.DUMMYFUNCTION("""COMPUTED_VALUE"""),"Araguatins")</f>
        <v>Araguatins</v>
      </c>
      <c r="B98" s="38" t="str">
        <f ca="1">IFERROR(__xludf.DUMMYFUNCTION("""COMPUTED_VALUE"""),"Esperantina")</f>
        <v>Esperantina</v>
      </c>
      <c r="C98" s="39" t="str">
        <f ca="1">IFERROR(__xludf.DUMMYFUNCTION("""COMPUTED_VALUE"""),"A.A. ESC. FAMÍLIA AGRÍCOLA DO BICO DO PAPAGAIO")</f>
        <v>A.A. ESC. FAMÍLIA AGRÍCOLA DO BICO DO PAPAGAIO</v>
      </c>
      <c r="D98" s="40" t="str">
        <f ca="1">IFERROR(__xludf.DUMMYFUNCTION("""COMPUTED_VALUE"""),"09500499000170")</f>
        <v>09500499000170</v>
      </c>
      <c r="E98" s="41" t="str">
        <f ca="1">IFERROR(__xludf.DUMMYFUNCTION("""COMPUTED_VALUE"""),"001")</f>
        <v>001</v>
      </c>
      <c r="F98" s="42" t="str">
        <f ca="1">IFERROR(__xludf.DUMMYFUNCTION("""COMPUTED_VALUE"""),"3975")</f>
        <v>3975</v>
      </c>
      <c r="G98" s="42" t="str">
        <f ca="1">IFERROR(__xludf.DUMMYFUNCTION("""COMPUTED_VALUE"""),"232653")</f>
        <v>232653</v>
      </c>
      <c r="H98" s="42">
        <f ca="1">IFERROR(__xludf.DUMMYFUNCTION("""COMPUTED_VALUE"""),0)</f>
        <v>0</v>
      </c>
      <c r="I98" s="42">
        <f ca="1">IFERROR(__xludf.DUMMYFUNCTION("""COMPUTED_VALUE"""),0)</f>
        <v>0</v>
      </c>
      <c r="J98" s="42">
        <f ca="1">IFERROR(__xludf.DUMMYFUNCTION("""COMPUTED_VALUE"""),0)</f>
        <v>0</v>
      </c>
      <c r="K98" s="42">
        <f ca="1">IFERROR(__xludf.DUMMYFUNCTION("""COMPUTED_VALUE"""),0)</f>
        <v>0</v>
      </c>
      <c r="L98" s="42">
        <f ca="1">IFERROR(__xludf.DUMMYFUNCTION("""COMPUTED_VALUE"""),0)</f>
        <v>0</v>
      </c>
      <c r="M98" s="42">
        <f ca="1">IFERROR(__xludf.DUMMYFUNCTION("""COMPUTED_VALUE"""),0)</f>
        <v>0</v>
      </c>
      <c r="N98" s="42">
        <f ca="1">IFERROR(__xludf.DUMMYFUNCTION("""COMPUTED_VALUE"""),0)</f>
        <v>0</v>
      </c>
      <c r="O98" s="42">
        <f ca="1">IFERROR(__xludf.DUMMYFUNCTION("""COMPUTED_VALUE"""),0)</f>
        <v>0</v>
      </c>
      <c r="P98" s="42">
        <f ca="1">IFERROR(__xludf.DUMMYFUNCTION("""COMPUTED_VALUE"""),0)</f>
        <v>0</v>
      </c>
      <c r="Q98" s="42">
        <f ca="1">IFERROR(__xludf.DUMMYFUNCTION("""COMPUTED_VALUE"""),0)</f>
        <v>0</v>
      </c>
      <c r="R98" s="42">
        <f ca="1">IFERROR(__xludf.DUMMYFUNCTION("""COMPUTED_VALUE"""),0)</f>
        <v>0</v>
      </c>
      <c r="S98" s="42">
        <f ca="1">IFERROR(__xludf.DUMMYFUNCTION("""COMPUTED_VALUE"""),0)</f>
        <v>0</v>
      </c>
      <c r="T98" s="42">
        <f ca="1">IFERROR(__xludf.DUMMYFUNCTION("""COMPUTED_VALUE"""),0)</f>
        <v>0</v>
      </c>
      <c r="U98" s="42">
        <f ca="1">IFERROR(__xludf.DUMMYFUNCTION("""COMPUTED_VALUE"""),0)</f>
        <v>0</v>
      </c>
      <c r="V98" s="42">
        <f ca="1">IFERROR(__xludf.DUMMYFUNCTION("""COMPUTED_VALUE"""),32884.8)</f>
        <v>32884.800000000003</v>
      </c>
      <c r="W98" s="42">
        <f ca="1">IFERROR(__xludf.DUMMYFUNCTION("""COMPUTED_VALUE"""),0)</f>
        <v>0</v>
      </c>
      <c r="X98" s="42">
        <f ca="1">IFERROR(__xludf.DUMMYFUNCTION("""COMPUTED_VALUE"""),0)</f>
        <v>0</v>
      </c>
      <c r="Y98" s="42">
        <f ca="1">IFERROR(__xludf.DUMMYFUNCTION("""COMPUTED_VALUE"""),2553)</f>
        <v>2553</v>
      </c>
      <c r="Z98" s="42">
        <f ca="1">IFERROR(__xludf.DUMMYFUNCTION("""COMPUTED_VALUE"""),0)</f>
        <v>0</v>
      </c>
    </row>
    <row r="99" spans="1:26" ht="12.75">
      <c r="A99" s="33" t="str">
        <f ca="1">IFERROR(__xludf.DUMMYFUNCTION("""COMPUTED_VALUE"""),"Araguatins")</f>
        <v>Araguatins</v>
      </c>
      <c r="B99" s="33" t="str">
        <f ca="1">IFERROR(__xludf.DUMMYFUNCTION("""COMPUTED_VALUE"""),"Praia Norte")</f>
        <v>Praia Norte</v>
      </c>
      <c r="C99" s="34" t="str">
        <f ca="1">IFERROR(__xludf.DUMMYFUNCTION("""COMPUTED_VALUE"""),"ASS. DE AP.ESCOLA EST. Iº DE JUNHO")</f>
        <v>ASS. DE AP.ESCOLA EST. Iº DE JUNHO</v>
      </c>
      <c r="D99" s="35" t="str">
        <f ca="1">IFERROR(__xludf.DUMMYFUNCTION("""COMPUTED_VALUE"""),"01392734000126")</f>
        <v>01392734000126</v>
      </c>
      <c r="E99" s="36" t="str">
        <f ca="1">IFERROR(__xludf.DUMMYFUNCTION("""COMPUTED_VALUE"""),"001")</f>
        <v>001</v>
      </c>
      <c r="F99" s="37" t="str">
        <f ca="1">IFERROR(__xludf.DUMMYFUNCTION("""COMPUTED_VALUE"""),"3975")</f>
        <v>3975</v>
      </c>
      <c r="G99" s="37" t="str">
        <f ca="1">IFERROR(__xludf.DUMMYFUNCTION("""COMPUTED_VALUE"""),"19712")</f>
        <v>19712</v>
      </c>
      <c r="H99" s="37">
        <f ca="1">IFERROR(__xludf.DUMMYFUNCTION("""COMPUTED_VALUE"""),0)</f>
        <v>0</v>
      </c>
      <c r="I99" s="37">
        <f ca="1">IFERROR(__xludf.DUMMYFUNCTION("""COMPUTED_VALUE"""),0)</f>
        <v>0</v>
      </c>
      <c r="J99" s="37">
        <f ca="1">IFERROR(__xludf.DUMMYFUNCTION("""COMPUTED_VALUE"""),4536)</f>
        <v>4536</v>
      </c>
      <c r="K99" s="37">
        <f ca="1">IFERROR(__xludf.DUMMYFUNCTION("""COMPUTED_VALUE"""),0)</f>
        <v>0</v>
      </c>
      <c r="L99" s="37">
        <f ca="1">IFERROR(__xludf.DUMMYFUNCTION("""COMPUTED_VALUE"""),0)</f>
        <v>0</v>
      </c>
      <c r="M99" s="37">
        <f ca="1">IFERROR(__xludf.DUMMYFUNCTION("""COMPUTED_VALUE"""),0)</f>
        <v>0</v>
      </c>
      <c r="N99" s="37">
        <f ca="1">IFERROR(__xludf.DUMMYFUNCTION("""COMPUTED_VALUE"""),0)</f>
        <v>0</v>
      </c>
      <c r="O99" s="37">
        <f ca="1">IFERROR(__xludf.DUMMYFUNCTION("""COMPUTED_VALUE"""),0)</f>
        <v>0</v>
      </c>
      <c r="P99" s="37">
        <f ca="1">IFERROR(__xludf.DUMMYFUNCTION("""COMPUTED_VALUE"""),252)</f>
        <v>252</v>
      </c>
      <c r="Q99" s="37">
        <f ca="1">IFERROR(__xludf.DUMMYFUNCTION("""COMPUTED_VALUE"""),0)</f>
        <v>0</v>
      </c>
      <c r="R99" s="37">
        <f ca="1">IFERROR(__xludf.DUMMYFUNCTION("""COMPUTED_VALUE"""),0)</f>
        <v>0</v>
      </c>
      <c r="S99" s="37">
        <f ca="1">IFERROR(__xludf.DUMMYFUNCTION("""COMPUTED_VALUE"""),0)</f>
        <v>0</v>
      </c>
      <c r="T99" s="37">
        <f ca="1">IFERROR(__xludf.DUMMYFUNCTION("""COMPUTED_VALUE"""),0)</f>
        <v>0</v>
      </c>
      <c r="U99" s="37">
        <f ca="1">IFERROR(__xludf.DUMMYFUNCTION("""COMPUTED_VALUE"""),0)</f>
        <v>0</v>
      </c>
      <c r="V99" s="37">
        <f ca="1">IFERROR(__xludf.DUMMYFUNCTION("""COMPUTED_VALUE"""),0)</f>
        <v>0</v>
      </c>
      <c r="W99" s="37">
        <f ca="1">IFERROR(__xludf.DUMMYFUNCTION("""COMPUTED_VALUE"""),0)</f>
        <v>0</v>
      </c>
      <c r="X99" s="37">
        <f ca="1">IFERROR(__xludf.DUMMYFUNCTION("""COMPUTED_VALUE"""),0)</f>
        <v>0</v>
      </c>
      <c r="Y99" s="37">
        <f ca="1">IFERROR(__xludf.DUMMYFUNCTION("""COMPUTED_VALUE"""),0)</f>
        <v>0</v>
      </c>
      <c r="Z99" s="37">
        <f ca="1">IFERROR(__xludf.DUMMYFUNCTION("""COMPUTED_VALUE"""),0)</f>
        <v>0</v>
      </c>
    </row>
    <row r="100" spans="1:26" ht="12.75">
      <c r="A100" s="38" t="str">
        <f ca="1">IFERROR(__xludf.DUMMYFUNCTION("""COMPUTED_VALUE"""),"Araguatins")</f>
        <v>Araguatins</v>
      </c>
      <c r="B100" s="38" t="str">
        <f ca="1">IFERROR(__xludf.DUMMYFUNCTION("""COMPUTED_VALUE"""),"Praia Norte")</f>
        <v>Praia Norte</v>
      </c>
      <c r="C100" s="39" t="str">
        <f ca="1">IFERROR(__xludf.DUMMYFUNCTION("""COMPUTED_VALUE"""),"ASS. AP.ESC. ESTADUAL GENESIO GOMES")</f>
        <v>ASS. AP.ESC. ESTADUAL GENESIO GOMES</v>
      </c>
      <c r="D100" s="40" t="str">
        <f ca="1">IFERROR(__xludf.DUMMYFUNCTION("""COMPUTED_VALUE"""),"01192607000183")</f>
        <v>01192607000183</v>
      </c>
      <c r="E100" s="41" t="str">
        <f ca="1">IFERROR(__xludf.DUMMYFUNCTION("""COMPUTED_VALUE"""),"001")</f>
        <v>001</v>
      </c>
      <c r="F100" s="42" t="str">
        <f ca="1">IFERROR(__xludf.DUMMYFUNCTION("""COMPUTED_VALUE"""),"3975")</f>
        <v>3975</v>
      </c>
      <c r="G100" s="42" t="str">
        <f ca="1">IFERROR(__xludf.DUMMYFUNCTION("""COMPUTED_VALUE"""),"19690")</f>
        <v>19690</v>
      </c>
      <c r="H100" s="42">
        <f ca="1">IFERROR(__xludf.DUMMYFUNCTION("""COMPUTED_VALUE"""),0)</f>
        <v>0</v>
      </c>
      <c r="I100" s="42">
        <f ca="1">IFERROR(__xludf.DUMMYFUNCTION("""COMPUTED_VALUE"""),0)</f>
        <v>0</v>
      </c>
      <c r="J100" s="42">
        <f ca="1">IFERROR(__xludf.DUMMYFUNCTION("""COMPUTED_VALUE"""),0)</f>
        <v>0</v>
      </c>
      <c r="K100" s="42">
        <f ca="1">IFERROR(__xludf.DUMMYFUNCTION("""COMPUTED_VALUE"""),0)</f>
        <v>0</v>
      </c>
      <c r="L100" s="42">
        <f ca="1">IFERROR(__xludf.DUMMYFUNCTION("""COMPUTED_VALUE"""),0)</f>
        <v>0</v>
      </c>
      <c r="M100" s="42">
        <f ca="1">IFERROR(__xludf.DUMMYFUNCTION("""COMPUTED_VALUE"""),0)</f>
        <v>0</v>
      </c>
      <c r="N100" s="42">
        <f ca="1">IFERROR(__xludf.DUMMYFUNCTION("""COMPUTED_VALUE"""),0)</f>
        <v>0</v>
      </c>
      <c r="O100" s="42">
        <f ca="1">IFERROR(__xludf.DUMMYFUNCTION("""COMPUTED_VALUE"""),0)</f>
        <v>0</v>
      </c>
      <c r="P100" s="42">
        <f ca="1">IFERROR(__xludf.DUMMYFUNCTION("""COMPUTED_VALUE"""),0)</f>
        <v>0</v>
      </c>
      <c r="Q100" s="42">
        <f ca="1">IFERROR(__xludf.DUMMYFUNCTION("""COMPUTED_VALUE"""),6888)</f>
        <v>6888</v>
      </c>
      <c r="R100" s="42">
        <f ca="1">IFERROR(__xludf.DUMMYFUNCTION("""COMPUTED_VALUE"""),0)</f>
        <v>0</v>
      </c>
      <c r="S100" s="42">
        <f ca="1">IFERROR(__xludf.DUMMYFUNCTION("""COMPUTED_VALUE"""),0)</f>
        <v>0</v>
      </c>
      <c r="T100" s="42">
        <f ca="1">IFERROR(__xludf.DUMMYFUNCTION("""COMPUTED_VALUE"""),756)</f>
        <v>756</v>
      </c>
      <c r="U100" s="42">
        <f ca="1">IFERROR(__xludf.DUMMYFUNCTION("""COMPUTED_VALUE"""),0)</f>
        <v>0</v>
      </c>
      <c r="V100" s="42">
        <f ca="1">IFERROR(__xludf.DUMMYFUNCTION("""COMPUTED_VALUE"""),0)</f>
        <v>0</v>
      </c>
      <c r="W100" s="42">
        <f ca="1">IFERROR(__xludf.DUMMYFUNCTION("""COMPUTED_VALUE"""),0)</f>
        <v>0</v>
      </c>
      <c r="X100" s="42">
        <f ca="1">IFERROR(__xludf.DUMMYFUNCTION("""COMPUTED_VALUE"""),0)</f>
        <v>0</v>
      </c>
      <c r="Y100" s="42">
        <f ca="1">IFERROR(__xludf.DUMMYFUNCTION("""COMPUTED_VALUE"""),0)</f>
        <v>0</v>
      </c>
      <c r="Z100" s="42">
        <f ca="1">IFERROR(__xludf.DUMMYFUNCTION("""COMPUTED_VALUE"""),0)</f>
        <v>0</v>
      </c>
    </row>
    <row r="101" spans="1:26" ht="12.75">
      <c r="A101" s="33" t="str">
        <f ca="1">IFERROR(__xludf.DUMMYFUNCTION("""COMPUTED_VALUE"""),"Araguatins")</f>
        <v>Araguatins</v>
      </c>
      <c r="B101" s="33" t="str">
        <f ca="1">IFERROR(__xludf.DUMMYFUNCTION("""COMPUTED_VALUE"""),"Sampaio")</f>
        <v>Sampaio</v>
      </c>
      <c r="C101" s="34" t="str">
        <f ca="1">IFERROR(__xludf.DUMMYFUNCTION("""COMPUTED_VALUE"""),"A. DE AP. DA ESCOLA ESTADUAL SAMPAIO")</f>
        <v>A. DE AP. DA ESCOLA ESTADUAL SAMPAIO</v>
      </c>
      <c r="D101" s="35" t="str">
        <f ca="1">IFERROR(__xludf.DUMMYFUNCTION("""COMPUTED_VALUE"""),"01190179000150")</f>
        <v>01190179000150</v>
      </c>
      <c r="E101" s="36" t="str">
        <f ca="1">IFERROR(__xludf.DUMMYFUNCTION("""COMPUTED_VALUE"""),"001")</f>
        <v>001</v>
      </c>
      <c r="F101" s="37" t="str">
        <f ca="1">IFERROR(__xludf.DUMMYFUNCTION("""COMPUTED_VALUE"""),"1305")</f>
        <v>1305</v>
      </c>
      <c r="G101" s="37" t="str">
        <f ca="1">IFERROR(__xludf.DUMMYFUNCTION("""COMPUTED_VALUE"""),"0019178")</f>
        <v>0019178</v>
      </c>
      <c r="H101" s="37">
        <f ca="1">IFERROR(__xludf.DUMMYFUNCTION("""COMPUTED_VALUE"""),0)</f>
        <v>0</v>
      </c>
      <c r="I101" s="37">
        <f ca="1">IFERROR(__xludf.DUMMYFUNCTION("""COMPUTED_VALUE"""),0)</f>
        <v>0</v>
      </c>
      <c r="J101" s="37">
        <f ca="1">IFERROR(__xludf.DUMMYFUNCTION("""COMPUTED_VALUE"""),7959)</f>
        <v>7959</v>
      </c>
      <c r="K101" s="37">
        <f ca="1">IFERROR(__xludf.DUMMYFUNCTION("""COMPUTED_VALUE"""),0)</f>
        <v>0</v>
      </c>
      <c r="L101" s="37">
        <f ca="1">IFERROR(__xludf.DUMMYFUNCTION("""COMPUTED_VALUE"""),0)</f>
        <v>0</v>
      </c>
      <c r="M101" s="37">
        <f ca="1">IFERROR(__xludf.DUMMYFUNCTION("""COMPUTED_VALUE"""),0)</f>
        <v>0</v>
      </c>
      <c r="N101" s="37">
        <f ca="1">IFERROR(__xludf.DUMMYFUNCTION("""COMPUTED_VALUE"""),0)</f>
        <v>0</v>
      </c>
      <c r="O101" s="37">
        <f ca="1">IFERROR(__xludf.DUMMYFUNCTION("""COMPUTED_VALUE"""),0)</f>
        <v>0</v>
      </c>
      <c r="P101" s="37">
        <f ca="1">IFERROR(__xludf.DUMMYFUNCTION("""COMPUTED_VALUE"""),294)</f>
        <v>294</v>
      </c>
      <c r="Q101" s="37">
        <f ca="1">IFERROR(__xludf.DUMMYFUNCTION("""COMPUTED_VALUE"""),4305)</f>
        <v>4305</v>
      </c>
      <c r="R101" s="37">
        <f ca="1">IFERROR(__xludf.DUMMYFUNCTION("""COMPUTED_VALUE"""),0)</f>
        <v>0</v>
      </c>
      <c r="S101" s="37">
        <f ca="1">IFERROR(__xludf.DUMMYFUNCTION("""COMPUTED_VALUE"""),0)</f>
        <v>0</v>
      </c>
      <c r="T101" s="37">
        <f ca="1">IFERROR(__xludf.DUMMYFUNCTION("""COMPUTED_VALUE"""),0)</f>
        <v>0</v>
      </c>
      <c r="U101" s="37">
        <f ca="1">IFERROR(__xludf.DUMMYFUNCTION("""COMPUTED_VALUE"""),0)</f>
        <v>0</v>
      </c>
      <c r="V101" s="37">
        <f ca="1">IFERROR(__xludf.DUMMYFUNCTION("""COMPUTED_VALUE"""),0)</f>
        <v>0</v>
      </c>
      <c r="W101" s="37">
        <f ca="1">IFERROR(__xludf.DUMMYFUNCTION("""COMPUTED_VALUE"""),0)</f>
        <v>0</v>
      </c>
      <c r="X101" s="37">
        <f ca="1">IFERROR(__xludf.DUMMYFUNCTION("""COMPUTED_VALUE"""),0)</f>
        <v>0</v>
      </c>
      <c r="Y101" s="37">
        <f ca="1">IFERROR(__xludf.DUMMYFUNCTION("""COMPUTED_VALUE"""),0)</f>
        <v>0</v>
      </c>
      <c r="Z101" s="37">
        <f ca="1">IFERROR(__xludf.DUMMYFUNCTION("""COMPUTED_VALUE"""),0)</f>
        <v>0</v>
      </c>
    </row>
    <row r="102" spans="1:26" ht="12.75">
      <c r="A102" s="38" t="str">
        <f ca="1">IFERROR(__xludf.DUMMYFUNCTION("""COMPUTED_VALUE"""),"Araguatins")</f>
        <v>Araguatins</v>
      </c>
      <c r="B102" s="38" t="str">
        <f ca="1">IFERROR(__xludf.DUMMYFUNCTION("""COMPUTED_VALUE"""),"Sao Bento do Tocantins")</f>
        <v>Sao Bento do Tocantins</v>
      </c>
      <c r="C102" s="39" t="str">
        <f ca="1">IFERROR(__xludf.DUMMYFUNCTION("""COMPUTED_VALUE"""),"A.A. COLEGIO EST. IRMAOS FILGUEIRAS")</f>
        <v>A.A. COLEGIO EST. IRMAOS FILGUEIRAS</v>
      </c>
      <c r="D102" s="40" t="str">
        <f ca="1">IFERROR(__xludf.DUMMYFUNCTION("""COMPUTED_VALUE"""),"01068348000183")</f>
        <v>01068348000183</v>
      </c>
      <c r="E102" s="41" t="str">
        <f ca="1">IFERROR(__xludf.DUMMYFUNCTION("""COMPUTED_VALUE"""),"001")</f>
        <v>001</v>
      </c>
      <c r="F102" s="42" t="str">
        <f ca="1">IFERROR(__xludf.DUMMYFUNCTION("""COMPUTED_VALUE"""),"1305")</f>
        <v>1305</v>
      </c>
      <c r="G102" s="42" t="str">
        <f ca="1">IFERROR(__xludf.DUMMYFUNCTION("""COMPUTED_VALUE"""),"109134")</f>
        <v>109134</v>
      </c>
      <c r="H102" s="42">
        <f ca="1">IFERROR(__xludf.DUMMYFUNCTION("""COMPUTED_VALUE"""),0)</f>
        <v>0</v>
      </c>
      <c r="I102" s="42">
        <f ca="1">IFERROR(__xludf.DUMMYFUNCTION("""COMPUTED_VALUE"""),0)</f>
        <v>0</v>
      </c>
      <c r="J102" s="42">
        <f ca="1">IFERROR(__xludf.DUMMYFUNCTION("""COMPUTED_VALUE"""),3864)</f>
        <v>3864</v>
      </c>
      <c r="K102" s="42">
        <f ca="1">IFERROR(__xludf.DUMMYFUNCTION("""COMPUTED_VALUE"""),0)</f>
        <v>0</v>
      </c>
      <c r="L102" s="42">
        <f ca="1">IFERROR(__xludf.DUMMYFUNCTION("""COMPUTED_VALUE"""),0)</f>
        <v>0</v>
      </c>
      <c r="M102" s="42">
        <f ca="1">IFERROR(__xludf.DUMMYFUNCTION("""COMPUTED_VALUE"""),0)</f>
        <v>0</v>
      </c>
      <c r="N102" s="42">
        <f ca="1">IFERROR(__xludf.DUMMYFUNCTION("""COMPUTED_VALUE"""),0)</f>
        <v>0</v>
      </c>
      <c r="O102" s="42">
        <f ca="1">IFERROR(__xludf.DUMMYFUNCTION("""COMPUTED_VALUE"""),0)</f>
        <v>0</v>
      </c>
      <c r="P102" s="42">
        <f ca="1">IFERROR(__xludf.DUMMYFUNCTION("""COMPUTED_VALUE"""),357)</f>
        <v>357</v>
      </c>
      <c r="Q102" s="42">
        <f ca="1">IFERROR(__xludf.DUMMYFUNCTION("""COMPUTED_VALUE"""),4536)</f>
        <v>4536</v>
      </c>
      <c r="R102" s="42">
        <f ca="1">IFERROR(__xludf.DUMMYFUNCTION("""COMPUTED_VALUE"""),0)</f>
        <v>0</v>
      </c>
      <c r="S102" s="42">
        <f ca="1">IFERROR(__xludf.DUMMYFUNCTION("""COMPUTED_VALUE"""),0)</f>
        <v>0</v>
      </c>
      <c r="T102" s="42">
        <f ca="1">IFERROR(__xludf.DUMMYFUNCTION("""COMPUTED_VALUE"""),294)</f>
        <v>294</v>
      </c>
      <c r="U102" s="42">
        <f ca="1">IFERROR(__xludf.DUMMYFUNCTION("""COMPUTED_VALUE"""),0)</f>
        <v>0</v>
      </c>
      <c r="V102" s="42">
        <f ca="1">IFERROR(__xludf.DUMMYFUNCTION("""COMPUTED_VALUE"""),0)</f>
        <v>0</v>
      </c>
      <c r="W102" s="42">
        <f ca="1">IFERROR(__xludf.DUMMYFUNCTION("""COMPUTED_VALUE"""),0)</f>
        <v>0</v>
      </c>
      <c r="X102" s="42">
        <f ca="1">IFERROR(__xludf.DUMMYFUNCTION("""COMPUTED_VALUE"""),0)</f>
        <v>0</v>
      </c>
      <c r="Y102" s="42">
        <f ca="1">IFERROR(__xludf.DUMMYFUNCTION("""COMPUTED_VALUE"""),0)</f>
        <v>0</v>
      </c>
      <c r="Z102" s="42">
        <f ca="1">IFERROR(__xludf.DUMMYFUNCTION("""COMPUTED_VALUE"""),0)</f>
        <v>0</v>
      </c>
    </row>
    <row r="103" spans="1:26" ht="12.75">
      <c r="A103" s="33" t="str">
        <f ca="1">IFERROR(__xludf.DUMMYFUNCTION("""COMPUTED_VALUE"""),"Araguatins")</f>
        <v>Araguatins</v>
      </c>
      <c r="B103" s="33" t="str">
        <f ca="1">IFERROR(__xludf.DUMMYFUNCTION("""COMPUTED_VALUE"""),"Sao Bento do Tocantins")</f>
        <v>Sao Bento do Tocantins</v>
      </c>
      <c r="C103" s="34" t="str">
        <f ca="1">IFERROR(__xludf.DUMMYFUNCTION("""COMPUTED_VALUE"""),"A.A. ESC. EST. ANAIDES BRITO MIRANDA")</f>
        <v>A.A. ESC. EST. ANAIDES BRITO MIRANDA</v>
      </c>
      <c r="D103" s="35" t="str">
        <f ca="1">IFERROR(__xludf.DUMMYFUNCTION("""COMPUTED_VALUE"""),"01181993000108")</f>
        <v>01181993000108</v>
      </c>
      <c r="E103" s="36" t="str">
        <f ca="1">IFERROR(__xludf.DUMMYFUNCTION("""COMPUTED_VALUE"""),"001")</f>
        <v>001</v>
      </c>
      <c r="F103" s="37" t="str">
        <f ca="1">IFERROR(__xludf.DUMMYFUNCTION("""COMPUTED_VALUE"""),"1305")</f>
        <v>1305</v>
      </c>
      <c r="G103" s="37" t="str">
        <f ca="1">IFERROR(__xludf.DUMMYFUNCTION("""COMPUTED_VALUE"""),"10938x")</f>
        <v>10938x</v>
      </c>
      <c r="H103" s="37">
        <f ca="1">IFERROR(__xludf.DUMMYFUNCTION("""COMPUTED_VALUE"""),0)</f>
        <v>0</v>
      </c>
      <c r="I103" s="37">
        <f ca="1">IFERROR(__xludf.DUMMYFUNCTION("""COMPUTED_VALUE"""),0)</f>
        <v>0</v>
      </c>
      <c r="J103" s="37">
        <f ca="1">IFERROR(__xludf.DUMMYFUNCTION("""COMPUTED_VALUE"""),1470)</f>
        <v>1470</v>
      </c>
      <c r="K103" s="37">
        <f ca="1">IFERROR(__xludf.DUMMYFUNCTION("""COMPUTED_VALUE"""),0)</f>
        <v>0</v>
      </c>
      <c r="L103" s="37">
        <f ca="1">IFERROR(__xludf.DUMMYFUNCTION("""COMPUTED_VALUE"""),0)</f>
        <v>0</v>
      </c>
      <c r="M103" s="37">
        <f ca="1">IFERROR(__xludf.DUMMYFUNCTION("""COMPUTED_VALUE"""),0)</f>
        <v>0</v>
      </c>
      <c r="N103" s="37">
        <f ca="1">IFERROR(__xludf.DUMMYFUNCTION("""COMPUTED_VALUE"""),0)</f>
        <v>0</v>
      </c>
      <c r="O103" s="37">
        <f ca="1">IFERROR(__xludf.DUMMYFUNCTION("""COMPUTED_VALUE"""),0)</f>
        <v>0</v>
      </c>
      <c r="P103" s="37">
        <f ca="1">IFERROR(__xludf.DUMMYFUNCTION("""COMPUTED_VALUE"""),252)</f>
        <v>252</v>
      </c>
      <c r="Q103" s="37">
        <f ca="1">IFERROR(__xludf.DUMMYFUNCTION("""COMPUTED_VALUE"""),1008)</f>
        <v>1008</v>
      </c>
      <c r="R103" s="37">
        <f ca="1">IFERROR(__xludf.DUMMYFUNCTION("""COMPUTED_VALUE"""),0)</f>
        <v>0</v>
      </c>
      <c r="S103" s="37">
        <f ca="1">IFERROR(__xludf.DUMMYFUNCTION("""COMPUTED_VALUE"""),0)</f>
        <v>0</v>
      </c>
      <c r="T103" s="37">
        <f ca="1">IFERROR(__xludf.DUMMYFUNCTION("""COMPUTED_VALUE"""),315)</f>
        <v>315</v>
      </c>
      <c r="U103" s="37">
        <f ca="1">IFERROR(__xludf.DUMMYFUNCTION("""COMPUTED_VALUE"""),0)</f>
        <v>0</v>
      </c>
      <c r="V103" s="37">
        <f ca="1">IFERROR(__xludf.DUMMYFUNCTION("""COMPUTED_VALUE"""),0)</f>
        <v>0</v>
      </c>
      <c r="W103" s="37">
        <f ca="1">IFERROR(__xludf.DUMMYFUNCTION("""COMPUTED_VALUE"""),0)</f>
        <v>0</v>
      </c>
      <c r="X103" s="37">
        <f ca="1">IFERROR(__xludf.DUMMYFUNCTION("""COMPUTED_VALUE"""),0)</f>
        <v>0</v>
      </c>
      <c r="Y103" s="37">
        <f ca="1">IFERROR(__xludf.DUMMYFUNCTION("""COMPUTED_VALUE"""),0)</f>
        <v>0</v>
      </c>
      <c r="Z103" s="37">
        <f ca="1">IFERROR(__xludf.DUMMYFUNCTION("""COMPUTED_VALUE"""),0)</f>
        <v>0</v>
      </c>
    </row>
    <row r="104" spans="1:26" ht="12.75">
      <c r="A104" s="38" t="str">
        <f ca="1">IFERROR(__xludf.DUMMYFUNCTION("""COMPUTED_VALUE"""),"Araguatins")</f>
        <v>Araguatins</v>
      </c>
      <c r="B104" s="38" t="str">
        <f ca="1">IFERROR(__xludf.DUMMYFUNCTION("""COMPUTED_VALUE"""),"Sao Miguel do Tocantins")</f>
        <v>Sao Miguel do Tocantins</v>
      </c>
      <c r="C104" s="39" t="str">
        <f ca="1">IFERROR(__xludf.DUMMYFUNCTION("""COMPUTED_VALUE"""),"A.A.  DA ESCOLA ESTADUAL BELA VISTA")</f>
        <v>A.A.  DA ESCOLA ESTADUAL BELA VISTA</v>
      </c>
      <c r="D104" s="40" t="str">
        <f ca="1">IFERROR(__xludf.DUMMYFUNCTION("""COMPUTED_VALUE"""),"01230238000176")</f>
        <v>01230238000176</v>
      </c>
      <c r="E104" s="41" t="str">
        <f ca="1">IFERROR(__xludf.DUMMYFUNCTION("""COMPUTED_VALUE"""),"001")</f>
        <v>001</v>
      </c>
      <c r="F104" s="42" t="str">
        <f ca="1">IFERROR(__xludf.DUMMYFUNCTION("""COMPUTED_VALUE"""),"1305")</f>
        <v>1305</v>
      </c>
      <c r="G104" s="42" t="str">
        <f ca="1">IFERROR(__xludf.DUMMYFUNCTION("""COMPUTED_VALUE"""),"0217948")</f>
        <v>0217948</v>
      </c>
      <c r="H104" s="42">
        <f ca="1">IFERROR(__xludf.DUMMYFUNCTION("""COMPUTED_VALUE"""),0)</f>
        <v>0</v>
      </c>
      <c r="I104" s="42">
        <f ca="1">IFERROR(__xludf.DUMMYFUNCTION("""COMPUTED_VALUE"""),0)</f>
        <v>0</v>
      </c>
      <c r="J104" s="42">
        <f ca="1">IFERROR(__xludf.DUMMYFUNCTION("""COMPUTED_VALUE"""),5607)</f>
        <v>5607</v>
      </c>
      <c r="K104" s="42">
        <f ca="1">IFERROR(__xludf.DUMMYFUNCTION("""COMPUTED_VALUE"""),0)</f>
        <v>0</v>
      </c>
      <c r="L104" s="42">
        <f ca="1">IFERROR(__xludf.DUMMYFUNCTION("""COMPUTED_VALUE"""),0)</f>
        <v>0</v>
      </c>
      <c r="M104" s="42">
        <f ca="1">IFERROR(__xludf.DUMMYFUNCTION("""COMPUTED_VALUE"""),0)</f>
        <v>0</v>
      </c>
      <c r="N104" s="42">
        <f ca="1">IFERROR(__xludf.DUMMYFUNCTION("""COMPUTED_VALUE"""),0)</f>
        <v>0</v>
      </c>
      <c r="O104" s="42">
        <f ca="1">IFERROR(__xludf.DUMMYFUNCTION("""COMPUTED_VALUE"""),0)</f>
        <v>0</v>
      </c>
      <c r="P104" s="42">
        <f ca="1">IFERROR(__xludf.DUMMYFUNCTION("""COMPUTED_VALUE"""),0)</f>
        <v>0</v>
      </c>
      <c r="Q104" s="42">
        <f ca="1">IFERROR(__xludf.DUMMYFUNCTION("""COMPUTED_VALUE"""),4326)</f>
        <v>4326</v>
      </c>
      <c r="R104" s="42">
        <f ca="1">IFERROR(__xludf.DUMMYFUNCTION("""COMPUTED_VALUE"""),0)</f>
        <v>0</v>
      </c>
      <c r="S104" s="42">
        <f ca="1">IFERROR(__xludf.DUMMYFUNCTION("""COMPUTED_VALUE"""),0)</f>
        <v>0</v>
      </c>
      <c r="T104" s="42">
        <f ca="1">IFERROR(__xludf.DUMMYFUNCTION("""COMPUTED_VALUE"""),0)</f>
        <v>0</v>
      </c>
      <c r="U104" s="42">
        <f ca="1">IFERROR(__xludf.DUMMYFUNCTION("""COMPUTED_VALUE"""),0)</f>
        <v>0</v>
      </c>
      <c r="V104" s="42">
        <f ca="1">IFERROR(__xludf.DUMMYFUNCTION("""COMPUTED_VALUE"""),0)</f>
        <v>0</v>
      </c>
      <c r="W104" s="42">
        <f ca="1">IFERROR(__xludf.DUMMYFUNCTION("""COMPUTED_VALUE"""),0)</f>
        <v>0</v>
      </c>
      <c r="X104" s="42">
        <f ca="1">IFERROR(__xludf.DUMMYFUNCTION("""COMPUTED_VALUE"""),0)</f>
        <v>0</v>
      </c>
      <c r="Y104" s="42">
        <f ca="1">IFERROR(__xludf.DUMMYFUNCTION("""COMPUTED_VALUE"""),0)</f>
        <v>0</v>
      </c>
      <c r="Z104" s="42">
        <f ca="1">IFERROR(__xludf.DUMMYFUNCTION("""COMPUTED_VALUE"""),0)</f>
        <v>0</v>
      </c>
    </row>
    <row r="105" spans="1:26" ht="12.75">
      <c r="A105" s="33" t="str">
        <f ca="1">IFERROR(__xludf.DUMMYFUNCTION("""COMPUTED_VALUE"""),"Araguatins")</f>
        <v>Araguatins</v>
      </c>
      <c r="B105" s="33" t="str">
        <f ca="1">IFERROR(__xludf.DUMMYFUNCTION("""COMPUTED_VALUE"""),"Sao Miguel do Tocantins")</f>
        <v>Sao Miguel do Tocantins</v>
      </c>
      <c r="C105" s="34" t="str">
        <f ca="1">IFERROR(__xludf.DUMMYFUNCTION("""COMPUTED_VALUE"""),"A.A.  ESCOLA ESTADUAL SAO MIGUEL")</f>
        <v>A.A.  ESCOLA ESTADUAL SAO MIGUEL</v>
      </c>
      <c r="D105" s="35" t="str">
        <f ca="1">IFERROR(__xludf.DUMMYFUNCTION("""COMPUTED_VALUE"""),"01213523000189")</f>
        <v>01213523000189</v>
      </c>
      <c r="E105" s="36" t="str">
        <f ca="1">IFERROR(__xludf.DUMMYFUNCTION("""COMPUTED_VALUE"""),"001")</f>
        <v>001</v>
      </c>
      <c r="F105" s="37" t="str">
        <f ca="1">IFERROR(__xludf.DUMMYFUNCTION("""COMPUTED_VALUE"""),"1305")</f>
        <v>1305</v>
      </c>
      <c r="G105" s="37" t="str">
        <f ca="1">IFERROR(__xludf.DUMMYFUNCTION("""COMPUTED_VALUE"""),"173576")</f>
        <v>173576</v>
      </c>
      <c r="H105" s="37">
        <f ca="1">IFERROR(__xludf.DUMMYFUNCTION("""COMPUTED_VALUE"""),0)</f>
        <v>0</v>
      </c>
      <c r="I105" s="37">
        <f ca="1">IFERROR(__xludf.DUMMYFUNCTION("""COMPUTED_VALUE"""),0)</f>
        <v>0</v>
      </c>
      <c r="J105" s="37">
        <f ca="1">IFERROR(__xludf.DUMMYFUNCTION("""COMPUTED_VALUE"""),4326)</f>
        <v>4326</v>
      </c>
      <c r="K105" s="37">
        <f ca="1">IFERROR(__xludf.DUMMYFUNCTION("""COMPUTED_VALUE"""),0)</f>
        <v>0</v>
      </c>
      <c r="L105" s="37">
        <f ca="1">IFERROR(__xludf.DUMMYFUNCTION("""COMPUTED_VALUE"""),0)</f>
        <v>0</v>
      </c>
      <c r="M105" s="37">
        <f ca="1">IFERROR(__xludf.DUMMYFUNCTION("""COMPUTED_VALUE"""),0)</f>
        <v>0</v>
      </c>
      <c r="N105" s="37">
        <f ca="1">IFERROR(__xludf.DUMMYFUNCTION("""COMPUTED_VALUE"""),0)</f>
        <v>0</v>
      </c>
      <c r="O105" s="37">
        <f ca="1">IFERROR(__xludf.DUMMYFUNCTION("""COMPUTED_VALUE"""),0)</f>
        <v>0</v>
      </c>
      <c r="P105" s="37">
        <f ca="1">IFERROR(__xludf.DUMMYFUNCTION("""COMPUTED_VALUE"""),294)</f>
        <v>294</v>
      </c>
      <c r="Q105" s="37">
        <f ca="1">IFERROR(__xludf.DUMMYFUNCTION("""COMPUTED_VALUE"""),5649)</f>
        <v>5649</v>
      </c>
      <c r="R105" s="37">
        <f ca="1">IFERROR(__xludf.DUMMYFUNCTION("""COMPUTED_VALUE"""),0)</f>
        <v>0</v>
      </c>
      <c r="S105" s="37">
        <f ca="1">IFERROR(__xludf.DUMMYFUNCTION("""COMPUTED_VALUE"""),0)</f>
        <v>0</v>
      </c>
      <c r="T105" s="37">
        <f ca="1">IFERROR(__xludf.DUMMYFUNCTION("""COMPUTED_VALUE"""),0)</f>
        <v>0</v>
      </c>
      <c r="U105" s="37">
        <f ca="1">IFERROR(__xludf.DUMMYFUNCTION("""COMPUTED_VALUE"""),0)</f>
        <v>0</v>
      </c>
      <c r="V105" s="37">
        <f ca="1">IFERROR(__xludf.DUMMYFUNCTION("""COMPUTED_VALUE"""),0)</f>
        <v>0</v>
      </c>
      <c r="W105" s="37">
        <f ca="1">IFERROR(__xludf.DUMMYFUNCTION("""COMPUTED_VALUE"""),0)</f>
        <v>0</v>
      </c>
      <c r="X105" s="37">
        <f ca="1">IFERROR(__xludf.DUMMYFUNCTION("""COMPUTED_VALUE"""),0)</f>
        <v>0</v>
      </c>
      <c r="Y105" s="37">
        <f ca="1">IFERROR(__xludf.DUMMYFUNCTION("""COMPUTED_VALUE"""),0)</f>
        <v>0</v>
      </c>
      <c r="Z105" s="37">
        <f ca="1">IFERROR(__xludf.DUMMYFUNCTION("""COMPUTED_VALUE"""),0)</f>
        <v>0</v>
      </c>
    </row>
    <row r="106" spans="1:26" ht="12.75">
      <c r="A106" s="38" t="str">
        <f ca="1">IFERROR(__xludf.DUMMYFUNCTION("""COMPUTED_VALUE"""),"Araguatins")</f>
        <v>Araguatins</v>
      </c>
      <c r="B106" s="38" t="str">
        <f ca="1">IFERROR(__xludf.DUMMYFUNCTION("""COMPUTED_VALUE"""),"Sao Sebastiao do Tocantins")</f>
        <v>Sao Sebastiao do Tocantins</v>
      </c>
      <c r="C106" s="39" t="str">
        <f ca="1">IFERROR(__xludf.DUMMYFUNCTION("""COMPUTED_VALUE"""),"A.A.  DO COL. EST.IRIO OLIVEIRA SOUZA")</f>
        <v>A.A.  DO COL. EST.IRIO OLIVEIRA SOUZA</v>
      </c>
      <c r="D106" s="40" t="str">
        <f ca="1">IFERROR(__xludf.DUMMYFUNCTION("""COMPUTED_VALUE"""),"01112477000121")</f>
        <v>01112477000121</v>
      </c>
      <c r="E106" s="41" t="str">
        <f ca="1">IFERROR(__xludf.DUMMYFUNCTION("""COMPUTED_VALUE"""),"001")</f>
        <v>001</v>
      </c>
      <c r="F106" s="42" t="str">
        <f ca="1">IFERROR(__xludf.DUMMYFUNCTION("""COMPUTED_VALUE"""),"1305")</f>
        <v>1305</v>
      </c>
      <c r="G106" s="42" t="str">
        <f ca="1">IFERROR(__xludf.DUMMYFUNCTION("""COMPUTED_VALUE"""),"0109282")</f>
        <v>0109282</v>
      </c>
      <c r="H106" s="42">
        <f ca="1">IFERROR(__xludf.DUMMYFUNCTION("""COMPUTED_VALUE"""),0)</f>
        <v>0</v>
      </c>
      <c r="I106" s="42">
        <f ca="1">IFERROR(__xludf.DUMMYFUNCTION("""COMPUTED_VALUE"""),0)</f>
        <v>0</v>
      </c>
      <c r="J106" s="42">
        <f ca="1">IFERROR(__xludf.DUMMYFUNCTION("""COMPUTED_VALUE"""),0)</f>
        <v>0</v>
      </c>
      <c r="K106" s="42">
        <f ca="1">IFERROR(__xludf.DUMMYFUNCTION("""COMPUTED_VALUE"""),0)</f>
        <v>0</v>
      </c>
      <c r="L106" s="42">
        <f ca="1">IFERROR(__xludf.DUMMYFUNCTION("""COMPUTED_VALUE"""),0)</f>
        <v>0</v>
      </c>
      <c r="M106" s="42">
        <f ca="1">IFERROR(__xludf.DUMMYFUNCTION("""COMPUTED_VALUE"""),0)</f>
        <v>0</v>
      </c>
      <c r="N106" s="42">
        <f ca="1">IFERROR(__xludf.DUMMYFUNCTION("""COMPUTED_VALUE"""),0)</f>
        <v>0</v>
      </c>
      <c r="O106" s="42">
        <f ca="1">IFERROR(__xludf.DUMMYFUNCTION("""COMPUTED_VALUE"""),0)</f>
        <v>0</v>
      </c>
      <c r="P106" s="42">
        <f ca="1">IFERROR(__xludf.DUMMYFUNCTION("""COMPUTED_VALUE"""),0)</f>
        <v>0</v>
      </c>
      <c r="Q106" s="42">
        <f ca="1">IFERROR(__xludf.DUMMYFUNCTION("""COMPUTED_VALUE"""),3717)</f>
        <v>3717</v>
      </c>
      <c r="R106" s="42">
        <f ca="1">IFERROR(__xludf.DUMMYFUNCTION("""COMPUTED_VALUE"""),0)</f>
        <v>0</v>
      </c>
      <c r="S106" s="42">
        <f ca="1">IFERROR(__xludf.DUMMYFUNCTION("""COMPUTED_VALUE"""),0)</f>
        <v>0</v>
      </c>
      <c r="T106" s="42">
        <f ca="1">IFERROR(__xludf.DUMMYFUNCTION("""COMPUTED_VALUE"""),0)</f>
        <v>0</v>
      </c>
      <c r="U106" s="42">
        <f ca="1">IFERROR(__xludf.DUMMYFUNCTION("""COMPUTED_VALUE"""),0)</f>
        <v>0</v>
      </c>
      <c r="V106" s="42">
        <f ca="1">IFERROR(__xludf.DUMMYFUNCTION("""COMPUTED_VALUE"""),0)</f>
        <v>0</v>
      </c>
      <c r="W106" s="42">
        <f ca="1">IFERROR(__xludf.DUMMYFUNCTION("""COMPUTED_VALUE"""),0)</f>
        <v>0</v>
      </c>
      <c r="X106" s="42">
        <f ca="1">IFERROR(__xludf.DUMMYFUNCTION("""COMPUTED_VALUE"""),0)</f>
        <v>0</v>
      </c>
      <c r="Y106" s="42">
        <f ca="1">IFERROR(__xludf.DUMMYFUNCTION("""COMPUTED_VALUE"""),0)</f>
        <v>0</v>
      </c>
      <c r="Z106" s="42">
        <f ca="1">IFERROR(__xludf.DUMMYFUNCTION("""COMPUTED_VALUE"""),0)</f>
        <v>0</v>
      </c>
    </row>
    <row r="107" spans="1:26" ht="12.75">
      <c r="A107" s="33" t="str">
        <f ca="1">IFERROR(__xludf.DUMMYFUNCTION("""COMPUTED_VALUE"""),"Araguatins")</f>
        <v>Araguatins</v>
      </c>
      <c r="B107" s="33" t="str">
        <f ca="1">IFERROR(__xludf.DUMMYFUNCTION("""COMPUTED_VALUE"""),"Sao Sebastiao do Tocantins")</f>
        <v>Sao Sebastiao do Tocantins</v>
      </c>
      <c r="C107" s="34" t="str">
        <f ca="1">IFERROR(__xludf.DUMMYFUNCTION("""COMPUTED_VALUE"""),"A.A. E. E. DR.PEDRO LUDOVICO TEIXEIRA")</f>
        <v>A.A. E. E. DR.PEDRO LUDOVICO TEIXEIRA</v>
      </c>
      <c r="D107" s="35" t="str">
        <f ca="1">IFERROR(__xludf.DUMMYFUNCTION("""COMPUTED_VALUE"""),"01186462000108")</f>
        <v>01186462000108</v>
      </c>
      <c r="E107" s="36" t="str">
        <f ca="1">IFERROR(__xludf.DUMMYFUNCTION("""COMPUTED_VALUE"""),"001")</f>
        <v>001</v>
      </c>
      <c r="F107" s="37" t="str">
        <f ca="1">IFERROR(__xludf.DUMMYFUNCTION("""COMPUTED_VALUE"""),"1305")</f>
        <v>1305</v>
      </c>
      <c r="G107" s="37" t="str">
        <f ca="1">IFERROR(__xludf.DUMMYFUNCTION("""COMPUTED_VALUE"""),"109711")</f>
        <v>109711</v>
      </c>
      <c r="H107" s="37">
        <f ca="1">IFERROR(__xludf.DUMMYFUNCTION("""COMPUTED_VALUE"""),0)</f>
        <v>0</v>
      </c>
      <c r="I107" s="37">
        <f ca="1">IFERROR(__xludf.DUMMYFUNCTION("""COMPUTED_VALUE"""),0)</f>
        <v>0</v>
      </c>
      <c r="J107" s="37">
        <f ca="1">IFERROR(__xludf.DUMMYFUNCTION("""COMPUTED_VALUE"""),2457)</f>
        <v>2457</v>
      </c>
      <c r="K107" s="37">
        <f ca="1">IFERROR(__xludf.DUMMYFUNCTION("""COMPUTED_VALUE"""),0)</f>
        <v>0</v>
      </c>
      <c r="L107" s="37">
        <f ca="1">IFERROR(__xludf.DUMMYFUNCTION("""COMPUTED_VALUE"""),0)</f>
        <v>0</v>
      </c>
      <c r="M107" s="37">
        <f ca="1">IFERROR(__xludf.DUMMYFUNCTION("""COMPUTED_VALUE"""),0)</f>
        <v>0</v>
      </c>
      <c r="N107" s="37">
        <f ca="1">IFERROR(__xludf.DUMMYFUNCTION("""COMPUTED_VALUE"""),0)</f>
        <v>0</v>
      </c>
      <c r="O107" s="37">
        <f ca="1">IFERROR(__xludf.DUMMYFUNCTION("""COMPUTED_VALUE"""),0)</f>
        <v>0</v>
      </c>
      <c r="P107" s="37">
        <f ca="1">IFERROR(__xludf.DUMMYFUNCTION("""COMPUTED_VALUE"""),273)</f>
        <v>273</v>
      </c>
      <c r="Q107" s="37">
        <f ca="1">IFERROR(__xludf.DUMMYFUNCTION("""COMPUTED_VALUE"""),0)</f>
        <v>0</v>
      </c>
      <c r="R107" s="37">
        <f ca="1">IFERROR(__xludf.DUMMYFUNCTION("""COMPUTED_VALUE"""),0)</f>
        <v>0</v>
      </c>
      <c r="S107" s="37">
        <f ca="1">IFERROR(__xludf.DUMMYFUNCTION("""COMPUTED_VALUE"""),0)</f>
        <v>0</v>
      </c>
      <c r="T107" s="37">
        <f ca="1">IFERROR(__xludf.DUMMYFUNCTION("""COMPUTED_VALUE"""),1596)</f>
        <v>1596</v>
      </c>
      <c r="U107" s="37">
        <f ca="1">IFERROR(__xludf.DUMMYFUNCTION("""COMPUTED_VALUE"""),0)</f>
        <v>0</v>
      </c>
      <c r="V107" s="37">
        <f ca="1">IFERROR(__xludf.DUMMYFUNCTION("""COMPUTED_VALUE"""),0)</f>
        <v>0</v>
      </c>
      <c r="W107" s="37">
        <f ca="1">IFERROR(__xludf.DUMMYFUNCTION("""COMPUTED_VALUE"""),0)</f>
        <v>0</v>
      </c>
      <c r="X107" s="37">
        <f ca="1">IFERROR(__xludf.DUMMYFUNCTION("""COMPUTED_VALUE"""),0)</f>
        <v>0</v>
      </c>
      <c r="Y107" s="37">
        <f ca="1">IFERROR(__xludf.DUMMYFUNCTION("""COMPUTED_VALUE"""),0)</f>
        <v>0</v>
      </c>
      <c r="Z107" s="37">
        <f ca="1">IFERROR(__xludf.DUMMYFUNCTION("""COMPUTED_VALUE"""),0)</f>
        <v>0</v>
      </c>
    </row>
    <row r="108" spans="1:26" ht="12.75">
      <c r="A108" s="38" t="str">
        <f ca="1">IFERROR(__xludf.DUMMYFUNCTION("""COMPUTED_VALUE"""),"Araguatins")</f>
        <v>Araguatins</v>
      </c>
      <c r="B108" s="38" t="str">
        <f ca="1">IFERROR(__xludf.DUMMYFUNCTION("""COMPUTED_VALUE"""),"Sitio Novo do Tocantins")</f>
        <v>Sitio Novo do Tocantins</v>
      </c>
      <c r="C108" s="39" t="str">
        <f ca="1">IFERROR(__xludf.DUMMYFUNCTION("""COMPUTED_VALUE"""),"A.A. COL. EST. MARECHAEL RIBAS JUNIOR")</f>
        <v>A.A. COL. EST. MARECHAEL RIBAS JUNIOR</v>
      </c>
      <c r="D108" s="40" t="str">
        <f ca="1">IFERROR(__xludf.DUMMYFUNCTION("""COMPUTED_VALUE"""),"01230241000190")</f>
        <v>01230241000190</v>
      </c>
      <c r="E108" s="41" t="str">
        <f ca="1">IFERROR(__xludf.DUMMYFUNCTION("""COMPUTED_VALUE"""),"001")</f>
        <v>001</v>
      </c>
      <c r="F108" s="42" t="str">
        <f ca="1">IFERROR(__xludf.DUMMYFUNCTION("""COMPUTED_VALUE"""),"1305")</f>
        <v>1305</v>
      </c>
      <c r="G108" s="42" t="str">
        <f ca="1">IFERROR(__xludf.DUMMYFUNCTION("""COMPUTED_VALUE"""),"217964")</f>
        <v>217964</v>
      </c>
      <c r="H108" s="42">
        <f ca="1">IFERROR(__xludf.DUMMYFUNCTION("""COMPUTED_VALUE"""),0)</f>
        <v>0</v>
      </c>
      <c r="I108" s="42">
        <f ca="1">IFERROR(__xludf.DUMMYFUNCTION("""COMPUTED_VALUE"""),0)</f>
        <v>0</v>
      </c>
      <c r="J108" s="42">
        <f ca="1">IFERROR(__xludf.DUMMYFUNCTION("""COMPUTED_VALUE"""),2772)</f>
        <v>2772</v>
      </c>
      <c r="K108" s="42">
        <f ca="1">IFERROR(__xludf.DUMMYFUNCTION("""COMPUTED_VALUE"""),0)</f>
        <v>0</v>
      </c>
      <c r="L108" s="42">
        <f ca="1">IFERROR(__xludf.DUMMYFUNCTION("""COMPUTED_VALUE"""),0)</f>
        <v>0</v>
      </c>
      <c r="M108" s="42">
        <f ca="1">IFERROR(__xludf.DUMMYFUNCTION("""COMPUTED_VALUE"""),0)</f>
        <v>0</v>
      </c>
      <c r="N108" s="42">
        <f ca="1">IFERROR(__xludf.DUMMYFUNCTION("""COMPUTED_VALUE"""),0)</f>
        <v>0</v>
      </c>
      <c r="O108" s="42">
        <f ca="1">IFERROR(__xludf.DUMMYFUNCTION("""COMPUTED_VALUE"""),0)</f>
        <v>0</v>
      </c>
      <c r="P108" s="42">
        <f ca="1">IFERROR(__xludf.DUMMYFUNCTION("""COMPUTED_VALUE"""),630)</f>
        <v>630</v>
      </c>
      <c r="Q108" s="42">
        <f ca="1">IFERROR(__xludf.DUMMYFUNCTION("""COMPUTED_VALUE"""),6531)</f>
        <v>6531</v>
      </c>
      <c r="R108" s="42">
        <f ca="1">IFERROR(__xludf.DUMMYFUNCTION("""COMPUTED_VALUE"""),0)</f>
        <v>0</v>
      </c>
      <c r="S108" s="42">
        <f ca="1">IFERROR(__xludf.DUMMYFUNCTION("""COMPUTED_VALUE"""),0)</f>
        <v>0</v>
      </c>
      <c r="T108" s="42">
        <f ca="1">IFERROR(__xludf.DUMMYFUNCTION("""COMPUTED_VALUE"""),504)</f>
        <v>504</v>
      </c>
      <c r="U108" s="42">
        <f ca="1">IFERROR(__xludf.DUMMYFUNCTION("""COMPUTED_VALUE"""),0)</f>
        <v>0</v>
      </c>
      <c r="V108" s="42">
        <f ca="1">IFERROR(__xludf.DUMMYFUNCTION("""COMPUTED_VALUE"""),0)</f>
        <v>0</v>
      </c>
      <c r="W108" s="42">
        <f ca="1">IFERROR(__xludf.DUMMYFUNCTION("""COMPUTED_VALUE"""),0)</f>
        <v>0</v>
      </c>
      <c r="X108" s="42">
        <f ca="1">IFERROR(__xludf.DUMMYFUNCTION("""COMPUTED_VALUE"""),0)</f>
        <v>0</v>
      </c>
      <c r="Y108" s="42">
        <f ca="1">IFERROR(__xludf.DUMMYFUNCTION("""COMPUTED_VALUE"""),0)</f>
        <v>0</v>
      </c>
      <c r="Z108" s="42">
        <f ca="1">IFERROR(__xludf.DUMMYFUNCTION("""COMPUTED_VALUE"""),0)</f>
        <v>0</v>
      </c>
    </row>
    <row r="109" spans="1:26" ht="12.75">
      <c r="A109" s="33" t="str">
        <f ca="1">IFERROR(__xludf.DUMMYFUNCTION("""COMPUTED_VALUE"""),"Araguatins")</f>
        <v>Araguatins</v>
      </c>
      <c r="B109" s="33" t="str">
        <f ca="1">IFERROR(__xludf.DUMMYFUNCTION("""COMPUTED_VALUE"""),"Sitio Novo do Tocantins")</f>
        <v>Sitio Novo do Tocantins</v>
      </c>
      <c r="C109" s="34" t="str">
        <f ca="1">IFERROR(__xludf.DUMMYFUNCTION("""COMPUTED_VALUE"""),"A.A. E. EST. JOAQUIM TEOTONIO SEGURADO")</f>
        <v>A.A. E. EST. JOAQUIM TEOTONIO SEGURADO</v>
      </c>
      <c r="D109" s="35" t="str">
        <f ca="1">IFERROR(__xludf.DUMMYFUNCTION("""COMPUTED_VALUE"""),"01230240000145")</f>
        <v>01230240000145</v>
      </c>
      <c r="E109" s="36" t="str">
        <f ca="1">IFERROR(__xludf.DUMMYFUNCTION("""COMPUTED_VALUE"""),"001")</f>
        <v>001</v>
      </c>
      <c r="F109" s="37" t="str">
        <f ca="1">IFERROR(__xludf.DUMMYFUNCTION("""COMPUTED_VALUE"""),"0810")</f>
        <v>0810</v>
      </c>
      <c r="G109" s="37" t="str">
        <f ca="1">IFERROR(__xludf.DUMMYFUNCTION("""COMPUTED_VALUE"""),"217972")</f>
        <v>217972</v>
      </c>
      <c r="H109" s="37">
        <f ca="1">IFERROR(__xludf.DUMMYFUNCTION("""COMPUTED_VALUE"""),0)</f>
        <v>0</v>
      </c>
      <c r="I109" s="37">
        <f ca="1">IFERROR(__xludf.DUMMYFUNCTION("""COMPUTED_VALUE"""),0)</f>
        <v>0</v>
      </c>
      <c r="J109" s="37">
        <f ca="1">IFERROR(__xludf.DUMMYFUNCTION("""COMPUTED_VALUE"""),945)</f>
        <v>945</v>
      </c>
      <c r="K109" s="37">
        <f ca="1">IFERROR(__xludf.DUMMYFUNCTION("""COMPUTED_VALUE"""),0)</f>
        <v>0</v>
      </c>
      <c r="L109" s="37">
        <f ca="1">IFERROR(__xludf.DUMMYFUNCTION("""COMPUTED_VALUE"""),0)</f>
        <v>0</v>
      </c>
      <c r="M109" s="37">
        <f ca="1">IFERROR(__xludf.DUMMYFUNCTION("""COMPUTED_VALUE"""),0)</f>
        <v>0</v>
      </c>
      <c r="N109" s="37">
        <f ca="1">IFERROR(__xludf.DUMMYFUNCTION("""COMPUTED_VALUE"""),0)</f>
        <v>0</v>
      </c>
      <c r="O109" s="37">
        <f ca="1">IFERROR(__xludf.DUMMYFUNCTION("""COMPUTED_VALUE"""),0)</f>
        <v>0</v>
      </c>
      <c r="P109" s="37">
        <f ca="1">IFERROR(__xludf.DUMMYFUNCTION("""COMPUTED_VALUE"""),0)</f>
        <v>0</v>
      </c>
      <c r="Q109" s="37">
        <f ca="1">IFERROR(__xludf.DUMMYFUNCTION("""COMPUTED_VALUE"""),1449)</f>
        <v>1449</v>
      </c>
      <c r="R109" s="37">
        <f ca="1">IFERROR(__xludf.DUMMYFUNCTION("""COMPUTED_VALUE"""),0)</f>
        <v>0</v>
      </c>
      <c r="S109" s="37">
        <f ca="1">IFERROR(__xludf.DUMMYFUNCTION("""COMPUTED_VALUE"""),0)</f>
        <v>0</v>
      </c>
      <c r="T109" s="37">
        <f ca="1">IFERROR(__xludf.DUMMYFUNCTION("""COMPUTED_VALUE"""),0)</f>
        <v>0</v>
      </c>
      <c r="U109" s="37">
        <f ca="1">IFERROR(__xludf.DUMMYFUNCTION("""COMPUTED_VALUE"""),0)</f>
        <v>0</v>
      </c>
      <c r="V109" s="37">
        <f ca="1">IFERROR(__xludf.DUMMYFUNCTION("""COMPUTED_VALUE"""),0)</f>
        <v>0</v>
      </c>
      <c r="W109" s="37">
        <f ca="1">IFERROR(__xludf.DUMMYFUNCTION("""COMPUTED_VALUE"""),0)</f>
        <v>0</v>
      </c>
      <c r="X109" s="37">
        <f ca="1">IFERROR(__xludf.DUMMYFUNCTION("""COMPUTED_VALUE"""),0)</f>
        <v>0</v>
      </c>
      <c r="Y109" s="37">
        <f ca="1">IFERROR(__xludf.DUMMYFUNCTION("""COMPUTED_VALUE"""),0)</f>
        <v>0</v>
      </c>
      <c r="Z109" s="37">
        <f ca="1">IFERROR(__xludf.DUMMYFUNCTION("""COMPUTED_VALUE"""),0)</f>
        <v>0</v>
      </c>
    </row>
    <row r="110" spans="1:26" ht="12.75">
      <c r="A110" s="38" t="str">
        <f ca="1">IFERROR(__xludf.DUMMYFUNCTION("""COMPUTED_VALUE"""),"Araguatins")</f>
        <v>Araguatins</v>
      </c>
      <c r="B110" s="38" t="str">
        <f ca="1">IFERROR(__xludf.DUMMYFUNCTION("""COMPUTED_VALUE"""),"Sitio Novo do Tocantins")</f>
        <v>Sitio Novo do Tocantins</v>
      </c>
      <c r="C110" s="39" t="str">
        <f ca="1">IFERROR(__xludf.DUMMYFUNCTION("""COMPUTED_VALUE"""),"A.A. ESC. EST. MANOEL ESTEVAO DE SOUZA")</f>
        <v>A.A. ESC. EST. MANOEL ESTEVAO DE SOUZA</v>
      </c>
      <c r="D110" s="40" t="str">
        <f ca="1">IFERROR(__xludf.DUMMYFUNCTION("""COMPUTED_VALUE"""),"01213534000169")</f>
        <v>01213534000169</v>
      </c>
      <c r="E110" s="41" t="str">
        <f ca="1">IFERROR(__xludf.DUMMYFUNCTION("""COMPUTED_VALUE"""),"001")</f>
        <v>001</v>
      </c>
      <c r="F110" s="42" t="str">
        <f ca="1">IFERROR(__xludf.DUMMYFUNCTION("""COMPUTED_VALUE"""),"1305")</f>
        <v>1305</v>
      </c>
      <c r="G110" s="42" t="str">
        <f ca="1">IFERROR(__xludf.DUMMYFUNCTION("""COMPUTED_VALUE"""),"181048")</f>
        <v>181048</v>
      </c>
      <c r="H110" s="42">
        <f ca="1">IFERROR(__xludf.DUMMYFUNCTION("""COMPUTED_VALUE"""),0)</f>
        <v>0</v>
      </c>
      <c r="I110" s="42">
        <f ca="1">IFERROR(__xludf.DUMMYFUNCTION("""COMPUTED_VALUE"""),0)</f>
        <v>0</v>
      </c>
      <c r="J110" s="42">
        <f ca="1">IFERROR(__xludf.DUMMYFUNCTION("""COMPUTED_VALUE"""),2289)</f>
        <v>2289</v>
      </c>
      <c r="K110" s="42">
        <f ca="1">IFERROR(__xludf.DUMMYFUNCTION("""COMPUTED_VALUE"""),0)</f>
        <v>0</v>
      </c>
      <c r="L110" s="42">
        <f ca="1">IFERROR(__xludf.DUMMYFUNCTION("""COMPUTED_VALUE"""),0)</f>
        <v>0</v>
      </c>
      <c r="M110" s="42">
        <f ca="1">IFERROR(__xludf.DUMMYFUNCTION("""COMPUTED_VALUE"""),0)</f>
        <v>0</v>
      </c>
      <c r="N110" s="42">
        <f ca="1">IFERROR(__xludf.DUMMYFUNCTION("""COMPUTED_VALUE"""),0)</f>
        <v>0</v>
      </c>
      <c r="O110" s="42">
        <f ca="1">IFERROR(__xludf.DUMMYFUNCTION("""COMPUTED_VALUE"""),0)</f>
        <v>0</v>
      </c>
      <c r="P110" s="42">
        <f ca="1">IFERROR(__xludf.DUMMYFUNCTION("""COMPUTED_VALUE"""),336)</f>
        <v>336</v>
      </c>
      <c r="Q110" s="42">
        <f ca="1">IFERROR(__xludf.DUMMYFUNCTION("""COMPUTED_VALUE"""),0)</f>
        <v>0</v>
      </c>
      <c r="R110" s="42">
        <f ca="1">IFERROR(__xludf.DUMMYFUNCTION("""COMPUTED_VALUE"""),0)</f>
        <v>0</v>
      </c>
      <c r="S110" s="42">
        <f ca="1">IFERROR(__xludf.DUMMYFUNCTION("""COMPUTED_VALUE"""),0)</f>
        <v>0</v>
      </c>
      <c r="T110" s="42">
        <f ca="1">IFERROR(__xludf.DUMMYFUNCTION("""COMPUTED_VALUE"""),0)</f>
        <v>0</v>
      </c>
      <c r="U110" s="42">
        <f ca="1">IFERROR(__xludf.DUMMYFUNCTION("""COMPUTED_VALUE"""),0)</f>
        <v>0</v>
      </c>
      <c r="V110" s="42">
        <f ca="1">IFERROR(__xludf.DUMMYFUNCTION("""COMPUTED_VALUE"""),0)</f>
        <v>0</v>
      </c>
      <c r="W110" s="42">
        <f ca="1">IFERROR(__xludf.DUMMYFUNCTION("""COMPUTED_VALUE"""),0)</f>
        <v>0</v>
      </c>
      <c r="X110" s="42">
        <f ca="1">IFERROR(__xludf.DUMMYFUNCTION("""COMPUTED_VALUE"""),0)</f>
        <v>0</v>
      </c>
      <c r="Y110" s="42">
        <f ca="1">IFERROR(__xludf.DUMMYFUNCTION("""COMPUTED_VALUE"""),0)</f>
        <v>0</v>
      </c>
      <c r="Z110" s="42">
        <f ca="1">IFERROR(__xludf.DUMMYFUNCTION("""COMPUTED_VALUE"""),0)</f>
        <v>0</v>
      </c>
    </row>
    <row r="111" spans="1:26" ht="12.75">
      <c r="A111" s="33" t="str">
        <f ca="1">IFERROR(__xludf.DUMMYFUNCTION("""COMPUTED_VALUE"""),"Araguatins")</f>
        <v>Araguatins</v>
      </c>
      <c r="B111" s="33" t="str">
        <f ca="1">IFERROR(__xludf.DUMMYFUNCTION("""COMPUTED_VALUE"""),"Sitio Novo do Tocantins")</f>
        <v>Sitio Novo do Tocantins</v>
      </c>
      <c r="C111" s="34" t="str">
        <f ca="1">IFERROR(__xludf.DUMMYFUNCTION("""COMPUTED_VALUE"""),"A.A. ESC. EST. RAIMUNDO NONATO LEITE")</f>
        <v>A.A. ESC. EST. RAIMUNDO NONATO LEITE</v>
      </c>
      <c r="D111" s="35" t="str">
        <f ca="1">IFERROR(__xludf.DUMMYFUNCTION("""COMPUTED_VALUE"""),"01230237000121")</f>
        <v>01230237000121</v>
      </c>
      <c r="E111" s="36" t="str">
        <f ca="1">IFERROR(__xludf.DUMMYFUNCTION("""COMPUTED_VALUE"""),"001")</f>
        <v>001</v>
      </c>
      <c r="F111" s="37" t="str">
        <f ca="1">IFERROR(__xludf.DUMMYFUNCTION("""COMPUTED_VALUE"""),"0810")</f>
        <v>0810</v>
      </c>
      <c r="G111" s="37" t="str">
        <f ca="1">IFERROR(__xludf.DUMMYFUNCTION("""COMPUTED_VALUE"""),"217980")</f>
        <v>217980</v>
      </c>
      <c r="H111" s="37">
        <f ca="1">IFERROR(__xludf.DUMMYFUNCTION("""COMPUTED_VALUE"""),0)</f>
        <v>0</v>
      </c>
      <c r="I111" s="37">
        <f ca="1">IFERROR(__xludf.DUMMYFUNCTION("""COMPUTED_VALUE"""),0)</f>
        <v>0</v>
      </c>
      <c r="J111" s="37">
        <f ca="1">IFERROR(__xludf.DUMMYFUNCTION("""COMPUTED_VALUE"""),987)</f>
        <v>987</v>
      </c>
      <c r="K111" s="37">
        <f ca="1">IFERROR(__xludf.DUMMYFUNCTION("""COMPUTED_VALUE"""),0)</f>
        <v>0</v>
      </c>
      <c r="L111" s="37">
        <f ca="1">IFERROR(__xludf.DUMMYFUNCTION("""COMPUTED_VALUE"""),0)</f>
        <v>0</v>
      </c>
      <c r="M111" s="37">
        <f ca="1">IFERROR(__xludf.DUMMYFUNCTION("""COMPUTED_VALUE"""),0)</f>
        <v>0</v>
      </c>
      <c r="N111" s="37">
        <f ca="1">IFERROR(__xludf.DUMMYFUNCTION("""COMPUTED_VALUE"""),0)</f>
        <v>0</v>
      </c>
      <c r="O111" s="37">
        <f ca="1">IFERROR(__xludf.DUMMYFUNCTION("""COMPUTED_VALUE"""),0)</f>
        <v>0</v>
      </c>
      <c r="P111" s="37">
        <f ca="1">IFERROR(__xludf.DUMMYFUNCTION("""COMPUTED_VALUE"""),336)</f>
        <v>336</v>
      </c>
      <c r="Q111" s="37">
        <f ca="1">IFERROR(__xludf.DUMMYFUNCTION("""COMPUTED_VALUE"""),1008)</f>
        <v>1008</v>
      </c>
      <c r="R111" s="37">
        <f ca="1">IFERROR(__xludf.DUMMYFUNCTION("""COMPUTED_VALUE"""),0)</f>
        <v>0</v>
      </c>
      <c r="S111" s="37">
        <f ca="1">IFERROR(__xludf.DUMMYFUNCTION("""COMPUTED_VALUE"""),0)</f>
        <v>0</v>
      </c>
      <c r="T111" s="37">
        <f ca="1">IFERROR(__xludf.DUMMYFUNCTION("""COMPUTED_VALUE"""),0)</f>
        <v>0</v>
      </c>
      <c r="U111" s="37">
        <f ca="1">IFERROR(__xludf.DUMMYFUNCTION("""COMPUTED_VALUE"""),0)</f>
        <v>0</v>
      </c>
      <c r="V111" s="37">
        <f ca="1">IFERROR(__xludf.DUMMYFUNCTION("""COMPUTED_VALUE"""),0)</f>
        <v>0</v>
      </c>
      <c r="W111" s="37">
        <f ca="1">IFERROR(__xludf.DUMMYFUNCTION("""COMPUTED_VALUE"""),0)</f>
        <v>0</v>
      </c>
      <c r="X111" s="37">
        <f ca="1">IFERROR(__xludf.DUMMYFUNCTION("""COMPUTED_VALUE"""),0)</f>
        <v>0</v>
      </c>
      <c r="Y111" s="37">
        <f ca="1">IFERROR(__xludf.DUMMYFUNCTION("""COMPUTED_VALUE"""),0)</f>
        <v>0</v>
      </c>
      <c r="Z111" s="37">
        <f ca="1">IFERROR(__xludf.DUMMYFUNCTION("""COMPUTED_VALUE"""),0)</f>
        <v>0</v>
      </c>
    </row>
    <row r="112" spans="1:26" ht="12.75">
      <c r="A112" s="38" t="str">
        <f ca="1">IFERROR(__xludf.DUMMYFUNCTION("""COMPUTED_VALUE"""),"Arraias")</f>
        <v>Arraias</v>
      </c>
      <c r="B112" s="38" t="str">
        <f ca="1">IFERROR(__xludf.DUMMYFUNCTION("""COMPUTED_VALUE"""),"Arraias")</f>
        <v>Arraias</v>
      </c>
      <c r="C112" s="39" t="str">
        <f ca="1">IFERROR(__xludf.DUMMYFUNCTION("""COMPUTED_VALUE"""),"A. E. COM.COL EST PROFA. JOANA B. CORDEIRO")</f>
        <v>A. E. COM.COL EST PROFA. JOANA B. CORDEIRO</v>
      </c>
      <c r="D112" s="40" t="str">
        <f ca="1">IFERROR(__xludf.DUMMYFUNCTION("""COMPUTED_VALUE"""),"00922190000102")</f>
        <v>00922190000102</v>
      </c>
      <c r="E112" s="41" t="str">
        <f ca="1">IFERROR(__xludf.DUMMYFUNCTION("""COMPUTED_VALUE"""),"001")</f>
        <v>001</v>
      </c>
      <c r="F112" s="42" t="str">
        <f ca="1">IFERROR(__xludf.DUMMYFUNCTION("""COMPUTED_VALUE"""),"0541")</f>
        <v>0541</v>
      </c>
      <c r="G112" s="42" t="str">
        <f ca="1">IFERROR(__xludf.DUMMYFUNCTION("""COMPUTED_VALUE"""),"231770")</f>
        <v>231770</v>
      </c>
      <c r="H112" s="42">
        <f ca="1">IFERROR(__xludf.DUMMYFUNCTION("""COMPUTED_VALUE"""),0)</f>
        <v>0</v>
      </c>
      <c r="I112" s="42">
        <f ca="1">IFERROR(__xludf.DUMMYFUNCTION("""COMPUTED_VALUE"""),0)</f>
        <v>0</v>
      </c>
      <c r="J112" s="42">
        <f ca="1">IFERROR(__xludf.DUMMYFUNCTION("""COMPUTED_VALUE"""),0)</f>
        <v>0</v>
      </c>
      <c r="K112" s="42">
        <f ca="1">IFERROR(__xludf.DUMMYFUNCTION("""COMPUTED_VALUE"""),0)</f>
        <v>0</v>
      </c>
      <c r="L112" s="42">
        <f ca="1">IFERROR(__xludf.DUMMYFUNCTION("""COMPUTED_VALUE"""),0)</f>
        <v>0</v>
      </c>
      <c r="M112" s="42">
        <f ca="1">IFERROR(__xludf.DUMMYFUNCTION("""COMPUTED_VALUE"""),0)</f>
        <v>0</v>
      </c>
      <c r="N112" s="42">
        <f ca="1">IFERROR(__xludf.DUMMYFUNCTION("""COMPUTED_VALUE"""),0)</f>
        <v>0</v>
      </c>
      <c r="O112" s="42">
        <f ca="1">IFERROR(__xludf.DUMMYFUNCTION("""COMPUTED_VALUE"""),0)</f>
        <v>0</v>
      </c>
      <c r="P112" s="42">
        <f ca="1">IFERROR(__xludf.DUMMYFUNCTION("""COMPUTED_VALUE"""),126)</f>
        <v>126</v>
      </c>
      <c r="Q112" s="42">
        <f ca="1">IFERROR(__xludf.DUMMYFUNCTION("""COMPUTED_VALUE"""),0)</f>
        <v>0</v>
      </c>
      <c r="R112" s="42">
        <f ca="1">IFERROR(__xludf.DUMMYFUNCTION("""COMPUTED_VALUE"""),0)</f>
        <v>0</v>
      </c>
      <c r="S112" s="42">
        <f ca="1">IFERROR(__xludf.DUMMYFUNCTION("""COMPUTED_VALUE"""),4029.99999999999)</f>
        <v>4029.99999999999</v>
      </c>
      <c r="T112" s="42">
        <f ca="1">IFERROR(__xludf.DUMMYFUNCTION("""COMPUTED_VALUE"""),0)</f>
        <v>0</v>
      </c>
      <c r="U112" s="42">
        <f ca="1">IFERROR(__xludf.DUMMYFUNCTION("""COMPUTED_VALUE"""),0)</f>
        <v>0</v>
      </c>
      <c r="V112" s="42">
        <f ca="1">IFERROR(__xludf.DUMMYFUNCTION("""COMPUTED_VALUE"""),0)</f>
        <v>0</v>
      </c>
      <c r="W112" s="42">
        <f ca="1">IFERROR(__xludf.DUMMYFUNCTION("""COMPUTED_VALUE"""),361.799999999999)</f>
        <v>361.79999999999899</v>
      </c>
      <c r="X112" s="42">
        <f ca="1">IFERROR(__xludf.DUMMYFUNCTION("""COMPUTED_VALUE"""),0)</f>
        <v>0</v>
      </c>
      <c r="Y112" s="42">
        <f ca="1">IFERROR(__xludf.DUMMYFUNCTION("""COMPUTED_VALUE"""),0)</f>
        <v>0</v>
      </c>
      <c r="Z112" s="42">
        <f ca="1">IFERROR(__xludf.DUMMYFUNCTION("""COMPUTED_VALUE"""),0)</f>
        <v>0</v>
      </c>
    </row>
    <row r="113" spans="1:26" ht="12.75">
      <c r="A113" s="33" t="str">
        <f ca="1">IFERROR(__xludf.DUMMYFUNCTION("""COMPUTED_VALUE"""),"Arraias")</f>
        <v>Arraias</v>
      </c>
      <c r="B113" s="33" t="str">
        <f ca="1">IFERROR(__xludf.DUMMYFUNCTION("""COMPUTED_VALUE"""),"Arraias")</f>
        <v>Arraias</v>
      </c>
      <c r="C113" s="34" t="str">
        <f ca="1">IFERROR(__xludf.DUMMYFUNCTION("""COMPUTED_VALUE"""),"A.A. ESC. AGRÍCOLA DAVID AIRES FRANÇA")</f>
        <v>A.A. ESC. AGRÍCOLA DAVID AIRES FRANÇA</v>
      </c>
      <c r="D113" s="35" t="str">
        <f ca="1">IFERROR(__xludf.DUMMYFUNCTION("""COMPUTED_VALUE"""),"04302970000100")</f>
        <v>04302970000100</v>
      </c>
      <c r="E113" s="36" t="str">
        <f ca="1">IFERROR(__xludf.DUMMYFUNCTION("""COMPUTED_VALUE"""),"001")</f>
        <v>001</v>
      </c>
      <c r="F113" s="37" t="str">
        <f ca="1">IFERROR(__xludf.DUMMYFUNCTION("""COMPUTED_VALUE"""),"0541")</f>
        <v>0541</v>
      </c>
      <c r="G113" s="37" t="str">
        <f ca="1">IFERROR(__xludf.DUMMYFUNCTION("""COMPUTED_VALUE"""),"94811")</f>
        <v>94811</v>
      </c>
      <c r="H113" s="37">
        <f ca="1">IFERROR(__xludf.DUMMYFUNCTION("""COMPUTED_VALUE"""),0)</f>
        <v>0</v>
      </c>
      <c r="I113" s="37">
        <f ca="1">IFERROR(__xludf.DUMMYFUNCTION("""COMPUTED_VALUE"""),0)</f>
        <v>0</v>
      </c>
      <c r="J113" s="37">
        <f ca="1">IFERROR(__xludf.DUMMYFUNCTION("""COMPUTED_VALUE"""),0)</f>
        <v>0</v>
      </c>
      <c r="K113" s="37">
        <f ca="1">IFERROR(__xludf.DUMMYFUNCTION("""COMPUTED_VALUE"""),0)</f>
        <v>0</v>
      </c>
      <c r="L113" s="37">
        <f ca="1">IFERROR(__xludf.DUMMYFUNCTION("""COMPUTED_VALUE"""),0)</f>
        <v>0</v>
      </c>
      <c r="M113" s="37">
        <f ca="1">IFERROR(__xludf.DUMMYFUNCTION("""COMPUTED_VALUE"""),0)</f>
        <v>0</v>
      </c>
      <c r="N113" s="37">
        <f ca="1">IFERROR(__xludf.DUMMYFUNCTION("""COMPUTED_VALUE"""),0)</f>
        <v>0</v>
      </c>
      <c r="O113" s="37">
        <f ca="1">IFERROR(__xludf.DUMMYFUNCTION("""COMPUTED_VALUE"""),0)</f>
        <v>0</v>
      </c>
      <c r="P113" s="37">
        <f ca="1">IFERROR(__xludf.DUMMYFUNCTION("""COMPUTED_VALUE"""),0)</f>
        <v>0</v>
      </c>
      <c r="Q113" s="37">
        <f ca="1">IFERROR(__xludf.DUMMYFUNCTION("""COMPUTED_VALUE"""),0)</f>
        <v>0</v>
      </c>
      <c r="R113" s="37">
        <f ca="1">IFERROR(__xludf.DUMMYFUNCTION("""COMPUTED_VALUE"""),0)</f>
        <v>0</v>
      </c>
      <c r="S113" s="37">
        <f ca="1">IFERROR(__xludf.DUMMYFUNCTION("""COMPUTED_VALUE"""),0)</f>
        <v>0</v>
      </c>
      <c r="T113" s="37">
        <f ca="1">IFERROR(__xludf.DUMMYFUNCTION("""COMPUTED_VALUE"""),0)</f>
        <v>0</v>
      </c>
      <c r="U113" s="37">
        <f ca="1">IFERROR(__xludf.DUMMYFUNCTION("""COMPUTED_VALUE"""),21432.6)</f>
        <v>21432.6</v>
      </c>
      <c r="V113" s="37">
        <f ca="1">IFERROR(__xludf.DUMMYFUNCTION("""COMPUTED_VALUE"""),11308.8)</f>
        <v>11308.8</v>
      </c>
      <c r="W113" s="37">
        <f ca="1">IFERROR(__xludf.DUMMYFUNCTION("""COMPUTED_VALUE"""),0)</f>
        <v>0</v>
      </c>
      <c r="X113" s="37">
        <f ca="1">IFERROR(__xludf.DUMMYFUNCTION("""COMPUTED_VALUE"""),1582.4)</f>
        <v>1582.4</v>
      </c>
      <c r="Y113" s="37">
        <f ca="1">IFERROR(__xludf.DUMMYFUNCTION("""COMPUTED_VALUE"""),851)</f>
        <v>851</v>
      </c>
      <c r="Z113" s="37">
        <f ca="1">IFERROR(__xludf.DUMMYFUNCTION("""COMPUTED_VALUE"""),0)</f>
        <v>0</v>
      </c>
    </row>
    <row r="114" spans="1:26" ht="12.75">
      <c r="A114" s="38" t="str">
        <f ca="1">IFERROR(__xludf.DUMMYFUNCTION("""COMPUTED_VALUE"""),"Arraias")</f>
        <v>Arraias</v>
      </c>
      <c r="B114" s="38" t="str">
        <f ca="1">IFERROR(__xludf.DUMMYFUNCTION("""COMPUTED_VALUE"""),"Arraias")</f>
        <v>Arraias</v>
      </c>
      <c r="C114" s="39" t="str">
        <f ca="1">IFERROR(__xludf.DUMMYFUNCTION("""COMPUTED_VALUE"""),"A.A. ESCOL. DA ESC. EST. BRIGADEIRO FELIPE")</f>
        <v>A.A. ESCOL. DA ESC. EST. BRIGADEIRO FELIPE</v>
      </c>
      <c r="D114" s="40" t="str">
        <f ca="1">IFERROR(__xludf.DUMMYFUNCTION("""COMPUTED_VALUE"""),"01221149000163")</f>
        <v>01221149000163</v>
      </c>
      <c r="E114" s="41" t="str">
        <f ca="1">IFERROR(__xludf.DUMMYFUNCTION("""COMPUTED_VALUE"""),"001")</f>
        <v>001</v>
      </c>
      <c r="F114" s="42" t="str">
        <f ca="1">IFERROR(__xludf.DUMMYFUNCTION("""COMPUTED_VALUE"""),"0541")</f>
        <v>0541</v>
      </c>
      <c r="G114" s="42" t="str">
        <f ca="1">IFERROR(__xludf.DUMMYFUNCTION("""COMPUTED_VALUE"""),"232165")</f>
        <v>232165</v>
      </c>
      <c r="H114" s="42">
        <f ca="1">IFERROR(__xludf.DUMMYFUNCTION("""COMPUTED_VALUE"""),0)</f>
        <v>0</v>
      </c>
      <c r="I114" s="42">
        <f ca="1">IFERROR(__xludf.DUMMYFUNCTION("""COMPUTED_VALUE"""),0)</f>
        <v>0</v>
      </c>
      <c r="J114" s="42">
        <f ca="1">IFERROR(__xludf.DUMMYFUNCTION("""COMPUTED_VALUE"""),2268)</f>
        <v>2268</v>
      </c>
      <c r="K114" s="42">
        <f ca="1">IFERROR(__xludf.DUMMYFUNCTION("""COMPUTED_VALUE"""),0)</f>
        <v>0</v>
      </c>
      <c r="L114" s="42">
        <f ca="1">IFERROR(__xludf.DUMMYFUNCTION("""COMPUTED_VALUE"""),0)</f>
        <v>0</v>
      </c>
      <c r="M114" s="42">
        <f ca="1">IFERROR(__xludf.DUMMYFUNCTION("""COMPUTED_VALUE"""),0)</f>
        <v>0</v>
      </c>
      <c r="N114" s="42">
        <f ca="1">IFERROR(__xludf.DUMMYFUNCTION("""COMPUTED_VALUE"""),0)</f>
        <v>0</v>
      </c>
      <c r="O114" s="42">
        <f ca="1">IFERROR(__xludf.DUMMYFUNCTION("""COMPUTED_VALUE"""),0)</f>
        <v>0</v>
      </c>
      <c r="P114" s="42">
        <f ca="1">IFERROR(__xludf.DUMMYFUNCTION("""COMPUTED_VALUE"""),147)</f>
        <v>147</v>
      </c>
      <c r="Q114" s="42">
        <f ca="1">IFERROR(__xludf.DUMMYFUNCTION("""COMPUTED_VALUE"""),3129)</f>
        <v>3129</v>
      </c>
      <c r="R114" s="42">
        <f ca="1">IFERROR(__xludf.DUMMYFUNCTION("""COMPUTED_VALUE"""),0)</f>
        <v>0</v>
      </c>
      <c r="S114" s="42">
        <f ca="1">IFERROR(__xludf.DUMMYFUNCTION("""COMPUTED_VALUE"""),0)</f>
        <v>0</v>
      </c>
      <c r="T114" s="42">
        <f ca="1">IFERROR(__xludf.DUMMYFUNCTION("""COMPUTED_VALUE"""),0)</f>
        <v>0</v>
      </c>
      <c r="U114" s="42">
        <f ca="1">IFERROR(__xludf.DUMMYFUNCTION("""COMPUTED_VALUE"""),0)</f>
        <v>0</v>
      </c>
      <c r="V114" s="42">
        <f ca="1">IFERROR(__xludf.DUMMYFUNCTION("""COMPUTED_VALUE"""),0)</f>
        <v>0</v>
      </c>
      <c r="W114" s="42">
        <f ca="1">IFERROR(__xludf.DUMMYFUNCTION("""COMPUTED_VALUE"""),0)</f>
        <v>0</v>
      </c>
      <c r="X114" s="42">
        <f ca="1">IFERROR(__xludf.DUMMYFUNCTION("""COMPUTED_VALUE"""),0)</f>
        <v>0</v>
      </c>
      <c r="Y114" s="42">
        <f ca="1">IFERROR(__xludf.DUMMYFUNCTION("""COMPUTED_VALUE"""),0)</f>
        <v>0</v>
      </c>
      <c r="Z114" s="42">
        <f ca="1">IFERROR(__xludf.DUMMYFUNCTION("""COMPUTED_VALUE"""),0)</f>
        <v>0</v>
      </c>
    </row>
    <row r="115" spans="1:26" ht="12.75">
      <c r="A115" s="33" t="str">
        <f ca="1">IFERROR(__xludf.DUMMYFUNCTION("""COMPUTED_VALUE"""),"Arraias")</f>
        <v>Arraias</v>
      </c>
      <c r="B115" s="33" t="str">
        <f ca="1">IFERROR(__xludf.DUMMYFUNCTION("""COMPUTED_VALUE"""),"Arraias")</f>
        <v>Arraias</v>
      </c>
      <c r="C115" s="34" t="str">
        <f ca="1">IFERROR(__xludf.DUMMYFUNCTION("""COMPUTED_VALUE"""),"ASS. APOIO ESC. EST. JACY ALVES DE BARROS")</f>
        <v>ASS. APOIO ESC. EST. JACY ALVES DE BARROS</v>
      </c>
      <c r="D115" s="35" t="str">
        <f ca="1">IFERROR(__xludf.DUMMYFUNCTION("""COMPUTED_VALUE"""),"01284634000186")</f>
        <v>01284634000186</v>
      </c>
      <c r="E115" s="36" t="str">
        <f ca="1">IFERROR(__xludf.DUMMYFUNCTION("""COMPUTED_VALUE"""),"001")</f>
        <v>001</v>
      </c>
      <c r="F115" s="37" t="str">
        <f ca="1">IFERROR(__xludf.DUMMYFUNCTION("""COMPUTED_VALUE"""),"0541")</f>
        <v>0541</v>
      </c>
      <c r="G115" s="37" t="str">
        <f ca="1">IFERROR(__xludf.DUMMYFUNCTION("""COMPUTED_VALUE"""),"232246")</f>
        <v>232246</v>
      </c>
      <c r="H115" s="37">
        <f ca="1">IFERROR(__xludf.DUMMYFUNCTION("""COMPUTED_VALUE"""),0)</f>
        <v>0</v>
      </c>
      <c r="I115" s="37">
        <f ca="1">IFERROR(__xludf.DUMMYFUNCTION("""COMPUTED_VALUE"""),0)</f>
        <v>0</v>
      </c>
      <c r="J115" s="37">
        <f ca="1">IFERROR(__xludf.DUMMYFUNCTION("""COMPUTED_VALUE"""),4095)</f>
        <v>4095</v>
      </c>
      <c r="K115" s="37">
        <f ca="1">IFERROR(__xludf.DUMMYFUNCTION("""COMPUTED_VALUE"""),0)</f>
        <v>0</v>
      </c>
      <c r="L115" s="37">
        <f ca="1">IFERROR(__xludf.DUMMYFUNCTION("""COMPUTED_VALUE"""),0)</f>
        <v>0</v>
      </c>
      <c r="M115" s="37">
        <f ca="1">IFERROR(__xludf.DUMMYFUNCTION("""COMPUTED_VALUE"""),0)</f>
        <v>0</v>
      </c>
      <c r="N115" s="37">
        <f ca="1">IFERROR(__xludf.DUMMYFUNCTION("""COMPUTED_VALUE"""),0)</f>
        <v>0</v>
      </c>
      <c r="O115" s="37">
        <f ca="1">IFERROR(__xludf.DUMMYFUNCTION("""COMPUTED_VALUE"""),0)</f>
        <v>0</v>
      </c>
      <c r="P115" s="37">
        <f ca="1">IFERROR(__xludf.DUMMYFUNCTION("""COMPUTED_VALUE"""),126)</f>
        <v>126</v>
      </c>
      <c r="Q115" s="37">
        <f ca="1">IFERROR(__xludf.DUMMYFUNCTION("""COMPUTED_VALUE"""),0)</f>
        <v>0</v>
      </c>
      <c r="R115" s="37">
        <f ca="1">IFERROR(__xludf.DUMMYFUNCTION("""COMPUTED_VALUE"""),0)</f>
        <v>0</v>
      </c>
      <c r="S115" s="37">
        <f ca="1">IFERROR(__xludf.DUMMYFUNCTION("""COMPUTED_VALUE"""),0)</f>
        <v>0</v>
      </c>
      <c r="T115" s="37">
        <f ca="1">IFERROR(__xludf.DUMMYFUNCTION("""COMPUTED_VALUE"""),0)</f>
        <v>0</v>
      </c>
      <c r="U115" s="37">
        <f ca="1">IFERROR(__xludf.DUMMYFUNCTION("""COMPUTED_VALUE"""),0)</f>
        <v>0</v>
      </c>
      <c r="V115" s="37">
        <f ca="1">IFERROR(__xludf.DUMMYFUNCTION("""COMPUTED_VALUE"""),0)</f>
        <v>0</v>
      </c>
      <c r="W115" s="37">
        <f ca="1">IFERROR(__xludf.DUMMYFUNCTION("""COMPUTED_VALUE"""),0)</f>
        <v>0</v>
      </c>
      <c r="X115" s="37">
        <f ca="1">IFERROR(__xludf.DUMMYFUNCTION("""COMPUTED_VALUE"""),0)</f>
        <v>0</v>
      </c>
      <c r="Y115" s="37">
        <f ca="1">IFERROR(__xludf.DUMMYFUNCTION("""COMPUTED_VALUE"""),0)</f>
        <v>0</v>
      </c>
      <c r="Z115" s="37">
        <f ca="1">IFERROR(__xludf.DUMMYFUNCTION("""COMPUTED_VALUE"""),0)</f>
        <v>0</v>
      </c>
    </row>
    <row r="116" spans="1:26" ht="12.75">
      <c r="A116" s="38" t="str">
        <f ca="1">IFERROR(__xludf.DUMMYFUNCTION("""COMPUTED_VALUE"""),"Arraias")</f>
        <v>Arraias</v>
      </c>
      <c r="B116" s="38" t="str">
        <f ca="1">IFERROR(__xludf.DUMMYFUNCTION("""COMPUTED_VALUE"""),"Arraias")</f>
        <v>Arraias</v>
      </c>
      <c r="C116" s="39" t="str">
        <f ca="1">IFERROR(__xludf.DUMMYFUNCTION("""COMPUTED_VALUE"""),"A.A. ESCOLA ESTADUAL CANABRAVA/ZULMIRA MAGALHÃES")</f>
        <v>A.A. ESCOLA ESTADUAL CANABRAVA/ZULMIRA MAGALHÃES</v>
      </c>
      <c r="D116" s="40" t="str">
        <f ca="1">IFERROR(__xludf.DUMMYFUNCTION("""COMPUTED_VALUE"""),"01284633000131")</f>
        <v>01284633000131</v>
      </c>
      <c r="E116" s="41" t="str">
        <f ca="1">IFERROR(__xludf.DUMMYFUNCTION("""COMPUTED_VALUE"""),"001")</f>
        <v>001</v>
      </c>
      <c r="F116" s="42" t="str">
        <f ca="1">IFERROR(__xludf.DUMMYFUNCTION("""COMPUTED_VALUE"""),"0541")</f>
        <v>0541</v>
      </c>
      <c r="G116" s="42" t="str">
        <f ca="1">IFERROR(__xludf.DUMMYFUNCTION("""COMPUTED_VALUE"""),"23219X")</f>
        <v>23219X</v>
      </c>
      <c r="H116" s="42">
        <f ca="1">IFERROR(__xludf.DUMMYFUNCTION("""COMPUTED_VALUE"""),0)</f>
        <v>0</v>
      </c>
      <c r="I116" s="42">
        <f ca="1">IFERROR(__xludf.DUMMYFUNCTION("""COMPUTED_VALUE"""),0)</f>
        <v>0</v>
      </c>
      <c r="J116" s="42">
        <f ca="1">IFERROR(__xludf.DUMMYFUNCTION("""COMPUTED_VALUE"""),2226)</f>
        <v>2226</v>
      </c>
      <c r="K116" s="42">
        <f ca="1">IFERROR(__xludf.DUMMYFUNCTION("""COMPUTED_VALUE"""),0)</f>
        <v>0</v>
      </c>
      <c r="L116" s="42">
        <f ca="1">IFERROR(__xludf.DUMMYFUNCTION("""COMPUTED_VALUE"""),0)</f>
        <v>0</v>
      </c>
      <c r="M116" s="42">
        <f ca="1">IFERROR(__xludf.DUMMYFUNCTION("""COMPUTED_VALUE"""),0)</f>
        <v>0</v>
      </c>
      <c r="N116" s="42">
        <f ca="1">IFERROR(__xludf.DUMMYFUNCTION("""COMPUTED_VALUE"""),0)</f>
        <v>0</v>
      </c>
      <c r="O116" s="42">
        <f ca="1">IFERROR(__xludf.DUMMYFUNCTION("""COMPUTED_VALUE"""),0)</f>
        <v>0</v>
      </c>
      <c r="P116" s="42">
        <f ca="1">IFERROR(__xludf.DUMMYFUNCTION("""COMPUTED_VALUE"""),294)</f>
        <v>294</v>
      </c>
      <c r="Q116" s="42">
        <f ca="1">IFERROR(__xludf.DUMMYFUNCTION("""COMPUTED_VALUE"""),1239)</f>
        <v>1239</v>
      </c>
      <c r="R116" s="42">
        <f ca="1">IFERROR(__xludf.DUMMYFUNCTION("""COMPUTED_VALUE"""),0)</f>
        <v>0</v>
      </c>
      <c r="S116" s="42">
        <f ca="1">IFERROR(__xludf.DUMMYFUNCTION("""COMPUTED_VALUE"""),0)</f>
        <v>0</v>
      </c>
      <c r="T116" s="42">
        <f ca="1">IFERROR(__xludf.DUMMYFUNCTION("""COMPUTED_VALUE"""),0)</f>
        <v>0</v>
      </c>
      <c r="U116" s="42">
        <f ca="1">IFERROR(__xludf.DUMMYFUNCTION("""COMPUTED_VALUE"""),0)</f>
        <v>0</v>
      </c>
      <c r="V116" s="42">
        <f ca="1">IFERROR(__xludf.DUMMYFUNCTION("""COMPUTED_VALUE"""),0)</f>
        <v>0</v>
      </c>
      <c r="W116" s="42">
        <f ca="1">IFERROR(__xludf.DUMMYFUNCTION("""COMPUTED_VALUE"""),0)</f>
        <v>0</v>
      </c>
      <c r="X116" s="42">
        <f ca="1">IFERROR(__xludf.DUMMYFUNCTION("""COMPUTED_VALUE"""),0)</f>
        <v>0</v>
      </c>
      <c r="Y116" s="42">
        <f ca="1">IFERROR(__xludf.DUMMYFUNCTION("""COMPUTED_VALUE"""),0)</f>
        <v>0</v>
      </c>
      <c r="Z116" s="42">
        <f ca="1">IFERROR(__xludf.DUMMYFUNCTION("""COMPUTED_VALUE"""),0)</f>
        <v>0</v>
      </c>
    </row>
    <row r="117" spans="1:26" ht="12.75">
      <c r="A117" s="33" t="str">
        <f ca="1">IFERROR(__xludf.DUMMYFUNCTION("""COMPUTED_VALUE"""),"Arraias")</f>
        <v>Arraias</v>
      </c>
      <c r="B117" s="33" t="str">
        <f ca="1">IFERROR(__xludf.DUMMYFUNCTION("""COMPUTED_VALUE"""),"Arraias")</f>
        <v>Arraias</v>
      </c>
      <c r="C117" s="34" t="str">
        <f ca="1">IFERROR(__xludf.DUMMYFUNCTION("""COMPUTED_VALUE"""),"A.A. ESCOLAR DA ESC. EST. SILVA DOURADO")</f>
        <v>A.A. ESCOLAR DA ESC. EST. SILVA DOURADO</v>
      </c>
      <c r="D117" s="35" t="str">
        <f ca="1">IFERROR(__xludf.DUMMYFUNCTION("""COMPUTED_VALUE"""),"01301519000172")</f>
        <v>01301519000172</v>
      </c>
      <c r="E117" s="36" t="str">
        <f ca="1">IFERROR(__xludf.DUMMYFUNCTION("""COMPUTED_VALUE"""),"001")</f>
        <v>001</v>
      </c>
      <c r="F117" s="37" t="str">
        <f ca="1">IFERROR(__xludf.DUMMYFUNCTION("""COMPUTED_VALUE"""),"0541")</f>
        <v>0541</v>
      </c>
      <c r="G117" s="37" t="str">
        <f ca="1">IFERROR(__xludf.DUMMYFUNCTION("""COMPUTED_VALUE"""),"232297")</f>
        <v>232297</v>
      </c>
      <c r="H117" s="37">
        <f ca="1">IFERROR(__xludf.DUMMYFUNCTION("""COMPUTED_VALUE"""),0)</f>
        <v>0</v>
      </c>
      <c r="I117" s="37">
        <f ca="1">IFERROR(__xludf.DUMMYFUNCTION("""COMPUTED_VALUE"""),0)</f>
        <v>0</v>
      </c>
      <c r="J117" s="37">
        <f ca="1">IFERROR(__xludf.DUMMYFUNCTION("""COMPUTED_VALUE"""),3822)</f>
        <v>3822</v>
      </c>
      <c r="K117" s="37">
        <f ca="1">IFERROR(__xludf.DUMMYFUNCTION("""COMPUTED_VALUE"""),0)</f>
        <v>0</v>
      </c>
      <c r="L117" s="37">
        <f ca="1">IFERROR(__xludf.DUMMYFUNCTION("""COMPUTED_VALUE"""),0)</f>
        <v>0</v>
      </c>
      <c r="M117" s="37">
        <f ca="1">IFERROR(__xludf.DUMMYFUNCTION("""COMPUTED_VALUE"""),0)</f>
        <v>0</v>
      </c>
      <c r="N117" s="37">
        <f ca="1">IFERROR(__xludf.DUMMYFUNCTION("""COMPUTED_VALUE"""),0)</f>
        <v>0</v>
      </c>
      <c r="O117" s="37">
        <f ca="1">IFERROR(__xludf.DUMMYFUNCTION("""COMPUTED_VALUE"""),0)</f>
        <v>0</v>
      </c>
      <c r="P117" s="37">
        <f ca="1">IFERROR(__xludf.DUMMYFUNCTION("""COMPUTED_VALUE"""),231)</f>
        <v>231</v>
      </c>
      <c r="Q117" s="37">
        <f ca="1">IFERROR(__xludf.DUMMYFUNCTION("""COMPUTED_VALUE"""),0)</f>
        <v>0</v>
      </c>
      <c r="R117" s="37">
        <f ca="1">IFERROR(__xludf.DUMMYFUNCTION("""COMPUTED_VALUE"""),0)</f>
        <v>0</v>
      </c>
      <c r="S117" s="37">
        <f ca="1">IFERROR(__xludf.DUMMYFUNCTION("""COMPUTED_VALUE"""),0)</f>
        <v>0</v>
      </c>
      <c r="T117" s="37">
        <f ca="1">IFERROR(__xludf.DUMMYFUNCTION("""COMPUTED_VALUE"""),798)</f>
        <v>798</v>
      </c>
      <c r="U117" s="37">
        <f ca="1">IFERROR(__xludf.DUMMYFUNCTION("""COMPUTED_VALUE"""),0)</f>
        <v>0</v>
      </c>
      <c r="V117" s="37">
        <f ca="1">IFERROR(__xludf.DUMMYFUNCTION("""COMPUTED_VALUE"""),0)</f>
        <v>0</v>
      </c>
      <c r="W117" s="37">
        <f ca="1">IFERROR(__xludf.DUMMYFUNCTION("""COMPUTED_VALUE"""),0)</f>
        <v>0</v>
      </c>
      <c r="X117" s="37">
        <f ca="1">IFERROR(__xludf.DUMMYFUNCTION("""COMPUTED_VALUE"""),0)</f>
        <v>0</v>
      </c>
      <c r="Y117" s="37">
        <f ca="1">IFERROR(__xludf.DUMMYFUNCTION("""COMPUTED_VALUE"""),0)</f>
        <v>0</v>
      </c>
      <c r="Z117" s="37">
        <f ca="1">IFERROR(__xludf.DUMMYFUNCTION("""COMPUTED_VALUE"""),0)</f>
        <v>0</v>
      </c>
    </row>
    <row r="118" spans="1:26" ht="12.75">
      <c r="A118" s="38" t="str">
        <f ca="1">IFERROR(__xludf.DUMMYFUNCTION("""COMPUTED_VALUE"""),"Arraias")</f>
        <v>Arraias</v>
      </c>
      <c r="B118" s="38" t="str">
        <f ca="1">IFERROR(__xludf.DUMMYFUNCTION("""COMPUTED_VALUE"""),"Aurora do Tocantins")</f>
        <v>Aurora do Tocantins</v>
      </c>
      <c r="C118" s="39" t="str">
        <f ca="1">IFERROR(__xludf.DUMMYFUNCTION("""COMPUTED_VALUE"""),"A.A. A ESCOLA/COL. EST.PROF. RANULFA")</f>
        <v>A.A. A ESCOLA/COL. EST.PROF. RANULFA</v>
      </c>
      <c r="D118" s="40" t="str">
        <f ca="1">IFERROR(__xludf.DUMMYFUNCTION("""COMPUTED_VALUE"""),"01133691000164")</f>
        <v>01133691000164</v>
      </c>
      <c r="E118" s="41" t="str">
        <f ca="1">IFERROR(__xludf.DUMMYFUNCTION("""COMPUTED_VALUE"""),"001")</f>
        <v>001</v>
      </c>
      <c r="F118" s="42" t="str">
        <f ca="1">IFERROR(__xludf.DUMMYFUNCTION("""COMPUTED_VALUE"""),"3977")</f>
        <v>3977</v>
      </c>
      <c r="G118" s="42" t="str">
        <f ca="1">IFERROR(__xludf.DUMMYFUNCTION("""COMPUTED_VALUE"""),"102725")</f>
        <v>102725</v>
      </c>
      <c r="H118" s="42">
        <f ca="1">IFERROR(__xludf.DUMMYFUNCTION("""COMPUTED_VALUE"""),0)</f>
        <v>0</v>
      </c>
      <c r="I118" s="42">
        <f ca="1">IFERROR(__xludf.DUMMYFUNCTION("""COMPUTED_VALUE"""),0)</f>
        <v>0</v>
      </c>
      <c r="J118" s="42">
        <f ca="1">IFERROR(__xludf.DUMMYFUNCTION("""COMPUTED_VALUE"""),651)</f>
        <v>651</v>
      </c>
      <c r="K118" s="42">
        <f ca="1">IFERROR(__xludf.DUMMYFUNCTION("""COMPUTED_VALUE"""),0)</f>
        <v>0</v>
      </c>
      <c r="L118" s="42">
        <f ca="1">IFERROR(__xludf.DUMMYFUNCTION("""COMPUTED_VALUE"""),0)</f>
        <v>0</v>
      </c>
      <c r="M118" s="42">
        <f ca="1">IFERROR(__xludf.DUMMYFUNCTION("""COMPUTED_VALUE"""),0)</f>
        <v>0</v>
      </c>
      <c r="N118" s="42">
        <f ca="1">IFERROR(__xludf.DUMMYFUNCTION("""COMPUTED_VALUE"""),0)</f>
        <v>0</v>
      </c>
      <c r="O118" s="42">
        <f ca="1">IFERROR(__xludf.DUMMYFUNCTION("""COMPUTED_VALUE"""),0)</f>
        <v>0</v>
      </c>
      <c r="P118" s="42">
        <f ca="1">IFERROR(__xludf.DUMMYFUNCTION("""COMPUTED_VALUE"""),231)</f>
        <v>231</v>
      </c>
      <c r="Q118" s="42">
        <f ca="1">IFERROR(__xludf.DUMMYFUNCTION("""COMPUTED_VALUE"""),3381)</f>
        <v>3381</v>
      </c>
      <c r="R118" s="42">
        <f ca="1">IFERROR(__xludf.DUMMYFUNCTION("""COMPUTED_VALUE"""),0)</f>
        <v>0</v>
      </c>
      <c r="S118" s="42">
        <f ca="1">IFERROR(__xludf.DUMMYFUNCTION("""COMPUTED_VALUE"""),0)</f>
        <v>0</v>
      </c>
      <c r="T118" s="42">
        <f ca="1">IFERROR(__xludf.DUMMYFUNCTION("""COMPUTED_VALUE"""),0)</f>
        <v>0</v>
      </c>
      <c r="U118" s="42">
        <f ca="1">IFERROR(__xludf.DUMMYFUNCTION("""COMPUTED_VALUE"""),0)</f>
        <v>0</v>
      </c>
      <c r="V118" s="42">
        <f ca="1">IFERROR(__xludf.DUMMYFUNCTION("""COMPUTED_VALUE"""),0)</f>
        <v>0</v>
      </c>
      <c r="W118" s="42">
        <f ca="1">IFERROR(__xludf.DUMMYFUNCTION("""COMPUTED_VALUE"""),0)</f>
        <v>0</v>
      </c>
      <c r="X118" s="42">
        <f ca="1">IFERROR(__xludf.DUMMYFUNCTION("""COMPUTED_VALUE"""),0)</f>
        <v>0</v>
      </c>
      <c r="Y118" s="42">
        <f ca="1">IFERROR(__xludf.DUMMYFUNCTION("""COMPUTED_VALUE"""),0)</f>
        <v>0</v>
      </c>
      <c r="Z118" s="42">
        <f ca="1">IFERROR(__xludf.DUMMYFUNCTION("""COMPUTED_VALUE"""),0)</f>
        <v>0</v>
      </c>
    </row>
    <row r="119" spans="1:26" ht="12.75">
      <c r="A119" s="33" t="str">
        <f ca="1">IFERROR(__xludf.DUMMYFUNCTION("""COMPUTED_VALUE"""),"Arraias")</f>
        <v>Arraias</v>
      </c>
      <c r="B119" s="33" t="str">
        <f ca="1">IFERROR(__xludf.DUMMYFUNCTION("""COMPUTED_VALUE"""),"Aurora do Tocantins")</f>
        <v>Aurora do Tocantins</v>
      </c>
      <c r="C119" s="34" t="str">
        <f ca="1">IFERROR(__xludf.DUMMYFUNCTION("""COMPUTED_VALUE"""),"ASS. APOIO ESCOLA ESTADUAL DONA INES")</f>
        <v>ASS. APOIO ESCOLA ESTADUAL DONA INES</v>
      </c>
      <c r="D119" s="35" t="str">
        <f ca="1">IFERROR(__xludf.DUMMYFUNCTION("""COMPUTED_VALUE"""),"01190419000116")</f>
        <v>01190419000116</v>
      </c>
      <c r="E119" s="36" t="str">
        <f ca="1">IFERROR(__xludf.DUMMYFUNCTION("""COMPUTED_VALUE"""),"001")</f>
        <v>001</v>
      </c>
      <c r="F119" s="37" t="str">
        <f ca="1">IFERROR(__xludf.DUMMYFUNCTION("""COMPUTED_VALUE"""),"3977")</f>
        <v>3977</v>
      </c>
      <c r="G119" s="37" t="str">
        <f ca="1">IFERROR(__xludf.DUMMYFUNCTION("""COMPUTED_VALUE"""),"109703")</f>
        <v>109703</v>
      </c>
      <c r="H119" s="37">
        <f ca="1">IFERROR(__xludf.DUMMYFUNCTION("""COMPUTED_VALUE"""),0)</f>
        <v>0</v>
      </c>
      <c r="I119" s="37">
        <f ca="1">IFERROR(__xludf.DUMMYFUNCTION("""COMPUTED_VALUE"""),0)</f>
        <v>0</v>
      </c>
      <c r="J119" s="37">
        <f ca="1">IFERROR(__xludf.DUMMYFUNCTION("""COMPUTED_VALUE"""),2415)</f>
        <v>2415</v>
      </c>
      <c r="K119" s="37">
        <f ca="1">IFERROR(__xludf.DUMMYFUNCTION("""COMPUTED_VALUE"""),0)</f>
        <v>0</v>
      </c>
      <c r="L119" s="37">
        <f ca="1">IFERROR(__xludf.DUMMYFUNCTION("""COMPUTED_VALUE"""),0)</f>
        <v>0</v>
      </c>
      <c r="M119" s="37">
        <f ca="1">IFERROR(__xludf.DUMMYFUNCTION("""COMPUTED_VALUE"""),0)</f>
        <v>0</v>
      </c>
      <c r="N119" s="37">
        <f ca="1">IFERROR(__xludf.DUMMYFUNCTION("""COMPUTED_VALUE"""),0)</f>
        <v>0</v>
      </c>
      <c r="O119" s="37">
        <f ca="1">IFERROR(__xludf.DUMMYFUNCTION("""COMPUTED_VALUE"""),0)</f>
        <v>0</v>
      </c>
      <c r="P119" s="37">
        <f ca="1">IFERROR(__xludf.DUMMYFUNCTION("""COMPUTED_VALUE"""),0)</f>
        <v>0</v>
      </c>
      <c r="Q119" s="37">
        <f ca="1">IFERROR(__xludf.DUMMYFUNCTION("""COMPUTED_VALUE"""),0)</f>
        <v>0</v>
      </c>
      <c r="R119" s="37">
        <f ca="1">IFERROR(__xludf.DUMMYFUNCTION("""COMPUTED_VALUE"""),0)</f>
        <v>0</v>
      </c>
      <c r="S119" s="37">
        <f ca="1">IFERROR(__xludf.DUMMYFUNCTION("""COMPUTED_VALUE"""),0)</f>
        <v>0</v>
      </c>
      <c r="T119" s="37">
        <f ca="1">IFERROR(__xludf.DUMMYFUNCTION("""COMPUTED_VALUE"""),0)</f>
        <v>0</v>
      </c>
      <c r="U119" s="37">
        <f ca="1">IFERROR(__xludf.DUMMYFUNCTION("""COMPUTED_VALUE"""),0)</f>
        <v>0</v>
      </c>
      <c r="V119" s="37">
        <f ca="1">IFERROR(__xludf.DUMMYFUNCTION("""COMPUTED_VALUE"""),0)</f>
        <v>0</v>
      </c>
      <c r="W119" s="37">
        <f ca="1">IFERROR(__xludf.DUMMYFUNCTION("""COMPUTED_VALUE"""),0)</f>
        <v>0</v>
      </c>
      <c r="X119" s="37">
        <f ca="1">IFERROR(__xludf.DUMMYFUNCTION("""COMPUTED_VALUE"""),0)</f>
        <v>0</v>
      </c>
      <c r="Y119" s="37">
        <f ca="1">IFERROR(__xludf.DUMMYFUNCTION("""COMPUTED_VALUE"""),0)</f>
        <v>0</v>
      </c>
      <c r="Z119" s="37">
        <f ca="1">IFERROR(__xludf.DUMMYFUNCTION("""COMPUTED_VALUE"""),0)</f>
        <v>0</v>
      </c>
    </row>
    <row r="120" spans="1:26" ht="12.75">
      <c r="A120" s="38" t="str">
        <f ca="1">IFERROR(__xludf.DUMMYFUNCTION("""COMPUTED_VALUE"""),"Arraias")</f>
        <v>Arraias</v>
      </c>
      <c r="B120" s="38" t="str">
        <f ca="1">IFERROR(__xludf.DUMMYFUNCTION("""COMPUTED_VALUE"""),"Combinado")</f>
        <v>Combinado</v>
      </c>
      <c r="C120" s="39" t="str">
        <f ca="1">IFERROR(__xludf.DUMMYFUNCTION("""COMPUTED_VALUE"""),"A.A. DO COL. E.JOAQUIM DE SENA E SILVA")</f>
        <v>A.A. DO COL. E.JOAQUIM DE SENA E SILVA</v>
      </c>
      <c r="D120" s="40" t="str">
        <f ca="1">IFERROR(__xludf.DUMMYFUNCTION("""COMPUTED_VALUE"""),"01230223000108")</f>
        <v>01230223000108</v>
      </c>
      <c r="E120" s="41" t="str">
        <f ca="1">IFERROR(__xludf.DUMMYFUNCTION("""COMPUTED_VALUE"""),"001")</f>
        <v>001</v>
      </c>
      <c r="F120" s="42" t="str">
        <f ca="1">IFERROR(__xludf.DUMMYFUNCTION("""COMPUTED_VALUE"""),"3977")</f>
        <v>3977</v>
      </c>
      <c r="G120" s="42" t="str">
        <f ca="1">IFERROR(__xludf.DUMMYFUNCTION("""COMPUTED_VALUE"""),"232106")</f>
        <v>232106</v>
      </c>
      <c r="H120" s="42">
        <f ca="1">IFERROR(__xludf.DUMMYFUNCTION("""COMPUTED_VALUE"""),0)</f>
        <v>0</v>
      </c>
      <c r="I120" s="42">
        <f ca="1">IFERROR(__xludf.DUMMYFUNCTION("""COMPUTED_VALUE"""),0)</f>
        <v>0</v>
      </c>
      <c r="J120" s="42">
        <f ca="1">IFERROR(__xludf.DUMMYFUNCTION("""COMPUTED_VALUE"""),0)</f>
        <v>0</v>
      </c>
      <c r="K120" s="42">
        <f ca="1">IFERROR(__xludf.DUMMYFUNCTION("""COMPUTED_VALUE"""),0)</f>
        <v>0</v>
      </c>
      <c r="L120" s="42">
        <f ca="1">IFERROR(__xludf.DUMMYFUNCTION("""COMPUTED_VALUE"""),0)</f>
        <v>0</v>
      </c>
      <c r="M120" s="42">
        <f ca="1">IFERROR(__xludf.DUMMYFUNCTION("""COMPUTED_VALUE"""),0)</f>
        <v>0</v>
      </c>
      <c r="N120" s="42">
        <f ca="1">IFERROR(__xludf.DUMMYFUNCTION("""COMPUTED_VALUE"""),0)</f>
        <v>0</v>
      </c>
      <c r="O120" s="42">
        <f ca="1">IFERROR(__xludf.DUMMYFUNCTION("""COMPUTED_VALUE"""),0)</f>
        <v>0</v>
      </c>
      <c r="P120" s="42">
        <f ca="1">IFERROR(__xludf.DUMMYFUNCTION("""COMPUTED_VALUE"""),0)</f>
        <v>0</v>
      </c>
      <c r="Q120" s="42">
        <f ca="1">IFERROR(__xludf.DUMMYFUNCTION("""COMPUTED_VALUE"""),4431)</f>
        <v>4431</v>
      </c>
      <c r="R120" s="42">
        <f ca="1">IFERROR(__xludf.DUMMYFUNCTION("""COMPUTED_VALUE"""),0)</f>
        <v>0</v>
      </c>
      <c r="S120" s="42">
        <f ca="1">IFERROR(__xludf.DUMMYFUNCTION("""COMPUTED_VALUE"""),0)</f>
        <v>0</v>
      </c>
      <c r="T120" s="42">
        <f ca="1">IFERROR(__xludf.DUMMYFUNCTION("""COMPUTED_VALUE"""),0)</f>
        <v>0</v>
      </c>
      <c r="U120" s="42">
        <f ca="1">IFERROR(__xludf.DUMMYFUNCTION("""COMPUTED_VALUE"""),0)</f>
        <v>0</v>
      </c>
      <c r="V120" s="42">
        <f ca="1">IFERROR(__xludf.DUMMYFUNCTION("""COMPUTED_VALUE"""),0)</f>
        <v>0</v>
      </c>
      <c r="W120" s="42">
        <f ca="1">IFERROR(__xludf.DUMMYFUNCTION("""COMPUTED_VALUE"""),0)</f>
        <v>0</v>
      </c>
      <c r="X120" s="42">
        <f ca="1">IFERROR(__xludf.DUMMYFUNCTION("""COMPUTED_VALUE"""),0)</f>
        <v>0</v>
      </c>
      <c r="Y120" s="42">
        <f ca="1">IFERROR(__xludf.DUMMYFUNCTION("""COMPUTED_VALUE"""),0)</f>
        <v>0</v>
      </c>
      <c r="Z120" s="42">
        <f ca="1">IFERROR(__xludf.DUMMYFUNCTION("""COMPUTED_VALUE"""),0)</f>
        <v>0</v>
      </c>
    </row>
    <row r="121" spans="1:26" ht="12.75">
      <c r="A121" s="33" t="str">
        <f ca="1">IFERROR(__xludf.DUMMYFUNCTION("""COMPUTED_VALUE"""),"Arraias")</f>
        <v>Arraias</v>
      </c>
      <c r="B121" s="33" t="str">
        <f ca="1">IFERROR(__xludf.DUMMYFUNCTION("""COMPUTED_VALUE"""),"Combinado")</f>
        <v>Combinado</v>
      </c>
      <c r="C121" s="34" t="str">
        <f ca="1">IFERROR(__xludf.DUMMYFUNCTION("""COMPUTED_VALUE"""),"A.A. DA ESCOLA ESTADUAL COMBINADO")</f>
        <v>A.A. DA ESCOLA ESTADUAL COMBINADO</v>
      </c>
      <c r="D121" s="35" t="str">
        <f ca="1">IFERROR(__xludf.DUMMYFUNCTION("""COMPUTED_VALUE"""),"01136003000110")</f>
        <v>01136003000110</v>
      </c>
      <c r="E121" s="36" t="str">
        <f ca="1">IFERROR(__xludf.DUMMYFUNCTION("""COMPUTED_VALUE"""),"001")</f>
        <v>001</v>
      </c>
      <c r="F121" s="37" t="str">
        <f ca="1">IFERROR(__xludf.DUMMYFUNCTION("""COMPUTED_VALUE"""),"3977")</f>
        <v>3977</v>
      </c>
      <c r="G121" s="37" t="str">
        <f ca="1">IFERROR(__xludf.DUMMYFUNCTION("""COMPUTED_VALUE"""),"231940")</f>
        <v>231940</v>
      </c>
      <c r="H121" s="37">
        <f ca="1">IFERROR(__xludf.DUMMYFUNCTION("""COMPUTED_VALUE"""),0)</f>
        <v>0</v>
      </c>
      <c r="I121" s="37">
        <f ca="1">IFERROR(__xludf.DUMMYFUNCTION("""COMPUTED_VALUE"""),0)</f>
        <v>0</v>
      </c>
      <c r="J121" s="37">
        <f ca="1">IFERROR(__xludf.DUMMYFUNCTION("""COMPUTED_VALUE"""),0)</f>
        <v>0</v>
      </c>
      <c r="K121" s="37">
        <f ca="1">IFERROR(__xludf.DUMMYFUNCTION("""COMPUTED_VALUE"""),15288)</f>
        <v>15288</v>
      </c>
      <c r="L121" s="37">
        <f ca="1">IFERROR(__xludf.DUMMYFUNCTION("""COMPUTED_VALUE"""),0)</f>
        <v>0</v>
      </c>
      <c r="M121" s="37">
        <f ca="1">IFERROR(__xludf.DUMMYFUNCTION("""COMPUTED_VALUE"""),0)</f>
        <v>0</v>
      </c>
      <c r="N121" s="37">
        <f ca="1">IFERROR(__xludf.DUMMYFUNCTION("""COMPUTED_VALUE"""),0)</f>
        <v>0</v>
      </c>
      <c r="O121" s="37">
        <f ca="1">IFERROR(__xludf.DUMMYFUNCTION("""COMPUTED_VALUE"""),0)</f>
        <v>0</v>
      </c>
      <c r="P121" s="37">
        <f ca="1">IFERROR(__xludf.DUMMYFUNCTION("""COMPUTED_VALUE"""),315)</f>
        <v>315</v>
      </c>
      <c r="Q121" s="37">
        <f ca="1">IFERROR(__xludf.DUMMYFUNCTION("""COMPUTED_VALUE"""),0)</f>
        <v>0</v>
      </c>
      <c r="R121" s="37">
        <f ca="1">IFERROR(__xludf.DUMMYFUNCTION("""COMPUTED_VALUE"""),0)</f>
        <v>0</v>
      </c>
      <c r="S121" s="37">
        <f ca="1">IFERROR(__xludf.DUMMYFUNCTION("""COMPUTED_VALUE"""),0)</f>
        <v>0</v>
      </c>
      <c r="T121" s="37">
        <f ca="1">IFERROR(__xludf.DUMMYFUNCTION("""COMPUTED_VALUE"""),0)</f>
        <v>0</v>
      </c>
      <c r="U121" s="37">
        <f ca="1">IFERROR(__xludf.DUMMYFUNCTION("""COMPUTED_VALUE"""),0)</f>
        <v>0</v>
      </c>
      <c r="V121" s="37">
        <f ca="1">IFERROR(__xludf.DUMMYFUNCTION("""COMPUTED_VALUE"""),0)</f>
        <v>0</v>
      </c>
      <c r="W121" s="37">
        <f ca="1">IFERROR(__xludf.DUMMYFUNCTION("""COMPUTED_VALUE"""),0)</f>
        <v>0</v>
      </c>
      <c r="X121" s="37">
        <f ca="1">IFERROR(__xludf.DUMMYFUNCTION("""COMPUTED_VALUE"""),0)</f>
        <v>0</v>
      </c>
      <c r="Y121" s="37">
        <f ca="1">IFERROR(__xludf.DUMMYFUNCTION("""COMPUTED_VALUE"""),0)</f>
        <v>0</v>
      </c>
      <c r="Z121" s="37">
        <f ca="1">IFERROR(__xludf.DUMMYFUNCTION("""COMPUTED_VALUE"""),1297.39999999999)</f>
        <v>1297.3999999999901</v>
      </c>
    </row>
    <row r="122" spans="1:26" ht="12.75">
      <c r="A122" s="38" t="str">
        <f ca="1">IFERROR(__xludf.DUMMYFUNCTION("""COMPUTED_VALUE"""),"Arraias")</f>
        <v>Arraias</v>
      </c>
      <c r="B122" s="38" t="str">
        <f ca="1">IFERROR(__xludf.DUMMYFUNCTION("""COMPUTED_VALUE"""),"Combinado")</f>
        <v>Combinado</v>
      </c>
      <c r="C122" s="39" t="str">
        <f ca="1">IFERROR(__xludf.DUMMYFUNCTION("""COMPUTED_VALUE"""),"A.A. ESC. EST. AUGUSTA VAZ DOS S.TEIXEIRA")</f>
        <v>A.A. ESC. EST. AUGUSTA VAZ DOS S.TEIXEIRA</v>
      </c>
      <c r="D122" s="40" t="str">
        <f ca="1">IFERROR(__xludf.DUMMYFUNCTION("""COMPUTED_VALUE"""),"01186458000140")</f>
        <v>01186458000140</v>
      </c>
      <c r="E122" s="41" t="str">
        <f ca="1">IFERROR(__xludf.DUMMYFUNCTION("""COMPUTED_VALUE"""),"001")</f>
        <v>001</v>
      </c>
      <c r="F122" s="42" t="str">
        <f ca="1">IFERROR(__xludf.DUMMYFUNCTION("""COMPUTED_VALUE"""),"3977")</f>
        <v>3977</v>
      </c>
      <c r="G122" s="42" t="str">
        <f ca="1">IFERROR(__xludf.DUMMYFUNCTION("""COMPUTED_VALUE"""),"56855")</f>
        <v>56855</v>
      </c>
      <c r="H122" s="42">
        <f ca="1">IFERROR(__xludf.DUMMYFUNCTION("""COMPUTED_VALUE"""),0)</f>
        <v>0</v>
      </c>
      <c r="I122" s="42">
        <f ca="1">IFERROR(__xludf.DUMMYFUNCTION("""COMPUTED_VALUE"""),0)</f>
        <v>0</v>
      </c>
      <c r="J122" s="42">
        <f ca="1">IFERROR(__xludf.DUMMYFUNCTION("""COMPUTED_VALUE"""),3003)</f>
        <v>3003</v>
      </c>
      <c r="K122" s="42">
        <f ca="1">IFERROR(__xludf.DUMMYFUNCTION("""COMPUTED_VALUE"""),0)</f>
        <v>0</v>
      </c>
      <c r="L122" s="42">
        <f ca="1">IFERROR(__xludf.DUMMYFUNCTION("""COMPUTED_VALUE"""),0)</f>
        <v>0</v>
      </c>
      <c r="M122" s="42">
        <f ca="1">IFERROR(__xludf.DUMMYFUNCTION("""COMPUTED_VALUE"""),0)</f>
        <v>0</v>
      </c>
      <c r="N122" s="42">
        <f ca="1">IFERROR(__xludf.DUMMYFUNCTION("""COMPUTED_VALUE"""),0)</f>
        <v>0</v>
      </c>
      <c r="O122" s="42">
        <f ca="1">IFERROR(__xludf.DUMMYFUNCTION("""COMPUTED_VALUE"""),0)</f>
        <v>0</v>
      </c>
      <c r="P122" s="42">
        <f ca="1">IFERROR(__xludf.DUMMYFUNCTION("""COMPUTED_VALUE"""),357)</f>
        <v>357</v>
      </c>
      <c r="Q122" s="42">
        <f ca="1">IFERROR(__xludf.DUMMYFUNCTION("""COMPUTED_VALUE"""),0)</f>
        <v>0</v>
      </c>
      <c r="R122" s="42">
        <f ca="1">IFERROR(__xludf.DUMMYFUNCTION("""COMPUTED_VALUE"""),0)</f>
        <v>0</v>
      </c>
      <c r="S122" s="42">
        <f ca="1">IFERROR(__xludf.DUMMYFUNCTION("""COMPUTED_VALUE"""),0)</f>
        <v>0</v>
      </c>
      <c r="T122" s="42">
        <f ca="1">IFERROR(__xludf.DUMMYFUNCTION("""COMPUTED_VALUE"""),0)</f>
        <v>0</v>
      </c>
      <c r="U122" s="42">
        <f ca="1">IFERROR(__xludf.DUMMYFUNCTION("""COMPUTED_VALUE"""),0)</f>
        <v>0</v>
      </c>
      <c r="V122" s="42">
        <f ca="1">IFERROR(__xludf.DUMMYFUNCTION("""COMPUTED_VALUE"""),0)</f>
        <v>0</v>
      </c>
      <c r="W122" s="42">
        <f ca="1">IFERROR(__xludf.DUMMYFUNCTION("""COMPUTED_VALUE"""),0)</f>
        <v>0</v>
      </c>
      <c r="X122" s="42">
        <f ca="1">IFERROR(__xludf.DUMMYFUNCTION("""COMPUTED_VALUE"""),0)</f>
        <v>0</v>
      </c>
      <c r="Y122" s="42">
        <f ca="1">IFERROR(__xludf.DUMMYFUNCTION("""COMPUTED_VALUE"""),0)</f>
        <v>0</v>
      </c>
      <c r="Z122" s="42">
        <f ca="1">IFERROR(__xludf.DUMMYFUNCTION("""COMPUTED_VALUE"""),0)</f>
        <v>0</v>
      </c>
    </row>
    <row r="123" spans="1:26" ht="12.75">
      <c r="A123" s="33" t="str">
        <f ca="1">IFERROR(__xludf.DUMMYFUNCTION("""COMPUTED_VALUE"""),"Arraias")</f>
        <v>Arraias</v>
      </c>
      <c r="B123" s="33" t="str">
        <f ca="1">IFERROR(__xludf.DUMMYFUNCTION("""COMPUTED_VALUE"""),"Lavandeira")</f>
        <v>Lavandeira</v>
      </c>
      <c r="C123" s="34" t="str">
        <f ca="1">IFERROR(__xludf.DUMMYFUNCTION("""COMPUTED_VALUE"""),"ASSOC. DE APOIO ESC. EST. LAVANDEIRA")</f>
        <v>ASSOC. DE APOIO ESC. EST. LAVANDEIRA</v>
      </c>
      <c r="D123" s="35" t="str">
        <f ca="1">IFERROR(__xludf.DUMMYFUNCTION("""COMPUTED_VALUE"""),"01136024000135")</f>
        <v>01136024000135</v>
      </c>
      <c r="E123" s="36" t="str">
        <f ca="1">IFERROR(__xludf.DUMMYFUNCTION("""COMPUTED_VALUE"""),"001")</f>
        <v>001</v>
      </c>
      <c r="F123" s="37" t="str">
        <f ca="1">IFERROR(__xludf.DUMMYFUNCTION("""COMPUTED_VALUE"""),"3977")</f>
        <v>3977</v>
      </c>
      <c r="G123" s="37" t="str">
        <f ca="1">IFERROR(__xludf.DUMMYFUNCTION("""COMPUTED_VALUE"""),"231916")</f>
        <v>231916</v>
      </c>
      <c r="H123" s="37">
        <f ca="1">IFERROR(__xludf.DUMMYFUNCTION("""COMPUTED_VALUE"""),0)</f>
        <v>0</v>
      </c>
      <c r="I123" s="37">
        <f ca="1">IFERROR(__xludf.DUMMYFUNCTION("""COMPUTED_VALUE"""),0)</f>
        <v>0</v>
      </c>
      <c r="J123" s="37">
        <f ca="1">IFERROR(__xludf.DUMMYFUNCTION("""COMPUTED_VALUE"""),2268)</f>
        <v>2268</v>
      </c>
      <c r="K123" s="37">
        <f ca="1">IFERROR(__xludf.DUMMYFUNCTION("""COMPUTED_VALUE"""),0)</f>
        <v>0</v>
      </c>
      <c r="L123" s="37">
        <f ca="1">IFERROR(__xludf.DUMMYFUNCTION("""COMPUTED_VALUE"""),0)</f>
        <v>0</v>
      </c>
      <c r="M123" s="37">
        <f ca="1">IFERROR(__xludf.DUMMYFUNCTION("""COMPUTED_VALUE"""),0)</f>
        <v>0</v>
      </c>
      <c r="N123" s="37">
        <f ca="1">IFERROR(__xludf.DUMMYFUNCTION("""COMPUTED_VALUE"""),0)</f>
        <v>0</v>
      </c>
      <c r="O123" s="37">
        <f ca="1">IFERROR(__xludf.DUMMYFUNCTION("""COMPUTED_VALUE"""),0)</f>
        <v>0</v>
      </c>
      <c r="P123" s="37">
        <f ca="1">IFERROR(__xludf.DUMMYFUNCTION("""COMPUTED_VALUE"""),315)</f>
        <v>315</v>
      </c>
      <c r="Q123" s="37">
        <f ca="1">IFERROR(__xludf.DUMMYFUNCTION("""COMPUTED_VALUE"""),1659)</f>
        <v>1659</v>
      </c>
      <c r="R123" s="37">
        <f ca="1">IFERROR(__xludf.DUMMYFUNCTION("""COMPUTED_VALUE"""),0)</f>
        <v>0</v>
      </c>
      <c r="S123" s="37">
        <f ca="1">IFERROR(__xludf.DUMMYFUNCTION("""COMPUTED_VALUE"""),0)</f>
        <v>0</v>
      </c>
      <c r="T123" s="37">
        <f ca="1">IFERROR(__xludf.DUMMYFUNCTION("""COMPUTED_VALUE"""),0)</f>
        <v>0</v>
      </c>
      <c r="U123" s="37">
        <f ca="1">IFERROR(__xludf.DUMMYFUNCTION("""COMPUTED_VALUE"""),0)</f>
        <v>0</v>
      </c>
      <c r="V123" s="37">
        <f ca="1">IFERROR(__xludf.DUMMYFUNCTION("""COMPUTED_VALUE"""),0)</f>
        <v>0</v>
      </c>
      <c r="W123" s="37">
        <f ca="1">IFERROR(__xludf.DUMMYFUNCTION("""COMPUTED_VALUE"""),0)</f>
        <v>0</v>
      </c>
      <c r="X123" s="37">
        <f ca="1">IFERROR(__xludf.DUMMYFUNCTION("""COMPUTED_VALUE"""),0)</f>
        <v>0</v>
      </c>
      <c r="Y123" s="37">
        <f ca="1">IFERROR(__xludf.DUMMYFUNCTION("""COMPUTED_VALUE"""),0)</f>
        <v>0</v>
      </c>
      <c r="Z123" s="37">
        <f ca="1">IFERROR(__xludf.DUMMYFUNCTION("""COMPUTED_VALUE"""),0)</f>
        <v>0</v>
      </c>
    </row>
    <row r="124" spans="1:26" ht="12.75">
      <c r="A124" s="38" t="str">
        <f ca="1">IFERROR(__xludf.DUMMYFUNCTION("""COMPUTED_VALUE"""),"Arraias")</f>
        <v>Arraias</v>
      </c>
      <c r="B124" s="38" t="str">
        <f ca="1">IFERROR(__xludf.DUMMYFUNCTION("""COMPUTED_VALUE"""),"Novo Alegre")</f>
        <v>Novo Alegre</v>
      </c>
      <c r="C124" s="39" t="str">
        <f ca="1">IFERROR(__xludf.DUMMYFUNCTION("""COMPUTED_VALUE"""),"ASSOC. DE APOIO COL. EST. DR.JOAO D`ABREU")</f>
        <v>ASSOC. DE APOIO COL. EST. DR.JOAO D`ABREU</v>
      </c>
      <c r="D124" s="40" t="str">
        <f ca="1">IFERROR(__xludf.DUMMYFUNCTION("""COMPUTED_VALUE"""),"01146115000151")</f>
        <v>01146115000151</v>
      </c>
      <c r="E124" s="41" t="str">
        <f ca="1">IFERROR(__xludf.DUMMYFUNCTION("""COMPUTED_VALUE"""),"001")</f>
        <v>001</v>
      </c>
      <c r="F124" s="42" t="str">
        <f ca="1">IFERROR(__xludf.DUMMYFUNCTION("""COMPUTED_VALUE"""),"3977")</f>
        <v>3977</v>
      </c>
      <c r="G124" s="42" t="str">
        <f ca="1">IFERROR(__xludf.DUMMYFUNCTION("""COMPUTED_VALUE"""),"178845")</f>
        <v>178845</v>
      </c>
      <c r="H124" s="42">
        <f ca="1">IFERROR(__xludf.DUMMYFUNCTION("""COMPUTED_VALUE"""),0)</f>
        <v>0</v>
      </c>
      <c r="I124" s="42">
        <f ca="1">IFERROR(__xludf.DUMMYFUNCTION("""COMPUTED_VALUE"""),0)</f>
        <v>0</v>
      </c>
      <c r="J124" s="42">
        <f ca="1">IFERROR(__xludf.DUMMYFUNCTION("""COMPUTED_VALUE"""),4179)</f>
        <v>4179</v>
      </c>
      <c r="K124" s="42">
        <f ca="1">IFERROR(__xludf.DUMMYFUNCTION("""COMPUTED_VALUE"""),0)</f>
        <v>0</v>
      </c>
      <c r="L124" s="42">
        <f ca="1">IFERROR(__xludf.DUMMYFUNCTION("""COMPUTED_VALUE"""),0)</f>
        <v>0</v>
      </c>
      <c r="M124" s="42">
        <f ca="1">IFERROR(__xludf.DUMMYFUNCTION("""COMPUTED_VALUE"""),0)</f>
        <v>0</v>
      </c>
      <c r="N124" s="42">
        <f ca="1">IFERROR(__xludf.DUMMYFUNCTION("""COMPUTED_VALUE"""),0)</f>
        <v>0</v>
      </c>
      <c r="O124" s="42">
        <f ca="1">IFERROR(__xludf.DUMMYFUNCTION("""COMPUTED_VALUE"""),0)</f>
        <v>0</v>
      </c>
      <c r="P124" s="42">
        <f ca="1">IFERROR(__xludf.DUMMYFUNCTION("""COMPUTED_VALUE"""),399)</f>
        <v>399</v>
      </c>
      <c r="Q124" s="42">
        <f ca="1">IFERROR(__xludf.DUMMYFUNCTION("""COMPUTED_VALUE"""),1470)</f>
        <v>1470</v>
      </c>
      <c r="R124" s="42">
        <f ca="1">IFERROR(__xludf.DUMMYFUNCTION("""COMPUTED_VALUE"""),0)</f>
        <v>0</v>
      </c>
      <c r="S124" s="42">
        <f ca="1">IFERROR(__xludf.DUMMYFUNCTION("""COMPUTED_VALUE"""),0)</f>
        <v>0</v>
      </c>
      <c r="T124" s="42">
        <f ca="1">IFERROR(__xludf.DUMMYFUNCTION("""COMPUTED_VALUE"""),0)</f>
        <v>0</v>
      </c>
      <c r="U124" s="42">
        <f ca="1">IFERROR(__xludf.DUMMYFUNCTION("""COMPUTED_VALUE"""),0)</f>
        <v>0</v>
      </c>
      <c r="V124" s="42">
        <f ca="1">IFERROR(__xludf.DUMMYFUNCTION("""COMPUTED_VALUE"""),0)</f>
        <v>0</v>
      </c>
      <c r="W124" s="42">
        <f ca="1">IFERROR(__xludf.DUMMYFUNCTION("""COMPUTED_VALUE"""),0)</f>
        <v>0</v>
      </c>
      <c r="X124" s="42">
        <f ca="1">IFERROR(__xludf.DUMMYFUNCTION("""COMPUTED_VALUE"""),0)</f>
        <v>0</v>
      </c>
      <c r="Y124" s="42">
        <f ca="1">IFERROR(__xludf.DUMMYFUNCTION("""COMPUTED_VALUE"""),0)</f>
        <v>0</v>
      </c>
      <c r="Z124" s="42">
        <f ca="1">IFERROR(__xludf.DUMMYFUNCTION("""COMPUTED_VALUE"""),0)</f>
        <v>0</v>
      </c>
    </row>
    <row r="125" spans="1:26" ht="12.75">
      <c r="A125" s="33" t="str">
        <f ca="1">IFERROR(__xludf.DUMMYFUNCTION("""COMPUTED_VALUE"""),"Arraias")</f>
        <v>Arraias</v>
      </c>
      <c r="B125" s="33" t="str">
        <f ca="1">IFERROR(__xludf.DUMMYFUNCTION("""COMPUTED_VALUE"""),"Parana")</f>
        <v>Parana</v>
      </c>
      <c r="C125" s="34" t="str">
        <f ca="1">IFERROR(__xludf.DUMMYFUNCTION("""COMPUTED_VALUE"""),"A.A. DO COL. EST. DES.VIRGILIO DE M.FRANCO")</f>
        <v>A.A. DO COL. EST. DES.VIRGILIO DE M.FRANCO</v>
      </c>
      <c r="D125" s="35" t="str">
        <f ca="1">IFERROR(__xludf.DUMMYFUNCTION("""COMPUTED_VALUE"""),"01284635000120")</f>
        <v>01284635000120</v>
      </c>
      <c r="E125" s="36" t="str">
        <f ca="1">IFERROR(__xludf.DUMMYFUNCTION("""COMPUTED_VALUE"""),"001")</f>
        <v>001</v>
      </c>
      <c r="F125" s="37" t="str">
        <f ca="1">IFERROR(__xludf.DUMMYFUNCTION("""COMPUTED_VALUE"""),"4790")</f>
        <v>4790</v>
      </c>
      <c r="G125" s="37" t="str">
        <f ca="1">IFERROR(__xludf.DUMMYFUNCTION("""COMPUTED_VALUE"""),"232327")</f>
        <v>232327</v>
      </c>
      <c r="H125" s="37">
        <f ca="1">IFERROR(__xludf.DUMMYFUNCTION("""COMPUTED_VALUE"""),0)</f>
        <v>0</v>
      </c>
      <c r="I125" s="37">
        <f ca="1">IFERROR(__xludf.DUMMYFUNCTION("""COMPUTED_VALUE"""),0)</f>
        <v>0</v>
      </c>
      <c r="J125" s="37">
        <f ca="1">IFERROR(__xludf.DUMMYFUNCTION("""COMPUTED_VALUE"""),0)</f>
        <v>0</v>
      </c>
      <c r="K125" s="37">
        <f ca="1">IFERROR(__xludf.DUMMYFUNCTION("""COMPUTED_VALUE"""),0)</f>
        <v>0</v>
      </c>
      <c r="L125" s="37">
        <f ca="1">IFERROR(__xludf.DUMMYFUNCTION("""COMPUTED_VALUE"""),0)</f>
        <v>0</v>
      </c>
      <c r="M125" s="37">
        <f ca="1">IFERROR(__xludf.DUMMYFUNCTION("""COMPUTED_VALUE"""),0)</f>
        <v>0</v>
      </c>
      <c r="N125" s="37">
        <f ca="1">IFERROR(__xludf.DUMMYFUNCTION("""COMPUTED_VALUE"""),0)</f>
        <v>0</v>
      </c>
      <c r="O125" s="37">
        <f ca="1">IFERROR(__xludf.DUMMYFUNCTION("""COMPUTED_VALUE"""),0)</f>
        <v>0</v>
      </c>
      <c r="P125" s="37">
        <f ca="1">IFERROR(__xludf.DUMMYFUNCTION("""COMPUTED_VALUE"""),0)</f>
        <v>0</v>
      </c>
      <c r="Q125" s="37">
        <f ca="1">IFERROR(__xludf.DUMMYFUNCTION("""COMPUTED_VALUE"""),6636)</f>
        <v>6636</v>
      </c>
      <c r="R125" s="37">
        <f ca="1">IFERROR(__xludf.DUMMYFUNCTION("""COMPUTED_VALUE"""),0)</f>
        <v>0</v>
      </c>
      <c r="S125" s="37">
        <f ca="1">IFERROR(__xludf.DUMMYFUNCTION("""COMPUTED_VALUE"""),0)</f>
        <v>0</v>
      </c>
      <c r="T125" s="37">
        <f ca="1">IFERROR(__xludf.DUMMYFUNCTION("""COMPUTED_VALUE"""),546)</f>
        <v>546</v>
      </c>
      <c r="U125" s="37">
        <f ca="1">IFERROR(__xludf.DUMMYFUNCTION("""COMPUTED_VALUE"""),0)</f>
        <v>0</v>
      </c>
      <c r="V125" s="37">
        <f ca="1">IFERROR(__xludf.DUMMYFUNCTION("""COMPUTED_VALUE"""),0)</f>
        <v>0</v>
      </c>
      <c r="W125" s="37">
        <f ca="1">IFERROR(__xludf.DUMMYFUNCTION("""COMPUTED_VALUE"""),0)</f>
        <v>0</v>
      </c>
      <c r="X125" s="37">
        <f ca="1">IFERROR(__xludf.DUMMYFUNCTION("""COMPUTED_VALUE"""),0)</f>
        <v>0</v>
      </c>
      <c r="Y125" s="37">
        <f ca="1">IFERROR(__xludf.DUMMYFUNCTION("""COMPUTED_VALUE"""),0)</f>
        <v>0</v>
      </c>
      <c r="Z125" s="37">
        <f ca="1">IFERROR(__xludf.DUMMYFUNCTION("""COMPUTED_VALUE"""),0)</f>
        <v>0</v>
      </c>
    </row>
    <row r="126" spans="1:26" ht="12.75">
      <c r="A126" s="38" t="str">
        <f ca="1">IFERROR(__xludf.DUMMYFUNCTION("""COMPUTED_VALUE"""),"Arraias")</f>
        <v>Arraias</v>
      </c>
      <c r="B126" s="38" t="str">
        <f ca="1">IFERROR(__xludf.DUMMYFUNCTION("""COMPUTED_VALUE"""),"Parana")</f>
        <v>Parana</v>
      </c>
      <c r="C126" s="39" t="str">
        <f ca="1">IFERROR(__xludf.DUMMYFUNCTION("""COMPUTED_VALUE"""),"A.A. DA ESC. EST.EUCLIDES BEZERRA GERAIS")</f>
        <v>A.A. DA ESC. EST.EUCLIDES BEZERRA GERAIS</v>
      </c>
      <c r="D126" s="40" t="str">
        <f ca="1">IFERROR(__xludf.DUMMYFUNCTION("""COMPUTED_VALUE"""),"01401950000190")</f>
        <v>01401950000190</v>
      </c>
      <c r="E126" s="41" t="str">
        <f ca="1">IFERROR(__xludf.DUMMYFUNCTION("""COMPUTED_VALUE"""),"001")</f>
        <v>001</v>
      </c>
      <c r="F126" s="42" t="str">
        <f ca="1">IFERROR(__xludf.DUMMYFUNCTION("""COMPUTED_VALUE"""),"0541")</f>
        <v>0541</v>
      </c>
      <c r="G126" s="42" t="str">
        <f ca="1">IFERROR(__xludf.DUMMYFUNCTION("""COMPUTED_VALUE"""),"232483")</f>
        <v>232483</v>
      </c>
      <c r="H126" s="42">
        <f ca="1">IFERROR(__xludf.DUMMYFUNCTION("""COMPUTED_VALUE"""),0)</f>
        <v>0</v>
      </c>
      <c r="I126" s="42">
        <f ca="1">IFERROR(__xludf.DUMMYFUNCTION("""COMPUTED_VALUE"""),0)</f>
        <v>0</v>
      </c>
      <c r="J126" s="42">
        <f ca="1">IFERROR(__xludf.DUMMYFUNCTION("""COMPUTED_VALUE"""),8904)</f>
        <v>8904</v>
      </c>
      <c r="K126" s="42">
        <f ca="1">IFERROR(__xludf.DUMMYFUNCTION("""COMPUTED_VALUE"""),0)</f>
        <v>0</v>
      </c>
      <c r="L126" s="42">
        <f ca="1">IFERROR(__xludf.DUMMYFUNCTION("""COMPUTED_VALUE"""),0)</f>
        <v>0</v>
      </c>
      <c r="M126" s="42">
        <f ca="1">IFERROR(__xludf.DUMMYFUNCTION("""COMPUTED_VALUE"""),0)</f>
        <v>0</v>
      </c>
      <c r="N126" s="42">
        <f ca="1">IFERROR(__xludf.DUMMYFUNCTION("""COMPUTED_VALUE"""),0)</f>
        <v>0</v>
      </c>
      <c r="O126" s="42">
        <f ca="1">IFERROR(__xludf.DUMMYFUNCTION("""COMPUTED_VALUE"""),0)</f>
        <v>0</v>
      </c>
      <c r="P126" s="42">
        <f ca="1">IFERROR(__xludf.DUMMYFUNCTION("""COMPUTED_VALUE"""),420)</f>
        <v>420</v>
      </c>
      <c r="Q126" s="42">
        <f ca="1">IFERROR(__xludf.DUMMYFUNCTION("""COMPUTED_VALUE"""),0)</f>
        <v>0</v>
      </c>
      <c r="R126" s="42">
        <f ca="1">IFERROR(__xludf.DUMMYFUNCTION("""COMPUTED_VALUE"""),0)</f>
        <v>0</v>
      </c>
      <c r="S126" s="42">
        <f ca="1">IFERROR(__xludf.DUMMYFUNCTION("""COMPUTED_VALUE"""),0)</f>
        <v>0</v>
      </c>
      <c r="T126" s="42">
        <f ca="1">IFERROR(__xludf.DUMMYFUNCTION("""COMPUTED_VALUE"""),0)</f>
        <v>0</v>
      </c>
      <c r="U126" s="42">
        <f ca="1">IFERROR(__xludf.DUMMYFUNCTION("""COMPUTED_VALUE"""),0)</f>
        <v>0</v>
      </c>
      <c r="V126" s="42">
        <f ca="1">IFERROR(__xludf.DUMMYFUNCTION("""COMPUTED_VALUE"""),0)</f>
        <v>0</v>
      </c>
      <c r="W126" s="42">
        <f ca="1">IFERROR(__xludf.DUMMYFUNCTION("""COMPUTED_VALUE"""),0)</f>
        <v>0</v>
      </c>
      <c r="X126" s="42">
        <f ca="1">IFERROR(__xludf.DUMMYFUNCTION("""COMPUTED_VALUE"""),0)</f>
        <v>0</v>
      </c>
      <c r="Y126" s="42">
        <f ca="1">IFERROR(__xludf.DUMMYFUNCTION("""COMPUTED_VALUE"""),0)</f>
        <v>0</v>
      </c>
      <c r="Z126" s="42">
        <f ca="1">IFERROR(__xludf.DUMMYFUNCTION("""COMPUTED_VALUE"""),0)</f>
        <v>0</v>
      </c>
    </row>
    <row r="127" spans="1:26" ht="12.75">
      <c r="A127" s="33" t="str">
        <f ca="1">IFERROR(__xludf.DUMMYFUNCTION("""COMPUTED_VALUE"""),"Arraias")</f>
        <v>Arraias</v>
      </c>
      <c r="B127" s="33" t="str">
        <f ca="1">IFERROR(__xludf.DUMMYFUNCTION("""COMPUTED_VALUE"""),"Parana")</f>
        <v>Parana</v>
      </c>
      <c r="C127" s="34" t="str">
        <f ca="1">IFERROR(__xludf.DUMMYFUNCTION("""COMPUTED_VALUE"""),"ASSOC. DE APOIO A ESC. EST. REUNIDA FLORESTA")</f>
        <v>ASSOC. DE APOIO A ESC. EST. REUNIDA FLORESTA</v>
      </c>
      <c r="D127" s="35" t="str">
        <f ca="1">IFERROR(__xludf.DUMMYFUNCTION("""COMPUTED_VALUE"""),"03834797000110")</f>
        <v>03834797000110</v>
      </c>
      <c r="E127" s="36" t="str">
        <f ca="1">IFERROR(__xludf.DUMMYFUNCTION("""COMPUTED_VALUE"""),"001")</f>
        <v>001</v>
      </c>
      <c r="F127" s="37" t="str">
        <f ca="1">IFERROR(__xludf.DUMMYFUNCTION("""COMPUTED_VALUE"""),"0541")</f>
        <v>0541</v>
      </c>
      <c r="G127" s="37" t="str">
        <f ca="1">IFERROR(__xludf.DUMMYFUNCTION("""COMPUTED_VALUE"""),"113247")</f>
        <v>113247</v>
      </c>
      <c r="H127" s="37">
        <f ca="1">IFERROR(__xludf.DUMMYFUNCTION("""COMPUTED_VALUE"""),0)</f>
        <v>0</v>
      </c>
      <c r="I127" s="37">
        <f ca="1">IFERROR(__xludf.DUMMYFUNCTION("""COMPUTED_VALUE"""),0)</f>
        <v>0</v>
      </c>
      <c r="J127" s="37">
        <f ca="1">IFERROR(__xludf.DUMMYFUNCTION("""COMPUTED_VALUE"""),1113)</f>
        <v>1113</v>
      </c>
      <c r="K127" s="37">
        <f ca="1">IFERROR(__xludf.DUMMYFUNCTION("""COMPUTED_VALUE"""),0)</f>
        <v>0</v>
      </c>
      <c r="L127" s="37">
        <f ca="1">IFERROR(__xludf.DUMMYFUNCTION("""COMPUTED_VALUE"""),0)</f>
        <v>0</v>
      </c>
      <c r="M127" s="37">
        <f ca="1">IFERROR(__xludf.DUMMYFUNCTION("""COMPUTED_VALUE"""),0)</f>
        <v>0</v>
      </c>
      <c r="N127" s="37">
        <f ca="1">IFERROR(__xludf.DUMMYFUNCTION("""COMPUTED_VALUE"""),0)</f>
        <v>0</v>
      </c>
      <c r="O127" s="37">
        <f ca="1">IFERROR(__xludf.DUMMYFUNCTION("""COMPUTED_VALUE"""),0)</f>
        <v>0</v>
      </c>
      <c r="P127" s="37">
        <f ca="1">IFERROR(__xludf.DUMMYFUNCTION("""COMPUTED_VALUE"""),105)</f>
        <v>105</v>
      </c>
      <c r="Q127" s="37">
        <f ca="1">IFERROR(__xludf.DUMMYFUNCTION("""COMPUTED_VALUE"""),714)</f>
        <v>714</v>
      </c>
      <c r="R127" s="37">
        <f ca="1">IFERROR(__xludf.DUMMYFUNCTION("""COMPUTED_VALUE"""),0)</f>
        <v>0</v>
      </c>
      <c r="S127" s="37">
        <f ca="1">IFERROR(__xludf.DUMMYFUNCTION("""COMPUTED_VALUE"""),0)</f>
        <v>0</v>
      </c>
      <c r="T127" s="37">
        <f ca="1">IFERROR(__xludf.DUMMYFUNCTION("""COMPUTED_VALUE"""),378)</f>
        <v>378</v>
      </c>
      <c r="U127" s="37">
        <f ca="1">IFERROR(__xludf.DUMMYFUNCTION("""COMPUTED_VALUE"""),0)</f>
        <v>0</v>
      </c>
      <c r="V127" s="37">
        <f ca="1">IFERROR(__xludf.DUMMYFUNCTION("""COMPUTED_VALUE"""),0)</f>
        <v>0</v>
      </c>
      <c r="W127" s="37">
        <f ca="1">IFERROR(__xludf.DUMMYFUNCTION("""COMPUTED_VALUE"""),0)</f>
        <v>0</v>
      </c>
      <c r="X127" s="37">
        <f ca="1">IFERROR(__xludf.DUMMYFUNCTION("""COMPUTED_VALUE"""),0)</f>
        <v>0</v>
      </c>
      <c r="Y127" s="37">
        <f ca="1">IFERROR(__xludf.DUMMYFUNCTION("""COMPUTED_VALUE"""),0)</f>
        <v>0</v>
      </c>
      <c r="Z127" s="37">
        <f ca="1">IFERROR(__xludf.DUMMYFUNCTION("""COMPUTED_VALUE"""),0)</f>
        <v>0</v>
      </c>
    </row>
    <row r="128" spans="1:26" ht="12.75">
      <c r="A128" s="38" t="str">
        <f ca="1">IFERROR(__xludf.DUMMYFUNCTION("""COMPUTED_VALUE"""),"Arraias")</f>
        <v>Arraias</v>
      </c>
      <c r="B128" s="38" t="str">
        <f ca="1">IFERROR(__xludf.DUMMYFUNCTION("""COMPUTED_VALUE"""),"Parana")</f>
        <v>Parana</v>
      </c>
      <c r="C128" s="39" t="str">
        <f ca="1">IFERROR(__xludf.DUMMYFUNCTION("""COMPUTED_VALUE"""),"A.A. A ESC. EST. REUNIDA SANTA RITA DO RIO PALMA")</f>
        <v>A.A. A ESC. EST. REUNIDA SANTA RITA DO RIO PALMA</v>
      </c>
      <c r="D128" s="40" t="str">
        <f ca="1">IFERROR(__xludf.DUMMYFUNCTION("""COMPUTED_VALUE"""),"03834784000141")</f>
        <v>03834784000141</v>
      </c>
      <c r="E128" s="41" t="str">
        <f ca="1">IFERROR(__xludf.DUMMYFUNCTION("""COMPUTED_VALUE"""),"001")</f>
        <v>001</v>
      </c>
      <c r="F128" s="42" t="str">
        <f ca="1">IFERROR(__xludf.DUMMYFUNCTION("""COMPUTED_VALUE"""),"0541")</f>
        <v>0541</v>
      </c>
      <c r="G128" s="42" t="str">
        <f ca="1">IFERROR(__xludf.DUMMYFUNCTION("""COMPUTED_VALUE"""),"113638")</f>
        <v>113638</v>
      </c>
      <c r="H128" s="42">
        <f ca="1">IFERROR(__xludf.DUMMYFUNCTION("""COMPUTED_VALUE"""),0)</f>
        <v>0</v>
      </c>
      <c r="I128" s="42">
        <f ca="1">IFERROR(__xludf.DUMMYFUNCTION("""COMPUTED_VALUE"""),0)</f>
        <v>0</v>
      </c>
      <c r="J128" s="42">
        <f ca="1">IFERROR(__xludf.DUMMYFUNCTION("""COMPUTED_VALUE"""),1365)</f>
        <v>1365</v>
      </c>
      <c r="K128" s="42">
        <f ca="1">IFERROR(__xludf.DUMMYFUNCTION("""COMPUTED_VALUE"""),0)</f>
        <v>0</v>
      </c>
      <c r="L128" s="42">
        <f ca="1">IFERROR(__xludf.DUMMYFUNCTION("""COMPUTED_VALUE"""),0)</f>
        <v>0</v>
      </c>
      <c r="M128" s="42">
        <f ca="1">IFERROR(__xludf.DUMMYFUNCTION("""COMPUTED_VALUE"""),0)</f>
        <v>0</v>
      </c>
      <c r="N128" s="42">
        <f ca="1">IFERROR(__xludf.DUMMYFUNCTION("""COMPUTED_VALUE"""),0)</f>
        <v>0</v>
      </c>
      <c r="O128" s="42">
        <f ca="1">IFERROR(__xludf.DUMMYFUNCTION("""COMPUTED_VALUE"""),0)</f>
        <v>0</v>
      </c>
      <c r="P128" s="42">
        <f ca="1">IFERROR(__xludf.DUMMYFUNCTION("""COMPUTED_VALUE"""),0)</f>
        <v>0</v>
      </c>
      <c r="Q128" s="42">
        <f ca="1">IFERROR(__xludf.DUMMYFUNCTION("""COMPUTED_VALUE"""),798)</f>
        <v>798</v>
      </c>
      <c r="R128" s="42">
        <f ca="1">IFERROR(__xludf.DUMMYFUNCTION("""COMPUTED_VALUE"""),0)</f>
        <v>0</v>
      </c>
      <c r="S128" s="42">
        <f ca="1">IFERROR(__xludf.DUMMYFUNCTION("""COMPUTED_VALUE"""),0)</f>
        <v>0</v>
      </c>
      <c r="T128" s="42">
        <f ca="1">IFERROR(__xludf.DUMMYFUNCTION("""COMPUTED_VALUE"""),0)</f>
        <v>0</v>
      </c>
      <c r="U128" s="42">
        <f ca="1">IFERROR(__xludf.DUMMYFUNCTION("""COMPUTED_VALUE"""),0)</f>
        <v>0</v>
      </c>
      <c r="V128" s="42">
        <f ca="1">IFERROR(__xludf.DUMMYFUNCTION("""COMPUTED_VALUE"""),0)</f>
        <v>0</v>
      </c>
      <c r="W128" s="42">
        <f ca="1">IFERROR(__xludf.DUMMYFUNCTION("""COMPUTED_VALUE"""),0)</f>
        <v>0</v>
      </c>
      <c r="X128" s="42">
        <f ca="1">IFERROR(__xludf.DUMMYFUNCTION("""COMPUTED_VALUE"""),0)</f>
        <v>0</v>
      </c>
      <c r="Y128" s="42">
        <f ca="1">IFERROR(__xludf.DUMMYFUNCTION("""COMPUTED_VALUE"""),0)</f>
        <v>0</v>
      </c>
      <c r="Z128" s="42">
        <f ca="1">IFERROR(__xludf.DUMMYFUNCTION("""COMPUTED_VALUE"""),0)</f>
        <v>0</v>
      </c>
    </row>
    <row r="129" spans="1:26" ht="12.75">
      <c r="A129" s="33" t="str">
        <f ca="1">IFERROR(__xludf.DUMMYFUNCTION("""COMPUTED_VALUE"""),"Colinas")</f>
        <v>Colinas</v>
      </c>
      <c r="B129" s="33" t="str">
        <f ca="1">IFERROR(__xludf.DUMMYFUNCTION("""COMPUTED_VALUE"""),"Arapoema")</f>
        <v>Arapoema</v>
      </c>
      <c r="C129" s="34" t="str">
        <f ca="1">IFERROR(__xludf.DUMMYFUNCTION("""COMPUTED_VALUE"""),"A.AP. COL. EST.RUILON DIAS CARNEIRO")</f>
        <v>A.AP. COL. EST.RUILON DIAS CARNEIRO</v>
      </c>
      <c r="D129" s="35" t="str">
        <f ca="1">IFERROR(__xludf.DUMMYFUNCTION("""COMPUTED_VALUE"""),"01133714000130")</f>
        <v>01133714000130</v>
      </c>
      <c r="E129" s="36" t="str">
        <f ca="1">IFERROR(__xludf.DUMMYFUNCTION("""COMPUTED_VALUE"""),"001")</f>
        <v>001</v>
      </c>
      <c r="F129" s="37" t="str">
        <f ca="1">IFERROR(__xludf.DUMMYFUNCTION("""COMPUTED_VALUE"""),"3974")</f>
        <v>3974</v>
      </c>
      <c r="G129" s="37" t="str">
        <f ca="1">IFERROR(__xludf.DUMMYFUNCTION("""COMPUTED_VALUE"""),"2290X")</f>
        <v>2290X</v>
      </c>
      <c r="H129" s="37">
        <f ca="1">IFERROR(__xludf.DUMMYFUNCTION("""COMPUTED_VALUE"""),0)</f>
        <v>0</v>
      </c>
      <c r="I129" s="37">
        <f ca="1">IFERROR(__xludf.DUMMYFUNCTION("""COMPUTED_VALUE"""),0)</f>
        <v>0</v>
      </c>
      <c r="J129" s="37">
        <f ca="1">IFERROR(__xludf.DUMMYFUNCTION("""COMPUTED_VALUE"""),0)</f>
        <v>0</v>
      </c>
      <c r="K129" s="37">
        <f ca="1">IFERROR(__xludf.DUMMYFUNCTION("""COMPUTED_VALUE"""),0)</f>
        <v>0</v>
      </c>
      <c r="L129" s="37">
        <f ca="1">IFERROR(__xludf.DUMMYFUNCTION("""COMPUTED_VALUE"""),0)</f>
        <v>0</v>
      </c>
      <c r="M129" s="37">
        <f ca="1">IFERROR(__xludf.DUMMYFUNCTION("""COMPUTED_VALUE"""),0)</f>
        <v>0</v>
      </c>
      <c r="N129" s="37">
        <f ca="1">IFERROR(__xludf.DUMMYFUNCTION("""COMPUTED_VALUE"""),0)</f>
        <v>0</v>
      </c>
      <c r="O129" s="37">
        <f ca="1">IFERROR(__xludf.DUMMYFUNCTION("""COMPUTED_VALUE"""),0)</f>
        <v>0</v>
      </c>
      <c r="P129" s="37">
        <f ca="1">IFERROR(__xludf.DUMMYFUNCTION("""COMPUTED_VALUE"""),0)</f>
        <v>0</v>
      </c>
      <c r="Q129" s="37">
        <f ca="1">IFERROR(__xludf.DUMMYFUNCTION("""COMPUTED_VALUE"""),4746)</f>
        <v>4746</v>
      </c>
      <c r="R129" s="37">
        <f ca="1">IFERROR(__xludf.DUMMYFUNCTION("""COMPUTED_VALUE"""),0)</f>
        <v>0</v>
      </c>
      <c r="S129" s="37">
        <f ca="1">IFERROR(__xludf.DUMMYFUNCTION("""COMPUTED_VALUE"""),0)</f>
        <v>0</v>
      </c>
      <c r="T129" s="37">
        <f ca="1">IFERROR(__xludf.DUMMYFUNCTION("""COMPUTED_VALUE"""),0)</f>
        <v>0</v>
      </c>
      <c r="U129" s="37">
        <f ca="1">IFERROR(__xludf.DUMMYFUNCTION("""COMPUTED_VALUE"""),0)</f>
        <v>0</v>
      </c>
      <c r="V129" s="37">
        <f ca="1">IFERROR(__xludf.DUMMYFUNCTION("""COMPUTED_VALUE"""),0)</f>
        <v>0</v>
      </c>
      <c r="W129" s="37">
        <f ca="1">IFERROR(__xludf.DUMMYFUNCTION("""COMPUTED_VALUE"""),0)</f>
        <v>0</v>
      </c>
      <c r="X129" s="37">
        <f ca="1">IFERROR(__xludf.DUMMYFUNCTION("""COMPUTED_VALUE"""),0)</f>
        <v>0</v>
      </c>
      <c r="Y129" s="37">
        <f ca="1">IFERROR(__xludf.DUMMYFUNCTION("""COMPUTED_VALUE"""),0)</f>
        <v>0</v>
      </c>
      <c r="Z129" s="37">
        <f ca="1">IFERROR(__xludf.DUMMYFUNCTION("""COMPUTED_VALUE"""),0)</f>
        <v>0</v>
      </c>
    </row>
    <row r="130" spans="1:26" ht="12.75">
      <c r="A130" s="38" t="str">
        <f ca="1">IFERROR(__xludf.DUMMYFUNCTION("""COMPUTED_VALUE"""),"Colinas")</f>
        <v>Colinas</v>
      </c>
      <c r="B130" s="38" t="str">
        <f ca="1">IFERROR(__xludf.DUMMYFUNCTION("""COMPUTED_VALUE"""),"Arapoema")</f>
        <v>Arapoema</v>
      </c>
      <c r="C130" s="39" t="str">
        <f ca="1">IFERROR(__xludf.DUMMYFUNCTION("""COMPUTED_VALUE"""),"A.A. E. EST. ANTONIO DELFINO GUIMARAES")</f>
        <v>A.A. E. EST. ANTONIO DELFINO GUIMARAES</v>
      </c>
      <c r="D130" s="40" t="str">
        <f ca="1">IFERROR(__xludf.DUMMYFUNCTION("""COMPUTED_VALUE"""),"01135998000102")</f>
        <v>01135998000102</v>
      </c>
      <c r="E130" s="41" t="str">
        <f ca="1">IFERROR(__xludf.DUMMYFUNCTION("""COMPUTED_VALUE"""),"001")</f>
        <v>001</v>
      </c>
      <c r="F130" s="42" t="str">
        <f ca="1">IFERROR(__xludf.DUMMYFUNCTION("""COMPUTED_VALUE"""),"3974")</f>
        <v>3974</v>
      </c>
      <c r="G130" s="42" t="str">
        <f ca="1">IFERROR(__xludf.DUMMYFUNCTION("""COMPUTED_VALUE"""),"2287X")</f>
        <v>2287X</v>
      </c>
      <c r="H130" s="42">
        <f ca="1">IFERROR(__xludf.DUMMYFUNCTION("""COMPUTED_VALUE"""),0)</f>
        <v>0</v>
      </c>
      <c r="I130" s="42">
        <f ca="1">IFERROR(__xludf.DUMMYFUNCTION("""COMPUTED_VALUE"""),0)</f>
        <v>0</v>
      </c>
      <c r="J130" s="42">
        <f ca="1">IFERROR(__xludf.DUMMYFUNCTION("""COMPUTED_VALUE"""),6867)</f>
        <v>6867</v>
      </c>
      <c r="K130" s="42">
        <f ca="1">IFERROR(__xludf.DUMMYFUNCTION("""COMPUTED_VALUE"""),0)</f>
        <v>0</v>
      </c>
      <c r="L130" s="42">
        <f ca="1">IFERROR(__xludf.DUMMYFUNCTION("""COMPUTED_VALUE"""),0)</f>
        <v>0</v>
      </c>
      <c r="M130" s="42">
        <f ca="1">IFERROR(__xludf.DUMMYFUNCTION("""COMPUTED_VALUE"""),0)</f>
        <v>0</v>
      </c>
      <c r="N130" s="42">
        <f ca="1">IFERROR(__xludf.DUMMYFUNCTION("""COMPUTED_VALUE"""),0)</f>
        <v>0</v>
      </c>
      <c r="O130" s="42">
        <f ca="1">IFERROR(__xludf.DUMMYFUNCTION("""COMPUTED_VALUE"""),0)</f>
        <v>0</v>
      </c>
      <c r="P130" s="42">
        <f ca="1">IFERROR(__xludf.DUMMYFUNCTION("""COMPUTED_VALUE"""),483)</f>
        <v>483</v>
      </c>
      <c r="Q130" s="42">
        <f ca="1">IFERROR(__xludf.DUMMYFUNCTION("""COMPUTED_VALUE"""),0)</f>
        <v>0</v>
      </c>
      <c r="R130" s="42">
        <f ca="1">IFERROR(__xludf.DUMMYFUNCTION("""COMPUTED_VALUE"""),0)</f>
        <v>0</v>
      </c>
      <c r="S130" s="42">
        <f ca="1">IFERROR(__xludf.DUMMYFUNCTION("""COMPUTED_VALUE"""),0)</f>
        <v>0</v>
      </c>
      <c r="T130" s="42">
        <f ca="1">IFERROR(__xludf.DUMMYFUNCTION("""COMPUTED_VALUE"""),0)</f>
        <v>0</v>
      </c>
      <c r="U130" s="42">
        <f ca="1">IFERROR(__xludf.DUMMYFUNCTION("""COMPUTED_VALUE"""),0)</f>
        <v>0</v>
      </c>
      <c r="V130" s="42">
        <f ca="1">IFERROR(__xludf.DUMMYFUNCTION("""COMPUTED_VALUE"""),0)</f>
        <v>0</v>
      </c>
      <c r="W130" s="42">
        <f ca="1">IFERROR(__xludf.DUMMYFUNCTION("""COMPUTED_VALUE"""),0)</f>
        <v>0</v>
      </c>
      <c r="X130" s="42">
        <f ca="1">IFERROR(__xludf.DUMMYFUNCTION("""COMPUTED_VALUE"""),0)</f>
        <v>0</v>
      </c>
      <c r="Y130" s="42">
        <f ca="1">IFERROR(__xludf.DUMMYFUNCTION("""COMPUTED_VALUE"""),0)</f>
        <v>0</v>
      </c>
      <c r="Z130" s="42">
        <f ca="1">IFERROR(__xludf.DUMMYFUNCTION("""COMPUTED_VALUE"""),0)</f>
        <v>0</v>
      </c>
    </row>
    <row r="131" spans="1:26" ht="12.75">
      <c r="A131" s="33" t="str">
        <f ca="1">IFERROR(__xludf.DUMMYFUNCTION("""COMPUTED_VALUE"""),"Colinas")</f>
        <v>Colinas</v>
      </c>
      <c r="B131" s="33" t="str">
        <f ca="1">IFERROR(__xludf.DUMMYFUNCTION("""COMPUTED_VALUE"""),"Bandeirantes do Tocantins")</f>
        <v>Bandeirantes do Tocantins</v>
      </c>
      <c r="C131" s="34" t="str">
        <f ca="1">IFERROR(__xludf.DUMMYFUNCTION("""COMPUTED_VALUE"""),"A.A. E. E. ARCELINO F. DO NASCIMENTO")</f>
        <v>A.A. E. E. ARCELINO F. DO NASCIMENTO</v>
      </c>
      <c r="D131" s="35" t="str">
        <f ca="1">IFERROR(__xludf.DUMMYFUNCTION("""COMPUTED_VALUE"""),"01181179000193")</f>
        <v>01181179000193</v>
      </c>
      <c r="E131" s="36" t="str">
        <f ca="1">IFERROR(__xludf.DUMMYFUNCTION("""COMPUTED_VALUE"""),"001")</f>
        <v>001</v>
      </c>
      <c r="F131" s="37" t="str">
        <f ca="1">IFERROR(__xludf.DUMMYFUNCTION("""COMPUTED_VALUE"""),"0911")</f>
        <v>0911</v>
      </c>
      <c r="G131" s="37" t="str">
        <f ca="1">IFERROR(__xludf.DUMMYFUNCTION("""COMPUTED_VALUE"""),"46578X")</f>
        <v>46578X</v>
      </c>
      <c r="H131" s="37">
        <f ca="1">IFERROR(__xludf.DUMMYFUNCTION("""COMPUTED_VALUE"""),0)</f>
        <v>0</v>
      </c>
      <c r="I131" s="37">
        <f ca="1">IFERROR(__xludf.DUMMYFUNCTION("""COMPUTED_VALUE"""),0)</f>
        <v>0</v>
      </c>
      <c r="J131" s="37">
        <f ca="1">IFERROR(__xludf.DUMMYFUNCTION("""COMPUTED_VALUE"""),1638)</f>
        <v>1638</v>
      </c>
      <c r="K131" s="37">
        <f ca="1">IFERROR(__xludf.DUMMYFUNCTION("""COMPUTED_VALUE"""),0)</f>
        <v>0</v>
      </c>
      <c r="L131" s="37">
        <f ca="1">IFERROR(__xludf.DUMMYFUNCTION("""COMPUTED_VALUE"""),0)</f>
        <v>0</v>
      </c>
      <c r="M131" s="37">
        <f ca="1">IFERROR(__xludf.DUMMYFUNCTION("""COMPUTED_VALUE"""),0)</f>
        <v>0</v>
      </c>
      <c r="N131" s="37">
        <f ca="1">IFERROR(__xludf.DUMMYFUNCTION("""COMPUTED_VALUE"""),0)</f>
        <v>0</v>
      </c>
      <c r="O131" s="37">
        <f ca="1">IFERROR(__xludf.DUMMYFUNCTION("""COMPUTED_VALUE"""),0)</f>
        <v>0</v>
      </c>
      <c r="P131" s="37">
        <f ca="1">IFERROR(__xludf.DUMMYFUNCTION("""COMPUTED_VALUE"""),105)</f>
        <v>105</v>
      </c>
      <c r="Q131" s="37">
        <f ca="1">IFERROR(__xludf.DUMMYFUNCTION("""COMPUTED_VALUE"""),2919)</f>
        <v>2919</v>
      </c>
      <c r="R131" s="37">
        <f ca="1">IFERROR(__xludf.DUMMYFUNCTION("""COMPUTED_VALUE"""),0)</f>
        <v>0</v>
      </c>
      <c r="S131" s="37">
        <f ca="1">IFERROR(__xludf.DUMMYFUNCTION("""COMPUTED_VALUE"""),0)</f>
        <v>0</v>
      </c>
      <c r="T131" s="37">
        <f ca="1">IFERROR(__xludf.DUMMYFUNCTION("""COMPUTED_VALUE"""),0)</f>
        <v>0</v>
      </c>
      <c r="U131" s="37">
        <f ca="1">IFERROR(__xludf.DUMMYFUNCTION("""COMPUTED_VALUE"""),0)</f>
        <v>0</v>
      </c>
      <c r="V131" s="37">
        <f ca="1">IFERROR(__xludf.DUMMYFUNCTION("""COMPUTED_VALUE"""),0)</f>
        <v>0</v>
      </c>
      <c r="W131" s="37">
        <f ca="1">IFERROR(__xludf.DUMMYFUNCTION("""COMPUTED_VALUE"""),0)</f>
        <v>0</v>
      </c>
      <c r="X131" s="37">
        <f ca="1">IFERROR(__xludf.DUMMYFUNCTION("""COMPUTED_VALUE"""),0)</f>
        <v>0</v>
      </c>
      <c r="Y131" s="37">
        <f ca="1">IFERROR(__xludf.DUMMYFUNCTION("""COMPUTED_VALUE"""),0)</f>
        <v>0</v>
      </c>
      <c r="Z131" s="37">
        <f ca="1">IFERROR(__xludf.DUMMYFUNCTION("""COMPUTED_VALUE"""),0)</f>
        <v>0</v>
      </c>
    </row>
    <row r="132" spans="1:26" ht="12.75">
      <c r="A132" s="38" t="str">
        <f ca="1">IFERROR(__xludf.DUMMYFUNCTION("""COMPUTED_VALUE"""),"Colinas")</f>
        <v>Colinas</v>
      </c>
      <c r="B132" s="38" t="str">
        <f ca="1">IFERROR(__xludf.DUMMYFUNCTION("""COMPUTED_VALUE"""),"Bernardo Sayao")</f>
        <v>Bernardo Sayao</v>
      </c>
      <c r="C132" s="39" t="str">
        <f ca="1">IFERROR(__xludf.DUMMYFUNCTION("""COMPUTED_VALUE"""),"A.A. COL. EST. BERNARDO SAYAO")</f>
        <v>A.A. COL. EST. BERNARDO SAYAO</v>
      </c>
      <c r="D132" s="40" t="str">
        <f ca="1">IFERROR(__xludf.DUMMYFUNCTION("""COMPUTED_VALUE"""),"01190188000140")</f>
        <v>01190188000140</v>
      </c>
      <c r="E132" s="41" t="str">
        <f ca="1">IFERROR(__xludf.DUMMYFUNCTION("""COMPUTED_VALUE"""),"001")</f>
        <v>001</v>
      </c>
      <c r="F132" s="42" t="str">
        <f ca="1">IFERROR(__xludf.DUMMYFUNCTION("""COMPUTED_VALUE"""),"0911")</f>
        <v>0911</v>
      </c>
      <c r="G132" s="42" t="str">
        <f ca="1">IFERROR(__xludf.DUMMYFUNCTION("""COMPUTED_VALUE"""),"369403")</f>
        <v>369403</v>
      </c>
      <c r="H132" s="42">
        <f ca="1">IFERROR(__xludf.DUMMYFUNCTION("""COMPUTED_VALUE"""),0)</f>
        <v>0</v>
      </c>
      <c r="I132" s="42">
        <f ca="1">IFERROR(__xludf.DUMMYFUNCTION("""COMPUTED_VALUE"""),0)</f>
        <v>0</v>
      </c>
      <c r="J132" s="42">
        <f ca="1">IFERROR(__xludf.DUMMYFUNCTION("""COMPUTED_VALUE"""),1323)</f>
        <v>1323</v>
      </c>
      <c r="K132" s="42">
        <f ca="1">IFERROR(__xludf.DUMMYFUNCTION("""COMPUTED_VALUE"""),0)</f>
        <v>0</v>
      </c>
      <c r="L132" s="42">
        <f ca="1">IFERROR(__xludf.DUMMYFUNCTION("""COMPUTED_VALUE"""),0)</f>
        <v>0</v>
      </c>
      <c r="M132" s="42">
        <f ca="1">IFERROR(__xludf.DUMMYFUNCTION("""COMPUTED_VALUE"""),0)</f>
        <v>0</v>
      </c>
      <c r="N132" s="42">
        <f ca="1">IFERROR(__xludf.DUMMYFUNCTION("""COMPUTED_VALUE"""),0)</f>
        <v>0</v>
      </c>
      <c r="O132" s="42">
        <f ca="1">IFERROR(__xludf.DUMMYFUNCTION("""COMPUTED_VALUE"""),0)</f>
        <v>0</v>
      </c>
      <c r="P132" s="42">
        <f ca="1">IFERROR(__xludf.DUMMYFUNCTION("""COMPUTED_VALUE"""),126)</f>
        <v>126</v>
      </c>
      <c r="Q132" s="42">
        <f ca="1">IFERROR(__xludf.DUMMYFUNCTION("""COMPUTED_VALUE"""),2919)</f>
        <v>2919</v>
      </c>
      <c r="R132" s="42">
        <f ca="1">IFERROR(__xludf.DUMMYFUNCTION("""COMPUTED_VALUE"""),0)</f>
        <v>0</v>
      </c>
      <c r="S132" s="42">
        <f ca="1">IFERROR(__xludf.DUMMYFUNCTION("""COMPUTED_VALUE"""),0)</f>
        <v>0</v>
      </c>
      <c r="T132" s="42">
        <f ca="1">IFERROR(__xludf.DUMMYFUNCTION("""COMPUTED_VALUE"""),294)</f>
        <v>294</v>
      </c>
      <c r="U132" s="42">
        <f ca="1">IFERROR(__xludf.DUMMYFUNCTION("""COMPUTED_VALUE"""),0)</f>
        <v>0</v>
      </c>
      <c r="V132" s="42">
        <f ca="1">IFERROR(__xludf.DUMMYFUNCTION("""COMPUTED_VALUE"""),0)</f>
        <v>0</v>
      </c>
      <c r="W132" s="42">
        <f ca="1">IFERROR(__xludf.DUMMYFUNCTION("""COMPUTED_VALUE"""),0)</f>
        <v>0</v>
      </c>
      <c r="X132" s="42">
        <f ca="1">IFERROR(__xludf.DUMMYFUNCTION("""COMPUTED_VALUE"""),0)</f>
        <v>0</v>
      </c>
      <c r="Y132" s="42">
        <f ca="1">IFERROR(__xludf.DUMMYFUNCTION("""COMPUTED_VALUE"""),0)</f>
        <v>0</v>
      </c>
      <c r="Z132" s="42">
        <f ca="1">IFERROR(__xludf.DUMMYFUNCTION("""COMPUTED_VALUE"""),0)</f>
        <v>0</v>
      </c>
    </row>
    <row r="133" spans="1:26" ht="12.75">
      <c r="A133" s="33" t="str">
        <f ca="1">IFERROR(__xludf.DUMMYFUNCTION("""COMPUTED_VALUE"""),"Colinas")</f>
        <v>Colinas</v>
      </c>
      <c r="B133" s="33" t="str">
        <f ca="1">IFERROR(__xludf.DUMMYFUNCTION("""COMPUTED_VALUE"""),"Brasilandia do Tocantins")</f>
        <v>Brasilandia do Tocantins</v>
      </c>
      <c r="C133" s="34" t="str">
        <f ca="1">IFERROR(__xludf.DUMMYFUNCTION("""COMPUTED_VALUE"""),"A.A. COL. EST. SEBASTIAO RODRIGUES SALES")</f>
        <v>A.A. COL. EST. SEBASTIAO RODRIGUES SALES</v>
      </c>
      <c r="D133" s="35" t="str">
        <f ca="1">IFERROR(__xludf.DUMMYFUNCTION("""COMPUTED_VALUE"""),"01138333000144")</f>
        <v>01138333000144</v>
      </c>
      <c r="E133" s="36" t="str">
        <f ca="1">IFERROR(__xludf.DUMMYFUNCTION("""COMPUTED_VALUE"""),"001")</f>
        <v>001</v>
      </c>
      <c r="F133" s="37" t="str">
        <f ca="1">IFERROR(__xludf.DUMMYFUNCTION("""COMPUTED_VALUE"""),"0911")</f>
        <v>0911</v>
      </c>
      <c r="G133" s="37" t="str">
        <f ca="1">IFERROR(__xludf.DUMMYFUNCTION("""COMPUTED_VALUE"""),"369365")</f>
        <v>369365</v>
      </c>
      <c r="H133" s="37">
        <f ca="1">IFERROR(__xludf.DUMMYFUNCTION("""COMPUTED_VALUE"""),0)</f>
        <v>0</v>
      </c>
      <c r="I133" s="37">
        <f ca="1">IFERROR(__xludf.DUMMYFUNCTION("""COMPUTED_VALUE"""),0)</f>
        <v>0</v>
      </c>
      <c r="J133" s="37">
        <f ca="1">IFERROR(__xludf.DUMMYFUNCTION("""COMPUTED_VALUE"""),2898)</f>
        <v>2898</v>
      </c>
      <c r="K133" s="37">
        <f ca="1">IFERROR(__xludf.DUMMYFUNCTION("""COMPUTED_VALUE"""),0)</f>
        <v>0</v>
      </c>
      <c r="L133" s="37">
        <f ca="1">IFERROR(__xludf.DUMMYFUNCTION("""COMPUTED_VALUE"""),0)</f>
        <v>0</v>
      </c>
      <c r="M133" s="37">
        <f ca="1">IFERROR(__xludf.DUMMYFUNCTION("""COMPUTED_VALUE"""),0)</f>
        <v>0</v>
      </c>
      <c r="N133" s="37">
        <f ca="1">IFERROR(__xludf.DUMMYFUNCTION("""COMPUTED_VALUE"""),0)</f>
        <v>0</v>
      </c>
      <c r="O133" s="37">
        <f ca="1">IFERROR(__xludf.DUMMYFUNCTION("""COMPUTED_VALUE"""),0)</f>
        <v>0</v>
      </c>
      <c r="P133" s="37">
        <f ca="1">IFERROR(__xludf.DUMMYFUNCTION("""COMPUTED_VALUE"""),0)</f>
        <v>0</v>
      </c>
      <c r="Q133" s="37">
        <f ca="1">IFERROR(__xludf.DUMMYFUNCTION("""COMPUTED_VALUE"""),1176)</f>
        <v>1176</v>
      </c>
      <c r="R133" s="37">
        <f ca="1">IFERROR(__xludf.DUMMYFUNCTION("""COMPUTED_VALUE"""),0)</f>
        <v>0</v>
      </c>
      <c r="S133" s="37">
        <f ca="1">IFERROR(__xludf.DUMMYFUNCTION("""COMPUTED_VALUE"""),0)</f>
        <v>0</v>
      </c>
      <c r="T133" s="37">
        <f ca="1">IFERROR(__xludf.DUMMYFUNCTION("""COMPUTED_VALUE"""),0)</f>
        <v>0</v>
      </c>
      <c r="U133" s="37">
        <f ca="1">IFERROR(__xludf.DUMMYFUNCTION("""COMPUTED_VALUE"""),0)</f>
        <v>0</v>
      </c>
      <c r="V133" s="37">
        <f ca="1">IFERROR(__xludf.DUMMYFUNCTION("""COMPUTED_VALUE"""),0)</f>
        <v>0</v>
      </c>
      <c r="W133" s="37">
        <f ca="1">IFERROR(__xludf.DUMMYFUNCTION("""COMPUTED_VALUE"""),0)</f>
        <v>0</v>
      </c>
      <c r="X133" s="37">
        <f ca="1">IFERROR(__xludf.DUMMYFUNCTION("""COMPUTED_VALUE"""),0)</f>
        <v>0</v>
      </c>
      <c r="Y133" s="37">
        <f ca="1">IFERROR(__xludf.DUMMYFUNCTION("""COMPUTED_VALUE"""),0)</f>
        <v>0</v>
      </c>
      <c r="Z133" s="37">
        <f ca="1">IFERROR(__xludf.DUMMYFUNCTION("""COMPUTED_VALUE"""),0)</f>
        <v>0</v>
      </c>
    </row>
    <row r="134" spans="1:26" ht="12.75">
      <c r="A134" s="38" t="str">
        <f ca="1">IFERROR(__xludf.DUMMYFUNCTION("""COMPUTED_VALUE"""),"Colinas")</f>
        <v>Colinas</v>
      </c>
      <c r="B134" s="38" t="str">
        <f ca="1">IFERROR(__xludf.DUMMYFUNCTION("""COMPUTED_VALUE"""),"Colinas do Tocantins")</f>
        <v>Colinas do Tocantins</v>
      </c>
      <c r="C134" s="39" t="str">
        <f ca="1">IFERROR(__xludf.DUMMYFUNCTION("""COMPUTED_VALUE"""),"ASSOC. DE APOIO DO COL. EST. CASTELO BRANCO")</f>
        <v>ASSOC. DE APOIO DO COL. EST. CASTELO BRANCO</v>
      </c>
      <c r="D134" s="40" t="str">
        <f ca="1">IFERROR(__xludf.DUMMYFUNCTION("""COMPUTED_VALUE"""),"01071413000120")</f>
        <v>01071413000120</v>
      </c>
      <c r="E134" s="41" t="str">
        <f ca="1">IFERROR(__xludf.DUMMYFUNCTION("""COMPUTED_VALUE"""),"001")</f>
        <v>001</v>
      </c>
      <c r="F134" s="42" t="str">
        <f ca="1">IFERROR(__xludf.DUMMYFUNCTION("""COMPUTED_VALUE"""),"0911")</f>
        <v>0911</v>
      </c>
      <c r="G134" s="42" t="str">
        <f ca="1">IFERROR(__xludf.DUMMYFUNCTION("""COMPUTED_VALUE"""),"187275")</f>
        <v>187275</v>
      </c>
      <c r="H134" s="42">
        <f ca="1">IFERROR(__xludf.DUMMYFUNCTION("""COMPUTED_VALUE"""),0)</f>
        <v>0</v>
      </c>
      <c r="I134" s="42">
        <f ca="1">IFERROR(__xludf.DUMMYFUNCTION("""COMPUTED_VALUE"""),0)</f>
        <v>0</v>
      </c>
      <c r="J134" s="42">
        <f ca="1">IFERROR(__xludf.DUMMYFUNCTION("""COMPUTED_VALUE"""),0)</f>
        <v>0</v>
      </c>
      <c r="K134" s="42">
        <f ca="1">IFERROR(__xludf.DUMMYFUNCTION("""COMPUTED_VALUE"""),0)</f>
        <v>0</v>
      </c>
      <c r="L134" s="42">
        <f ca="1">IFERROR(__xludf.DUMMYFUNCTION("""COMPUTED_VALUE"""),0)</f>
        <v>0</v>
      </c>
      <c r="M134" s="42">
        <f ca="1">IFERROR(__xludf.DUMMYFUNCTION("""COMPUTED_VALUE"""),0)</f>
        <v>0</v>
      </c>
      <c r="N134" s="42">
        <f ca="1">IFERROR(__xludf.DUMMYFUNCTION("""COMPUTED_VALUE"""),0)</f>
        <v>0</v>
      </c>
      <c r="O134" s="42">
        <f ca="1">IFERROR(__xludf.DUMMYFUNCTION("""COMPUTED_VALUE"""),0)</f>
        <v>0</v>
      </c>
      <c r="P134" s="42">
        <f ca="1">IFERROR(__xludf.DUMMYFUNCTION("""COMPUTED_VALUE"""),483)</f>
        <v>483</v>
      </c>
      <c r="Q134" s="42">
        <f ca="1">IFERROR(__xludf.DUMMYFUNCTION("""COMPUTED_VALUE"""),0)</f>
        <v>0</v>
      </c>
      <c r="R134" s="42">
        <f ca="1">IFERROR(__xludf.DUMMYFUNCTION("""COMPUTED_VALUE"""),0)</f>
        <v>0</v>
      </c>
      <c r="S134" s="42">
        <f ca="1">IFERROR(__xludf.DUMMYFUNCTION("""COMPUTED_VALUE"""),15555.8)</f>
        <v>15555.8</v>
      </c>
      <c r="T134" s="42">
        <f ca="1">IFERROR(__xludf.DUMMYFUNCTION("""COMPUTED_VALUE"""),1260)</f>
        <v>1260</v>
      </c>
      <c r="U134" s="42">
        <f ca="1">IFERROR(__xludf.DUMMYFUNCTION("""COMPUTED_VALUE"""),0)</f>
        <v>0</v>
      </c>
      <c r="V134" s="42">
        <f ca="1">IFERROR(__xludf.DUMMYFUNCTION("""COMPUTED_VALUE"""),0)</f>
        <v>0</v>
      </c>
      <c r="W134" s="42">
        <f ca="1">IFERROR(__xludf.DUMMYFUNCTION("""COMPUTED_VALUE"""),1567.8)</f>
        <v>1567.8</v>
      </c>
      <c r="X134" s="42">
        <f ca="1">IFERROR(__xludf.DUMMYFUNCTION("""COMPUTED_VALUE"""),0)</f>
        <v>0</v>
      </c>
      <c r="Y134" s="42">
        <f ca="1">IFERROR(__xludf.DUMMYFUNCTION("""COMPUTED_VALUE"""),0)</f>
        <v>0</v>
      </c>
      <c r="Z134" s="42">
        <f ca="1">IFERROR(__xludf.DUMMYFUNCTION("""COMPUTED_VALUE"""),0)</f>
        <v>0</v>
      </c>
    </row>
    <row r="135" spans="1:26" ht="12.75">
      <c r="A135" s="33" t="str">
        <f ca="1">IFERROR(__xludf.DUMMYFUNCTION("""COMPUTED_VALUE"""),"Colinas")</f>
        <v>Colinas</v>
      </c>
      <c r="B135" s="33" t="str">
        <f ca="1">IFERROR(__xludf.DUMMYFUNCTION("""COMPUTED_VALUE"""),"Colinas do Tocantins")</f>
        <v>Colinas do Tocantins</v>
      </c>
      <c r="C135" s="34" t="str">
        <f ca="1">IFERROR(__xludf.DUMMYFUNCTION("""COMPUTED_VALUE"""),"A.A. ESCOLA ESTADUAL ERNESTO BARROS")</f>
        <v>A.A. ESCOLA ESTADUAL ERNESTO BARROS</v>
      </c>
      <c r="D135" s="35" t="str">
        <f ca="1">IFERROR(__xludf.DUMMYFUNCTION("""COMPUTED_VALUE"""),"01064857000138")</f>
        <v>01064857000138</v>
      </c>
      <c r="E135" s="36" t="str">
        <f ca="1">IFERROR(__xludf.DUMMYFUNCTION("""COMPUTED_VALUE"""),"001")</f>
        <v>001</v>
      </c>
      <c r="F135" s="37" t="str">
        <f ca="1">IFERROR(__xludf.DUMMYFUNCTION("""COMPUTED_VALUE"""),"0911")</f>
        <v>0911</v>
      </c>
      <c r="G135" s="37" t="str">
        <f ca="1">IFERROR(__xludf.DUMMYFUNCTION("""COMPUTED_VALUE"""),"0368571")</f>
        <v>0368571</v>
      </c>
      <c r="H135" s="37">
        <f ca="1">IFERROR(__xludf.DUMMYFUNCTION("""COMPUTED_VALUE"""),0)</f>
        <v>0</v>
      </c>
      <c r="I135" s="37">
        <f ca="1">IFERROR(__xludf.DUMMYFUNCTION("""COMPUTED_VALUE"""),0)</f>
        <v>0</v>
      </c>
      <c r="J135" s="37">
        <f ca="1">IFERROR(__xludf.DUMMYFUNCTION("""COMPUTED_VALUE"""),0)</f>
        <v>0</v>
      </c>
      <c r="K135" s="37">
        <f ca="1">IFERROR(__xludf.DUMMYFUNCTION("""COMPUTED_VALUE"""),23049.6)</f>
        <v>23049.599999999999</v>
      </c>
      <c r="L135" s="37">
        <f ca="1">IFERROR(__xludf.DUMMYFUNCTION("""COMPUTED_VALUE"""),0)</f>
        <v>0</v>
      </c>
      <c r="M135" s="37">
        <f ca="1">IFERROR(__xludf.DUMMYFUNCTION("""COMPUTED_VALUE"""),0)</f>
        <v>0</v>
      </c>
      <c r="N135" s="37">
        <f ca="1">IFERROR(__xludf.DUMMYFUNCTION("""COMPUTED_VALUE"""),0)</f>
        <v>0</v>
      </c>
      <c r="O135" s="37">
        <f ca="1">IFERROR(__xludf.DUMMYFUNCTION("""COMPUTED_VALUE"""),0)</f>
        <v>0</v>
      </c>
      <c r="P135" s="37">
        <f ca="1">IFERROR(__xludf.DUMMYFUNCTION("""COMPUTED_VALUE"""),273)</f>
        <v>273</v>
      </c>
      <c r="Q135" s="37">
        <f ca="1">IFERROR(__xludf.DUMMYFUNCTION("""COMPUTED_VALUE"""),0)</f>
        <v>0</v>
      </c>
      <c r="R135" s="37">
        <f ca="1">IFERROR(__xludf.DUMMYFUNCTION("""COMPUTED_VALUE"""),0)</f>
        <v>0</v>
      </c>
      <c r="S135" s="37">
        <f ca="1">IFERROR(__xludf.DUMMYFUNCTION("""COMPUTED_VALUE"""),0)</f>
        <v>0</v>
      </c>
      <c r="T135" s="37">
        <f ca="1">IFERROR(__xludf.DUMMYFUNCTION("""COMPUTED_VALUE"""),0)</f>
        <v>0</v>
      </c>
      <c r="U135" s="37">
        <f ca="1">IFERROR(__xludf.DUMMYFUNCTION("""COMPUTED_VALUE"""),0)</f>
        <v>0</v>
      </c>
      <c r="V135" s="37">
        <f ca="1">IFERROR(__xludf.DUMMYFUNCTION("""COMPUTED_VALUE"""),0)</f>
        <v>0</v>
      </c>
      <c r="W135" s="37">
        <f ca="1">IFERROR(__xludf.DUMMYFUNCTION("""COMPUTED_VALUE"""),0)</f>
        <v>0</v>
      </c>
      <c r="X135" s="37">
        <f ca="1">IFERROR(__xludf.DUMMYFUNCTION("""COMPUTED_VALUE"""),0)</f>
        <v>0</v>
      </c>
      <c r="Y135" s="37">
        <f ca="1">IFERROR(__xludf.DUMMYFUNCTION("""COMPUTED_VALUE"""),0)</f>
        <v>0</v>
      </c>
      <c r="Z135" s="37">
        <f ca="1">IFERROR(__xludf.DUMMYFUNCTION("""COMPUTED_VALUE"""),1996)</f>
        <v>1996</v>
      </c>
    </row>
    <row r="136" spans="1:26" ht="12.75">
      <c r="A136" s="38" t="str">
        <f ca="1">IFERROR(__xludf.DUMMYFUNCTION("""COMPUTED_VALUE"""),"Colinas")</f>
        <v>Colinas</v>
      </c>
      <c r="B136" s="38" t="str">
        <f ca="1">IFERROR(__xludf.DUMMYFUNCTION("""COMPUTED_VALUE"""),"Colinas do Tocantins")</f>
        <v>Colinas do Tocantins</v>
      </c>
      <c r="C136" s="39" t="str">
        <f ca="1">IFERROR(__xludf.DUMMYFUNCTION("""COMPUTED_VALUE"""),"A.A.  COLEGIO JOAO XXIII")</f>
        <v>A.A.  COLEGIO JOAO XXIII</v>
      </c>
      <c r="D136" s="40" t="str">
        <f ca="1">IFERROR(__xludf.DUMMYFUNCTION("""COMPUTED_VALUE"""),"01064859000127")</f>
        <v>01064859000127</v>
      </c>
      <c r="E136" s="41" t="str">
        <f ca="1">IFERROR(__xludf.DUMMYFUNCTION("""COMPUTED_VALUE"""),"001")</f>
        <v>001</v>
      </c>
      <c r="F136" s="42" t="str">
        <f ca="1">IFERROR(__xludf.DUMMYFUNCTION("""COMPUTED_VALUE"""),"0911")</f>
        <v>0911</v>
      </c>
      <c r="G136" s="42" t="str">
        <f ca="1">IFERROR(__xludf.DUMMYFUNCTION("""COMPUTED_VALUE"""),"368555")</f>
        <v>368555</v>
      </c>
      <c r="H136" s="42">
        <f ca="1">IFERROR(__xludf.DUMMYFUNCTION("""COMPUTED_VALUE"""),0)</f>
        <v>0</v>
      </c>
      <c r="I136" s="42">
        <f ca="1">IFERROR(__xludf.DUMMYFUNCTION("""COMPUTED_VALUE"""),0)</f>
        <v>0</v>
      </c>
      <c r="J136" s="42">
        <f ca="1">IFERROR(__xludf.DUMMYFUNCTION("""COMPUTED_VALUE"""),8988)</f>
        <v>8988</v>
      </c>
      <c r="K136" s="42">
        <f ca="1">IFERROR(__xludf.DUMMYFUNCTION("""COMPUTED_VALUE"""),0)</f>
        <v>0</v>
      </c>
      <c r="L136" s="42">
        <f ca="1">IFERROR(__xludf.DUMMYFUNCTION("""COMPUTED_VALUE"""),0)</f>
        <v>0</v>
      </c>
      <c r="M136" s="42">
        <f ca="1">IFERROR(__xludf.DUMMYFUNCTION("""COMPUTED_VALUE"""),0)</f>
        <v>0</v>
      </c>
      <c r="N136" s="42">
        <f ca="1">IFERROR(__xludf.DUMMYFUNCTION("""COMPUTED_VALUE"""),0)</f>
        <v>0</v>
      </c>
      <c r="O136" s="42">
        <f ca="1">IFERROR(__xludf.DUMMYFUNCTION("""COMPUTED_VALUE"""),0)</f>
        <v>0</v>
      </c>
      <c r="P136" s="42">
        <f ca="1">IFERROR(__xludf.DUMMYFUNCTION("""COMPUTED_VALUE"""),441)</f>
        <v>441</v>
      </c>
      <c r="Q136" s="42">
        <f ca="1">IFERROR(__xludf.DUMMYFUNCTION("""COMPUTED_VALUE"""),6426)</f>
        <v>6426</v>
      </c>
      <c r="R136" s="42">
        <f ca="1">IFERROR(__xludf.DUMMYFUNCTION("""COMPUTED_VALUE"""),0)</f>
        <v>0</v>
      </c>
      <c r="S136" s="42">
        <f ca="1">IFERROR(__xludf.DUMMYFUNCTION("""COMPUTED_VALUE"""),0)</f>
        <v>0</v>
      </c>
      <c r="T136" s="42">
        <f ca="1">IFERROR(__xludf.DUMMYFUNCTION("""COMPUTED_VALUE"""),0)</f>
        <v>0</v>
      </c>
      <c r="U136" s="42">
        <f ca="1">IFERROR(__xludf.DUMMYFUNCTION("""COMPUTED_VALUE"""),0)</f>
        <v>0</v>
      </c>
      <c r="V136" s="42">
        <f ca="1">IFERROR(__xludf.DUMMYFUNCTION("""COMPUTED_VALUE"""),0)</f>
        <v>0</v>
      </c>
      <c r="W136" s="42">
        <f ca="1">IFERROR(__xludf.DUMMYFUNCTION("""COMPUTED_VALUE"""),0)</f>
        <v>0</v>
      </c>
      <c r="X136" s="42">
        <f ca="1">IFERROR(__xludf.DUMMYFUNCTION("""COMPUTED_VALUE"""),0)</f>
        <v>0</v>
      </c>
      <c r="Y136" s="42">
        <f ca="1">IFERROR(__xludf.DUMMYFUNCTION("""COMPUTED_VALUE"""),0)</f>
        <v>0</v>
      </c>
      <c r="Z136" s="42">
        <f ca="1">IFERROR(__xludf.DUMMYFUNCTION("""COMPUTED_VALUE"""),0)</f>
        <v>0</v>
      </c>
    </row>
    <row r="137" spans="1:26" ht="12.75">
      <c r="A137" s="33" t="str">
        <f ca="1">IFERROR(__xludf.DUMMYFUNCTION("""COMPUTED_VALUE"""),"Colinas")</f>
        <v>Colinas</v>
      </c>
      <c r="B137" s="33" t="str">
        <f ca="1">IFERROR(__xludf.DUMMYFUNCTION("""COMPUTED_VALUE"""),"Colinas do Tocantins")</f>
        <v>Colinas do Tocantins</v>
      </c>
      <c r="C137" s="34" t="str">
        <f ca="1">IFERROR(__xludf.DUMMYFUNCTION("""COMPUTED_VALUE"""),"AAE ESPECIAL GOTA DE ESPERANÇA")</f>
        <v>AAE ESPECIAL GOTA DE ESPERANÇA</v>
      </c>
      <c r="D137" s="35" t="str">
        <f ca="1">IFERROR(__xludf.DUMMYFUNCTION("""COMPUTED_VALUE"""),"07944635000196")</f>
        <v>07944635000196</v>
      </c>
      <c r="E137" s="36" t="str">
        <f ca="1">IFERROR(__xludf.DUMMYFUNCTION("""COMPUTED_VALUE"""),"001")</f>
        <v>001</v>
      </c>
      <c r="F137" s="37" t="str">
        <f ca="1">IFERROR(__xludf.DUMMYFUNCTION("""COMPUTED_VALUE"""),"0911")</f>
        <v>0911</v>
      </c>
      <c r="G137" s="37" t="str">
        <f ca="1">IFERROR(__xludf.DUMMYFUNCTION("""COMPUTED_VALUE"""),"184861")</f>
        <v>184861</v>
      </c>
      <c r="H137" s="37">
        <f ca="1">IFERROR(__xludf.DUMMYFUNCTION("""COMPUTED_VALUE"""),0)</f>
        <v>0</v>
      </c>
      <c r="I137" s="37">
        <f ca="1">IFERROR(__xludf.DUMMYFUNCTION("""COMPUTED_VALUE"""),0)</f>
        <v>0</v>
      </c>
      <c r="J137" s="37">
        <f ca="1">IFERROR(__xludf.DUMMYFUNCTION("""COMPUTED_VALUE"""),630)</f>
        <v>630</v>
      </c>
      <c r="K137" s="37">
        <f ca="1">IFERROR(__xludf.DUMMYFUNCTION("""COMPUTED_VALUE"""),0)</f>
        <v>0</v>
      </c>
      <c r="L137" s="37">
        <f ca="1">IFERROR(__xludf.DUMMYFUNCTION("""COMPUTED_VALUE"""),0)</f>
        <v>0</v>
      </c>
      <c r="M137" s="37">
        <f ca="1">IFERROR(__xludf.DUMMYFUNCTION("""COMPUTED_VALUE"""),0)</f>
        <v>0</v>
      </c>
      <c r="N137" s="37">
        <f ca="1">IFERROR(__xludf.DUMMYFUNCTION("""COMPUTED_VALUE"""),0)</f>
        <v>0</v>
      </c>
      <c r="O137" s="37">
        <f ca="1">IFERROR(__xludf.DUMMYFUNCTION("""COMPUTED_VALUE"""),0)</f>
        <v>0</v>
      </c>
      <c r="P137" s="37">
        <f ca="1">IFERROR(__xludf.DUMMYFUNCTION("""COMPUTED_VALUE"""),609)</f>
        <v>609</v>
      </c>
      <c r="Q137" s="37">
        <f ca="1">IFERROR(__xludf.DUMMYFUNCTION("""COMPUTED_VALUE"""),0)</f>
        <v>0</v>
      </c>
      <c r="R137" s="37">
        <f ca="1">IFERROR(__xludf.DUMMYFUNCTION("""COMPUTED_VALUE"""),0)</f>
        <v>0</v>
      </c>
      <c r="S137" s="37">
        <f ca="1">IFERROR(__xludf.DUMMYFUNCTION("""COMPUTED_VALUE"""),0)</f>
        <v>0</v>
      </c>
      <c r="T137" s="37">
        <f ca="1">IFERROR(__xludf.DUMMYFUNCTION("""COMPUTED_VALUE"""),1932)</f>
        <v>1932</v>
      </c>
      <c r="U137" s="37">
        <f ca="1">IFERROR(__xludf.DUMMYFUNCTION("""COMPUTED_VALUE"""),0)</f>
        <v>0</v>
      </c>
      <c r="V137" s="37">
        <f ca="1">IFERROR(__xludf.DUMMYFUNCTION("""COMPUTED_VALUE"""),0)</f>
        <v>0</v>
      </c>
      <c r="W137" s="37">
        <f ca="1">IFERROR(__xludf.DUMMYFUNCTION("""COMPUTED_VALUE"""),0)</f>
        <v>0</v>
      </c>
      <c r="X137" s="37">
        <f ca="1">IFERROR(__xludf.DUMMYFUNCTION("""COMPUTED_VALUE"""),0)</f>
        <v>0</v>
      </c>
      <c r="Y137" s="37">
        <f ca="1">IFERROR(__xludf.DUMMYFUNCTION("""COMPUTED_VALUE"""),0)</f>
        <v>0</v>
      </c>
      <c r="Z137" s="37">
        <f ca="1">IFERROR(__xludf.DUMMYFUNCTION("""COMPUTED_VALUE"""),0)</f>
        <v>0</v>
      </c>
    </row>
    <row r="138" spans="1:26" ht="12.75">
      <c r="A138" s="38" t="str">
        <f ca="1">IFERROR(__xludf.DUMMYFUNCTION("""COMPUTED_VALUE"""),"Colinas")</f>
        <v>Colinas</v>
      </c>
      <c r="B138" s="38" t="str">
        <f ca="1">IFERROR(__xludf.DUMMYFUNCTION("""COMPUTED_VALUE"""),"Colinas do Tocantins")</f>
        <v>Colinas do Tocantins</v>
      </c>
      <c r="C138" s="39" t="str">
        <f ca="1">IFERROR(__xludf.DUMMYFUNCTION("""COMPUTED_VALUE"""),"A.A. E. E. FRANCISCO PEREIRA FELICIO")</f>
        <v>A.A. E. E. FRANCISCO PEREIRA FELICIO</v>
      </c>
      <c r="D138" s="40" t="str">
        <f ca="1">IFERROR(__xludf.DUMMYFUNCTION("""COMPUTED_VALUE"""),"01086969000190")</f>
        <v>01086969000190</v>
      </c>
      <c r="E138" s="41" t="str">
        <f ca="1">IFERROR(__xludf.DUMMYFUNCTION("""COMPUTED_VALUE"""),"001")</f>
        <v>001</v>
      </c>
      <c r="F138" s="42" t="str">
        <f ca="1">IFERROR(__xludf.DUMMYFUNCTION("""COMPUTED_VALUE"""),"0911")</f>
        <v>0911</v>
      </c>
      <c r="G138" s="42" t="str">
        <f ca="1">IFERROR(__xludf.DUMMYFUNCTION("""COMPUTED_VALUE"""),"368814")</f>
        <v>368814</v>
      </c>
      <c r="H138" s="42">
        <f ca="1">IFERROR(__xludf.DUMMYFUNCTION("""COMPUTED_VALUE"""),0)</f>
        <v>0</v>
      </c>
      <c r="I138" s="42">
        <f ca="1">IFERROR(__xludf.DUMMYFUNCTION("""COMPUTED_VALUE"""),0)</f>
        <v>0</v>
      </c>
      <c r="J138" s="42">
        <f ca="1">IFERROR(__xludf.DUMMYFUNCTION("""COMPUTED_VALUE"""),5712)</f>
        <v>5712</v>
      </c>
      <c r="K138" s="42">
        <f ca="1">IFERROR(__xludf.DUMMYFUNCTION("""COMPUTED_VALUE"""),0)</f>
        <v>0</v>
      </c>
      <c r="L138" s="42">
        <f ca="1">IFERROR(__xludf.DUMMYFUNCTION("""COMPUTED_VALUE"""),0)</f>
        <v>0</v>
      </c>
      <c r="M138" s="42">
        <f ca="1">IFERROR(__xludf.DUMMYFUNCTION("""COMPUTED_VALUE"""),0)</f>
        <v>0</v>
      </c>
      <c r="N138" s="42">
        <f ca="1">IFERROR(__xludf.DUMMYFUNCTION("""COMPUTED_VALUE"""),0)</f>
        <v>0</v>
      </c>
      <c r="O138" s="42">
        <f ca="1">IFERROR(__xludf.DUMMYFUNCTION("""COMPUTED_VALUE"""),0)</f>
        <v>0</v>
      </c>
      <c r="P138" s="42">
        <f ca="1">IFERROR(__xludf.DUMMYFUNCTION("""COMPUTED_VALUE"""),840)</f>
        <v>840</v>
      </c>
      <c r="Q138" s="42">
        <f ca="1">IFERROR(__xludf.DUMMYFUNCTION("""COMPUTED_VALUE"""),17892)</f>
        <v>17892</v>
      </c>
      <c r="R138" s="42">
        <f ca="1">IFERROR(__xludf.DUMMYFUNCTION("""COMPUTED_VALUE"""),0)</f>
        <v>0</v>
      </c>
      <c r="S138" s="42">
        <f ca="1">IFERROR(__xludf.DUMMYFUNCTION("""COMPUTED_VALUE"""),0)</f>
        <v>0</v>
      </c>
      <c r="T138" s="42">
        <f ca="1">IFERROR(__xludf.DUMMYFUNCTION("""COMPUTED_VALUE"""),2898)</f>
        <v>2898</v>
      </c>
      <c r="U138" s="42">
        <f ca="1">IFERROR(__xludf.DUMMYFUNCTION("""COMPUTED_VALUE"""),0)</f>
        <v>0</v>
      </c>
      <c r="V138" s="42">
        <f ca="1">IFERROR(__xludf.DUMMYFUNCTION("""COMPUTED_VALUE"""),0)</f>
        <v>0</v>
      </c>
      <c r="W138" s="42">
        <f ca="1">IFERROR(__xludf.DUMMYFUNCTION("""COMPUTED_VALUE"""),0)</f>
        <v>0</v>
      </c>
      <c r="X138" s="42">
        <f ca="1">IFERROR(__xludf.DUMMYFUNCTION("""COMPUTED_VALUE"""),0)</f>
        <v>0</v>
      </c>
      <c r="Y138" s="42">
        <f ca="1">IFERROR(__xludf.DUMMYFUNCTION("""COMPUTED_VALUE"""),0)</f>
        <v>0</v>
      </c>
      <c r="Z138" s="42">
        <f ca="1">IFERROR(__xludf.DUMMYFUNCTION("""COMPUTED_VALUE"""),0)</f>
        <v>0</v>
      </c>
    </row>
    <row r="139" spans="1:26" ht="12.75">
      <c r="A139" s="33" t="str">
        <f ca="1">IFERROR(__xludf.DUMMYFUNCTION("""COMPUTED_VALUE"""),"Colinas")</f>
        <v>Colinas</v>
      </c>
      <c r="B139" s="33" t="str">
        <f ca="1">IFERROR(__xludf.DUMMYFUNCTION("""COMPUTED_VALUE"""),"Colinas do Tocantins")</f>
        <v>Colinas do Tocantins</v>
      </c>
      <c r="C139" s="34" t="str">
        <f ca="1">IFERROR(__xludf.DUMMYFUNCTION("""COMPUTED_VALUE"""),"A.A. E. E. LACERDINO OLIVEIRA CAMPOS")</f>
        <v>A.A. E. E. LACERDINO OLIVEIRA CAMPOS</v>
      </c>
      <c r="D139" s="35" t="str">
        <f ca="1">IFERROR(__xludf.DUMMYFUNCTION("""COMPUTED_VALUE"""),"01077439000185")</f>
        <v>01077439000185</v>
      </c>
      <c r="E139" s="36" t="str">
        <f ca="1">IFERROR(__xludf.DUMMYFUNCTION("""COMPUTED_VALUE"""),"001")</f>
        <v>001</v>
      </c>
      <c r="F139" s="37" t="str">
        <f ca="1">IFERROR(__xludf.DUMMYFUNCTION("""COMPUTED_VALUE"""),"0911")</f>
        <v>0911</v>
      </c>
      <c r="G139" s="37" t="str">
        <f ca="1">IFERROR(__xludf.DUMMYFUNCTION("""COMPUTED_VALUE"""),"368741")</f>
        <v>368741</v>
      </c>
      <c r="H139" s="37">
        <f ca="1">IFERROR(__xludf.DUMMYFUNCTION("""COMPUTED_VALUE"""),0)</f>
        <v>0</v>
      </c>
      <c r="I139" s="37">
        <f ca="1">IFERROR(__xludf.DUMMYFUNCTION("""COMPUTED_VALUE"""),0)</f>
        <v>0</v>
      </c>
      <c r="J139" s="37">
        <f ca="1">IFERROR(__xludf.DUMMYFUNCTION("""COMPUTED_VALUE"""),0)</f>
        <v>0</v>
      </c>
      <c r="K139" s="37">
        <f ca="1">IFERROR(__xludf.DUMMYFUNCTION("""COMPUTED_VALUE"""),16934.4)</f>
        <v>16934.400000000001</v>
      </c>
      <c r="L139" s="37">
        <f ca="1">IFERROR(__xludf.DUMMYFUNCTION("""COMPUTED_VALUE"""),0)</f>
        <v>0</v>
      </c>
      <c r="M139" s="37">
        <f ca="1">IFERROR(__xludf.DUMMYFUNCTION("""COMPUTED_VALUE"""),0)</f>
        <v>0</v>
      </c>
      <c r="N139" s="37">
        <f ca="1">IFERROR(__xludf.DUMMYFUNCTION("""COMPUTED_VALUE"""),0)</f>
        <v>0</v>
      </c>
      <c r="O139" s="37">
        <f ca="1">IFERROR(__xludf.DUMMYFUNCTION("""COMPUTED_VALUE"""),0)</f>
        <v>0</v>
      </c>
      <c r="P139" s="37">
        <f ca="1">IFERROR(__xludf.DUMMYFUNCTION("""COMPUTED_VALUE"""),420)</f>
        <v>420</v>
      </c>
      <c r="Q139" s="37">
        <f ca="1">IFERROR(__xludf.DUMMYFUNCTION("""COMPUTED_VALUE"""),3612)</f>
        <v>3612</v>
      </c>
      <c r="R139" s="37">
        <f ca="1">IFERROR(__xludf.DUMMYFUNCTION("""COMPUTED_VALUE"""),0)</f>
        <v>0</v>
      </c>
      <c r="S139" s="37">
        <f ca="1">IFERROR(__xludf.DUMMYFUNCTION("""COMPUTED_VALUE"""),0)</f>
        <v>0</v>
      </c>
      <c r="T139" s="37">
        <f ca="1">IFERROR(__xludf.DUMMYFUNCTION("""COMPUTED_VALUE"""),0)</f>
        <v>0</v>
      </c>
      <c r="U139" s="37">
        <f ca="1">IFERROR(__xludf.DUMMYFUNCTION("""COMPUTED_VALUE"""),0)</f>
        <v>0</v>
      </c>
      <c r="V139" s="37">
        <f ca="1">IFERROR(__xludf.DUMMYFUNCTION("""COMPUTED_VALUE"""),0)</f>
        <v>0</v>
      </c>
      <c r="W139" s="37">
        <f ca="1">IFERROR(__xludf.DUMMYFUNCTION("""COMPUTED_VALUE"""),0)</f>
        <v>0</v>
      </c>
      <c r="X139" s="37">
        <f ca="1">IFERROR(__xludf.DUMMYFUNCTION("""COMPUTED_VALUE"""),0)</f>
        <v>0</v>
      </c>
      <c r="Y139" s="37">
        <f ca="1">IFERROR(__xludf.DUMMYFUNCTION("""COMPUTED_VALUE"""),0)</f>
        <v>0</v>
      </c>
      <c r="Z139" s="37">
        <f ca="1">IFERROR(__xludf.DUMMYFUNCTION("""COMPUTED_VALUE"""),1397.2)</f>
        <v>1397.2</v>
      </c>
    </row>
    <row r="140" spans="1:26" ht="12.75">
      <c r="A140" s="38" t="str">
        <f ca="1">IFERROR(__xludf.DUMMYFUNCTION("""COMPUTED_VALUE"""),"Colinas")</f>
        <v>Colinas</v>
      </c>
      <c r="B140" s="38" t="str">
        <f ca="1">IFERROR(__xludf.DUMMYFUNCTION("""COMPUTED_VALUE"""),"Colinas do Tocantins")</f>
        <v>Colinas do Tocantins</v>
      </c>
      <c r="C140" s="39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0" t="str">
        <f ca="1">IFERROR(__xludf.DUMMYFUNCTION("""COMPUTED_VALUE"""),"03421784000110")</f>
        <v>03421784000110</v>
      </c>
      <c r="E140" s="41" t="str">
        <f ca="1">IFERROR(__xludf.DUMMYFUNCTION("""COMPUTED_VALUE"""),"001")</f>
        <v>001</v>
      </c>
      <c r="F140" s="42" t="str">
        <f ca="1">IFERROR(__xludf.DUMMYFUNCTION("""COMPUTED_VALUE"""),"0911")</f>
        <v>0911</v>
      </c>
      <c r="G140" s="42" t="str">
        <f ca="1">IFERROR(__xludf.DUMMYFUNCTION("""COMPUTED_VALUE"""),"199672")</f>
        <v>199672</v>
      </c>
      <c r="H140" s="42">
        <f ca="1">IFERROR(__xludf.DUMMYFUNCTION("""COMPUTED_VALUE"""),0)</f>
        <v>0</v>
      </c>
      <c r="I140" s="42">
        <f ca="1">IFERROR(__xludf.DUMMYFUNCTION("""COMPUTED_VALUE"""),0)</f>
        <v>0</v>
      </c>
      <c r="J140" s="42">
        <f ca="1">IFERROR(__xludf.DUMMYFUNCTION("""COMPUTED_VALUE"""),0)</f>
        <v>0</v>
      </c>
      <c r="K140" s="42">
        <f ca="1">IFERROR(__xludf.DUMMYFUNCTION("""COMPUTED_VALUE"""),0)</f>
        <v>0</v>
      </c>
      <c r="L140" s="42">
        <f ca="1">IFERROR(__xludf.DUMMYFUNCTION("""COMPUTED_VALUE"""),0)</f>
        <v>0</v>
      </c>
      <c r="M140" s="42">
        <f ca="1">IFERROR(__xludf.DUMMYFUNCTION("""COMPUTED_VALUE"""),0)</f>
        <v>0</v>
      </c>
      <c r="N140" s="42">
        <f ca="1">IFERROR(__xludf.DUMMYFUNCTION("""COMPUTED_VALUE"""),0)</f>
        <v>0</v>
      </c>
      <c r="O140" s="42">
        <f ca="1">IFERROR(__xludf.DUMMYFUNCTION("""COMPUTED_VALUE"""),0)</f>
        <v>0</v>
      </c>
      <c r="P140" s="42">
        <f ca="1">IFERROR(__xludf.DUMMYFUNCTION("""COMPUTED_VALUE"""),0)</f>
        <v>0</v>
      </c>
      <c r="Q140" s="42">
        <f ca="1">IFERROR(__xludf.DUMMYFUNCTION("""COMPUTED_VALUE"""),0)</f>
        <v>0</v>
      </c>
      <c r="R140" s="42">
        <f ca="1">IFERROR(__xludf.DUMMYFUNCTION("""COMPUTED_VALUE"""),0)</f>
        <v>0</v>
      </c>
      <c r="S140" s="42">
        <f ca="1">IFERROR(__xludf.DUMMYFUNCTION("""COMPUTED_VALUE"""),0)</f>
        <v>0</v>
      </c>
      <c r="T140" s="42">
        <f ca="1">IFERROR(__xludf.DUMMYFUNCTION("""COMPUTED_VALUE"""),0)</f>
        <v>0</v>
      </c>
      <c r="U140" s="42">
        <f ca="1">IFERROR(__xludf.DUMMYFUNCTION("""COMPUTED_VALUE"""),0)</f>
        <v>0</v>
      </c>
      <c r="V140" s="42">
        <f ca="1">IFERROR(__xludf.DUMMYFUNCTION("""COMPUTED_VALUE"""),28272)</f>
        <v>28272</v>
      </c>
      <c r="W140" s="42">
        <f ca="1">IFERROR(__xludf.DUMMYFUNCTION("""COMPUTED_VALUE"""),0)</f>
        <v>0</v>
      </c>
      <c r="X140" s="42">
        <f ca="1">IFERROR(__xludf.DUMMYFUNCTION("""COMPUTED_VALUE"""),0)</f>
        <v>0</v>
      </c>
      <c r="Y140" s="42">
        <f ca="1">IFERROR(__xludf.DUMMYFUNCTION("""COMPUTED_VALUE"""),2212.6)</f>
        <v>2212.6</v>
      </c>
      <c r="Z140" s="42">
        <f ca="1">IFERROR(__xludf.DUMMYFUNCTION("""COMPUTED_VALUE"""),0)</f>
        <v>0</v>
      </c>
    </row>
    <row r="141" spans="1:26" ht="12.75">
      <c r="A141" s="33" t="str">
        <f ca="1">IFERROR(__xludf.DUMMYFUNCTION("""COMPUTED_VALUE"""),"Colinas")</f>
        <v>Colinas</v>
      </c>
      <c r="B141" s="33" t="str">
        <f ca="1">IFERROR(__xludf.DUMMYFUNCTION("""COMPUTED_VALUE"""),"Colinas do Tocantins")</f>
        <v>Colinas do Tocantins</v>
      </c>
      <c r="C141" s="34" t="str">
        <f ca="1">IFERROR(__xludf.DUMMYFUNCTION("""COMPUTED_VALUE"""),"A.A. E. PRESBITERIANA DE COLINAS")</f>
        <v>A.A. E. PRESBITERIANA DE COLINAS</v>
      </c>
      <c r="D141" s="35" t="str">
        <f ca="1">IFERROR(__xludf.DUMMYFUNCTION("""COMPUTED_VALUE"""),"01071410000196")</f>
        <v>01071410000196</v>
      </c>
      <c r="E141" s="36" t="str">
        <f ca="1">IFERROR(__xludf.DUMMYFUNCTION("""COMPUTED_VALUE"""),"001")</f>
        <v>001</v>
      </c>
      <c r="F141" s="37" t="str">
        <f ca="1">IFERROR(__xludf.DUMMYFUNCTION("""COMPUTED_VALUE"""),"0911")</f>
        <v>0911</v>
      </c>
      <c r="G141" s="37" t="str">
        <f ca="1">IFERROR(__xludf.DUMMYFUNCTION("""COMPUTED_VALUE"""),"368695")</f>
        <v>368695</v>
      </c>
      <c r="H141" s="37">
        <f ca="1">IFERROR(__xludf.DUMMYFUNCTION("""COMPUTED_VALUE"""),0)</f>
        <v>0</v>
      </c>
      <c r="I141" s="37">
        <f ca="1">IFERROR(__xludf.DUMMYFUNCTION("""COMPUTED_VALUE"""),0)</f>
        <v>0</v>
      </c>
      <c r="J141" s="37">
        <f ca="1">IFERROR(__xludf.DUMMYFUNCTION("""COMPUTED_VALUE"""),11025)</f>
        <v>11025</v>
      </c>
      <c r="K141" s="37">
        <f ca="1">IFERROR(__xludf.DUMMYFUNCTION("""COMPUTED_VALUE"""),0)</f>
        <v>0</v>
      </c>
      <c r="L141" s="37">
        <f ca="1">IFERROR(__xludf.DUMMYFUNCTION("""COMPUTED_VALUE"""),0)</f>
        <v>0</v>
      </c>
      <c r="M141" s="37">
        <f ca="1">IFERROR(__xludf.DUMMYFUNCTION("""COMPUTED_VALUE"""),0)</f>
        <v>0</v>
      </c>
      <c r="N141" s="37">
        <f ca="1">IFERROR(__xludf.DUMMYFUNCTION("""COMPUTED_VALUE"""),0)</f>
        <v>0</v>
      </c>
      <c r="O141" s="37">
        <f ca="1">IFERROR(__xludf.DUMMYFUNCTION("""COMPUTED_VALUE"""),0)</f>
        <v>0</v>
      </c>
      <c r="P141" s="37">
        <f ca="1">IFERROR(__xludf.DUMMYFUNCTION("""COMPUTED_VALUE"""),441)</f>
        <v>441</v>
      </c>
      <c r="Q141" s="37">
        <f ca="1">IFERROR(__xludf.DUMMYFUNCTION("""COMPUTED_VALUE"""),0)</f>
        <v>0</v>
      </c>
      <c r="R141" s="37">
        <f ca="1">IFERROR(__xludf.DUMMYFUNCTION("""COMPUTED_VALUE"""),0)</f>
        <v>0</v>
      </c>
      <c r="S141" s="37">
        <f ca="1">IFERROR(__xludf.DUMMYFUNCTION("""COMPUTED_VALUE"""),0)</f>
        <v>0</v>
      </c>
      <c r="T141" s="37">
        <f ca="1">IFERROR(__xludf.DUMMYFUNCTION("""COMPUTED_VALUE"""),0)</f>
        <v>0</v>
      </c>
      <c r="U141" s="37">
        <f ca="1">IFERROR(__xludf.DUMMYFUNCTION("""COMPUTED_VALUE"""),0)</f>
        <v>0</v>
      </c>
      <c r="V141" s="37">
        <f ca="1">IFERROR(__xludf.DUMMYFUNCTION("""COMPUTED_VALUE"""),0)</f>
        <v>0</v>
      </c>
      <c r="W141" s="37">
        <f ca="1">IFERROR(__xludf.DUMMYFUNCTION("""COMPUTED_VALUE"""),0)</f>
        <v>0</v>
      </c>
      <c r="X141" s="37">
        <f ca="1">IFERROR(__xludf.DUMMYFUNCTION("""COMPUTED_VALUE"""),0)</f>
        <v>0</v>
      </c>
      <c r="Y141" s="37">
        <f ca="1">IFERROR(__xludf.DUMMYFUNCTION("""COMPUTED_VALUE"""),0)</f>
        <v>0</v>
      </c>
      <c r="Z141" s="37">
        <f ca="1">IFERROR(__xludf.DUMMYFUNCTION("""COMPUTED_VALUE"""),0)</f>
        <v>0</v>
      </c>
    </row>
    <row r="142" spans="1:26" ht="12.75">
      <c r="A142" s="38" t="str">
        <f ca="1">IFERROR(__xludf.DUMMYFUNCTION("""COMPUTED_VALUE"""),"Colinas")</f>
        <v>Colinas</v>
      </c>
      <c r="B142" s="38" t="str">
        <f ca="1">IFERROR(__xludf.DUMMYFUNCTION("""COMPUTED_VALUE"""),"Colinas do Tocantins")</f>
        <v>Colinas do Tocantins</v>
      </c>
      <c r="C142" s="39" t="str">
        <f ca="1">IFERROR(__xludf.DUMMYFUNCTION("""COMPUTED_VALUE"""),"ASSOC. APOIO AO INSTITUTO EDUC. GUNNAR VINGREN")</f>
        <v>ASSOC. APOIO AO INSTITUTO EDUC. GUNNAR VINGREN</v>
      </c>
      <c r="D142" s="40" t="str">
        <f ca="1">IFERROR(__xludf.DUMMYFUNCTION("""COMPUTED_VALUE"""),"05537107000197")</f>
        <v>05537107000197</v>
      </c>
      <c r="E142" s="41" t="str">
        <f ca="1">IFERROR(__xludf.DUMMYFUNCTION("""COMPUTED_VALUE"""),"001")</f>
        <v>001</v>
      </c>
      <c r="F142" s="42" t="str">
        <f ca="1">IFERROR(__xludf.DUMMYFUNCTION("""COMPUTED_VALUE"""),"0911")</f>
        <v>0911</v>
      </c>
      <c r="G142" s="42" t="str">
        <f ca="1">IFERROR(__xludf.DUMMYFUNCTION("""COMPUTED_VALUE"""),"172286")</f>
        <v>172286</v>
      </c>
      <c r="H142" s="42">
        <f ca="1">IFERROR(__xludf.DUMMYFUNCTION("""COMPUTED_VALUE"""),0)</f>
        <v>0</v>
      </c>
      <c r="I142" s="42">
        <f ca="1">IFERROR(__xludf.DUMMYFUNCTION("""COMPUTED_VALUE"""),0)</f>
        <v>0</v>
      </c>
      <c r="J142" s="42">
        <f ca="1">IFERROR(__xludf.DUMMYFUNCTION("""COMPUTED_VALUE"""),2121)</f>
        <v>2121</v>
      </c>
      <c r="K142" s="42">
        <f ca="1">IFERROR(__xludf.DUMMYFUNCTION("""COMPUTED_VALUE"""),0)</f>
        <v>0</v>
      </c>
      <c r="L142" s="42">
        <f ca="1">IFERROR(__xludf.DUMMYFUNCTION("""COMPUTED_VALUE"""),0)</f>
        <v>0</v>
      </c>
      <c r="M142" s="42">
        <f ca="1">IFERROR(__xludf.DUMMYFUNCTION("""COMPUTED_VALUE"""),0)</f>
        <v>0</v>
      </c>
      <c r="N142" s="42">
        <f ca="1">IFERROR(__xludf.DUMMYFUNCTION("""COMPUTED_VALUE"""),0)</f>
        <v>0</v>
      </c>
      <c r="O142" s="42">
        <f ca="1">IFERROR(__xludf.DUMMYFUNCTION("""COMPUTED_VALUE"""),0)</f>
        <v>0</v>
      </c>
      <c r="P142" s="42">
        <f ca="1">IFERROR(__xludf.DUMMYFUNCTION("""COMPUTED_VALUE"""),273)</f>
        <v>273</v>
      </c>
      <c r="Q142" s="42">
        <f ca="1">IFERROR(__xludf.DUMMYFUNCTION("""COMPUTED_VALUE"""),441)</f>
        <v>441</v>
      </c>
      <c r="R142" s="42">
        <f ca="1">IFERROR(__xludf.DUMMYFUNCTION("""COMPUTED_VALUE"""),0)</f>
        <v>0</v>
      </c>
      <c r="S142" s="42">
        <f ca="1">IFERROR(__xludf.DUMMYFUNCTION("""COMPUTED_VALUE"""),0)</f>
        <v>0</v>
      </c>
      <c r="T142" s="42">
        <f ca="1">IFERROR(__xludf.DUMMYFUNCTION("""COMPUTED_VALUE"""),0)</f>
        <v>0</v>
      </c>
      <c r="U142" s="42">
        <f ca="1">IFERROR(__xludf.DUMMYFUNCTION("""COMPUTED_VALUE"""),0)</f>
        <v>0</v>
      </c>
      <c r="V142" s="42">
        <f ca="1">IFERROR(__xludf.DUMMYFUNCTION("""COMPUTED_VALUE"""),0)</f>
        <v>0</v>
      </c>
      <c r="W142" s="42">
        <f ca="1">IFERROR(__xludf.DUMMYFUNCTION("""COMPUTED_VALUE"""),0)</f>
        <v>0</v>
      </c>
      <c r="X142" s="42">
        <f ca="1">IFERROR(__xludf.DUMMYFUNCTION("""COMPUTED_VALUE"""),0)</f>
        <v>0</v>
      </c>
      <c r="Y142" s="42">
        <f ca="1">IFERROR(__xludf.DUMMYFUNCTION("""COMPUTED_VALUE"""),0)</f>
        <v>0</v>
      </c>
      <c r="Z142" s="42">
        <f ca="1">IFERROR(__xludf.DUMMYFUNCTION("""COMPUTED_VALUE"""),0)</f>
        <v>0</v>
      </c>
    </row>
    <row r="143" spans="1:26" ht="12.75">
      <c r="A143" s="33" t="str">
        <f ca="1">IFERROR(__xludf.DUMMYFUNCTION("""COMPUTED_VALUE"""),"Colinas")</f>
        <v>Colinas</v>
      </c>
      <c r="B143" s="33" t="str">
        <f ca="1">IFERROR(__xludf.DUMMYFUNCTION("""COMPUTED_VALUE"""),"Itapiratins")</f>
        <v>Itapiratins</v>
      </c>
      <c r="C143" s="34" t="str">
        <f ca="1">IFERROR(__xludf.DUMMYFUNCTION("""COMPUTED_VALUE"""),"A.A. ESCOLA ESTADUAL REZENDE DE ALMEIDA")</f>
        <v>A.A. ESCOLA ESTADUAL REZENDE DE ALMEIDA</v>
      </c>
      <c r="D143" s="35" t="str">
        <f ca="1">IFERROR(__xludf.DUMMYFUNCTION("""COMPUTED_VALUE"""),"01643863000140")</f>
        <v>01643863000140</v>
      </c>
      <c r="E143" s="36" t="str">
        <f ca="1">IFERROR(__xludf.DUMMYFUNCTION("""COMPUTED_VALUE"""),"001")</f>
        <v>001</v>
      </c>
      <c r="F143" s="37" t="str">
        <f ca="1">IFERROR(__xludf.DUMMYFUNCTION("""COMPUTED_VALUE"""),"2094")</f>
        <v>2094</v>
      </c>
      <c r="G143" s="37" t="str">
        <f ca="1">IFERROR(__xludf.DUMMYFUNCTION("""COMPUTED_VALUE"""),"27278")</f>
        <v>27278</v>
      </c>
      <c r="H143" s="37">
        <f ca="1">IFERROR(__xludf.DUMMYFUNCTION("""COMPUTED_VALUE"""),0)</f>
        <v>0</v>
      </c>
      <c r="I143" s="37">
        <f ca="1">IFERROR(__xludf.DUMMYFUNCTION("""COMPUTED_VALUE"""),0)</f>
        <v>0</v>
      </c>
      <c r="J143" s="37">
        <f ca="1">IFERROR(__xludf.DUMMYFUNCTION("""COMPUTED_VALUE"""),5775)</f>
        <v>5775</v>
      </c>
      <c r="K143" s="37">
        <f ca="1">IFERROR(__xludf.DUMMYFUNCTION("""COMPUTED_VALUE"""),0)</f>
        <v>0</v>
      </c>
      <c r="L143" s="37">
        <f ca="1">IFERROR(__xludf.DUMMYFUNCTION("""COMPUTED_VALUE"""),0)</f>
        <v>0</v>
      </c>
      <c r="M143" s="37">
        <f ca="1">IFERROR(__xludf.DUMMYFUNCTION("""COMPUTED_VALUE"""),0)</f>
        <v>0</v>
      </c>
      <c r="N143" s="37">
        <f ca="1">IFERROR(__xludf.DUMMYFUNCTION("""COMPUTED_VALUE"""),0)</f>
        <v>0</v>
      </c>
      <c r="O143" s="37">
        <f ca="1">IFERROR(__xludf.DUMMYFUNCTION("""COMPUTED_VALUE"""),0)</f>
        <v>0</v>
      </c>
      <c r="P143" s="37">
        <f ca="1">IFERROR(__xludf.DUMMYFUNCTION("""COMPUTED_VALUE"""),0)</f>
        <v>0</v>
      </c>
      <c r="Q143" s="37">
        <f ca="1">IFERROR(__xludf.DUMMYFUNCTION("""COMPUTED_VALUE"""),4347)</f>
        <v>4347</v>
      </c>
      <c r="R143" s="37">
        <f ca="1">IFERROR(__xludf.DUMMYFUNCTION("""COMPUTED_VALUE"""),0)</f>
        <v>0</v>
      </c>
      <c r="S143" s="37">
        <f ca="1">IFERROR(__xludf.DUMMYFUNCTION("""COMPUTED_VALUE"""),0)</f>
        <v>0</v>
      </c>
      <c r="T143" s="37">
        <f ca="1">IFERROR(__xludf.DUMMYFUNCTION("""COMPUTED_VALUE"""),252)</f>
        <v>252</v>
      </c>
      <c r="U143" s="37">
        <f ca="1">IFERROR(__xludf.DUMMYFUNCTION("""COMPUTED_VALUE"""),0)</f>
        <v>0</v>
      </c>
      <c r="V143" s="37">
        <f ca="1">IFERROR(__xludf.DUMMYFUNCTION("""COMPUTED_VALUE"""),0)</f>
        <v>0</v>
      </c>
      <c r="W143" s="37">
        <f ca="1">IFERROR(__xludf.DUMMYFUNCTION("""COMPUTED_VALUE"""),0)</f>
        <v>0</v>
      </c>
      <c r="X143" s="37">
        <f ca="1">IFERROR(__xludf.DUMMYFUNCTION("""COMPUTED_VALUE"""),0)</f>
        <v>0</v>
      </c>
      <c r="Y143" s="37">
        <f ca="1">IFERROR(__xludf.DUMMYFUNCTION("""COMPUTED_VALUE"""),0)</f>
        <v>0</v>
      </c>
      <c r="Z143" s="37">
        <f ca="1">IFERROR(__xludf.DUMMYFUNCTION("""COMPUTED_VALUE"""),0)</f>
        <v>0</v>
      </c>
    </row>
    <row r="144" spans="1:26" ht="12.75">
      <c r="A144" s="38" t="str">
        <f ca="1">IFERROR(__xludf.DUMMYFUNCTION("""COMPUTED_VALUE"""),"Colinas")</f>
        <v>Colinas</v>
      </c>
      <c r="B144" s="38" t="str">
        <f ca="1">IFERROR(__xludf.DUMMYFUNCTION("""COMPUTED_VALUE"""),"Juarina")</f>
        <v>Juarina</v>
      </c>
      <c r="C144" s="39" t="str">
        <f ca="1">IFERROR(__xludf.DUMMYFUNCTION("""COMPUTED_VALUE"""),"A.A. ESCOLA ESTADUAL ZICO DORNELAS")</f>
        <v>A.A. ESCOLA ESTADUAL ZICO DORNELAS</v>
      </c>
      <c r="D144" s="40" t="str">
        <f ca="1">IFERROR(__xludf.DUMMYFUNCTION("""COMPUTED_VALUE"""),"01136018000188")</f>
        <v>01136018000188</v>
      </c>
      <c r="E144" s="41" t="str">
        <f ca="1">IFERROR(__xludf.DUMMYFUNCTION("""COMPUTED_VALUE"""),"001")</f>
        <v>001</v>
      </c>
      <c r="F144" s="42" t="str">
        <f ca="1">IFERROR(__xludf.DUMMYFUNCTION("""COMPUTED_VALUE"""),"0911")</f>
        <v>0911</v>
      </c>
      <c r="G144" s="42" t="str">
        <f ca="1">IFERROR(__xludf.DUMMYFUNCTION("""COMPUTED_VALUE"""),"369349")</f>
        <v>369349</v>
      </c>
      <c r="H144" s="42">
        <f ca="1">IFERROR(__xludf.DUMMYFUNCTION("""COMPUTED_VALUE"""),0)</f>
        <v>0</v>
      </c>
      <c r="I144" s="42">
        <f ca="1">IFERROR(__xludf.DUMMYFUNCTION("""COMPUTED_VALUE"""),0)</f>
        <v>0</v>
      </c>
      <c r="J144" s="42">
        <f ca="1">IFERROR(__xludf.DUMMYFUNCTION("""COMPUTED_VALUE"""),1806)</f>
        <v>1806</v>
      </c>
      <c r="K144" s="42">
        <f ca="1">IFERROR(__xludf.DUMMYFUNCTION("""COMPUTED_VALUE"""),0)</f>
        <v>0</v>
      </c>
      <c r="L144" s="42">
        <f ca="1">IFERROR(__xludf.DUMMYFUNCTION("""COMPUTED_VALUE"""),0)</f>
        <v>0</v>
      </c>
      <c r="M144" s="42">
        <f ca="1">IFERROR(__xludf.DUMMYFUNCTION("""COMPUTED_VALUE"""),0)</f>
        <v>0</v>
      </c>
      <c r="N144" s="42">
        <f ca="1">IFERROR(__xludf.DUMMYFUNCTION("""COMPUTED_VALUE"""),0)</f>
        <v>0</v>
      </c>
      <c r="O144" s="42">
        <f ca="1">IFERROR(__xludf.DUMMYFUNCTION("""COMPUTED_VALUE"""),0)</f>
        <v>0</v>
      </c>
      <c r="P144" s="42">
        <f ca="1">IFERROR(__xludf.DUMMYFUNCTION("""COMPUTED_VALUE"""),210)</f>
        <v>210</v>
      </c>
      <c r="Q144" s="42">
        <f ca="1">IFERROR(__xludf.DUMMYFUNCTION("""COMPUTED_VALUE"""),2058)</f>
        <v>2058</v>
      </c>
      <c r="R144" s="42">
        <f ca="1">IFERROR(__xludf.DUMMYFUNCTION("""COMPUTED_VALUE"""),0)</f>
        <v>0</v>
      </c>
      <c r="S144" s="42">
        <f ca="1">IFERROR(__xludf.DUMMYFUNCTION("""COMPUTED_VALUE"""),0)</f>
        <v>0</v>
      </c>
      <c r="T144" s="42">
        <f ca="1">IFERROR(__xludf.DUMMYFUNCTION("""COMPUTED_VALUE"""),0)</f>
        <v>0</v>
      </c>
      <c r="U144" s="42">
        <f ca="1">IFERROR(__xludf.DUMMYFUNCTION("""COMPUTED_VALUE"""),0)</f>
        <v>0</v>
      </c>
      <c r="V144" s="42">
        <f ca="1">IFERROR(__xludf.DUMMYFUNCTION("""COMPUTED_VALUE"""),0)</f>
        <v>0</v>
      </c>
      <c r="W144" s="42">
        <f ca="1">IFERROR(__xludf.DUMMYFUNCTION("""COMPUTED_VALUE"""),0)</f>
        <v>0</v>
      </c>
      <c r="X144" s="42">
        <f ca="1">IFERROR(__xludf.DUMMYFUNCTION("""COMPUTED_VALUE"""),0)</f>
        <v>0</v>
      </c>
      <c r="Y144" s="42">
        <f ca="1">IFERROR(__xludf.DUMMYFUNCTION("""COMPUTED_VALUE"""),0)</f>
        <v>0</v>
      </c>
      <c r="Z144" s="42">
        <f ca="1">IFERROR(__xludf.DUMMYFUNCTION("""COMPUTED_VALUE"""),0)</f>
        <v>0</v>
      </c>
    </row>
    <row r="145" spans="1:26" ht="12.75">
      <c r="A145" s="33" t="str">
        <f ca="1">IFERROR(__xludf.DUMMYFUNCTION("""COMPUTED_VALUE"""),"Colinas")</f>
        <v>Colinas</v>
      </c>
      <c r="B145" s="33" t="str">
        <f ca="1">IFERROR(__xludf.DUMMYFUNCTION("""COMPUTED_VALUE"""),"Palmeirante")</f>
        <v>Palmeirante</v>
      </c>
      <c r="C145" s="34" t="str">
        <f ca="1">IFERROR(__xludf.DUMMYFUNCTION("""COMPUTED_VALUE"""),"ASS. COM. ESC. EST JOAO AIRES GABRIEL")</f>
        <v>ASS. COM. ESC. EST JOAO AIRES GABRIEL</v>
      </c>
      <c r="D145" s="35" t="str">
        <f ca="1">IFERROR(__xludf.DUMMYFUNCTION("""COMPUTED_VALUE"""),"01465793000187")</f>
        <v>01465793000187</v>
      </c>
      <c r="E145" s="36" t="str">
        <f ca="1">IFERROR(__xludf.DUMMYFUNCTION("""COMPUTED_VALUE"""),"001")</f>
        <v>001</v>
      </c>
      <c r="F145" s="37" t="str">
        <f ca="1">IFERROR(__xludf.DUMMYFUNCTION("""COMPUTED_VALUE"""),"0911")</f>
        <v>0911</v>
      </c>
      <c r="G145" s="37" t="str">
        <f ca="1">IFERROR(__xludf.DUMMYFUNCTION("""COMPUTED_VALUE"""),"342246")</f>
        <v>342246</v>
      </c>
      <c r="H145" s="37">
        <f ca="1">IFERROR(__xludf.DUMMYFUNCTION("""COMPUTED_VALUE"""),0)</f>
        <v>0</v>
      </c>
      <c r="I145" s="37">
        <f ca="1">IFERROR(__xludf.DUMMYFUNCTION("""COMPUTED_VALUE"""),0)</f>
        <v>0</v>
      </c>
      <c r="J145" s="37">
        <f ca="1">IFERROR(__xludf.DUMMYFUNCTION("""COMPUTED_VALUE"""),3570)</f>
        <v>3570</v>
      </c>
      <c r="K145" s="37">
        <f ca="1">IFERROR(__xludf.DUMMYFUNCTION("""COMPUTED_VALUE"""),0)</f>
        <v>0</v>
      </c>
      <c r="L145" s="37">
        <f ca="1">IFERROR(__xludf.DUMMYFUNCTION("""COMPUTED_VALUE"""),0)</f>
        <v>0</v>
      </c>
      <c r="M145" s="37">
        <f ca="1">IFERROR(__xludf.DUMMYFUNCTION("""COMPUTED_VALUE"""),0)</f>
        <v>0</v>
      </c>
      <c r="N145" s="37">
        <f ca="1">IFERROR(__xludf.DUMMYFUNCTION("""COMPUTED_VALUE"""),0)</f>
        <v>0</v>
      </c>
      <c r="O145" s="37">
        <f ca="1">IFERROR(__xludf.DUMMYFUNCTION("""COMPUTED_VALUE"""),0)</f>
        <v>0</v>
      </c>
      <c r="P145" s="37">
        <f ca="1">IFERROR(__xludf.DUMMYFUNCTION("""COMPUTED_VALUE"""),315)</f>
        <v>315</v>
      </c>
      <c r="Q145" s="37">
        <f ca="1">IFERROR(__xludf.DUMMYFUNCTION("""COMPUTED_VALUE"""),4053)</f>
        <v>4053</v>
      </c>
      <c r="R145" s="37">
        <f ca="1">IFERROR(__xludf.DUMMYFUNCTION("""COMPUTED_VALUE"""),0)</f>
        <v>0</v>
      </c>
      <c r="S145" s="37">
        <f ca="1">IFERROR(__xludf.DUMMYFUNCTION("""COMPUTED_VALUE"""),0)</f>
        <v>0</v>
      </c>
      <c r="T145" s="37">
        <f ca="1">IFERROR(__xludf.DUMMYFUNCTION("""COMPUTED_VALUE"""),0)</f>
        <v>0</v>
      </c>
      <c r="U145" s="37">
        <f ca="1">IFERROR(__xludf.DUMMYFUNCTION("""COMPUTED_VALUE"""),0)</f>
        <v>0</v>
      </c>
      <c r="V145" s="37">
        <f ca="1">IFERROR(__xludf.DUMMYFUNCTION("""COMPUTED_VALUE"""),0)</f>
        <v>0</v>
      </c>
      <c r="W145" s="37">
        <f ca="1">IFERROR(__xludf.DUMMYFUNCTION("""COMPUTED_VALUE"""),0)</f>
        <v>0</v>
      </c>
      <c r="X145" s="37">
        <f ca="1">IFERROR(__xludf.DUMMYFUNCTION("""COMPUTED_VALUE"""),0)</f>
        <v>0</v>
      </c>
      <c r="Y145" s="37">
        <f ca="1">IFERROR(__xludf.DUMMYFUNCTION("""COMPUTED_VALUE"""),0)</f>
        <v>0</v>
      </c>
      <c r="Z145" s="37">
        <f ca="1">IFERROR(__xludf.DUMMYFUNCTION("""COMPUTED_VALUE"""),0)</f>
        <v>0</v>
      </c>
    </row>
    <row r="146" spans="1:26" ht="12.75">
      <c r="A146" s="38" t="str">
        <f ca="1">IFERROR(__xludf.DUMMYFUNCTION("""COMPUTED_VALUE"""),"Colinas")</f>
        <v>Colinas</v>
      </c>
      <c r="B146" s="38" t="str">
        <f ca="1">IFERROR(__xludf.DUMMYFUNCTION("""COMPUTED_VALUE"""),"Pau D'arco")</f>
        <v>Pau D'arco</v>
      </c>
      <c r="C146" s="39" t="str">
        <f ca="1">IFERROR(__xludf.DUMMYFUNCTION("""COMPUTED_VALUE"""),"A.COM. ESCOLA EST. ULISSES GUIMARAES")</f>
        <v>A.COM. ESCOLA EST. ULISSES GUIMARAES</v>
      </c>
      <c r="D146" s="40" t="str">
        <f ca="1">IFERROR(__xludf.DUMMYFUNCTION("""COMPUTED_VALUE"""),"01181178000149")</f>
        <v>01181178000149</v>
      </c>
      <c r="E146" s="41" t="str">
        <f ca="1">IFERROR(__xludf.DUMMYFUNCTION("""COMPUTED_VALUE"""),"001")</f>
        <v>001</v>
      </c>
      <c r="F146" s="42" t="str">
        <f ca="1">IFERROR(__xludf.DUMMYFUNCTION("""COMPUTED_VALUE"""),"0911")</f>
        <v>0911</v>
      </c>
      <c r="G146" s="42" t="str">
        <f ca="1">IFERROR(__xludf.DUMMYFUNCTION("""COMPUTED_VALUE"""),"23485")</f>
        <v>23485</v>
      </c>
      <c r="H146" s="42">
        <f ca="1">IFERROR(__xludf.DUMMYFUNCTION("""COMPUTED_VALUE"""),0)</f>
        <v>0</v>
      </c>
      <c r="I146" s="42">
        <f ca="1">IFERROR(__xludf.DUMMYFUNCTION("""COMPUTED_VALUE"""),0)</f>
        <v>0</v>
      </c>
      <c r="J146" s="42">
        <f ca="1">IFERROR(__xludf.DUMMYFUNCTION("""COMPUTED_VALUE"""),5859)</f>
        <v>5859</v>
      </c>
      <c r="K146" s="42">
        <f ca="1">IFERROR(__xludf.DUMMYFUNCTION("""COMPUTED_VALUE"""),0)</f>
        <v>0</v>
      </c>
      <c r="L146" s="42">
        <f ca="1">IFERROR(__xludf.DUMMYFUNCTION("""COMPUTED_VALUE"""),0)</f>
        <v>0</v>
      </c>
      <c r="M146" s="42">
        <f ca="1">IFERROR(__xludf.DUMMYFUNCTION("""COMPUTED_VALUE"""),0)</f>
        <v>0</v>
      </c>
      <c r="N146" s="42">
        <f ca="1">IFERROR(__xludf.DUMMYFUNCTION("""COMPUTED_VALUE"""),0)</f>
        <v>0</v>
      </c>
      <c r="O146" s="42">
        <f ca="1">IFERROR(__xludf.DUMMYFUNCTION("""COMPUTED_VALUE"""),0)</f>
        <v>0</v>
      </c>
      <c r="P146" s="42">
        <f ca="1">IFERROR(__xludf.DUMMYFUNCTION("""COMPUTED_VALUE"""),525)</f>
        <v>525</v>
      </c>
      <c r="Q146" s="42">
        <f ca="1">IFERROR(__xludf.DUMMYFUNCTION("""COMPUTED_VALUE"""),2982)</f>
        <v>2982</v>
      </c>
      <c r="R146" s="42">
        <f ca="1">IFERROR(__xludf.DUMMYFUNCTION("""COMPUTED_VALUE"""),0)</f>
        <v>0</v>
      </c>
      <c r="S146" s="42">
        <f ca="1">IFERROR(__xludf.DUMMYFUNCTION("""COMPUTED_VALUE"""),0)</f>
        <v>0</v>
      </c>
      <c r="T146" s="42">
        <f ca="1">IFERROR(__xludf.DUMMYFUNCTION("""COMPUTED_VALUE"""),0)</f>
        <v>0</v>
      </c>
      <c r="U146" s="42">
        <f ca="1">IFERROR(__xludf.DUMMYFUNCTION("""COMPUTED_VALUE"""),0)</f>
        <v>0</v>
      </c>
      <c r="V146" s="42">
        <f ca="1">IFERROR(__xludf.DUMMYFUNCTION("""COMPUTED_VALUE"""),0)</f>
        <v>0</v>
      </c>
      <c r="W146" s="42">
        <f ca="1">IFERROR(__xludf.DUMMYFUNCTION("""COMPUTED_VALUE"""),0)</f>
        <v>0</v>
      </c>
      <c r="X146" s="42">
        <f ca="1">IFERROR(__xludf.DUMMYFUNCTION("""COMPUTED_VALUE"""),0)</f>
        <v>0</v>
      </c>
      <c r="Y146" s="42">
        <f ca="1">IFERROR(__xludf.DUMMYFUNCTION("""COMPUTED_VALUE"""),0)</f>
        <v>0</v>
      </c>
      <c r="Z146" s="42">
        <f ca="1">IFERROR(__xludf.DUMMYFUNCTION("""COMPUTED_VALUE"""),0)</f>
        <v>0</v>
      </c>
    </row>
    <row r="147" spans="1:26" ht="12.75">
      <c r="A147" s="33" t="str">
        <f ca="1">IFERROR(__xludf.DUMMYFUNCTION("""COMPUTED_VALUE"""),"Colinas")</f>
        <v>Colinas</v>
      </c>
      <c r="B147" s="33" t="str">
        <f ca="1">IFERROR(__xludf.DUMMYFUNCTION("""COMPUTED_VALUE"""),"Tupiratins")</f>
        <v>Tupiratins</v>
      </c>
      <c r="C147" s="34" t="str">
        <f ca="1">IFERROR(__xludf.DUMMYFUNCTION("""COMPUTED_VALUE"""),"A. DE AP. DA ESC. EST. SAO TOMAS DE AQUINO")</f>
        <v>A. DE AP. DA ESC. EST. SAO TOMAS DE AQUINO</v>
      </c>
      <c r="D147" s="35" t="str">
        <f ca="1">IFERROR(__xludf.DUMMYFUNCTION("""COMPUTED_VALUE"""),"01334791000159")</f>
        <v>01334791000159</v>
      </c>
      <c r="E147" s="36" t="str">
        <f ca="1">IFERROR(__xludf.DUMMYFUNCTION("""COMPUTED_VALUE"""),"001")</f>
        <v>001</v>
      </c>
      <c r="F147" s="37" t="str">
        <f ca="1">IFERROR(__xludf.DUMMYFUNCTION("""COMPUTED_VALUE"""),"0911")</f>
        <v>0911</v>
      </c>
      <c r="G147" s="37" t="str">
        <f ca="1">IFERROR(__xludf.DUMMYFUNCTION("""COMPUTED_VALUE"""),"370045")</f>
        <v>370045</v>
      </c>
      <c r="H147" s="37">
        <f ca="1">IFERROR(__xludf.DUMMYFUNCTION("""COMPUTED_VALUE"""),0)</f>
        <v>0</v>
      </c>
      <c r="I147" s="37">
        <f ca="1">IFERROR(__xludf.DUMMYFUNCTION("""COMPUTED_VALUE"""),0)</f>
        <v>0</v>
      </c>
      <c r="J147" s="37">
        <f ca="1">IFERROR(__xludf.DUMMYFUNCTION("""COMPUTED_VALUE"""),3003)</f>
        <v>3003</v>
      </c>
      <c r="K147" s="37">
        <f ca="1">IFERROR(__xludf.DUMMYFUNCTION("""COMPUTED_VALUE"""),0)</f>
        <v>0</v>
      </c>
      <c r="L147" s="37">
        <f ca="1">IFERROR(__xludf.DUMMYFUNCTION("""COMPUTED_VALUE"""),0)</f>
        <v>0</v>
      </c>
      <c r="M147" s="37">
        <f ca="1">IFERROR(__xludf.DUMMYFUNCTION("""COMPUTED_VALUE"""),0)</f>
        <v>0</v>
      </c>
      <c r="N147" s="37">
        <f ca="1">IFERROR(__xludf.DUMMYFUNCTION("""COMPUTED_VALUE"""),0)</f>
        <v>0</v>
      </c>
      <c r="O147" s="37">
        <f ca="1">IFERROR(__xludf.DUMMYFUNCTION("""COMPUTED_VALUE"""),0)</f>
        <v>0</v>
      </c>
      <c r="P147" s="37">
        <f ca="1">IFERROR(__xludf.DUMMYFUNCTION("""COMPUTED_VALUE"""),0)</f>
        <v>0</v>
      </c>
      <c r="Q147" s="37">
        <f ca="1">IFERROR(__xludf.DUMMYFUNCTION("""COMPUTED_VALUE"""),1554)</f>
        <v>1554</v>
      </c>
      <c r="R147" s="37">
        <f ca="1">IFERROR(__xludf.DUMMYFUNCTION("""COMPUTED_VALUE"""),0)</f>
        <v>0</v>
      </c>
      <c r="S147" s="37">
        <f ca="1">IFERROR(__xludf.DUMMYFUNCTION("""COMPUTED_VALUE"""),0)</f>
        <v>0</v>
      </c>
      <c r="T147" s="37">
        <f ca="1">IFERROR(__xludf.DUMMYFUNCTION("""COMPUTED_VALUE"""),0)</f>
        <v>0</v>
      </c>
      <c r="U147" s="37">
        <f ca="1">IFERROR(__xludf.DUMMYFUNCTION("""COMPUTED_VALUE"""),0)</f>
        <v>0</v>
      </c>
      <c r="V147" s="37">
        <f ca="1">IFERROR(__xludf.DUMMYFUNCTION("""COMPUTED_VALUE"""),0)</f>
        <v>0</v>
      </c>
      <c r="W147" s="37">
        <f ca="1">IFERROR(__xludf.DUMMYFUNCTION("""COMPUTED_VALUE"""),0)</f>
        <v>0</v>
      </c>
      <c r="X147" s="37">
        <f ca="1">IFERROR(__xludf.DUMMYFUNCTION("""COMPUTED_VALUE"""),0)</f>
        <v>0</v>
      </c>
      <c r="Y147" s="37">
        <f ca="1">IFERROR(__xludf.DUMMYFUNCTION("""COMPUTED_VALUE"""),0)</f>
        <v>0</v>
      </c>
      <c r="Z147" s="37">
        <f ca="1">IFERROR(__xludf.DUMMYFUNCTION("""COMPUTED_VALUE"""),0)</f>
        <v>0</v>
      </c>
    </row>
    <row r="148" spans="1:26" ht="12.75">
      <c r="A148" s="38" t="str">
        <f ca="1">IFERROR(__xludf.DUMMYFUNCTION("""COMPUTED_VALUE"""),"Dianópolis")</f>
        <v>Dianópolis</v>
      </c>
      <c r="B148" s="38" t="str">
        <f ca="1">IFERROR(__xludf.DUMMYFUNCTION("""COMPUTED_VALUE"""),"Almas")</f>
        <v>Almas</v>
      </c>
      <c r="C148" s="39" t="str">
        <f ca="1">IFERROR(__xludf.DUMMYFUNCTION("""COMPUTED_VALUE"""),"A.A. COL. E.II GRAU DR.ABNER A.PACINI")</f>
        <v>A.A. COL. E.II GRAU DR.ABNER A.PACINI</v>
      </c>
      <c r="D148" s="40" t="str">
        <f ca="1">IFERROR(__xludf.DUMMYFUNCTION("""COMPUTED_VALUE"""),"01197160000135")</f>
        <v>01197160000135</v>
      </c>
      <c r="E148" s="41" t="str">
        <f ca="1">IFERROR(__xludf.DUMMYFUNCTION("""COMPUTED_VALUE"""),"001")</f>
        <v>001</v>
      </c>
      <c r="F148" s="42" t="str">
        <f ca="1">IFERROR(__xludf.DUMMYFUNCTION("""COMPUTED_VALUE"""),"1307")</f>
        <v>1307</v>
      </c>
      <c r="G148" s="42" t="str">
        <f ca="1">IFERROR(__xludf.DUMMYFUNCTION("""COMPUTED_VALUE"""),"0107700")</f>
        <v>0107700</v>
      </c>
      <c r="H148" s="42">
        <f ca="1">IFERROR(__xludf.DUMMYFUNCTION("""COMPUTED_VALUE"""),0)</f>
        <v>0</v>
      </c>
      <c r="I148" s="42">
        <f ca="1">IFERROR(__xludf.DUMMYFUNCTION("""COMPUTED_VALUE"""),0)</f>
        <v>0</v>
      </c>
      <c r="J148" s="42">
        <f ca="1">IFERROR(__xludf.DUMMYFUNCTION("""COMPUTED_VALUE"""),8127)</f>
        <v>8127</v>
      </c>
      <c r="K148" s="42">
        <f ca="1">IFERROR(__xludf.DUMMYFUNCTION("""COMPUTED_VALUE"""),0)</f>
        <v>0</v>
      </c>
      <c r="L148" s="42">
        <f ca="1">IFERROR(__xludf.DUMMYFUNCTION("""COMPUTED_VALUE"""),0)</f>
        <v>0</v>
      </c>
      <c r="M148" s="42">
        <f ca="1">IFERROR(__xludf.DUMMYFUNCTION("""COMPUTED_VALUE"""),0)</f>
        <v>0</v>
      </c>
      <c r="N148" s="42">
        <f ca="1">IFERROR(__xludf.DUMMYFUNCTION("""COMPUTED_VALUE"""),0)</f>
        <v>0</v>
      </c>
      <c r="O148" s="42">
        <f ca="1">IFERROR(__xludf.DUMMYFUNCTION("""COMPUTED_VALUE"""),0)</f>
        <v>0</v>
      </c>
      <c r="P148" s="42">
        <f ca="1">IFERROR(__xludf.DUMMYFUNCTION("""COMPUTED_VALUE"""),315)</f>
        <v>315</v>
      </c>
      <c r="Q148" s="42">
        <f ca="1">IFERROR(__xludf.DUMMYFUNCTION("""COMPUTED_VALUE"""),3906)</f>
        <v>3906</v>
      </c>
      <c r="R148" s="42">
        <f ca="1">IFERROR(__xludf.DUMMYFUNCTION("""COMPUTED_VALUE"""),0)</f>
        <v>0</v>
      </c>
      <c r="S148" s="42">
        <f ca="1">IFERROR(__xludf.DUMMYFUNCTION("""COMPUTED_VALUE"""),0)</f>
        <v>0</v>
      </c>
      <c r="T148" s="42">
        <f ca="1">IFERROR(__xludf.DUMMYFUNCTION("""COMPUTED_VALUE"""),0)</f>
        <v>0</v>
      </c>
      <c r="U148" s="42">
        <f ca="1">IFERROR(__xludf.DUMMYFUNCTION("""COMPUTED_VALUE"""),0)</f>
        <v>0</v>
      </c>
      <c r="V148" s="42">
        <f ca="1">IFERROR(__xludf.DUMMYFUNCTION("""COMPUTED_VALUE"""),0)</f>
        <v>0</v>
      </c>
      <c r="W148" s="42">
        <f ca="1">IFERROR(__xludf.DUMMYFUNCTION("""COMPUTED_VALUE"""),0)</f>
        <v>0</v>
      </c>
      <c r="X148" s="42">
        <f ca="1">IFERROR(__xludf.DUMMYFUNCTION("""COMPUTED_VALUE"""),0)</f>
        <v>0</v>
      </c>
      <c r="Y148" s="42">
        <f ca="1">IFERROR(__xludf.DUMMYFUNCTION("""COMPUTED_VALUE"""),0)</f>
        <v>0</v>
      </c>
      <c r="Z148" s="42">
        <f ca="1">IFERROR(__xludf.DUMMYFUNCTION("""COMPUTED_VALUE"""),0)</f>
        <v>0</v>
      </c>
    </row>
    <row r="149" spans="1:26" ht="12.75">
      <c r="A149" s="33" t="str">
        <f ca="1">IFERROR(__xludf.DUMMYFUNCTION("""COMPUTED_VALUE"""),"Dianópolis")</f>
        <v>Dianópolis</v>
      </c>
      <c r="B149" s="33" t="str">
        <f ca="1">IFERROR(__xludf.DUMMYFUNCTION("""COMPUTED_VALUE"""),"Almas")</f>
        <v>Almas</v>
      </c>
      <c r="C149" s="34" t="str">
        <f ca="1">IFERROR(__xludf.DUMMYFUNCTION("""COMPUTED_VALUE"""),"ASSOC.MES.P.EDUC.FUNC.DO COL.AGROP.ALMAS")</f>
        <v>ASSOC.MES.P.EDUC.FUNC.DO COL.AGROP.ALMAS</v>
      </c>
      <c r="D149" s="35" t="str">
        <f ca="1">IFERROR(__xludf.DUMMYFUNCTION("""COMPUTED_VALUE"""),"03751406000102")</f>
        <v>03751406000102</v>
      </c>
      <c r="E149" s="36" t="str">
        <f ca="1">IFERROR(__xludf.DUMMYFUNCTION("""COMPUTED_VALUE"""),"001")</f>
        <v>001</v>
      </c>
      <c r="F149" s="37" t="str">
        <f ca="1">IFERROR(__xludf.DUMMYFUNCTION("""COMPUTED_VALUE"""),"1307")</f>
        <v>1307</v>
      </c>
      <c r="G149" s="37" t="str">
        <f ca="1">IFERROR(__xludf.DUMMYFUNCTION("""COMPUTED_VALUE"""),"115312")</f>
        <v>115312</v>
      </c>
      <c r="H149" s="37">
        <f ca="1">IFERROR(__xludf.DUMMYFUNCTION("""COMPUTED_VALUE"""),0)</f>
        <v>0</v>
      </c>
      <c r="I149" s="37">
        <f ca="1">IFERROR(__xludf.DUMMYFUNCTION("""COMPUTED_VALUE"""),0)</f>
        <v>0</v>
      </c>
      <c r="J149" s="37">
        <f ca="1">IFERROR(__xludf.DUMMYFUNCTION("""COMPUTED_VALUE"""),0)</f>
        <v>0</v>
      </c>
      <c r="K149" s="37">
        <f ca="1">IFERROR(__xludf.DUMMYFUNCTION("""COMPUTED_VALUE"""),0)</f>
        <v>0</v>
      </c>
      <c r="L149" s="37">
        <f ca="1">IFERROR(__xludf.DUMMYFUNCTION("""COMPUTED_VALUE"""),0)</f>
        <v>0</v>
      </c>
      <c r="M149" s="37">
        <f ca="1">IFERROR(__xludf.DUMMYFUNCTION("""COMPUTED_VALUE"""),0)</f>
        <v>0</v>
      </c>
      <c r="N149" s="37">
        <f ca="1">IFERROR(__xludf.DUMMYFUNCTION("""COMPUTED_VALUE"""),0)</f>
        <v>0</v>
      </c>
      <c r="O149" s="37">
        <f ca="1">IFERROR(__xludf.DUMMYFUNCTION("""COMPUTED_VALUE"""),0)</f>
        <v>0</v>
      </c>
      <c r="P149" s="37">
        <f ca="1">IFERROR(__xludf.DUMMYFUNCTION("""COMPUTED_VALUE"""),0)</f>
        <v>0</v>
      </c>
      <c r="Q149" s="37">
        <f ca="1">IFERROR(__xludf.DUMMYFUNCTION("""COMPUTED_VALUE"""),0)</f>
        <v>0</v>
      </c>
      <c r="R149" s="37">
        <f ca="1">IFERROR(__xludf.DUMMYFUNCTION("""COMPUTED_VALUE"""),0)</f>
        <v>0</v>
      </c>
      <c r="S149" s="37">
        <f ca="1">IFERROR(__xludf.DUMMYFUNCTION("""COMPUTED_VALUE"""),0)</f>
        <v>0</v>
      </c>
      <c r="T149" s="37">
        <f ca="1">IFERROR(__xludf.DUMMYFUNCTION("""COMPUTED_VALUE"""),0)</f>
        <v>0</v>
      </c>
      <c r="U149" s="37">
        <f ca="1">IFERROR(__xludf.DUMMYFUNCTION("""COMPUTED_VALUE"""),22755.6)</f>
        <v>22755.599999999999</v>
      </c>
      <c r="V149" s="37">
        <f ca="1">IFERROR(__xludf.DUMMYFUNCTION("""COMPUTED_VALUE"""),43747.2)</f>
        <v>43747.199999999997</v>
      </c>
      <c r="W149" s="37">
        <f ca="1">IFERROR(__xludf.DUMMYFUNCTION("""COMPUTED_VALUE"""),0)</f>
        <v>0</v>
      </c>
      <c r="X149" s="37">
        <f ca="1">IFERROR(__xludf.DUMMYFUNCTION("""COMPUTED_VALUE"""),1780.2)</f>
        <v>1780.2</v>
      </c>
      <c r="Y149" s="37">
        <f ca="1">IFERROR(__xludf.DUMMYFUNCTION("""COMPUTED_VALUE"""),3404)</f>
        <v>3404</v>
      </c>
      <c r="Z149" s="37">
        <f ca="1">IFERROR(__xludf.DUMMYFUNCTION("""COMPUTED_VALUE"""),0)</f>
        <v>0</v>
      </c>
    </row>
    <row r="150" spans="1:26" ht="12.75">
      <c r="A150" s="38" t="str">
        <f ca="1">IFERROR(__xludf.DUMMYFUNCTION("""COMPUTED_VALUE"""),"Dianópolis")</f>
        <v>Dianópolis</v>
      </c>
      <c r="B150" s="38" t="str">
        <f ca="1">IFERROR(__xludf.DUMMYFUNCTION("""COMPUTED_VALUE"""),"Almas")</f>
        <v>Almas</v>
      </c>
      <c r="C150" s="39" t="str">
        <f ca="1">IFERROR(__xludf.DUMMYFUNCTION("""COMPUTED_VALUE"""),"A.A.  ESC. ESTADUAL DEOCLIDES MUNIZ")</f>
        <v>A.A.  ESC. ESTADUAL DEOCLIDES MUNIZ</v>
      </c>
      <c r="D150" s="40" t="str">
        <f ca="1">IFERROR(__xludf.DUMMYFUNCTION("""COMPUTED_VALUE"""),"01143807000146")</f>
        <v>01143807000146</v>
      </c>
      <c r="E150" s="41" t="str">
        <f ca="1">IFERROR(__xludf.DUMMYFUNCTION("""COMPUTED_VALUE"""),"001")</f>
        <v>001</v>
      </c>
      <c r="F150" s="42" t="str">
        <f ca="1">IFERROR(__xludf.DUMMYFUNCTION("""COMPUTED_VALUE"""),"1307")</f>
        <v>1307</v>
      </c>
      <c r="G150" s="42" t="str">
        <f ca="1">IFERROR(__xludf.DUMMYFUNCTION("""COMPUTED_VALUE"""),"107786")</f>
        <v>107786</v>
      </c>
      <c r="H150" s="42">
        <f ca="1">IFERROR(__xludf.DUMMYFUNCTION("""COMPUTED_VALUE"""),0)</f>
        <v>0</v>
      </c>
      <c r="I150" s="42">
        <f ca="1">IFERROR(__xludf.DUMMYFUNCTION("""COMPUTED_VALUE"""),0)</f>
        <v>0</v>
      </c>
      <c r="J150" s="42">
        <f ca="1">IFERROR(__xludf.DUMMYFUNCTION("""COMPUTED_VALUE"""),0)</f>
        <v>0</v>
      </c>
      <c r="K150" s="42">
        <f ca="1">IFERROR(__xludf.DUMMYFUNCTION("""COMPUTED_VALUE"""),13406.4)</f>
        <v>13406.4</v>
      </c>
      <c r="L150" s="42">
        <f ca="1">IFERROR(__xludf.DUMMYFUNCTION("""COMPUTED_VALUE"""),0)</f>
        <v>0</v>
      </c>
      <c r="M150" s="42">
        <f ca="1">IFERROR(__xludf.DUMMYFUNCTION("""COMPUTED_VALUE"""),0)</f>
        <v>0</v>
      </c>
      <c r="N150" s="42">
        <f ca="1">IFERROR(__xludf.DUMMYFUNCTION("""COMPUTED_VALUE"""),0)</f>
        <v>0</v>
      </c>
      <c r="O150" s="42">
        <f ca="1">IFERROR(__xludf.DUMMYFUNCTION("""COMPUTED_VALUE"""),0)</f>
        <v>0</v>
      </c>
      <c r="P150" s="42">
        <f ca="1">IFERROR(__xludf.DUMMYFUNCTION("""COMPUTED_VALUE"""),273)</f>
        <v>273</v>
      </c>
      <c r="Q150" s="42">
        <f ca="1">IFERROR(__xludf.DUMMYFUNCTION("""COMPUTED_VALUE"""),0)</f>
        <v>0</v>
      </c>
      <c r="R150" s="42">
        <f ca="1">IFERROR(__xludf.DUMMYFUNCTION("""COMPUTED_VALUE"""),0)</f>
        <v>0</v>
      </c>
      <c r="S150" s="42">
        <f ca="1">IFERROR(__xludf.DUMMYFUNCTION("""COMPUTED_VALUE"""),3224)</f>
        <v>3224</v>
      </c>
      <c r="T150" s="42">
        <f ca="1">IFERROR(__xludf.DUMMYFUNCTION("""COMPUTED_VALUE"""),0)</f>
        <v>0</v>
      </c>
      <c r="U150" s="42">
        <f ca="1">IFERROR(__xludf.DUMMYFUNCTION("""COMPUTED_VALUE"""),0)</f>
        <v>0</v>
      </c>
      <c r="V150" s="42">
        <f ca="1">IFERROR(__xludf.DUMMYFUNCTION("""COMPUTED_VALUE"""),0)</f>
        <v>0</v>
      </c>
      <c r="W150" s="42">
        <f ca="1">IFERROR(__xludf.DUMMYFUNCTION("""COMPUTED_VALUE"""),361.799999999999)</f>
        <v>361.79999999999899</v>
      </c>
      <c r="X150" s="42">
        <f ca="1">IFERROR(__xludf.DUMMYFUNCTION("""COMPUTED_VALUE"""),0)</f>
        <v>0</v>
      </c>
      <c r="Y150" s="42">
        <f ca="1">IFERROR(__xludf.DUMMYFUNCTION("""COMPUTED_VALUE"""),0)</f>
        <v>0</v>
      </c>
      <c r="Z150" s="42">
        <f ca="1">IFERROR(__xludf.DUMMYFUNCTION("""COMPUTED_VALUE"""),1097.8)</f>
        <v>1097.8</v>
      </c>
    </row>
    <row r="151" spans="1:26" ht="12.75">
      <c r="A151" s="33" t="str">
        <f ca="1">IFERROR(__xludf.DUMMYFUNCTION("""COMPUTED_VALUE"""),"Dianópolis")</f>
        <v>Dianópolis</v>
      </c>
      <c r="B151" s="33" t="str">
        <f ca="1">IFERROR(__xludf.DUMMYFUNCTION("""COMPUTED_VALUE"""),"Conceicao do Tocantins")</f>
        <v>Conceicao do Tocantins</v>
      </c>
      <c r="C151" s="34" t="str">
        <f ca="1">IFERROR(__xludf.DUMMYFUNCTION("""COMPUTED_VALUE"""),"A.A. E. CEL JOSE FRANCISCO DE AZEVEDO")</f>
        <v>A.A. E. CEL JOSE FRANCISCO DE AZEVEDO</v>
      </c>
      <c r="D151" s="35" t="str">
        <f ca="1">IFERROR(__xludf.DUMMYFUNCTION("""COMPUTED_VALUE"""),"01136040000128")</f>
        <v>01136040000128</v>
      </c>
      <c r="E151" s="36" t="str">
        <f ca="1">IFERROR(__xludf.DUMMYFUNCTION("""COMPUTED_VALUE"""),"001")</f>
        <v>001</v>
      </c>
      <c r="F151" s="37" t="str">
        <f ca="1">IFERROR(__xludf.DUMMYFUNCTION("""COMPUTED_VALUE"""),"1307")</f>
        <v>1307</v>
      </c>
      <c r="G151" s="37" t="str">
        <f ca="1">IFERROR(__xludf.DUMMYFUNCTION("""COMPUTED_VALUE"""),"106208")</f>
        <v>106208</v>
      </c>
      <c r="H151" s="37">
        <f ca="1">IFERROR(__xludf.DUMMYFUNCTION("""COMPUTED_VALUE"""),0)</f>
        <v>0</v>
      </c>
      <c r="I151" s="37">
        <f ca="1">IFERROR(__xludf.DUMMYFUNCTION("""COMPUTED_VALUE"""),0)</f>
        <v>0</v>
      </c>
      <c r="J151" s="37">
        <f ca="1">IFERROR(__xludf.DUMMYFUNCTION("""COMPUTED_VALUE"""),5229)</f>
        <v>5229</v>
      </c>
      <c r="K151" s="37">
        <f ca="1">IFERROR(__xludf.DUMMYFUNCTION("""COMPUTED_VALUE"""),0)</f>
        <v>0</v>
      </c>
      <c r="L151" s="37">
        <f ca="1">IFERROR(__xludf.DUMMYFUNCTION("""COMPUTED_VALUE"""),0)</f>
        <v>0</v>
      </c>
      <c r="M151" s="37">
        <f ca="1">IFERROR(__xludf.DUMMYFUNCTION("""COMPUTED_VALUE"""),0)</f>
        <v>0</v>
      </c>
      <c r="N151" s="37">
        <f ca="1">IFERROR(__xludf.DUMMYFUNCTION("""COMPUTED_VALUE"""),0)</f>
        <v>0</v>
      </c>
      <c r="O151" s="37">
        <f ca="1">IFERROR(__xludf.DUMMYFUNCTION("""COMPUTED_VALUE"""),0)</f>
        <v>0</v>
      </c>
      <c r="P151" s="37">
        <f ca="1">IFERROR(__xludf.DUMMYFUNCTION("""COMPUTED_VALUE"""),357)</f>
        <v>357</v>
      </c>
      <c r="Q151" s="37">
        <f ca="1">IFERROR(__xludf.DUMMYFUNCTION("""COMPUTED_VALUE"""),3927)</f>
        <v>3927</v>
      </c>
      <c r="R151" s="37">
        <f ca="1">IFERROR(__xludf.DUMMYFUNCTION("""COMPUTED_VALUE"""),0)</f>
        <v>0</v>
      </c>
      <c r="S151" s="37">
        <f ca="1">IFERROR(__xludf.DUMMYFUNCTION("""COMPUTED_VALUE"""),0)</f>
        <v>0</v>
      </c>
      <c r="T151" s="37">
        <f ca="1">IFERROR(__xludf.DUMMYFUNCTION("""COMPUTED_VALUE"""),0)</f>
        <v>0</v>
      </c>
      <c r="U151" s="37">
        <f ca="1">IFERROR(__xludf.DUMMYFUNCTION("""COMPUTED_VALUE"""),0)</f>
        <v>0</v>
      </c>
      <c r="V151" s="37">
        <f ca="1">IFERROR(__xludf.DUMMYFUNCTION("""COMPUTED_VALUE"""),0)</f>
        <v>0</v>
      </c>
      <c r="W151" s="37">
        <f ca="1">IFERROR(__xludf.DUMMYFUNCTION("""COMPUTED_VALUE"""),0)</f>
        <v>0</v>
      </c>
      <c r="X151" s="37">
        <f ca="1">IFERROR(__xludf.DUMMYFUNCTION("""COMPUTED_VALUE"""),0)</f>
        <v>0</v>
      </c>
      <c r="Y151" s="37">
        <f ca="1">IFERROR(__xludf.DUMMYFUNCTION("""COMPUTED_VALUE"""),0)</f>
        <v>0</v>
      </c>
      <c r="Z151" s="37">
        <f ca="1">IFERROR(__xludf.DUMMYFUNCTION("""COMPUTED_VALUE"""),0)</f>
        <v>0</v>
      </c>
    </row>
    <row r="152" spans="1:26" ht="12.75">
      <c r="A152" s="38" t="str">
        <f ca="1">IFERROR(__xludf.DUMMYFUNCTION("""COMPUTED_VALUE"""),"Dianópolis")</f>
        <v>Dianópolis</v>
      </c>
      <c r="B152" s="38" t="str">
        <f ca="1">IFERROR(__xludf.DUMMYFUNCTION("""COMPUTED_VALUE"""),"Dianopolis")</f>
        <v>Dianopolis</v>
      </c>
      <c r="C152" s="39" t="str">
        <f ca="1">IFERROR(__xludf.DUMMYFUNCTION("""COMPUTED_VALUE"""),"A. ESC. COMUN.DA E. EST. ANTONIO POVOA")</f>
        <v>A. ESC. COMUN.DA E. EST. ANTONIO POVOA</v>
      </c>
      <c r="D152" s="40" t="str">
        <f ca="1">IFERROR(__xludf.DUMMYFUNCTION("""COMPUTED_VALUE"""),"00895665000100")</f>
        <v>00895665000100</v>
      </c>
      <c r="E152" s="41" t="str">
        <f ca="1">IFERROR(__xludf.DUMMYFUNCTION("""COMPUTED_VALUE"""),"001")</f>
        <v>001</v>
      </c>
      <c r="F152" s="42" t="str">
        <f ca="1">IFERROR(__xludf.DUMMYFUNCTION("""COMPUTED_VALUE"""),"1307")</f>
        <v>1307</v>
      </c>
      <c r="G152" s="42" t="str">
        <f ca="1">IFERROR(__xludf.DUMMYFUNCTION("""COMPUTED_VALUE"""),"010616X")</f>
        <v>010616X</v>
      </c>
      <c r="H152" s="42">
        <f ca="1">IFERROR(__xludf.DUMMYFUNCTION("""COMPUTED_VALUE"""),0)</f>
        <v>0</v>
      </c>
      <c r="I152" s="42">
        <f ca="1">IFERROR(__xludf.DUMMYFUNCTION("""COMPUTED_VALUE"""),0)</f>
        <v>0</v>
      </c>
      <c r="J152" s="42">
        <f ca="1">IFERROR(__xludf.DUMMYFUNCTION("""COMPUTED_VALUE"""),714)</f>
        <v>714</v>
      </c>
      <c r="K152" s="42">
        <f ca="1">IFERROR(__xludf.DUMMYFUNCTION("""COMPUTED_VALUE"""),2979.2)</f>
        <v>2979.2</v>
      </c>
      <c r="L152" s="42">
        <f ca="1">IFERROR(__xludf.DUMMYFUNCTION("""COMPUTED_VALUE"""),0)</f>
        <v>0</v>
      </c>
      <c r="M152" s="42">
        <f ca="1">IFERROR(__xludf.DUMMYFUNCTION("""COMPUTED_VALUE"""),0)</f>
        <v>0</v>
      </c>
      <c r="N152" s="42">
        <f ca="1">IFERROR(__xludf.DUMMYFUNCTION("""COMPUTED_VALUE"""),0)</f>
        <v>0</v>
      </c>
      <c r="O152" s="42">
        <f ca="1">IFERROR(__xludf.DUMMYFUNCTION("""COMPUTED_VALUE"""),0)</f>
        <v>0</v>
      </c>
      <c r="P152" s="42">
        <f ca="1">IFERROR(__xludf.DUMMYFUNCTION("""COMPUTED_VALUE"""),0)</f>
        <v>0</v>
      </c>
      <c r="Q152" s="42">
        <f ca="1">IFERROR(__xludf.DUMMYFUNCTION("""COMPUTED_VALUE"""),0)</f>
        <v>0</v>
      </c>
      <c r="R152" s="42">
        <f ca="1">IFERROR(__xludf.DUMMYFUNCTION("""COMPUTED_VALUE"""),0)</f>
        <v>0</v>
      </c>
      <c r="S152" s="42">
        <f ca="1">IFERROR(__xludf.DUMMYFUNCTION("""COMPUTED_VALUE"""),7012.2)</f>
        <v>7012.2</v>
      </c>
      <c r="T152" s="42">
        <f ca="1">IFERROR(__xludf.DUMMYFUNCTION("""COMPUTED_VALUE"""),1239)</f>
        <v>1239</v>
      </c>
      <c r="U152" s="42">
        <f ca="1">IFERROR(__xludf.DUMMYFUNCTION("""COMPUTED_VALUE"""),0)</f>
        <v>0</v>
      </c>
      <c r="V152" s="42">
        <f ca="1">IFERROR(__xludf.DUMMYFUNCTION("""COMPUTED_VALUE"""),0)</f>
        <v>0</v>
      </c>
      <c r="W152" s="42">
        <f ca="1">IFERROR(__xludf.DUMMYFUNCTION("""COMPUTED_VALUE"""),723.599999999999)</f>
        <v>723.599999999999</v>
      </c>
      <c r="X152" s="42">
        <f ca="1">IFERROR(__xludf.DUMMYFUNCTION("""COMPUTED_VALUE"""),0)</f>
        <v>0</v>
      </c>
      <c r="Y152" s="42">
        <f ca="1">IFERROR(__xludf.DUMMYFUNCTION("""COMPUTED_VALUE"""),0)</f>
        <v>0</v>
      </c>
      <c r="Z152" s="42">
        <f ca="1">IFERROR(__xludf.DUMMYFUNCTION("""COMPUTED_VALUE"""),299.4)</f>
        <v>299.39999999999998</v>
      </c>
    </row>
    <row r="153" spans="1:26" ht="12.75">
      <c r="A153" s="33" t="str">
        <f ca="1">IFERROR(__xludf.DUMMYFUNCTION("""COMPUTED_VALUE"""),"Dianópolis")</f>
        <v>Dianópolis</v>
      </c>
      <c r="B153" s="33" t="str">
        <f ca="1">IFERROR(__xludf.DUMMYFUNCTION("""COMPUTED_VALUE"""),"Dianopolis")</f>
        <v>Dianopolis</v>
      </c>
      <c r="C153" s="34" t="str">
        <f ca="1">IFERROR(__xludf.DUMMYFUNCTION("""COMPUTED_VALUE"""),"A. DE APOIO AO COLEGIO JOAO DE ABREU")</f>
        <v>A. DE APOIO AO COLEGIO JOAO DE ABREU</v>
      </c>
      <c r="D153" s="35" t="str">
        <f ca="1">IFERROR(__xludf.DUMMYFUNCTION("""COMPUTED_VALUE"""),"05059617000104")</f>
        <v>05059617000104</v>
      </c>
      <c r="E153" s="36" t="str">
        <f ca="1">IFERROR(__xludf.DUMMYFUNCTION("""COMPUTED_VALUE"""),"001")</f>
        <v>001</v>
      </c>
      <c r="F153" s="37" t="str">
        <f ca="1">IFERROR(__xludf.DUMMYFUNCTION("""COMPUTED_VALUE"""),"1307")</f>
        <v>1307</v>
      </c>
      <c r="G153" s="37" t="str">
        <f ca="1">IFERROR(__xludf.DUMMYFUNCTION("""COMPUTED_VALUE"""),"127027")</f>
        <v>127027</v>
      </c>
      <c r="H153" s="37">
        <f ca="1">IFERROR(__xludf.DUMMYFUNCTION("""COMPUTED_VALUE"""),0)</f>
        <v>0</v>
      </c>
      <c r="I153" s="37">
        <f ca="1">IFERROR(__xludf.DUMMYFUNCTION("""COMPUTED_VALUE"""),0)</f>
        <v>0</v>
      </c>
      <c r="J153" s="37">
        <f ca="1">IFERROR(__xludf.DUMMYFUNCTION("""COMPUTED_VALUE"""),12705)</f>
        <v>12705</v>
      </c>
      <c r="K153" s="37">
        <f ca="1">IFERROR(__xludf.DUMMYFUNCTION("""COMPUTED_VALUE"""),0)</f>
        <v>0</v>
      </c>
      <c r="L153" s="37">
        <f ca="1">IFERROR(__xludf.DUMMYFUNCTION("""COMPUTED_VALUE"""),0)</f>
        <v>0</v>
      </c>
      <c r="M153" s="37">
        <f ca="1">IFERROR(__xludf.DUMMYFUNCTION("""COMPUTED_VALUE"""),0)</f>
        <v>0</v>
      </c>
      <c r="N153" s="37">
        <f ca="1">IFERROR(__xludf.DUMMYFUNCTION("""COMPUTED_VALUE"""),0)</f>
        <v>0</v>
      </c>
      <c r="O153" s="37">
        <f ca="1">IFERROR(__xludf.DUMMYFUNCTION("""COMPUTED_VALUE"""),0)</f>
        <v>0</v>
      </c>
      <c r="P153" s="37">
        <f ca="1">IFERROR(__xludf.DUMMYFUNCTION("""COMPUTED_VALUE"""),336)</f>
        <v>336</v>
      </c>
      <c r="Q153" s="37">
        <f ca="1">IFERROR(__xludf.DUMMYFUNCTION("""COMPUTED_VALUE"""),7371)</f>
        <v>7371</v>
      </c>
      <c r="R153" s="37">
        <f ca="1">IFERROR(__xludf.DUMMYFUNCTION("""COMPUTED_VALUE"""),0)</f>
        <v>0</v>
      </c>
      <c r="S153" s="37">
        <f ca="1">IFERROR(__xludf.DUMMYFUNCTION("""COMPUTED_VALUE"""),0)</f>
        <v>0</v>
      </c>
      <c r="T153" s="37">
        <f ca="1">IFERROR(__xludf.DUMMYFUNCTION("""COMPUTED_VALUE"""),0)</f>
        <v>0</v>
      </c>
      <c r="U153" s="37">
        <f ca="1">IFERROR(__xludf.DUMMYFUNCTION("""COMPUTED_VALUE"""),0)</f>
        <v>0</v>
      </c>
      <c r="V153" s="37">
        <f ca="1">IFERROR(__xludf.DUMMYFUNCTION("""COMPUTED_VALUE"""),0)</f>
        <v>0</v>
      </c>
      <c r="W153" s="37">
        <f ca="1">IFERROR(__xludf.DUMMYFUNCTION("""COMPUTED_VALUE"""),0)</f>
        <v>0</v>
      </c>
      <c r="X153" s="37">
        <f ca="1">IFERROR(__xludf.DUMMYFUNCTION("""COMPUTED_VALUE"""),0)</f>
        <v>0</v>
      </c>
      <c r="Y153" s="37">
        <f ca="1">IFERROR(__xludf.DUMMYFUNCTION("""COMPUTED_VALUE"""),0)</f>
        <v>0</v>
      </c>
      <c r="Z153" s="37">
        <f ca="1">IFERROR(__xludf.DUMMYFUNCTION("""COMPUTED_VALUE"""),0)</f>
        <v>0</v>
      </c>
    </row>
    <row r="154" spans="1:26" ht="12.75">
      <c r="A154" s="38" t="str">
        <f ca="1">IFERROR(__xludf.DUMMYFUNCTION("""COMPUTED_VALUE"""),"Dianópolis")</f>
        <v>Dianópolis</v>
      </c>
      <c r="B154" s="38" t="str">
        <f ca="1">IFERROR(__xludf.DUMMYFUNCTION("""COMPUTED_VALUE"""),"Dianopolis")</f>
        <v>Dianopolis</v>
      </c>
      <c r="C154" s="39" t="str">
        <f ca="1">IFERROR(__xludf.DUMMYFUNCTION("""COMPUTED_VALUE"""),"ASSOC. DE APOIO A ESCOLA COOPERATIVA CHAPADÃO/DIANÓPOLIS")</f>
        <v>ASSOC. DE APOIO A ESCOLA COOPERATIVA CHAPADÃO/DIANÓPOLIS</v>
      </c>
      <c r="D154" s="40" t="str">
        <f ca="1">IFERROR(__xludf.DUMMYFUNCTION("""COMPUTED_VALUE"""),"07056712000171")</f>
        <v>07056712000171</v>
      </c>
      <c r="E154" s="41" t="str">
        <f ca="1">IFERROR(__xludf.DUMMYFUNCTION("""COMPUTED_VALUE"""),"001")</f>
        <v>001</v>
      </c>
      <c r="F154" s="42" t="str">
        <f ca="1">IFERROR(__xludf.DUMMYFUNCTION("""COMPUTED_VALUE"""),"1307")</f>
        <v>1307</v>
      </c>
      <c r="G154" s="42" t="str">
        <f ca="1">IFERROR(__xludf.DUMMYFUNCTION("""COMPUTED_VALUE"""),"15704X")</f>
        <v>15704X</v>
      </c>
      <c r="H154" s="42">
        <f ca="1">IFERROR(__xludf.DUMMYFUNCTION("""COMPUTED_VALUE"""),0)</f>
        <v>0</v>
      </c>
      <c r="I154" s="42">
        <f ca="1">IFERROR(__xludf.DUMMYFUNCTION("""COMPUTED_VALUE"""),0)</f>
        <v>0</v>
      </c>
      <c r="J154" s="42">
        <f ca="1">IFERROR(__xludf.DUMMYFUNCTION("""COMPUTED_VALUE"""),2814)</f>
        <v>2814</v>
      </c>
      <c r="K154" s="42">
        <f ca="1">IFERROR(__xludf.DUMMYFUNCTION("""COMPUTED_VALUE"""),0)</f>
        <v>0</v>
      </c>
      <c r="L154" s="42">
        <f ca="1">IFERROR(__xludf.DUMMYFUNCTION("""COMPUTED_VALUE"""),0)</f>
        <v>0</v>
      </c>
      <c r="M154" s="42">
        <f ca="1">IFERROR(__xludf.DUMMYFUNCTION("""COMPUTED_VALUE"""),0)</f>
        <v>0</v>
      </c>
      <c r="N154" s="42">
        <f ca="1">IFERROR(__xludf.DUMMYFUNCTION("""COMPUTED_VALUE"""),0)</f>
        <v>0</v>
      </c>
      <c r="O154" s="42">
        <f ca="1">IFERROR(__xludf.DUMMYFUNCTION("""COMPUTED_VALUE"""),0)</f>
        <v>0</v>
      </c>
      <c r="P154" s="42">
        <f ca="1">IFERROR(__xludf.DUMMYFUNCTION("""COMPUTED_VALUE"""),294)</f>
        <v>294</v>
      </c>
      <c r="Q154" s="42">
        <f ca="1">IFERROR(__xludf.DUMMYFUNCTION("""COMPUTED_VALUE"""),504)</f>
        <v>504</v>
      </c>
      <c r="R154" s="42">
        <f ca="1">IFERROR(__xludf.DUMMYFUNCTION("""COMPUTED_VALUE"""),0)</f>
        <v>0</v>
      </c>
      <c r="S154" s="42">
        <f ca="1">IFERROR(__xludf.DUMMYFUNCTION("""COMPUTED_VALUE"""),0)</f>
        <v>0</v>
      </c>
      <c r="T154" s="42">
        <f ca="1">IFERROR(__xludf.DUMMYFUNCTION("""COMPUTED_VALUE"""),0)</f>
        <v>0</v>
      </c>
      <c r="U154" s="42">
        <f ca="1">IFERROR(__xludf.DUMMYFUNCTION("""COMPUTED_VALUE"""),0)</f>
        <v>0</v>
      </c>
      <c r="V154" s="42">
        <f ca="1">IFERROR(__xludf.DUMMYFUNCTION("""COMPUTED_VALUE"""),0)</f>
        <v>0</v>
      </c>
      <c r="W154" s="42">
        <f ca="1">IFERROR(__xludf.DUMMYFUNCTION("""COMPUTED_VALUE"""),0)</f>
        <v>0</v>
      </c>
      <c r="X154" s="42">
        <f ca="1">IFERROR(__xludf.DUMMYFUNCTION("""COMPUTED_VALUE"""),0)</f>
        <v>0</v>
      </c>
      <c r="Y154" s="42">
        <f ca="1">IFERROR(__xludf.DUMMYFUNCTION("""COMPUTED_VALUE"""),0)</f>
        <v>0</v>
      </c>
      <c r="Z154" s="42">
        <f ca="1">IFERROR(__xludf.DUMMYFUNCTION("""COMPUTED_VALUE"""),0)</f>
        <v>0</v>
      </c>
    </row>
    <row r="155" spans="1:26" ht="12.75">
      <c r="A155" s="33" t="str">
        <f ca="1">IFERROR(__xludf.DUMMYFUNCTION("""COMPUTED_VALUE"""),"Dianópolis")</f>
        <v>Dianópolis</v>
      </c>
      <c r="B155" s="33" t="str">
        <f ca="1">IFERROR(__xludf.DUMMYFUNCTION("""COMPUTED_VALUE"""),"Dianopolis")</f>
        <v>Dianopolis</v>
      </c>
      <c r="C155" s="34" t="str">
        <f ca="1">IFERROR(__xludf.DUMMYFUNCTION("""COMPUTED_VALUE"""),"ESCOLA ESPECIAL COLIBRI")</f>
        <v>ESCOLA ESPECIAL COLIBRI</v>
      </c>
      <c r="D155" s="35" t="str">
        <f ca="1">IFERROR(__xludf.DUMMYFUNCTION("""COMPUTED_VALUE"""),"15413383000105")</f>
        <v>15413383000105</v>
      </c>
      <c r="E155" s="36" t="str">
        <f ca="1">IFERROR(__xludf.DUMMYFUNCTION("""COMPUTED_VALUE"""),"001")</f>
        <v>001</v>
      </c>
      <c r="F155" s="37" t="str">
        <f ca="1">IFERROR(__xludf.DUMMYFUNCTION("""COMPUTED_VALUE"""),"1307")</f>
        <v>1307</v>
      </c>
      <c r="G155" s="37" t="str">
        <f ca="1">IFERROR(__xludf.DUMMYFUNCTION("""COMPUTED_VALUE"""),"312967")</f>
        <v>312967</v>
      </c>
      <c r="H155" s="37">
        <f ca="1">IFERROR(__xludf.DUMMYFUNCTION("""COMPUTED_VALUE"""),0)</f>
        <v>0</v>
      </c>
      <c r="I155" s="37">
        <f ca="1">IFERROR(__xludf.DUMMYFUNCTION("""COMPUTED_VALUE"""),0)</f>
        <v>0</v>
      </c>
      <c r="J155" s="37">
        <f ca="1">IFERROR(__xludf.DUMMYFUNCTION("""COMPUTED_VALUE"""),525)</f>
        <v>525</v>
      </c>
      <c r="K155" s="37">
        <f ca="1">IFERROR(__xludf.DUMMYFUNCTION("""COMPUTED_VALUE"""),0)</f>
        <v>0</v>
      </c>
      <c r="L155" s="37">
        <f ca="1">IFERROR(__xludf.DUMMYFUNCTION("""COMPUTED_VALUE"""),0)</f>
        <v>0</v>
      </c>
      <c r="M155" s="37">
        <f ca="1">IFERROR(__xludf.DUMMYFUNCTION("""COMPUTED_VALUE"""),0)</f>
        <v>0</v>
      </c>
      <c r="N155" s="37">
        <f ca="1">IFERROR(__xludf.DUMMYFUNCTION("""COMPUTED_VALUE"""),0)</f>
        <v>0</v>
      </c>
      <c r="O155" s="37">
        <f ca="1">IFERROR(__xludf.DUMMYFUNCTION("""COMPUTED_VALUE"""),0)</f>
        <v>0</v>
      </c>
      <c r="P155" s="37">
        <f ca="1">IFERROR(__xludf.DUMMYFUNCTION("""COMPUTED_VALUE"""),420)</f>
        <v>420</v>
      </c>
      <c r="Q155" s="37">
        <f ca="1">IFERROR(__xludf.DUMMYFUNCTION("""COMPUTED_VALUE"""),0)</f>
        <v>0</v>
      </c>
      <c r="R155" s="37">
        <f ca="1">IFERROR(__xludf.DUMMYFUNCTION("""COMPUTED_VALUE"""),0)</f>
        <v>0</v>
      </c>
      <c r="S155" s="37">
        <f ca="1">IFERROR(__xludf.DUMMYFUNCTION("""COMPUTED_VALUE"""),0)</f>
        <v>0</v>
      </c>
      <c r="T155" s="37">
        <f ca="1">IFERROR(__xludf.DUMMYFUNCTION("""COMPUTED_VALUE"""),1050)</f>
        <v>1050</v>
      </c>
      <c r="U155" s="37">
        <f ca="1">IFERROR(__xludf.DUMMYFUNCTION("""COMPUTED_VALUE"""),0)</f>
        <v>0</v>
      </c>
      <c r="V155" s="37">
        <f ca="1">IFERROR(__xludf.DUMMYFUNCTION("""COMPUTED_VALUE"""),0)</f>
        <v>0</v>
      </c>
      <c r="W155" s="37">
        <f ca="1">IFERROR(__xludf.DUMMYFUNCTION("""COMPUTED_VALUE"""),0)</f>
        <v>0</v>
      </c>
      <c r="X155" s="37">
        <f ca="1">IFERROR(__xludf.DUMMYFUNCTION("""COMPUTED_VALUE"""),0)</f>
        <v>0</v>
      </c>
      <c r="Y155" s="37">
        <f ca="1">IFERROR(__xludf.DUMMYFUNCTION("""COMPUTED_VALUE"""),0)</f>
        <v>0</v>
      </c>
      <c r="Z155" s="37">
        <f ca="1">IFERROR(__xludf.DUMMYFUNCTION("""COMPUTED_VALUE"""),0)</f>
        <v>0</v>
      </c>
    </row>
    <row r="156" spans="1:26" ht="12.75">
      <c r="A156" s="38" t="str">
        <f ca="1">IFERROR(__xludf.DUMMYFUNCTION("""COMPUTED_VALUE"""),"Dianópolis")</f>
        <v>Dianópolis</v>
      </c>
      <c r="B156" s="38" t="str">
        <f ca="1">IFERROR(__xludf.DUMMYFUNCTION("""COMPUTED_VALUE"""),"Dianopolis")</f>
        <v>Dianopolis</v>
      </c>
      <c r="C156" s="39" t="str">
        <f ca="1">IFERROR(__xludf.DUMMYFUNCTION("""COMPUTED_VALUE"""),"ASS. APOIO ESC. EST.CEL.ABILIO WOLNEY")</f>
        <v>ASS. APOIO ESC. EST.CEL.ABILIO WOLNEY</v>
      </c>
      <c r="D156" s="40" t="str">
        <f ca="1">IFERROR(__xludf.DUMMYFUNCTION("""COMPUTED_VALUE"""),"01197161000180")</f>
        <v>01197161000180</v>
      </c>
      <c r="E156" s="41" t="str">
        <f ca="1">IFERROR(__xludf.DUMMYFUNCTION("""COMPUTED_VALUE"""),"001")</f>
        <v>001</v>
      </c>
      <c r="F156" s="42" t="str">
        <f ca="1">IFERROR(__xludf.DUMMYFUNCTION("""COMPUTED_VALUE"""),"1307")</f>
        <v>1307</v>
      </c>
      <c r="G156" s="42" t="str">
        <f ca="1">IFERROR(__xludf.DUMMYFUNCTION("""COMPUTED_VALUE"""),"120464")</f>
        <v>120464</v>
      </c>
      <c r="H156" s="42">
        <f ca="1">IFERROR(__xludf.DUMMYFUNCTION("""COMPUTED_VALUE"""),0)</f>
        <v>0</v>
      </c>
      <c r="I156" s="42">
        <f ca="1">IFERROR(__xludf.DUMMYFUNCTION("""COMPUTED_VALUE"""),0)</f>
        <v>0</v>
      </c>
      <c r="J156" s="42">
        <f ca="1">IFERROR(__xludf.DUMMYFUNCTION("""COMPUTED_VALUE"""),9282)</f>
        <v>9282</v>
      </c>
      <c r="K156" s="42">
        <f ca="1">IFERROR(__xludf.DUMMYFUNCTION("""COMPUTED_VALUE"""),0)</f>
        <v>0</v>
      </c>
      <c r="L156" s="42">
        <f ca="1">IFERROR(__xludf.DUMMYFUNCTION("""COMPUTED_VALUE"""),0)</f>
        <v>0</v>
      </c>
      <c r="M156" s="42">
        <f ca="1">IFERROR(__xludf.DUMMYFUNCTION("""COMPUTED_VALUE"""),0)</f>
        <v>0</v>
      </c>
      <c r="N156" s="42">
        <f ca="1">IFERROR(__xludf.DUMMYFUNCTION("""COMPUTED_VALUE"""),0)</f>
        <v>0</v>
      </c>
      <c r="O156" s="42">
        <f ca="1">IFERROR(__xludf.DUMMYFUNCTION("""COMPUTED_VALUE"""),0)</f>
        <v>0</v>
      </c>
      <c r="P156" s="42">
        <f ca="1">IFERROR(__xludf.DUMMYFUNCTION("""COMPUTED_VALUE"""),0)</f>
        <v>0</v>
      </c>
      <c r="Q156" s="42">
        <f ca="1">IFERROR(__xludf.DUMMYFUNCTION("""COMPUTED_VALUE"""),11382)</f>
        <v>11382</v>
      </c>
      <c r="R156" s="42">
        <f ca="1">IFERROR(__xludf.DUMMYFUNCTION("""COMPUTED_VALUE"""),0)</f>
        <v>0</v>
      </c>
      <c r="S156" s="42">
        <f ca="1">IFERROR(__xludf.DUMMYFUNCTION("""COMPUTED_VALUE"""),0)</f>
        <v>0</v>
      </c>
      <c r="T156" s="42">
        <f ca="1">IFERROR(__xludf.DUMMYFUNCTION("""COMPUTED_VALUE"""),0)</f>
        <v>0</v>
      </c>
      <c r="U156" s="42">
        <f ca="1">IFERROR(__xludf.DUMMYFUNCTION("""COMPUTED_VALUE"""),0)</f>
        <v>0</v>
      </c>
      <c r="V156" s="42">
        <f ca="1">IFERROR(__xludf.DUMMYFUNCTION("""COMPUTED_VALUE"""),0)</f>
        <v>0</v>
      </c>
      <c r="W156" s="42">
        <f ca="1">IFERROR(__xludf.DUMMYFUNCTION("""COMPUTED_VALUE"""),0)</f>
        <v>0</v>
      </c>
      <c r="X156" s="42">
        <f ca="1">IFERROR(__xludf.DUMMYFUNCTION("""COMPUTED_VALUE"""),0)</f>
        <v>0</v>
      </c>
      <c r="Y156" s="42">
        <f ca="1">IFERROR(__xludf.DUMMYFUNCTION("""COMPUTED_VALUE"""),0)</f>
        <v>0</v>
      </c>
      <c r="Z156" s="42">
        <f ca="1">IFERROR(__xludf.DUMMYFUNCTION("""COMPUTED_VALUE"""),0)</f>
        <v>0</v>
      </c>
    </row>
    <row r="157" spans="1:26" ht="12.75">
      <c r="A157" s="33" t="str">
        <f ca="1">IFERROR(__xludf.DUMMYFUNCTION("""COMPUTED_VALUE"""),"Dianópolis")</f>
        <v>Dianópolis</v>
      </c>
      <c r="B157" s="33" t="str">
        <f ca="1">IFERROR(__xludf.DUMMYFUNCTION("""COMPUTED_VALUE"""),"Dianopolis")</f>
        <v>Dianopolis</v>
      </c>
      <c r="C157" s="34" t="str">
        <f ca="1">IFERROR(__xludf.DUMMYFUNCTION("""COMPUTED_VALUE"""),"A.A. ESCOLA ESTADUAL JOCA COSTA")</f>
        <v>A.A. ESCOLA ESTADUAL JOCA COSTA</v>
      </c>
      <c r="D157" s="35" t="str">
        <f ca="1">IFERROR(__xludf.DUMMYFUNCTION("""COMPUTED_VALUE"""),"01138323000109")</f>
        <v>01138323000109</v>
      </c>
      <c r="E157" s="36" t="str">
        <f ca="1">IFERROR(__xludf.DUMMYFUNCTION("""COMPUTED_VALUE"""),"001")</f>
        <v>001</v>
      </c>
      <c r="F157" s="37" t="str">
        <f ca="1">IFERROR(__xludf.DUMMYFUNCTION("""COMPUTED_VALUE"""),"1307")</f>
        <v>1307</v>
      </c>
      <c r="G157" s="37" t="str">
        <f ca="1">IFERROR(__xludf.DUMMYFUNCTION("""COMPUTED_VALUE"""),"107492")</f>
        <v>107492</v>
      </c>
      <c r="H157" s="37">
        <f ca="1">IFERROR(__xludf.DUMMYFUNCTION("""COMPUTED_VALUE"""),0)</f>
        <v>0</v>
      </c>
      <c r="I157" s="37">
        <f ca="1">IFERROR(__xludf.DUMMYFUNCTION("""COMPUTED_VALUE"""),0)</f>
        <v>0</v>
      </c>
      <c r="J157" s="37">
        <f ca="1">IFERROR(__xludf.DUMMYFUNCTION("""COMPUTED_VALUE"""),7665)</f>
        <v>7665</v>
      </c>
      <c r="K157" s="37">
        <f ca="1">IFERROR(__xludf.DUMMYFUNCTION("""COMPUTED_VALUE"""),0)</f>
        <v>0</v>
      </c>
      <c r="L157" s="37">
        <f ca="1">IFERROR(__xludf.DUMMYFUNCTION("""COMPUTED_VALUE"""),0)</f>
        <v>0</v>
      </c>
      <c r="M157" s="37">
        <f ca="1">IFERROR(__xludf.DUMMYFUNCTION("""COMPUTED_VALUE"""),0)</f>
        <v>0</v>
      </c>
      <c r="N157" s="37">
        <f ca="1">IFERROR(__xludf.DUMMYFUNCTION("""COMPUTED_VALUE"""),0)</f>
        <v>0</v>
      </c>
      <c r="O157" s="37">
        <f ca="1">IFERROR(__xludf.DUMMYFUNCTION("""COMPUTED_VALUE"""),0)</f>
        <v>0</v>
      </c>
      <c r="P157" s="37">
        <f ca="1">IFERROR(__xludf.DUMMYFUNCTION("""COMPUTED_VALUE"""),546)</f>
        <v>546</v>
      </c>
      <c r="Q157" s="37">
        <f ca="1">IFERROR(__xludf.DUMMYFUNCTION("""COMPUTED_VALUE"""),0)</f>
        <v>0</v>
      </c>
      <c r="R157" s="37">
        <f ca="1">IFERROR(__xludf.DUMMYFUNCTION("""COMPUTED_VALUE"""),0)</f>
        <v>0</v>
      </c>
      <c r="S157" s="37">
        <f ca="1">IFERROR(__xludf.DUMMYFUNCTION("""COMPUTED_VALUE"""),0)</f>
        <v>0</v>
      </c>
      <c r="T157" s="37">
        <f ca="1">IFERROR(__xludf.DUMMYFUNCTION("""COMPUTED_VALUE"""),0)</f>
        <v>0</v>
      </c>
      <c r="U157" s="37">
        <f ca="1">IFERROR(__xludf.DUMMYFUNCTION("""COMPUTED_VALUE"""),0)</f>
        <v>0</v>
      </c>
      <c r="V157" s="37">
        <f ca="1">IFERROR(__xludf.DUMMYFUNCTION("""COMPUTED_VALUE"""),0)</f>
        <v>0</v>
      </c>
      <c r="W157" s="37">
        <f ca="1">IFERROR(__xludf.DUMMYFUNCTION("""COMPUTED_VALUE"""),0)</f>
        <v>0</v>
      </c>
      <c r="X157" s="37">
        <f ca="1">IFERROR(__xludf.DUMMYFUNCTION("""COMPUTED_VALUE"""),0)</f>
        <v>0</v>
      </c>
      <c r="Y157" s="37">
        <f ca="1">IFERROR(__xludf.DUMMYFUNCTION("""COMPUTED_VALUE"""),0)</f>
        <v>0</v>
      </c>
      <c r="Z157" s="37">
        <f ca="1">IFERROR(__xludf.DUMMYFUNCTION("""COMPUTED_VALUE"""),0)</f>
        <v>0</v>
      </c>
    </row>
    <row r="158" spans="1:26" ht="12.75">
      <c r="A158" s="38" t="str">
        <f ca="1">IFERROR(__xludf.DUMMYFUNCTION("""COMPUTED_VALUE"""),"Dianópolis")</f>
        <v>Dianópolis</v>
      </c>
      <c r="B158" s="38" t="str">
        <f ca="1">IFERROR(__xludf.DUMMYFUNCTION("""COMPUTED_VALUE"""),"Novo Jardim")</f>
        <v>Novo Jardim</v>
      </c>
      <c r="C158" s="39" t="str">
        <f ca="1">IFERROR(__xludf.DUMMYFUNCTION("""COMPUTED_VALUE"""),"ASS. DE AP. DA ESCOLA ESTADUAL JARDIM")</f>
        <v>ASS. DE AP. DA ESCOLA ESTADUAL JARDIM</v>
      </c>
      <c r="D158" s="40" t="str">
        <f ca="1">IFERROR(__xludf.DUMMYFUNCTION("""COMPUTED_VALUE"""),"01408711000162")</f>
        <v>01408711000162</v>
      </c>
      <c r="E158" s="41" t="str">
        <f ca="1">IFERROR(__xludf.DUMMYFUNCTION("""COMPUTED_VALUE"""),"001")</f>
        <v>001</v>
      </c>
      <c r="F158" s="42" t="str">
        <f ca="1">IFERROR(__xludf.DUMMYFUNCTION("""COMPUTED_VALUE"""),"1307")</f>
        <v>1307</v>
      </c>
      <c r="G158" s="42" t="str">
        <f ca="1">IFERROR(__xludf.DUMMYFUNCTION("""COMPUTED_VALUE"""),"106453")</f>
        <v>106453</v>
      </c>
      <c r="H158" s="42">
        <f ca="1">IFERROR(__xludf.DUMMYFUNCTION("""COMPUTED_VALUE"""),0)</f>
        <v>0</v>
      </c>
      <c r="I158" s="42">
        <f ca="1">IFERROR(__xludf.DUMMYFUNCTION("""COMPUTED_VALUE"""),0)</f>
        <v>0</v>
      </c>
      <c r="J158" s="42">
        <f ca="1">IFERROR(__xludf.DUMMYFUNCTION("""COMPUTED_VALUE"""),4347)</f>
        <v>4347</v>
      </c>
      <c r="K158" s="42">
        <f ca="1">IFERROR(__xludf.DUMMYFUNCTION("""COMPUTED_VALUE"""),0)</f>
        <v>0</v>
      </c>
      <c r="L158" s="42">
        <f ca="1">IFERROR(__xludf.DUMMYFUNCTION("""COMPUTED_VALUE"""),0)</f>
        <v>0</v>
      </c>
      <c r="M158" s="42">
        <f ca="1">IFERROR(__xludf.DUMMYFUNCTION("""COMPUTED_VALUE"""),0)</f>
        <v>0</v>
      </c>
      <c r="N158" s="42">
        <f ca="1">IFERROR(__xludf.DUMMYFUNCTION("""COMPUTED_VALUE"""),0)</f>
        <v>0</v>
      </c>
      <c r="O158" s="42">
        <f ca="1">IFERROR(__xludf.DUMMYFUNCTION("""COMPUTED_VALUE"""),0)</f>
        <v>0</v>
      </c>
      <c r="P158" s="42">
        <f ca="1">IFERROR(__xludf.DUMMYFUNCTION("""COMPUTED_VALUE"""),0)</f>
        <v>0</v>
      </c>
      <c r="Q158" s="42">
        <f ca="1">IFERROR(__xludf.DUMMYFUNCTION("""COMPUTED_VALUE"""),1302)</f>
        <v>1302</v>
      </c>
      <c r="R158" s="42">
        <f ca="1">IFERROR(__xludf.DUMMYFUNCTION("""COMPUTED_VALUE"""),0)</f>
        <v>0</v>
      </c>
      <c r="S158" s="42">
        <f ca="1">IFERROR(__xludf.DUMMYFUNCTION("""COMPUTED_VALUE"""),0)</f>
        <v>0</v>
      </c>
      <c r="T158" s="42">
        <f ca="1">IFERROR(__xludf.DUMMYFUNCTION("""COMPUTED_VALUE"""),0)</f>
        <v>0</v>
      </c>
      <c r="U158" s="42">
        <f ca="1">IFERROR(__xludf.DUMMYFUNCTION("""COMPUTED_VALUE"""),0)</f>
        <v>0</v>
      </c>
      <c r="V158" s="42">
        <f ca="1">IFERROR(__xludf.DUMMYFUNCTION("""COMPUTED_VALUE"""),0)</f>
        <v>0</v>
      </c>
      <c r="W158" s="42">
        <f ca="1">IFERROR(__xludf.DUMMYFUNCTION("""COMPUTED_VALUE"""),0)</f>
        <v>0</v>
      </c>
      <c r="X158" s="42">
        <f ca="1">IFERROR(__xludf.DUMMYFUNCTION("""COMPUTED_VALUE"""),0)</f>
        <v>0</v>
      </c>
      <c r="Y158" s="42">
        <f ca="1">IFERROR(__xludf.DUMMYFUNCTION("""COMPUTED_VALUE"""),0)</f>
        <v>0</v>
      </c>
      <c r="Z158" s="42">
        <f ca="1">IFERROR(__xludf.DUMMYFUNCTION("""COMPUTED_VALUE"""),0)</f>
        <v>0</v>
      </c>
    </row>
    <row r="159" spans="1:26" ht="12.75">
      <c r="A159" s="33" t="str">
        <f ca="1">IFERROR(__xludf.DUMMYFUNCTION("""COMPUTED_VALUE"""),"Dianópolis")</f>
        <v>Dianópolis</v>
      </c>
      <c r="B159" s="33" t="str">
        <f ca="1">IFERROR(__xludf.DUMMYFUNCTION("""COMPUTED_VALUE"""),"Ponte Alta do Bom Jesus")</f>
        <v>Ponte Alta do Bom Jesus</v>
      </c>
      <c r="C159" s="34" t="str">
        <f ca="1">IFERROR(__xludf.DUMMYFUNCTION("""COMPUTED_VALUE"""),"A.A. ESC. E. ANTONIO CARLOS DE FRANCA")</f>
        <v>A.A. ESC. E. ANTONIO CARLOS DE FRANCA</v>
      </c>
      <c r="D159" s="35" t="str">
        <f ca="1">IFERROR(__xludf.DUMMYFUNCTION("""COMPUTED_VALUE"""),"01223633000121")</f>
        <v>01223633000121</v>
      </c>
      <c r="E159" s="36" t="str">
        <f ca="1">IFERROR(__xludf.DUMMYFUNCTION("""COMPUTED_VALUE"""),"001")</f>
        <v>001</v>
      </c>
      <c r="F159" s="37" t="str">
        <f ca="1">IFERROR(__xludf.DUMMYFUNCTION("""COMPUTED_VALUE"""),"2704")</f>
        <v>2704</v>
      </c>
      <c r="G159" s="37" t="str">
        <f ca="1">IFERROR(__xludf.DUMMYFUNCTION("""COMPUTED_VALUE"""),"102733")</f>
        <v>102733</v>
      </c>
      <c r="H159" s="37">
        <f ca="1">IFERROR(__xludf.DUMMYFUNCTION("""COMPUTED_VALUE"""),0)</f>
        <v>0</v>
      </c>
      <c r="I159" s="37">
        <f ca="1">IFERROR(__xludf.DUMMYFUNCTION("""COMPUTED_VALUE"""),0)</f>
        <v>0</v>
      </c>
      <c r="J159" s="37">
        <f ca="1">IFERROR(__xludf.DUMMYFUNCTION("""COMPUTED_VALUE"""),4242)</f>
        <v>4242</v>
      </c>
      <c r="K159" s="37">
        <f ca="1">IFERROR(__xludf.DUMMYFUNCTION("""COMPUTED_VALUE"""),0)</f>
        <v>0</v>
      </c>
      <c r="L159" s="37">
        <f ca="1">IFERROR(__xludf.DUMMYFUNCTION("""COMPUTED_VALUE"""),0)</f>
        <v>0</v>
      </c>
      <c r="M159" s="37">
        <f ca="1">IFERROR(__xludf.DUMMYFUNCTION("""COMPUTED_VALUE"""),0)</f>
        <v>0</v>
      </c>
      <c r="N159" s="37">
        <f ca="1">IFERROR(__xludf.DUMMYFUNCTION("""COMPUTED_VALUE"""),0)</f>
        <v>0</v>
      </c>
      <c r="O159" s="37">
        <f ca="1">IFERROR(__xludf.DUMMYFUNCTION("""COMPUTED_VALUE"""),0)</f>
        <v>0</v>
      </c>
      <c r="P159" s="37">
        <f ca="1">IFERROR(__xludf.DUMMYFUNCTION("""COMPUTED_VALUE"""),0)</f>
        <v>0</v>
      </c>
      <c r="Q159" s="37">
        <f ca="1">IFERROR(__xludf.DUMMYFUNCTION("""COMPUTED_VALUE"""),3507)</f>
        <v>3507</v>
      </c>
      <c r="R159" s="37">
        <f ca="1">IFERROR(__xludf.DUMMYFUNCTION("""COMPUTED_VALUE"""),0)</f>
        <v>0</v>
      </c>
      <c r="S159" s="37">
        <f ca="1">IFERROR(__xludf.DUMMYFUNCTION("""COMPUTED_VALUE"""),0)</f>
        <v>0</v>
      </c>
      <c r="T159" s="37">
        <f ca="1">IFERROR(__xludf.DUMMYFUNCTION("""COMPUTED_VALUE"""),0)</f>
        <v>0</v>
      </c>
      <c r="U159" s="37">
        <f ca="1">IFERROR(__xludf.DUMMYFUNCTION("""COMPUTED_VALUE"""),0)</f>
        <v>0</v>
      </c>
      <c r="V159" s="37">
        <f ca="1">IFERROR(__xludf.DUMMYFUNCTION("""COMPUTED_VALUE"""),0)</f>
        <v>0</v>
      </c>
      <c r="W159" s="37">
        <f ca="1">IFERROR(__xludf.DUMMYFUNCTION("""COMPUTED_VALUE"""),0)</f>
        <v>0</v>
      </c>
      <c r="X159" s="37">
        <f ca="1">IFERROR(__xludf.DUMMYFUNCTION("""COMPUTED_VALUE"""),0)</f>
        <v>0</v>
      </c>
      <c r="Y159" s="37">
        <f ca="1">IFERROR(__xludf.DUMMYFUNCTION("""COMPUTED_VALUE"""),0)</f>
        <v>0</v>
      </c>
      <c r="Z159" s="37">
        <f ca="1">IFERROR(__xludf.DUMMYFUNCTION("""COMPUTED_VALUE"""),0)</f>
        <v>0</v>
      </c>
    </row>
    <row r="160" spans="1:26" ht="12.75">
      <c r="A160" s="38" t="str">
        <f ca="1">IFERROR(__xludf.DUMMYFUNCTION("""COMPUTED_VALUE"""),"Dianópolis")</f>
        <v>Dianópolis</v>
      </c>
      <c r="B160" s="38" t="str">
        <f ca="1">IFERROR(__xludf.DUMMYFUNCTION("""COMPUTED_VALUE"""),"Ponte Alta do Bom Jesus")</f>
        <v>Ponte Alta do Bom Jesus</v>
      </c>
      <c r="C160" s="39" t="str">
        <f ca="1">IFERROR(__xludf.DUMMYFUNCTION("""COMPUTED_VALUE"""),"A.A. E. ESC. EST. BOA VISTA DE BELEM")</f>
        <v>A.A. E. ESC. EST. BOA VISTA DE BELEM</v>
      </c>
      <c r="D160" s="40" t="str">
        <f ca="1">IFERROR(__xludf.DUMMYFUNCTION("""COMPUTED_VALUE"""),"01136045000150")</f>
        <v>01136045000150</v>
      </c>
      <c r="E160" s="41" t="str">
        <f ca="1">IFERROR(__xludf.DUMMYFUNCTION("""COMPUTED_VALUE"""),"001")</f>
        <v>001</v>
      </c>
      <c r="F160" s="42" t="str">
        <f ca="1">IFERROR(__xludf.DUMMYFUNCTION("""COMPUTED_VALUE"""),"1307")</f>
        <v>1307</v>
      </c>
      <c r="G160" s="42" t="str">
        <f ca="1">IFERROR(__xludf.DUMMYFUNCTION("""COMPUTED_VALUE"""),"010762X")</f>
        <v>010762X</v>
      </c>
      <c r="H160" s="42">
        <f ca="1">IFERROR(__xludf.DUMMYFUNCTION("""COMPUTED_VALUE"""),0)</f>
        <v>0</v>
      </c>
      <c r="I160" s="42">
        <f ca="1">IFERROR(__xludf.DUMMYFUNCTION("""COMPUTED_VALUE"""),0)</f>
        <v>0</v>
      </c>
      <c r="J160" s="42">
        <f ca="1">IFERROR(__xludf.DUMMYFUNCTION("""COMPUTED_VALUE"""),1911)</f>
        <v>1911</v>
      </c>
      <c r="K160" s="42">
        <f ca="1">IFERROR(__xludf.DUMMYFUNCTION("""COMPUTED_VALUE"""),0)</f>
        <v>0</v>
      </c>
      <c r="L160" s="42">
        <f ca="1">IFERROR(__xludf.DUMMYFUNCTION("""COMPUTED_VALUE"""),0)</f>
        <v>0</v>
      </c>
      <c r="M160" s="42">
        <f ca="1">IFERROR(__xludf.DUMMYFUNCTION("""COMPUTED_VALUE"""),0)</f>
        <v>0</v>
      </c>
      <c r="N160" s="42">
        <f ca="1">IFERROR(__xludf.DUMMYFUNCTION("""COMPUTED_VALUE"""),0)</f>
        <v>0</v>
      </c>
      <c r="O160" s="42">
        <f ca="1">IFERROR(__xludf.DUMMYFUNCTION("""COMPUTED_VALUE"""),0)</f>
        <v>0</v>
      </c>
      <c r="P160" s="42">
        <f ca="1">IFERROR(__xludf.DUMMYFUNCTION("""COMPUTED_VALUE"""),0)</f>
        <v>0</v>
      </c>
      <c r="Q160" s="42">
        <f ca="1">IFERROR(__xludf.DUMMYFUNCTION("""COMPUTED_VALUE"""),399)</f>
        <v>399</v>
      </c>
      <c r="R160" s="42">
        <f ca="1">IFERROR(__xludf.DUMMYFUNCTION("""COMPUTED_VALUE"""),0)</f>
        <v>0</v>
      </c>
      <c r="S160" s="42">
        <f ca="1">IFERROR(__xludf.DUMMYFUNCTION("""COMPUTED_VALUE"""),0)</f>
        <v>0</v>
      </c>
      <c r="T160" s="42">
        <f ca="1">IFERROR(__xludf.DUMMYFUNCTION("""COMPUTED_VALUE"""),0)</f>
        <v>0</v>
      </c>
      <c r="U160" s="42">
        <f ca="1">IFERROR(__xludf.DUMMYFUNCTION("""COMPUTED_VALUE"""),0)</f>
        <v>0</v>
      </c>
      <c r="V160" s="42">
        <f ca="1">IFERROR(__xludf.DUMMYFUNCTION("""COMPUTED_VALUE"""),0)</f>
        <v>0</v>
      </c>
      <c r="W160" s="42">
        <f ca="1">IFERROR(__xludf.DUMMYFUNCTION("""COMPUTED_VALUE"""),0)</f>
        <v>0</v>
      </c>
      <c r="X160" s="42">
        <f ca="1">IFERROR(__xludf.DUMMYFUNCTION("""COMPUTED_VALUE"""),0)</f>
        <v>0</v>
      </c>
      <c r="Y160" s="42">
        <f ca="1">IFERROR(__xludf.DUMMYFUNCTION("""COMPUTED_VALUE"""),0)</f>
        <v>0</v>
      </c>
      <c r="Z160" s="42">
        <f ca="1">IFERROR(__xludf.DUMMYFUNCTION("""COMPUTED_VALUE"""),0)</f>
        <v>0</v>
      </c>
    </row>
    <row r="161" spans="1:26" ht="12.75">
      <c r="A161" s="33" t="str">
        <f ca="1">IFERROR(__xludf.DUMMYFUNCTION("""COMPUTED_VALUE"""),"Dianópolis")</f>
        <v>Dianópolis</v>
      </c>
      <c r="B161" s="33" t="str">
        <f ca="1">IFERROR(__xludf.DUMMYFUNCTION("""COMPUTED_VALUE"""),"Porto Alegre do Tocantins")</f>
        <v>Porto Alegre do Tocantins</v>
      </c>
      <c r="C161" s="34" t="str">
        <f ca="1">IFERROR(__xludf.DUMMYFUNCTION("""COMPUTED_VALUE"""),"ASSOC. APOIO ESC. EST. ALFREDO NASSER")</f>
        <v>ASSOC. APOIO ESC. EST. ALFREDO NASSER</v>
      </c>
      <c r="D161" s="35" t="str">
        <f ca="1">IFERROR(__xludf.DUMMYFUNCTION("""COMPUTED_VALUE"""),"01105525000154")</f>
        <v>01105525000154</v>
      </c>
      <c r="E161" s="36" t="str">
        <f ca="1">IFERROR(__xludf.DUMMYFUNCTION("""COMPUTED_VALUE"""),"001")</f>
        <v>001</v>
      </c>
      <c r="F161" s="37" t="str">
        <f ca="1">IFERROR(__xludf.DUMMYFUNCTION("""COMPUTED_VALUE"""),"1307")</f>
        <v>1307</v>
      </c>
      <c r="G161" s="37" t="str">
        <f ca="1">IFERROR(__xludf.DUMMYFUNCTION("""COMPUTED_VALUE"""),"0106321")</f>
        <v>0106321</v>
      </c>
      <c r="H161" s="37">
        <f ca="1">IFERROR(__xludf.DUMMYFUNCTION("""COMPUTED_VALUE"""),0)</f>
        <v>0</v>
      </c>
      <c r="I161" s="37">
        <f ca="1">IFERROR(__xludf.DUMMYFUNCTION("""COMPUTED_VALUE"""),0)</f>
        <v>0</v>
      </c>
      <c r="J161" s="37">
        <f ca="1">IFERROR(__xludf.DUMMYFUNCTION("""COMPUTED_VALUE"""),5040)</f>
        <v>5040</v>
      </c>
      <c r="K161" s="37">
        <f ca="1">IFERROR(__xludf.DUMMYFUNCTION("""COMPUTED_VALUE"""),0)</f>
        <v>0</v>
      </c>
      <c r="L161" s="37">
        <f ca="1">IFERROR(__xludf.DUMMYFUNCTION("""COMPUTED_VALUE"""),0)</f>
        <v>0</v>
      </c>
      <c r="M161" s="37">
        <f ca="1">IFERROR(__xludf.DUMMYFUNCTION("""COMPUTED_VALUE"""),0)</f>
        <v>0</v>
      </c>
      <c r="N161" s="37">
        <f ca="1">IFERROR(__xludf.DUMMYFUNCTION("""COMPUTED_VALUE"""),0)</f>
        <v>0</v>
      </c>
      <c r="O161" s="37">
        <f ca="1">IFERROR(__xludf.DUMMYFUNCTION("""COMPUTED_VALUE"""),0)</f>
        <v>0</v>
      </c>
      <c r="P161" s="37">
        <f ca="1">IFERROR(__xludf.DUMMYFUNCTION("""COMPUTED_VALUE"""),525)</f>
        <v>525</v>
      </c>
      <c r="Q161" s="37">
        <f ca="1">IFERROR(__xludf.DUMMYFUNCTION("""COMPUTED_VALUE"""),2541)</f>
        <v>2541</v>
      </c>
      <c r="R161" s="37">
        <f ca="1">IFERROR(__xludf.DUMMYFUNCTION("""COMPUTED_VALUE"""),0)</f>
        <v>0</v>
      </c>
      <c r="S161" s="37">
        <f ca="1">IFERROR(__xludf.DUMMYFUNCTION("""COMPUTED_VALUE"""),0)</f>
        <v>0</v>
      </c>
      <c r="T161" s="37">
        <f ca="1">IFERROR(__xludf.DUMMYFUNCTION("""COMPUTED_VALUE"""),0)</f>
        <v>0</v>
      </c>
      <c r="U161" s="37">
        <f ca="1">IFERROR(__xludf.DUMMYFUNCTION("""COMPUTED_VALUE"""),0)</f>
        <v>0</v>
      </c>
      <c r="V161" s="37">
        <f ca="1">IFERROR(__xludf.DUMMYFUNCTION("""COMPUTED_VALUE"""),0)</f>
        <v>0</v>
      </c>
      <c r="W161" s="37">
        <f ca="1">IFERROR(__xludf.DUMMYFUNCTION("""COMPUTED_VALUE"""),0)</f>
        <v>0</v>
      </c>
      <c r="X161" s="37">
        <f ca="1">IFERROR(__xludf.DUMMYFUNCTION("""COMPUTED_VALUE"""),0)</f>
        <v>0</v>
      </c>
      <c r="Y161" s="37">
        <f ca="1">IFERROR(__xludf.DUMMYFUNCTION("""COMPUTED_VALUE"""),0)</f>
        <v>0</v>
      </c>
      <c r="Z161" s="37">
        <f ca="1">IFERROR(__xludf.DUMMYFUNCTION("""COMPUTED_VALUE"""),0)</f>
        <v>0</v>
      </c>
    </row>
    <row r="162" spans="1:26" ht="12.75">
      <c r="A162" s="38" t="str">
        <f ca="1">IFERROR(__xludf.DUMMYFUNCTION("""COMPUTED_VALUE"""),"Dianópolis")</f>
        <v>Dianópolis</v>
      </c>
      <c r="B162" s="38" t="str">
        <f ca="1">IFERROR(__xludf.DUMMYFUNCTION("""COMPUTED_VALUE"""),"Rio da Conceicao")</f>
        <v>Rio da Conceicao</v>
      </c>
      <c r="C162" s="39" t="str">
        <f ca="1">IFERROR(__xludf.DUMMYFUNCTION("""COMPUTED_VALUE"""),"A.A. E. E.VIRGILIO FERREIRA DE FRANCA")</f>
        <v>A.A. E. E.VIRGILIO FERREIRA DE FRANCA</v>
      </c>
      <c r="D162" s="40" t="str">
        <f ca="1">IFERROR(__xludf.DUMMYFUNCTION("""COMPUTED_VALUE"""),"01136115000170")</f>
        <v>01136115000170</v>
      </c>
      <c r="E162" s="41" t="str">
        <f ca="1">IFERROR(__xludf.DUMMYFUNCTION("""COMPUTED_VALUE"""),"001")</f>
        <v>001</v>
      </c>
      <c r="F162" s="42" t="str">
        <f ca="1">IFERROR(__xludf.DUMMYFUNCTION("""COMPUTED_VALUE"""),"1307")</f>
        <v>1307</v>
      </c>
      <c r="G162" s="42" t="str">
        <f ca="1">IFERROR(__xludf.DUMMYFUNCTION("""COMPUTED_VALUE"""),"106305")</f>
        <v>106305</v>
      </c>
      <c r="H162" s="42">
        <f ca="1">IFERROR(__xludf.DUMMYFUNCTION("""COMPUTED_VALUE"""),0)</f>
        <v>0</v>
      </c>
      <c r="I162" s="42">
        <f ca="1">IFERROR(__xludf.DUMMYFUNCTION("""COMPUTED_VALUE"""),0)</f>
        <v>0</v>
      </c>
      <c r="J162" s="42">
        <f ca="1">IFERROR(__xludf.DUMMYFUNCTION("""COMPUTED_VALUE"""),2919)</f>
        <v>2919</v>
      </c>
      <c r="K162" s="42">
        <f ca="1">IFERROR(__xludf.DUMMYFUNCTION("""COMPUTED_VALUE"""),0)</f>
        <v>0</v>
      </c>
      <c r="L162" s="42">
        <f ca="1">IFERROR(__xludf.DUMMYFUNCTION("""COMPUTED_VALUE"""),0)</f>
        <v>0</v>
      </c>
      <c r="M162" s="42">
        <f ca="1">IFERROR(__xludf.DUMMYFUNCTION("""COMPUTED_VALUE"""),0)</f>
        <v>0</v>
      </c>
      <c r="N162" s="42">
        <f ca="1">IFERROR(__xludf.DUMMYFUNCTION("""COMPUTED_VALUE"""),0)</f>
        <v>0</v>
      </c>
      <c r="O162" s="42">
        <f ca="1">IFERROR(__xludf.DUMMYFUNCTION("""COMPUTED_VALUE"""),0)</f>
        <v>0</v>
      </c>
      <c r="P162" s="42">
        <f ca="1">IFERROR(__xludf.DUMMYFUNCTION("""COMPUTED_VALUE"""),147)</f>
        <v>147</v>
      </c>
      <c r="Q162" s="42">
        <f ca="1">IFERROR(__xludf.DUMMYFUNCTION("""COMPUTED_VALUE"""),1365)</f>
        <v>1365</v>
      </c>
      <c r="R162" s="42">
        <f ca="1">IFERROR(__xludf.DUMMYFUNCTION("""COMPUTED_VALUE"""),0)</f>
        <v>0</v>
      </c>
      <c r="S162" s="42">
        <f ca="1">IFERROR(__xludf.DUMMYFUNCTION("""COMPUTED_VALUE"""),0)</f>
        <v>0</v>
      </c>
      <c r="T162" s="42">
        <f ca="1">IFERROR(__xludf.DUMMYFUNCTION("""COMPUTED_VALUE"""),0)</f>
        <v>0</v>
      </c>
      <c r="U162" s="42">
        <f ca="1">IFERROR(__xludf.DUMMYFUNCTION("""COMPUTED_VALUE"""),0)</f>
        <v>0</v>
      </c>
      <c r="V162" s="42">
        <f ca="1">IFERROR(__xludf.DUMMYFUNCTION("""COMPUTED_VALUE"""),0)</f>
        <v>0</v>
      </c>
      <c r="W162" s="42">
        <f ca="1">IFERROR(__xludf.DUMMYFUNCTION("""COMPUTED_VALUE"""),0)</f>
        <v>0</v>
      </c>
      <c r="X162" s="42">
        <f ca="1">IFERROR(__xludf.DUMMYFUNCTION("""COMPUTED_VALUE"""),0)</f>
        <v>0</v>
      </c>
      <c r="Y162" s="42">
        <f ca="1">IFERROR(__xludf.DUMMYFUNCTION("""COMPUTED_VALUE"""),0)</f>
        <v>0</v>
      </c>
      <c r="Z162" s="42">
        <f ca="1">IFERROR(__xludf.DUMMYFUNCTION("""COMPUTED_VALUE"""),0)</f>
        <v>0</v>
      </c>
    </row>
    <row r="163" spans="1:26" ht="12.75">
      <c r="A163" s="33" t="str">
        <f ca="1">IFERROR(__xludf.DUMMYFUNCTION("""COMPUTED_VALUE"""),"Dianópolis")</f>
        <v>Dianópolis</v>
      </c>
      <c r="B163" s="33" t="str">
        <f ca="1">IFERROR(__xludf.DUMMYFUNCTION("""COMPUTED_VALUE"""),"Taguatinga")</f>
        <v>Taguatinga</v>
      </c>
      <c r="C163" s="34" t="str">
        <f ca="1">IFERROR(__xludf.DUMMYFUNCTION("""COMPUTED_VALUE"""),"A.A.  ESCOLA EST. JUSTINO DE ALMEIDA")</f>
        <v>A.A.  ESCOLA EST. JUSTINO DE ALMEIDA</v>
      </c>
      <c r="D163" s="35" t="str">
        <f ca="1">IFERROR(__xludf.DUMMYFUNCTION("""COMPUTED_VALUE"""),"01184379000108")</f>
        <v>01184379000108</v>
      </c>
      <c r="E163" s="36" t="str">
        <f ca="1">IFERROR(__xludf.DUMMYFUNCTION("""COMPUTED_VALUE"""),"001")</f>
        <v>001</v>
      </c>
      <c r="F163" s="37" t="str">
        <f ca="1">IFERROR(__xludf.DUMMYFUNCTION("""COMPUTED_VALUE"""),"2704")</f>
        <v>2704</v>
      </c>
      <c r="G163" s="37" t="str">
        <f ca="1">IFERROR(__xludf.DUMMYFUNCTION("""COMPUTED_VALUE"""),"102563")</f>
        <v>102563</v>
      </c>
      <c r="H163" s="37">
        <f ca="1">IFERROR(__xludf.DUMMYFUNCTION("""COMPUTED_VALUE"""),0)</f>
        <v>0</v>
      </c>
      <c r="I163" s="37">
        <f ca="1">IFERROR(__xludf.DUMMYFUNCTION("""COMPUTED_VALUE"""),0)</f>
        <v>0</v>
      </c>
      <c r="J163" s="37">
        <f ca="1">IFERROR(__xludf.DUMMYFUNCTION("""COMPUTED_VALUE"""),5082)</f>
        <v>5082</v>
      </c>
      <c r="K163" s="37">
        <f ca="1">IFERROR(__xludf.DUMMYFUNCTION("""COMPUTED_VALUE"""),0)</f>
        <v>0</v>
      </c>
      <c r="L163" s="37">
        <f ca="1">IFERROR(__xludf.DUMMYFUNCTION("""COMPUTED_VALUE"""),0)</f>
        <v>0</v>
      </c>
      <c r="M163" s="37">
        <f ca="1">IFERROR(__xludf.DUMMYFUNCTION("""COMPUTED_VALUE"""),0)</f>
        <v>0</v>
      </c>
      <c r="N163" s="37">
        <f ca="1">IFERROR(__xludf.DUMMYFUNCTION("""COMPUTED_VALUE"""),0)</f>
        <v>0</v>
      </c>
      <c r="O163" s="37">
        <f ca="1">IFERROR(__xludf.DUMMYFUNCTION("""COMPUTED_VALUE"""),0)</f>
        <v>0</v>
      </c>
      <c r="P163" s="37">
        <f ca="1">IFERROR(__xludf.DUMMYFUNCTION("""COMPUTED_VALUE"""),210)</f>
        <v>210</v>
      </c>
      <c r="Q163" s="37">
        <f ca="1">IFERROR(__xludf.DUMMYFUNCTION("""COMPUTED_VALUE"""),7497)</f>
        <v>7497</v>
      </c>
      <c r="R163" s="37">
        <f ca="1">IFERROR(__xludf.DUMMYFUNCTION("""COMPUTED_VALUE"""),0)</f>
        <v>0</v>
      </c>
      <c r="S163" s="37">
        <f ca="1">IFERROR(__xludf.DUMMYFUNCTION("""COMPUTED_VALUE"""),0)</f>
        <v>0</v>
      </c>
      <c r="T163" s="37">
        <f ca="1">IFERROR(__xludf.DUMMYFUNCTION("""COMPUTED_VALUE"""),1827)</f>
        <v>1827</v>
      </c>
      <c r="U163" s="37">
        <f ca="1">IFERROR(__xludf.DUMMYFUNCTION("""COMPUTED_VALUE"""),0)</f>
        <v>0</v>
      </c>
      <c r="V163" s="37">
        <f ca="1">IFERROR(__xludf.DUMMYFUNCTION("""COMPUTED_VALUE"""),0)</f>
        <v>0</v>
      </c>
      <c r="W163" s="37">
        <f ca="1">IFERROR(__xludf.DUMMYFUNCTION("""COMPUTED_VALUE"""),0)</f>
        <v>0</v>
      </c>
      <c r="X163" s="37">
        <f ca="1">IFERROR(__xludf.DUMMYFUNCTION("""COMPUTED_VALUE"""),0)</f>
        <v>0</v>
      </c>
      <c r="Y163" s="37">
        <f ca="1">IFERROR(__xludf.DUMMYFUNCTION("""COMPUTED_VALUE"""),0)</f>
        <v>0</v>
      </c>
      <c r="Z163" s="37">
        <f ca="1">IFERROR(__xludf.DUMMYFUNCTION("""COMPUTED_VALUE"""),0)</f>
        <v>0</v>
      </c>
    </row>
    <row r="164" spans="1:26" ht="12.75">
      <c r="A164" s="38" t="str">
        <f ca="1">IFERROR(__xludf.DUMMYFUNCTION("""COMPUTED_VALUE"""),"Dianópolis")</f>
        <v>Dianópolis</v>
      </c>
      <c r="B164" s="38" t="str">
        <f ca="1">IFERROR(__xludf.DUMMYFUNCTION("""COMPUTED_VALUE"""),"Taguatinga")</f>
        <v>Taguatinga</v>
      </c>
      <c r="C164" s="39" t="str">
        <f ca="1">IFERROR(__xludf.DUMMYFUNCTION("""COMPUTED_VALUE"""),"A.A. COL. EST. PROFESSOR AURELIANO")</f>
        <v>A.A. COL. EST. PROFESSOR AURELIANO</v>
      </c>
      <c r="D164" s="40" t="str">
        <f ca="1">IFERROR(__xludf.DUMMYFUNCTION("""COMPUTED_VALUE"""),"01133709000128")</f>
        <v>01133709000128</v>
      </c>
      <c r="E164" s="41" t="str">
        <f ca="1">IFERROR(__xludf.DUMMYFUNCTION("""COMPUTED_VALUE"""),"001")</f>
        <v>001</v>
      </c>
      <c r="F164" s="42" t="str">
        <f ca="1">IFERROR(__xludf.DUMMYFUNCTION("""COMPUTED_VALUE"""),"2704")</f>
        <v>2704</v>
      </c>
      <c r="G164" s="42" t="str">
        <f ca="1">IFERROR(__xludf.DUMMYFUNCTION("""COMPUTED_VALUE"""),"102717")</f>
        <v>102717</v>
      </c>
      <c r="H164" s="42">
        <f ca="1">IFERROR(__xludf.DUMMYFUNCTION("""COMPUTED_VALUE"""),0)</f>
        <v>0</v>
      </c>
      <c r="I164" s="42">
        <f ca="1">IFERROR(__xludf.DUMMYFUNCTION("""COMPUTED_VALUE"""),0)</f>
        <v>0</v>
      </c>
      <c r="J164" s="42">
        <f ca="1">IFERROR(__xludf.DUMMYFUNCTION("""COMPUTED_VALUE"""),0)</f>
        <v>0</v>
      </c>
      <c r="K164" s="42">
        <f ca="1">IFERROR(__xludf.DUMMYFUNCTION("""COMPUTED_VALUE"""),0)</f>
        <v>0</v>
      </c>
      <c r="L164" s="42">
        <f ca="1">IFERROR(__xludf.DUMMYFUNCTION("""COMPUTED_VALUE"""),0)</f>
        <v>0</v>
      </c>
      <c r="M164" s="42">
        <f ca="1">IFERROR(__xludf.DUMMYFUNCTION("""COMPUTED_VALUE"""),0)</f>
        <v>0</v>
      </c>
      <c r="N164" s="42">
        <f ca="1">IFERROR(__xludf.DUMMYFUNCTION("""COMPUTED_VALUE"""),0)</f>
        <v>0</v>
      </c>
      <c r="O164" s="42">
        <f ca="1">IFERROR(__xludf.DUMMYFUNCTION("""COMPUTED_VALUE"""),0)</f>
        <v>0</v>
      </c>
      <c r="P164" s="42">
        <f ca="1">IFERROR(__xludf.DUMMYFUNCTION("""COMPUTED_VALUE"""),231)</f>
        <v>231</v>
      </c>
      <c r="Q164" s="42">
        <f ca="1">IFERROR(__xludf.DUMMYFUNCTION("""COMPUTED_VALUE"""),0)</f>
        <v>0</v>
      </c>
      <c r="R164" s="42">
        <f ca="1">IFERROR(__xludf.DUMMYFUNCTION("""COMPUTED_VALUE"""),0)</f>
        <v>0</v>
      </c>
      <c r="S164" s="42">
        <f ca="1">IFERROR(__xludf.DUMMYFUNCTION("""COMPUTED_VALUE"""),9994.4)</f>
        <v>9994.4</v>
      </c>
      <c r="T164" s="42">
        <f ca="1">IFERROR(__xludf.DUMMYFUNCTION("""COMPUTED_VALUE"""),0)</f>
        <v>0</v>
      </c>
      <c r="U164" s="42">
        <f ca="1">IFERROR(__xludf.DUMMYFUNCTION("""COMPUTED_VALUE"""),0)</f>
        <v>0</v>
      </c>
      <c r="V164" s="42">
        <f ca="1">IFERROR(__xludf.DUMMYFUNCTION("""COMPUTED_VALUE"""),0)</f>
        <v>0</v>
      </c>
      <c r="W164" s="42">
        <f ca="1">IFERROR(__xludf.DUMMYFUNCTION("""COMPUTED_VALUE"""),964.8)</f>
        <v>964.8</v>
      </c>
      <c r="X164" s="42">
        <f ca="1">IFERROR(__xludf.DUMMYFUNCTION("""COMPUTED_VALUE"""),0)</f>
        <v>0</v>
      </c>
      <c r="Y164" s="42">
        <f ca="1">IFERROR(__xludf.DUMMYFUNCTION("""COMPUTED_VALUE"""),0)</f>
        <v>0</v>
      </c>
      <c r="Z164" s="42">
        <f ca="1">IFERROR(__xludf.DUMMYFUNCTION("""COMPUTED_VALUE"""),0)</f>
        <v>0</v>
      </c>
    </row>
    <row r="165" spans="1:26" ht="12.75">
      <c r="A165" s="33" t="str">
        <f ca="1">IFERROR(__xludf.DUMMYFUNCTION("""COMPUTED_VALUE"""),"Dianópolis")</f>
        <v>Dianópolis</v>
      </c>
      <c r="B165" s="33" t="str">
        <f ca="1">IFERROR(__xludf.DUMMYFUNCTION("""COMPUTED_VALUE"""),"Taguatinga")</f>
        <v>Taguatinga</v>
      </c>
      <c r="C165" s="34" t="str">
        <f ca="1">IFERROR(__xludf.DUMMYFUNCTION("""COMPUTED_VALUE"""),"A.A. ESC. EST. AGOSTINHO DE ALMEIDA")</f>
        <v>A.A. ESC. EST. AGOSTINHO DE ALMEIDA</v>
      </c>
      <c r="D165" s="35" t="str">
        <f ca="1">IFERROR(__xludf.DUMMYFUNCTION("""COMPUTED_VALUE"""),"01197159000100")</f>
        <v>01197159000100</v>
      </c>
      <c r="E165" s="36" t="str">
        <f ca="1">IFERROR(__xludf.DUMMYFUNCTION("""COMPUTED_VALUE"""),"001")</f>
        <v>001</v>
      </c>
      <c r="F165" s="37" t="str">
        <f ca="1">IFERROR(__xludf.DUMMYFUNCTION("""COMPUTED_VALUE"""),"2704")</f>
        <v>2704</v>
      </c>
      <c r="G165" s="37" t="str">
        <f ca="1">IFERROR(__xludf.DUMMYFUNCTION("""COMPUTED_VALUE"""),"102555")</f>
        <v>102555</v>
      </c>
      <c r="H165" s="37">
        <f ca="1">IFERROR(__xludf.DUMMYFUNCTION("""COMPUTED_VALUE"""),0)</f>
        <v>0</v>
      </c>
      <c r="I165" s="37">
        <f ca="1">IFERROR(__xludf.DUMMYFUNCTION("""COMPUTED_VALUE"""),0)</f>
        <v>0</v>
      </c>
      <c r="J165" s="37">
        <f ca="1">IFERROR(__xludf.DUMMYFUNCTION("""COMPUTED_VALUE"""),6678)</f>
        <v>6678</v>
      </c>
      <c r="K165" s="37">
        <f ca="1">IFERROR(__xludf.DUMMYFUNCTION("""COMPUTED_VALUE"""),0)</f>
        <v>0</v>
      </c>
      <c r="L165" s="37">
        <f ca="1">IFERROR(__xludf.DUMMYFUNCTION("""COMPUTED_VALUE"""),0)</f>
        <v>0</v>
      </c>
      <c r="M165" s="37">
        <f ca="1">IFERROR(__xludf.DUMMYFUNCTION("""COMPUTED_VALUE"""),0)</f>
        <v>0</v>
      </c>
      <c r="N165" s="37">
        <f ca="1">IFERROR(__xludf.DUMMYFUNCTION("""COMPUTED_VALUE"""),0)</f>
        <v>0</v>
      </c>
      <c r="O165" s="37">
        <f ca="1">IFERROR(__xludf.DUMMYFUNCTION("""COMPUTED_VALUE"""),0)</f>
        <v>0</v>
      </c>
      <c r="P165" s="37">
        <f ca="1">IFERROR(__xludf.DUMMYFUNCTION("""COMPUTED_VALUE"""),399)</f>
        <v>399</v>
      </c>
      <c r="Q165" s="37">
        <f ca="1">IFERROR(__xludf.DUMMYFUNCTION("""COMPUTED_VALUE"""),0)</f>
        <v>0</v>
      </c>
      <c r="R165" s="37">
        <f ca="1">IFERROR(__xludf.DUMMYFUNCTION("""COMPUTED_VALUE"""),0)</f>
        <v>0</v>
      </c>
      <c r="S165" s="37">
        <f ca="1">IFERROR(__xludf.DUMMYFUNCTION("""COMPUTED_VALUE"""),0)</f>
        <v>0</v>
      </c>
      <c r="T165" s="37">
        <f ca="1">IFERROR(__xludf.DUMMYFUNCTION("""COMPUTED_VALUE"""),0)</f>
        <v>0</v>
      </c>
      <c r="U165" s="37">
        <f ca="1">IFERROR(__xludf.DUMMYFUNCTION("""COMPUTED_VALUE"""),0)</f>
        <v>0</v>
      </c>
      <c r="V165" s="37">
        <f ca="1">IFERROR(__xludf.DUMMYFUNCTION("""COMPUTED_VALUE"""),0)</f>
        <v>0</v>
      </c>
      <c r="W165" s="37">
        <f ca="1">IFERROR(__xludf.DUMMYFUNCTION("""COMPUTED_VALUE"""),0)</f>
        <v>0</v>
      </c>
      <c r="X165" s="37">
        <f ca="1">IFERROR(__xludf.DUMMYFUNCTION("""COMPUTED_VALUE"""),0)</f>
        <v>0</v>
      </c>
      <c r="Y165" s="37">
        <f ca="1">IFERROR(__xludf.DUMMYFUNCTION("""COMPUTED_VALUE"""),0)</f>
        <v>0</v>
      </c>
      <c r="Z165" s="37">
        <f ca="1">IFERROR(__xludf.DUMMYFUNCTION("""COMPUTED_VALUE"""),0)</f>
        <v>0</v>
      </c>
    </row>
    <row r="166" spans="1:26" ht="12.75">
      <c r="A166" s="38" t="str">
        <f ca="1">IFERROR(__xludf.DUMMYFUNCTION("""COMPUTED_VALUE"""),"Dianópolis")</f>
        <v>Dianópolis</v>
      </c>
      <c r="B166" s="38" t="str">
        <f ca="1">IFERROR(__xludf.DUMMYFUNCTION("""COMPUTED_VALUE"""),"Taipas do Tocantins")</f>
        <v>Taipas do Tocantins</v>
      </c>
      <c r="C166" s="39" t="str">
        <f ca="1">IFERROR(__xludf.DUMMYFUNCTION("""COMPUTED_VALUE"""),"A.A. E. EST. JOAQUIM FRANCISCO AZEVEDO")</f>
        <v>A.A. E. EST. JOAQUIM FRANCISCO AZEVEDO</v>
      </c>
      <c r="D166" s="40" t="str">
        <f ca="1">IFERROR(__xludf.DUMMYFUNCTION("""COMPUTED_VALUE"""),"01136011000166")</f>
        <v>01136011000166</v>
      </c>
      <c r="E166" s="41" t="str">
        <f ca="1">IFERROR(__xludf.DUMMYFUNCTION("""COMPUTED_VALUE"""),"001")</f>
        <v>001</v>
      </c>
      <c r="F166" s="42" t="str">
        <f ca="1">IFERROR(__xludf.DUMMYFUNCTION("""COMPUTED_VALUE"""),"1307")</f>
        <v>1307</v>
      </c>
      <c r="G166" s="42" t="str">
        <f ca="1">IFERROR(__xludf.DUMMYFUNCTION("""COMPUTED_VALUE"""),"0106291")</f>
        <v>0106291</v>
      </c>
      <c r="H166" s="42">
        <f ca="1">IFERROR(__xludf.DUMMYFUNCTION("""COMPUTED_VALUE"""),0)</f>
        <v>0</v>
      </c>
      <c r="I166" s="42">
        <f ca="1">IFERROR(__xludf.DUMMYFUNCTION("""COMPUTED_VALUE"""),0)</f>
        <v>0</v>
      </c>
      <c r="J166" s="42">
        <f ca="1">IFERROR(__xludf.DUMMYFUNCTION("""COMPUTED_VALUE"""),3507)</f>
        <v>3507</v>
      </c>
      <c r="K166" s="42">
        <f ca="1">IFERROR(__xludf.DUMMYFUNCTION("""COMPUTED_VALUE"""),0)</f>
        <v>0</v>
      </c>
      <c r="L166" s="42">
        <f ca="1">IFERROR(__xludf.DUMMYFUNCTION("""COMPUTED_VALUE"""),0)</f>
        <v>0</v>
      </c>
      <c r="M166" s="42">
        <f ca="1">IFERROR(__xludf.DUMMYFUNCTION("""COMPUTED_VALUE"""),0)</f>
        <v>0</v>
      </c>
      <c r="N166" s="42">
        <f ca="1">IFERROR(__xludf.DUMMYFUNCTION("""COMPUTED_VALUE"""),0)</f>
        <v>0</v>
      </c>
      <c r="O166" s="42">
        <f ca="1">IFERROR(__xludf.DUMMYFUNCTION("""COMPUTED_VALUE"""),0)</f>
        <v>0</v>
      </c>
      <c r="P166" s="42">
        <f ca="1">IFERROR(__xludf.DUMMYFUNCTION("""COMPUTED_VALUE"""),294)</f>
        <v>294</v>
      </c>
      <c r="Q166" s="42">
        <f ca="1">IFERROR(__xludf.DUMMYFUNCTION("""COMPUTED_VALUE"""),1386)</f>
        <v>1386</v>
      </c>
      <c r="R166" s="42">
        <f ca="1">IFERROR(__xludf.DUMMYFUNCTION("""COMPUTED_VALUE"""),0)</f>
        <v>0</v>
      </c>
      <c r="S166" s="42">
        <f ca="1">IFERROR(__xludf.DUMMYFUNCTION("""COMPUTED_VALUE"""),0)</f>
        <v>0</v>
      </c>
      <c r="T166" s="42">
        <f ca="1">IFERROR(__xludf.DUMMYFUNCTION("""COMPUTED_VALUE"""),399)</f>
        <v>399</v>
      </c>
      <c r="U166" s="42">
        <f ca="1">IFERROR(__xludf.DUMMYFUNCTION("""COMPUTED_VALUE"""),0)</f>
        <v>0</v>
      </c>
      <c r="V166" s="42">
        <f ca="1">IFERROR(__xludf.DUMMYFUNCTION("""COMPUTED_VALUE"""),0)</f>
        <v>0</v>
      </c>
      <c r="W166" s="42">
        <f ca="1">IFERROR(__xludf.DUMMYFUNCTION("""COMPUTED_VALUE"""),0)</f>
        <v>0</v>
      </c>
      <c r="X166" s="42">
        <f ca="1">IFERROR(__xludf.DUMMYFUNCTION("""COMPUTED_VALUE"""),0)</f>
        <v>0</v>
      </c>
      <c r="Y166" s="42">
        <f ca="1">IFERROR(__xludf.DUMMYFUNCTION("""COMPUTED_VALUE"""),0)</f>
        <v>0</v>
      </c>
      <c r="Z166" s="42">
        <f ca="1">IFERROR(__xludf.DUMMYFUNCTION("""COMPUTED_VALUE"""),0)</f>
        <v>0</v>
      </c>
    </row>
    <row r="167" spans="1:26" ht="12.75">
      <c r="A167" s="33" t="str">
        <f ca="1">IFERROR(__xludf.DUMMYFUNCTION("""COMPUTED_VALUE"""),"Guaraí")</f>
        <v>Guaraí</v>
      </c>
      <c r="B167" s="33" t="str">
        <f ca="1">IFERROR(__xludf.DUMMYFUNCTION("""COMPUTED_VALUE"""),"Colmeia")</f>
        <v>Colmeia</v>
      </c>
      <c r="C167" s="34" t="str">
        <f ca="1">IFERROR(__xludf.DUMMYFUNCTION("""COMPUTED_VALUE"""),"A.A.  COL. EST. SERRA DAS CORDILHEIRAS")</f>
        <v>A.A.  COL. EST. SERRA DAS CORDILHEIRAS</v>
      </c>
      <c r="D167" s="35" t="str">
        <f ca="1">IFERROR(__xludf.DUMMYFUNCTION("""COMPUTED_VALUE"""),"01138330000100")</f>
        <v>01138330000100</v>
      </c>
      <c r="E167" s="36" t="str">
        <f ca="1">IFERROR(__xludf.DUMMYFUNCTION("""COMPUTED_VALUE"""),"001")</f>
        <v>001</v>
      </c>
      <c r="F167" s="37" t="str">
        <f ca="1">IFERROR(__xludf.DUMMYFUNCTION("""COMPUTED_VALUE"""),"1306")</f>
        <v>1306</v>
      </c>
      <c r="G167" s="37" t="str">
        <f ca="1">IFERROR(__xludf.DUMMYFUNCTION("""COMPUTED_VALUE"""),"102776")</f>
        <v>102776</v>
      </c>
      <c r="H167" s="37">
        <f ca="1">IFERROR(__xludf.DUMMYFUNCTION("""COMPUTED_VALUE"""),0)</f>
        <v>0</v>
      </c>
      <c r="I167" s="37">
        <f ca="1">IFERROR(__xludf.DUMMYFUNCTION("""COMPUTED_VALUE"""),0)</f>
        <v>0</v>
      </c>
      <c r="J167" s="37">
        <f ca="1">IFERROR(__xludf.DUMMYFUNCTION("""COMPUTED_VALUE"""),7476)</f>
        <v>7476</v>
      </c>
      <c r="K167" s="37">
        <f ca="1">IFERROR(__xludf.DUMMYFUNCTION("""COMPUTED_VALUE"""),0)</f>
        <v>0</v>
      </c>
      <c r="L167" s="37">
        <f ca="1">IFERROR(__xludf.DUMMYFUNCTION("""COMPUTED_VALUE"""),0)</f>
        <v>0</v>
      </c>
      <c r="M167" s="37">
        <f ca="1">IFERROR(__xludf.DUMMYFUNCTION("""COMPUTED_VALUE"""),0)</f>
        <v>0</v>
      </c>
      <c r="N167" s="37">
        <f ca="1">IFERROR(__xludf.DUMMYFUNCTION("""COMPUTED_VALUE"""),0)</f>
        <v>0</v>
      </c>
      <c r="O167" s="37">
        <f ca="1">IFERROR(__xludf.DUMMYFUNCTION("""COMPUTED_VALUE"""),0)</f>
        <v>0</v>
      </c>
      <c r="P167" s="37">
        <f ca="1">IFERROR(__xludf.DUMMYFUNCTION("""COMPUTED_VALUE"""),756)</f>
        <v>756</v>
      </c>
      <c r="Q167" s="37">
        <f ca="1">IFERROR(__xludf.DUMMYFUNCTION("""COMPUTED_VALUE"""),10878)</f>
        <v>10878</v>
      </c>
      <c r="R167" s="37">
        <f ca="1">IFERROR(__xludf.DUMMYFUNCTION("""COMPUTED_VALUE"""),0)</f>
        <v>0</v>
      </c>
      <c r="S167" s="37">
        <f ca="1">IFERROR(__xludf.DUMMYFUNCTION("""COMPUTED_VALUE"""),0)</f>
        <v>0</v>
      </c>
      <c r="T167" s="37">
        <f ca="1">IFERROR(__xludf.DUMMYFUNCTION("""COMPUTED_VALUE"""),336)</f>
        <v>336</v>
      </c>
      <c r="U167" s="37">
        <f ca="1">IFERROR(__xludf.DUMMYFUNCTION("""COMPUTED_VALUE"""),0)</f>
        <v>0</v>
      </c>
      <c r="V167" s="37">
        <f ca="1">IFERROR(__xludf.DUMMYFUNCTION("""COMPUTED_VALUE"""),0)</f>
        <v>0</v>
      </c>
      <c r="W167" s="37">
        <f ca="1">IFERROR(__xludf.DUMMYFUNCTION("""COMPUTED_VALUE"""),0)</f>
        <v>0</v>
      </c>
      <c r="X167" s="37">
        <f ca="1">IFERROR(__xludf.DUMMYFUNCTION("""COMPUTED_VALUE"""),0)</f>
        <v>0</v>
      </c>
      <c r="Y167" s="37">
        <f ca="1">IFERROR(__xludf.DUMMYFUNCTION("""COMPUTED_VALUE"""),0)</f>
        <v>0</v>
      </c>
      <c r="Z167" s="37">
        <f ca="1">IFERROR(__xludf.DUMMYFUNCTION("""COMPUTED_VALUE"""),0)</f>
        <v>0</v>
      </c>
    </row>
    <row r="168" spans="1:26" ht="12.75">
      <c r="A168" s="38" t="str">
        <f ca="1">IFERROR(__xludf.DUMMYFUNCTION("""COMPUTED_VALUE"""),"Guaraí")</f>
        <v>Guaraí</v>
      </c>
      <c r="B168" s="38" t="str">
        <f ca="1">IFERROR(__xludf.DUMMYFUNCTION("""COMPUTED_VALUE"""),"Colmeia")</f>
        <v>Colmeia</v>
      </c>
      <c r="C168" s="39" t="str">
        <f ca="1">IFERROR(__xludf.DUMMYFUNCTION("""COMPUTED_VALUE"""),"A..A. ESC. ESPECIAL  FILHOS DA LUZ")</f>
        <v>A..A. ESC. ESPECIAL  FILHOS DA LUZ</v>
      </c>
      <c r="D168" s="40" t="str">
        <f ca="1">IFERROR(__xludf.DUMMYFUNCTION("""COMPUTED_VALUE"""),"07921086000134")</f>
        <v>07921086000134</v>
      </c>
      <c r="E168" s="41" t="str">
        <f ca="1">IFERROR(__xludf.DUMMYFUNCTION("""COMPUTED_VALUE"""),"001")</f>
        <v>001</v>
      </c>
      <c r="F168" s="42" t="str">
        <f ca="1">IFERROR(__xludf.DUMMYFUNCTION("""COMPUTED_VALUE"""),"1306")</f>
        <v>1306</v>
      </c>
      <c r="G168" s="42" t="str">
        <f ca="1">IFERROR(__xludf.DUMMYFUNCTION("""COMPUTED_VALUE"""),"167940")</f>
        <v>167940</v>
      </c>
      <c r="H168" s="42">
        <f ca="1">IFERROR(__xludf.DUMMYFUNCTION("""COMPUTED_VALUE"""),0)</f>
        <v>0</v>
      </c>
      <c r="I168" s="42">
        <f ca="1">IFERROR(__xludf.DUMMYFUNCTION("""COMPUTED_VALUE"""),210)</f>
        <v>210</v>
      </c>
      <c r="J168" s="42">
        <f ca="1">IFERROR(__xludf.DUMMYFUNCTION("""COMPUTED_VALUE"""),0)</f>
        <v>0</v>
      </c>
      <c r="K168" s="42">
        <f ca="1">IFERROR(__xludf.DUMMYFUNCTION("""COMPUTED_VALUE"""),0)</f>
        <v>0</v>
      </c>
      <c r="L168" s="42">
        <f ca="1">IFERROR(__xludf.DUMMYFUNCTION("""COMPUTED_VALUE"""),0)</f>
        <v>0</v>
      </c>
      <c r="M168" s="42">
        <f ca="1">IFERROR(__xludf.DUMMYFUNCTION("""COMPUTED_VALUE"""),0)</f>
        <v>0</v>
      </c>
      <c r="N168" s="42">
        <f ca="1">IFERROR(__xludf.DUMMYFUNCTION("""COMPUTED_VALUE"""),0)</f>
        <v>0</v>
      </c>
      <c r="O168" s="42">
        <f ca="1">IFERROR(__xludf.DUMMYFUNCTION("""COMPUTED_VALUE"""),0)</f>
        <v>0</v>
      </c>
      <c r="P168" s="42">
        <f ca="1">IFERROR(__xludf.DUMMYFUNCTION("""COMPUTED_VALUE"""),399)</f>
        <v>399</v>
      </c>
      <c r="Q168" s="42">
        <f ca="1">IFERROR(__xludf.DUMMYFUNCTION("""COMPUTED_VALUE"""),0)</f>
        <v>0</v>
      </c>
      <c r="R168" s="42">
        <f ca="1">IFERROR(__xludf.DUMMYFUNCTION("""COMPUTED_VALUE"""),0)</f>
        <v>0</v>
      </c>
      <c r="S168" s="42">
        <f ca="1">IFERROR(__xludf.DUMMYFUNCTION("""COMPUTED_VALUE"""),0)</f>
        <v>0</v>
      </c>
      <c r="T168" s="42">
        <f ca="1">IFERROR(__xludf.DUMMYFUNCTION("""COMPUTED_VALUE"""),1953)</f>
        <v>1953</v>
      </c>
      <c r="U168" s="42">
        <f ca="1">IFERROR(__xludf.DUMMYFUNCTION("""COMPUTED_VALUE"""),0)</f>
        <v>0</v>
      </c>
      <c r="V168" s="42">
        <f ca="1">IFERROR(__xludf.DUMMYFUNCTION("""COMPUTED_VALUE"""),0)</f>
        <v>0</v>
      </c>
      <c r="W168" s="42">
        <f ca="1">IFERROR(__xludf.DUMMYFUNCTION("""COMPUTED_VALUE"""),0)</f>
        <v>0</v>
      </c>
      <c r="X168" s="42">
        <f ca="1">IFERROR(__xludf.DUMMYFUNCTION("""COMPUTED_VALUE"""),0)</f>
        <v>0</v>
      </c>
      <c r="Y168" s="42">
        <f ca="1">IFERROR(__xludf.DUMMYFUNCTION("""COMPUTED_VALUE"""),0)</f>
        <v>0</v>
      </c>
      <c r="Z168" s="42">
        <f ca="1">IFERROR(__xludf.DUMMYFUNCTION("""COMPUTED_VALUE"""),0)</f>
        <v>0</v>
      </c>
    </row>
    <row r="169" spans="1:26" ht="12.75">
      <c r="A169" s="33" t="str">
        <f ca="1">IFERROR(__xludf.DUMMYFUNCTION("""COMPUTED_VALUE"""),"Guaraí")</f>
        <v>Guaraí</v>
      </c>
      <c r="B169" s="33" t="str">
        <f ca="1">IFERROR(__xludf.DUMMYFUNCTION("""COMPUTED_VALUE"""),"Colmeia")</f>
        <v>Colmeia</v>
      </c>
      <c r="C169" s="34" t="str">
        <f ca="1">IFERROR(__xludf.DUMMYFUNCTION("""COMPUTED_VALUE"""),"A.A. ESC. EST. ARY RIBEIRO VALADAO FILHO")</f>
        <v>A.A. ESC. EST. ARY RIBEIRO VALADAO FILHO</v>
      </c>
      <c r="D169" s="35" t="str">
        <f ca="1">IFERROR(__xludf.DUMMYFUNCTION("""COMPUTED_VALUE"""),"01138331000155")</f>
        <v>01138331000155</v>
      </c>
      <c r="E169" s="36" t="str">
        <f ca="1">IFERROR(__xludf.DUMMYFUNCTION("""COMPUTED_VALUE"""),"001")</f>
        <v>001</v>
      </c>
      <c r="F169" s="37" t="str">
        <f ca="1">IFERROR(__xludf.DUMMYFUNCTION("""COMPUTED_VALUE"""),"1306")</f>
        <v>1306</v>
      </c>
      <c r="G169" s="37" t="str">
        <f ca="1">IFERROR(__xludf.DUMMYFUNCTION("""COMPUTED_VALUE"""),"102806")</f>
        <v>102806</v>
      </c>
      <c r="H169" s="37">
        <f ca="1">IFERROR(__xludf.DUMMYFUNCTION("""COMPUTED_VALUE"""),0)</f>
        <v>0</v>
      </c>
      <c r="I169" s="37">
        <f ca="1">IFERROR(__xludf.DUMMYFUNCTION("""COMPUTED_VALUE"""),0)</f>
        <v>0</v>
      </c>
      <c r="J169" s="37">
        <f ca="1">IFERROR(__xludf.DUMMYFUNCTION("""COMPUTED_VALUE"""),3885)</f>
        <v>3885</v>
      </c>
      <c r="K169" s="37">
        <f ca="1">IFERROR(__xludf.DUMMYFUNCTION("""COMPUTED_VALUE"""),0)</f>
        <v>0</v>
      </c>
      <c r="L169" s="37">
        <f ca="1">IFERROR(__xludf.DUMMYFUNCTION("""COMPUTED_VALUE"""),0)</f>
        <v>0</v>
      </c>
      <c r="M169" s="37">
        <f ca="1">IFERROR(__xludf.DUMMYFUNCTION("""COMPUTED_VALUE"""),0)</f>
        <v>0</v>
      </c>
      <c r="N169" s="37">
        <f ca="1">IFERROR(__xludf.DUMMYFUNCTION("""COMPUTED_VALUE"""),0)</f>
        <v>0</v>
      </c>
      <c r="O169" s="37">
        <f ca="1">IFERROR(__xludf.DUMMYFUNCTION("""COMPUTED_VALUE"""),0)</f>
        <v>0</v>
      </c>
      <c r="P169" s="37">
        <f ca="1">IFERROR(__xludf.DUMMYFUNCTION("""COMPUTED_VALUE"""),189)</f>
        <v>189</v>
      </c>
      <c r="Q169" s="37">
        <f ca="1">IFERROR(__xludf.DUMMYFUNCTION("""COMPUTED_VALUE"""),693)</f>
        <v>693</v>
      </c>
      <c r="R169" s="37">
        <f ca="1">IFERROR(__xludf.DUMMYFUNCTION("""COMPUTED_VALUE"""),0)</f>
        <v>0</v>
      </c>
      <c r="S169" s="37">
        <f ca="1">IFERROR(__xludf.DUMMYFUNCTION("""COMPUTED_VALUE"""),0)</f>
        <v>0</v>
      </c>
      <c r="T169" s="37">
        <f ca="1">IFERROR(__xludf.DUMMYFUNCTION("""COMPUTED_VALUE"""),0)</f>
        <v>0</v>
      </c>
      <c r="U169" s="37">
        <f ca="1">IFERROR(__xludf.DUMMYFUNCTION("""COMPUTED_VALUE"""),0)</f>
        <v>0</v>
      </c>
      <c r="V169" s="37">
        <f ca="1">IFERROR(__xludf.DUMMYFUNCTION("""COMPUTED_VALUE"""),0)</f>
        <v>0</v>
      </c>
      <c r="W169" s="37">
        <f ca="1">IFERROR(__xludf.DUMMYFUNCTION("""COMPUTED_VALUE"""),0)</f>
        <v>0</v>
      </c>
      <c r="X169" s="37">
        <f ca="1">IFERROR(__xludf.DUMMYFUNCTION("""COMPUTED_VALUE"""),0)</f>
        <v>0</v>
      </c>
      <c r="Y169" s="37">
        <f ca="1">IFERROR(__xludf.DUMMYFUNCTION("""COMPUTED_VALUE"""),0)</f>
        <v>0</v>
      </c>
      <c r="Z169" s="37">
        <f ca="1">IFERROR(__xludf.DUMMYFUNCTION("""COMPUTED_VALUE"""),0)</f>
        <v>0</v>
      </c>
    </row>
    <row r="170" spans="1:26" ht="12.75">
      <c r="A170" s="38" t="str">
        <f ca="1">IFERROR(__xludf.DUMMYFUNCTION("""COMPUTED_VALUE"""),"Guaraí")</f>
        <v>Guaraí</v>
      </c>
      <c r="B170" s="38" t="str">
        <f ca="1">IFERROR(__xludf.DUMMYFUNCTION("""COMPUTED_VALUE"""),"Colmeia")</f>
        <v>Colmeia</v>
      </c>
      <c r="C170" s="39" t="str">
        <f ca="1">IFERROR(__xludf.DUMMYFUNCTION("""COMPUTED_VALUE"""),"A.A. ESC. EST. JUSCELINO K. DE OLIVEIRA")</f>
        <v>A.A. ESC. EST. JUSCELINO K. DE OLIVEIRA</v>
      </c>
      <c r="D170" s="40" t="str">
        <f ca="1">IFERROR(__xludf.DUMMYFUNCTION("""COMPUTED_VALUE"""),"01138328000131")</f>
        <v>01138328000131</v>
      </c>
      <c r="E170" s="41" t="str">
        <f ca="1">IFERROR(__xludf.DUMMYFUNCTION("""COMPUTED_VALUE"""),"001")</f>
        <v>001</v>
      </c>
      <c r="F170" s="42" t="str">
        <f ca="1">IFERROR(__xludf.DUMMYFUNCTION("""COMPUTED_VALUE"""),"1306")</f>
        <v>1306</v>
      </c>
      <c r="G170" s="42" t="str">
        <f ca="1">IFERROR(__xludf.DUMMYFUNCTION("""COMPUTED_VALUE"""),"102768")</f>
        <v>102768</v>
      </c>
      <c r="H170" s="42">
        <f ca="1">IFERROR(__xludf.DUMMYFUNCTION("""COMPUTED_VALUE"""),0)</f>
        <v>0</v>
      </c>
      <c r="I170" s="42">
        <f ca="1">IFERROR(__xludf.DUMMYFUNCTION("""COMPUTED_VALUE"""),0)</f>
        <v>0</v>
      </c>
      <c r="J170" s="42">
        <f ca="1">IFERROR(__xludf.DUMMYFUNCTION("""COMPUTED_VALUE"""),546)</f>
        <v>546</v>
      </c>
      <c r="K170" s="42">
        <f ca="1">IFERROR(__xludf.DUMMYFUNCTION("""COMPUTED_VALUE"""),0)</f>
        <v>0</v>
      </c>
      <c r="L170" s="42">
        <f ca="1">IFERROR(__xludf.DUMMYFUNCTION("""COMPUTED_VALUE"""),0)</f>
        <v>0</v>
      </c>
      <c r="M170" s="42">
        <f ca="1">IFERROR(__xludf.DUMMYFUNCTION("""COMPUTED_VALUE"""),0)</f>
        <v>0</v>
      </c>
      <c r="N170" s="42">
        <f ca="1">IFERROR(__xludf.DUMMYFUNCTION("""COMPUTED_VALUE"""),0)</f>
        <v>0</v>
      </c>
      <c r="O170" s="42">
        <f ca="1">IFERROR(__xludf.DUMMYFUNCTION("""COMPUTED_VALUE"""),0)</f>
        <v>0</v>
      </c>
      <c r="P170" s="42">
        <f ca="1">IFERROR(__xludf.DUMMYFUNCTION("""COMPUTED_VALUE"""),0)</f>
        <v>0</v>
      </c>
      <c r="Q170" s="42">
        <f ca="1">IFERROR(__xludf.DUMMYFUNCTION("""COMPUTED_VALUE"""),441)</f>
        <v>441</v>
      </c>
      <c r="R170" s="42">
        <f ca="1">IFERROR(__xludf.DUMMYFUNCTION("""COMPUTED_VALUE"""),0)</f>
        <v>0</v>
      </c>
      <c r="S170" s="42">
        <f ca="1">IFERROR(__xludf.DUMMYFUNCTION("""COMPUTED_VALUE"""),0)</f>
        <v>0</v>
      </c>
      <c r="T170" s="42">
        <f ca="1">IFERROR(__xludf.DUMMYFUNCTION("""COMPUTED_VALUE"""),0)</f>
        <v>0</v>
      </c>
      <c r="U170" s="42">
        <f ca="1">IFERROR(__xludf.DUMMYFUNCTION("""COMPUTED_VALUE"""),0)</f>
        <v>0</v>
      </c>
      <c r="V170" s="42">
        <f ca="1">IFERROR(__xludf.DUMMYFUNCTION("""COMPUTED_VALUE"""),0)</f>
        <v>0</v>
      </c>
      <c r="W170" s="42">
        <f ca="1">IFERROR(__xludf.DUMMYFUNCTION("""COMPUTED_VALUE"""),0)</f>
        <v>0</v>
      </c>
      <c r="X170" s="42">
        <f ca="1">IFERROR(__xludf.DUMMYFUNCTION("""COMPUTED_VALUE"""),0)</f>
        <v>0</v>
      </c>
      <c r="Y170" s="42">
        <f ca="1">IFERROR(__xludf.DUMMYFUNCTION("""COMPUTED_VALUE"""),0)</f>
        <v>0</v>
      </c>
      <c r="Z170" s="42">
        <f ca="1">IFERROR(__xludf.DUMMYFUNCTION("""COMPUTED_VALUE"""),0)</f>
        <v>0</v>
      </c>
    </row>
    <row r="171" spans="1:26" ht="12.75">
      <c r="A171" s="33" t="str">
        <f ca="1">IFERROR(__xludf.DUMMYFUNCTION("""COMPUTED_VALUE"""),"Guaraí")</f>
        <v>Guaraí</v>
      </c>
      <c r="B171" s="33" t="str">
        <f ca="1">IFERROR(__xludf.DUMMYFUNCTION("""COMPUTED_VALUE"""),"Couto Magalhaes")</f>
        <v>Couto Magalhaes</v>
      </c>
      <c r="C171" s="34" t="str">
        <f ca="1">IFERROR(__xludf.DUMMYFUNCTION("""COMPUTED_VALUE"""),"A.A. COL. EST. ARCHANGELA MILHOMEM")</f>
        <v>A.A. COL. EST. ARCHANGELA MILHOMEM</v>
      </c>
      <c r="D171" s="35" t="str">
        <f ca="1">IFERROR(__xludf.DUMMYFUNCTION("""COMPUTED_VALUE"""),"01138334000199")</f>
        <v>01138334000199</v>
      </c>
      <c r="E171" s="36" t="str">
        <f ca="1">IFERROR(__xludf.DUMMYFUNCTION("""COMPUTED_VALUE"""),"001")</f>
        <v>001</v>
      </c>
      <c r="F171" s="37" t="str">
        <f ca="1">IFERROR(__xludf.DUMMYFUNCTION("""COMPUTED_VALUE"""),"2094")</f>
        <v>2094</v>
      </c>
      <c r="G171" s="37" t="str">
        <f ca="1">IFERROR(__xludf.DUMMYFUNCTION("""COMPUTED_VALUE"""),"50385")</f>
        <v>50385</v>
      </c>
      <c r="H171" s="37">
        <f ca="1">IFERROR(__xludf.DUMMYFUNCTION("""COMPUTED_VALUE"""),0)</f>
        <v>0</v>
      </c>
      <c r="I171" s="37">
        <f ca="1">IFERROR(__xludf.DUMMYFUNCTION("""COMPUTED_VALUE"""),0)</f>
        <v>0</v>
      </c>
      <c r="J171" s="37">
        <f ca="1">IFERROR(__xludf.DUMMYFUNCTION("""COMPUTED_VALUE"""),0)</f>
        <v>0</v>
      </c>
      <c r="K171" s="37">
        <f ca="1">IFERROR(__xludf.DUMMYFUNCTION("""COMPUTED_VALUE"""),0)</f>
        <v>0</v>
      </c>
      <c r="L171" s="37">
        <f ca="1">IFERROR(__xludf.DUMMYFUNCTION("""COMPUTED_VALUE"""),0)</f>
        <v>0</v>
      </c>
      <c r="M171" s="37">
        <f ca="1">IFERROR(__xludf.DUMMYFUNCTION("""COMPUTED_VALUE"""),0)</f>
        <v>0</v>
      </c>
      <c r="N171" s="37">
        <f ca="1">IFERROR(__xludf.DUMMYFUNCTION("""COMPUTED_VALUE"""),0)</f>
        <v>0</v>
      </c>
      <c r="O171" s="37">
        <f ca="1">IFERROR(__xludf.DUMMYFUNCTION("""COMPUTED_VALUE"""),0)</f>
        <v>0</v>
      </c>
      <c r="P171" s="37">
        <f ca="1">IFERROR(__xludf.DUMMYFUNCTION("""COMPUTED_VALUE"""),252)</f>
        <v>252</v>
      </c>
      <c r="Q171" s="37">
        <f ca="1">IFERROR(__xludf.DUMMYFUNCTION("""COMPUTED_VALUE"""),1092)</f>
        <v>1092</v>
      </c>
      <c r="R171" s="37">
        <f ca="1">IFERROR(__xludf.DUMMYFUNCTION("""COMPUTED_VALUE"""),31046.4)</f>
        <v>31046.400000000001</v>
      </c>
      <c r="S171" s="37">
        <f ca="1">IFERROR(__xludf.DUMMYFUNCTION("""COMPUTED_VALUE"""),0)</f>
        <v>0</v>
      </c>
      <c r="T171" s="37">
        <f ca="1">IFERROR(__xludf.DUMMYFUNCTION("""COMPUTED_VALUE"""),0)</f>
        <v>0</v>
      </c>
      <c r="U171" s="37">
        <f ca="1">IFERROR(__xludf.DUMMYFUNCTION("""COMPUTED_VALUE"""),0)</f>
        <v>0</v>
      </c>
      <c r="V171" s="37">
        <f ca="1">IFERROR(__xludf.DUMMYFUNCTION("""COMPUTED_VALUE"""),0)</f>
        <v>0</v>
      </c>
      <c r="W171" s="37">
        <f ca="1">IFERROR(__xludf.DUMMYFUNCTION("""COMPUTED_VALUE"""),0)</f>
        <v>0</v>
      </c>
      <c r="X171" s="37">
        <f ca="1">IFERROR(__xludf.DUMMYFUNCTION("""COMPUTED_VALUE"""),0)</f>
        <v>0</v>
      </c>
      <c r="Y171" s="37">
        <f ca="1">IFERROR(__xludf.DUMMYFUNCTION("""COMPUTED_VALUE"""),0)</f>
        <v>0</v>
      </c>
      <c r="Z171" s="37">
        <f ca="1">IFERROR(__xludf.DUMMYFUNCTION("""COMPUTED_VALUE"""),2594.79999999999)</f>
        <v>2594.7999999999902</v>
      </c>
    </row>
    <row r="172" spans="1:26" ht="12.75">
      <c r="A172" s="38" t="str">
        <f ca="1">IFERROR(__xludf.DUMMYFUNCTION("""COMPUTED_VALUE"""),"Guaraí")</f>
        <v>Guaraí</v>
      </c>
      <c r="B172" s="38" t="str">
        <f ca="1">IFERROR(__xludf.DUMMYFUNCTION("""COMPUTED_VALUE"""),"Couto Magalhaes")</f>
        <v>Couto Magalhaes</v>
      </c>
      <c r="C172" s="39" t="str">
        <f ca="1">IFERROR(__xludf.DUMMYFUNCTION("""COMPUTED_VALUE"""),"A.A. ESC. ESPECIAL  DEUS É FIEL")</f>
        <v>A.A. ESC. ESPECIAL  DEUS É FIEL</v>
      </c>
      <c r="D172" s="40" t="str">
        <f ca="1">IFERROR(__xludf.DUMMYFUNCTION("""COMPUTED_VALUE"""),"17467216000164")</f>
        <v>17467216000164</v>
      </c>
      <c r="E172" s="41" t="str">
        <f ca="1">IFERROR(__xludf.DUMMYFUNCTION("""COMPUTED_VALUE"""),"001")</f>
        <v>001</v>
      </c>
      <c r="F172" s="42" t="str">
        <f ca="1">IFERROR(__xludf.DUMMYFUNCTION("""COMPUTED_VALUE"""),"1306")</f>
        <v>1306</v>
      </c>
      <c r="G172" s="42" t="str">
        <f ca="1">IFERROR(__xludf.DUMMYFUNCTION("""COMPUTED_VALUE"""),"265969")</f>
        <v>265969</v>
      </c>
      <c r="H172" s="42">
        <f ca="1">IFERROR(__xludf.DUMMYFUNCTION("""COMPUTED_VALUE"""),0)</f>
        <v>0</v>
      </c>
      <c r="I172" s="42">
        <f ca="1">IFERROR(__xludf.DUMMYFUNCTION("""COMPUTED_VALUE"""),0)</f>
        <v>0</v>
      </c>
      <c r="J172" s="42">
        <f ca="1">IFERROR(__xludf.DUMMYFUNCTION("""COMPUTED_VALUE"""),273)</f>
        <v>273</v>
      </c>
      <c r="K172" s="42">
        <f ca="1">IFERROR(__xludf.DUMMYFUNCTION("""COMPUTED_VALUE"""),0)</f>
        <v>0</v>
      </c>
      <c r="L172" s="42">
        <f ca="1">IFERROR(__xludf.DUMMYFUNCTION("""COMPUTED_VALUE"""),0)</f>
        <v>0</v>
      </c>
      <c r="M172" s="42">
        <f ca="1">IFERROR(__xludf.DUMMYFUNCTION("""COMPUTED_VALUE"""),0)</f>
        <v>0</v>
      </c>
      <c r="N172" s="42">
        <f ca="1">IFERROR(__xludf.DUMMYFUNCTION("""COMPUTED_VALUE"""),0)</f>
        <v>0</v>
      </c>
      <c r="O172" s="42">
        <f ca="1">IFERROR(__xludf.DUMMYFUNCTION("""COMPUTED_VALUE"""),0)</f>
        <v>0</v>
      </c>
      <c r="P172" s="42">
        <f ca="1">IFERROR(__xludf.DUMMYFUNCTION("""COMPUTED_VALUE"""),336)</f>
        <v>336</v>
      </c>
      <c r="Q172" s="42">
        <f ca="1">IFERROR(__xludf.DUMMYFUNCTION("""COMPUTED_VALUE"""),0)</f>
        <v>0</v>
      </c>
      <c r="R172" s="42">
        <f ca="1">IFERROR(__xludf.DUMMYFUNCTION("""COMPUTED_VALUE"""),0)</f>
        <v>0</v>
      </c>
      <c r="S172" s="42">
        <f ca="1">IFERROR(__xludf.DUMMYFUNCTION("""COMPUTED_VALUE"""),0)</f>
        <v>0</v>
      </c>
      <c r="T172" s="42">
        <f ca="1">IFERROR(__xludf.DUMMYFUNCTION("""COMPUTED_VALUE"""),861)</f>
        <v>861</v>
      </c>
      <c r="U172" s="42">
        <f ca="1">IFERROR(__xludf.DUMMYFUNCTION("""COMPUTED_VALUE"""),0)</f>
        <v>0</v>
      </c>
      <c r="V172" s="42">
        <f ca="1">IFERROR(__xludf.DUMMYFUNCTION("""COMPUTED_VALUE"""),0)</f>
        <v>0</v>
      </c>
      <c r="W172" s="42">
        <f ca="1">IFERROR(__xludf.DUMMYFUNCTION("""COMPUTED_VALUE"""),0)</f>
        <v>0</v>
      </c>
      <c r="X172" s="42">
        <f ca="1">IFERROR(__xludf.DUMMYFUNCTION("""COMPUTED_VALUE"""),0)</f>
        <v>0</v>
      </c>
      <c r="Y172" s="42">
        <f ca="1">IFERROR(__xludf.DUMMYFUNCTION("""COMPUTED_VALUE"""),0)</f>
        <v>0</v>
      </c>
      <c r="Z172" s="42">
        <f ca="1">IFERROR(__xludf.DUMMYFUNCTION("""COMPUTED_VALUE"""),0)</f>
        <v>0</v>
      </c>
    </row>
    <row r="173" spans="1:26" ht="12.75">
      <c r="A173" s="33" t="str">
        <f ca="1">IFERROR(__xludf.DUMMYFUNCTION("""COMPUTED_VALUE"""),"Guaraí")</f>
        <v>Guaraí</v>
      </c>
      <c r="B173" s="33" t="str">
        <f ca="1">IFERROR(__xludf.DUMMYFUNCTION("""COMPUTED_VALUE"""),"Couto Magalhaes")</f>
        <v>Couto Magalhaes</v>
      </c>
      <c r="C173" s="34" t="str">
        <f ca="1">IFERROR(__xludf.DUMMYFUNCTION("""COMPUTED_VALUE"""),"A.A. ESC. EST. ARLINDA ROSA DE SOUZA")</f>
        <v>A.A. ESC. EST. ARLINDA ROSA DE SOUZA</v>
      </c>
      <c r="D173" s="35" t="str">
        <f ca="1">IFERROR(__xludf.DUMMYFUNCTION("""COMPUTED_VALUE"""),"01221143000196")</f>
        <v>01221143000196</v>
      </c>
      <c r="E173" s="36" t="str">
        <f ca="1">IFERROR(__xludf.DUMMYFUNCTION("""COMPUTED_VALUE"""),"001")</f>
        <v>001</v>
      </c>
      <c r="F173" s="37" t="str">
        <f ca="1">IFERROR(__xludf.DUMMYFUNCTION("""COMPUTED_VALUE"""),"2094")</f>
        <v>2094</v>
      </c>
      <c r="G173" s="37" t="str">
        <f ca="1">IFERROR(__xludf.DUMMYFUNCTION("""COMPUTED_VALUE"""),"50350")</f>
        <v>50350</v>
      </c>
      <c r="H173" s="37">
        <f ca="1">IFERROR(__xludf.DUMMYFUNCTION("""COMPUTED_VALUE"""),0)</f>
        <v>0</v>
      </c>
      <c r="I173" s="37">
        <f ca="1">IFERROR(__xludf.DUMMYFUNCTION("""COMPUTED_VALUE"""),0)</f>
        <v>0</v>
      </c>
      <c r="J173" s="37">
        <f ca="1">IFERROR(__xludf.DUMMYFUNCTION("""COMPUTED_VALUE"""),3318)</f>
        <v>3318</v>
      </c>
      <c r="K173" s="37">
        <f ca="1">IFERROR(__xludf.DUMMYFUNCTION("""COMPUTED_VALUE"""),0)</f>
        <v>0</v>
      </c>
      <c r="L173" s="37">
        <f ca="1">IFERROR(__xludf.DUMMYFUNCTION("""COMPUTED_VALUE"""),0)</f>
        <v>0</v>
      </c>
      <c r="M173" s="37">
        <f ca="1">IFERROR(__xludf.DUMMYFUNCTION("""COMPUTED_VALUE"""),0)</f>
        <v>0</v>
      </c>
      <c r="N173" s="37">
        <f ca="1">IFERROR(__xludf.DUMMYFUNCTION("""COMPUTED_VALUE"""),0)</f>
        <v>0</v>
      </c>
      <c r="O173" s="37">
        <f ca="1">IFERROR(__xludf.DUMMYFUNCTION("""COMPUTED_VALUE"""),0)</f>
        <v>0</v>
      </c>
      <c r="P173" s="37">
        <f ca="1">IFERROR(__xludf.DUMMYFUNCTION("""COMPUTED_VALUE"""),0)</f>
        <v>0</v>
      </c>
      <c r="Q173" s="37">
        <f ca="1">IFERROR(__xludf.DUMMYFUNCTION("""COMPUTED_VALUE"""),0)</f>
        <v>0</v>
      </c>
      <c r="R173" s="37">
        <f ca="1">IFERROR(__xludf.DUMMYFUNCTION("""COMPUTED_VALUE"""),0)</f>
        <v>0</v>
      </c>
      <c r="S173" s="37">
        <f ca="1">IFERROR(__xludf.DUMMYFUNCTION("""COMPUTED_VALUE"""),0)</f>
        <v>0</v>
      </c>
      <c r="T173" s="37">
        <f ca="1">IFERROR(__xludf.DUMMYFUNCTION("""COMPUTED_VALUE"""),0)</f>
        <v>0</v>
      </c>
      <c r="U173" s="37">
        <f ca="1">IFERROR(__xludf.DUMMYFUNCTION("""COMPUTED_VALUE"""),0)</f>
        <v>0</v>
      </c>
      <c r="V173" s="37">
        <f ca="1">IFERROR(__xludf.DUMMYFUNCTION("""COMPUTED_VALUE"""),0)</f>
        <v>0</v>
      </c>
      <c r="W173" s="37">
        <f ca="1">IFERROR(__xludf.DUMMYFUNCTION("""COMPUTED_VALUE"""),0)</f>
        <v>0</v>
      </c>
      <c r="X173" s="37">
        <f ca="1">IFERROR(__xludf.DUMMYFUNCTION("""COMPUTED_VALUE"""),0)</f>
        <v>0</v>
      </c>
      <c r="Y173" s="37">
        <f ca="1">IFERROR(__xludf.DUMMYFUNCTION("""COMPUTED_VALUE"""),0)</f>
        <v>0</v>
      </c>
      <c r="Z173" s="37">
        <f ca="1">IFERROR(__xludf.DUMMYFUNCTION("""COMPUTED_VALUE"""),0)</f>
        <v>0</v>
      </c>
    </row>
    <row r="174" spans="1:26" ht="12.75">
      <c r="A174" s="38" t="str">
        <f ca="1">IFERROR(__xludf.DUMMYFUNCTION("""COMPUTED_VALUE"""),"Guaraí")</f>
        <v>Guaraí</v>
      </c>
      <c r="B174" s="38" t="str">
        <f ca="1">IFERROR(__xludf.DUMMYFUNCTION("""COMPUTED_VALUE"""),"Couto Magalhaes")</f>
        <v>Couto Magalhaes</v>
      </c>
      <c r="C174" s="39" t="str">
        <f ca="1">IFERROR(__xludf.DUMMYFUNCTION("""COMPUTED_VALUE"""),"A.A. ESCOLAR DA E. EST.ULTIMO DE CARVALHO")</f>
        <v>A.A. ESCOLAR DA E. EST.ULTIMO DE CARVALHO</v>
      </c>
      <c r="D174" s="40" t="str">
        <f ca="1">IFERROR(__xludf.DUMMYFUNCTION("""COMPUTED_VALUE"""),"04315063000198")</f>
        <v>04315063000198</v>
      </c>
      <c r="E174" s="41" t="str">
        <f ca="1">IFERROR(__xludf.DUMMYFUNCTION("""COMPUTED_VALUE"""),"001")</f>
        <v>001</v>
      </c>
      <c r="F174" s="42" t="str">
        <f ca="1">IFERROR(__xludf.DUMMYFUNCTION("""COMPUTED_VALUE"""),"1306")</f>
        <v>1306</v>
      </c>
      <c r="G174" s="42" t="str">
        <f ca="1">IFERROR(__xludf.DUMMYFUNCTION("""COMPUTED_VALUE"""),"74802")</f>
        <v>74802</v>
      </c>
      <c r="H174" s="42">
        <f ca="1">IFERROR(__xludf.DUMMYFUNCTION("""COMPUTED_VALUE"""),0)</f>
        <v>0</v>
      </c>
      <c r="I174" s="42">
        <f ca="1">IFERROR(__xludf.DUMMYFUNCTION("""COMPUTED_VALUE"""),0)</f>
        <v>0</v>
      </c>
      <c r="J174" s="42">
        <f ca="1">IFERROR(__xludf.DUMMYFUNCTION("""COMPUTED_VALUE"""),966)</f>
        <v>966</v>
      </c>
      <c r="K174" s="42">
        <f ca="1">IFERROR(__xludf.DUMMYFUNCTION("""COMPUTED_VALUE"""),0)</f>
        <v>0</v>
      </c>
      <c r="L174" s="42">
        <f ca="1">IFERROR(__xludf.DUMMYFUNCTION("""COMPUTED_VALUE"""),0)</f>
        <v>0</v>
      </c>
      <c r="M174" s="42">
        <f ca="1">IFERROR(__xludf.DUMMYFUNCTION("""COMPUTED_VALUE"""),0)</f>
        <v>0</v>
      </c>
      <c r="N174" s="42">
        <f ca="1">IFERROR(__xludf.DUMMYFUNCTION("""COMPUTED_VALUE"""),0)</f>
        <v>0</v>
      </c>
      <c r="O174" s="42">
        <f ca="1">IFERROR(__xludf.DUMMYFUNCTION("""COMPUTED_VALUE"""),0)</f>
        <v>0</v>
      </c>
      <c r="P174" s="42">
        <f ca="1">IFERROR(__xludf.DUMMYFUNCTION("""COMPUTED_VALUE"""),294)</f>
        <v>294</v>
      </c>
      <c r="Q174" s="42">
        <f ca="1">IFERROR(__xludf.DUMMYFUNCTION("""COMPUTED_VALUE"""),399)</f>
        <v>399</v>
      </c>
      <c r="R174" s="42">
        <f ca="1">IFERROR(__xludf.DUMMYFUNCTION("""COMPUTED_VALUE"""),0)</f>
        <v>0</v>
      </c>
      <c r="S174" s="42">
        <f ca="1">IFERROR(__xludf.DUMMYFUNCTION("""COMPUTED_VALUE"""),0)</f>
        <v>0</v>
      </c>
      <c r="T174" s="42">
        <f ca="1">IFERROR(__xludf.DUMMYFUNCTION("""COMPUTED_VALUE"""),357)</f>
        <v>357</v>
      </c>
      <c r="U174" s="42">
        <f ca="1">IFERROR(__xludf.DUMMYFUNCTION("""COMPUTED_VALUE"""),0)</f>
        <v>0</v>
      </c>
      <c r="V174" s="42">
        <f ca="1">IFERROR(__xludf.DUMMYFUNCTION("""COMPUTED_VALUE"""),0)</f>
        <v>0</v>
      </c>
      <c r="W174" s="42">
        <f ca="1">IFERROR(__xludf.DUMMYFUNCTION("""COMPUTED_VALUE"""),0)</f>
        <v>0</v>
      </c>
      <c r="X174" s="42">
        <f ca="1">IFERROR(__xludf.DUMMYFUNCTION("""COMPUTED_VALUE"""),0)</f>
        <v>0</v>
      </c>
      <c r="Y174" s="42">
        <f ca="1">IFERROR(__xludf.DUMMYFUNCTION("""COMPUTED_VALUE"""),0)</f>
        <v>0</v>
      </c>
      <c r="Z174" s="42">
        <f ca="1">IFERROR(__xludf.DUMMYFUNCTION("""COMPUTED_VALUE"""),0)</f>
        <v>0</v>
      </c>
    </row>
    <row r="175" spans="1:26" ht="12.75">
      <c r="A175" s="33" t="str">
        <f ca="1">IFERROR(__xludf.DUMMYFUNCTION("""COMPUTED_VALUE"""),"Guaraí")</f>
        <v>Guaraí</v>
      </c>
      <c r="B175" s="33" t="str">
        <f ca="1">IFERROR(__xludf.DUMMYFUNCTION("""COMPUTED_VALUE"""),"Fortaleza do Tabocao")</f>
        <v>Fortaleza do Tabocao</v>
      </c>
      <c r="C175" s="34" t="str">
        <f ca="1">IFERROR(__xludf.DUMMYFUNCTION("""COMPUTED_VALUE"""),"ASSOC. DE APOIO A ESCOLA ESPECIAL EDSON DUTRA")</f>
        <v>ASSOC. DE APOIO A ESCOLA ESPECIAL EDSON DUTRA</v>
      </c>
      <c r="D175" s="35" t="str">
        <f ca="1">IFERROR(__xludf.DUMMYFUNCTION("""COMPUTED_VALUE"""),"09405159000160")</f>
        <v>09405159000160</v>
      </c>
      <c r="E175" s="36" t="str">
        <f ca="1">IFERROR(__xludf.DUMMYFUNCTION("""COMPUTED_VALUE"""),"104")</f>
        <v>104</v>
      </c>
      <c r="F175" s="37" t="str">
        <f ca="1">IFERROR(__xludf.DUMMYFUNCTION("""COMPUTED_VALUE"""),"4481")</f>
        <v>4481</v>
      </c>
      <c r="G175" s="37" t="str">
        <f ca="1">IFERROR(__xludf.DUMMYFUNCTION("""COMPUTED_VALUE"""),"3982")</f>
        <v>3982</v>
      </c>
      <c r="H175" s="37">
        <f ca="1">IFERROR(__xludf.DUMMYFUNCTION("""COMPUTED_VALUE"""),0)</f>
        <v>0</v>
      </c>
      <c r="I175" s="37">
        <f ca="1">IFERROR(__xludf.DUMMYFUNCTION("""COMPUTED_VALUE"""),63)</f>
        <v>63</v>
      </c>
      <c r="J175" s="37">
        <f ca="1">IFERROR(__xludf.DUMMYFUNCTION("""COMPUTED_VALUE"""),42)</f>
        <v>42</v>
      </c>
      <c r="K175" s="37">
        <f ca="1">IFERROR(__xludf.DUMMYFUNCTION("""COMPUTED_VALUE"""),0)</f>
        <v>0</v>
      </c>
      <c r="L175" s="37">
        <f ca="1">IFERROR(__xludf.DUMMYFUNCTION("""COMPUTED_VALUE"""),0)</f>
        <v>0</v>
      </c>
      <c r="M175" s="37">
        <f ca="1">IFERROR(__xludf.DUMMYFUNCTION("""COMPUTED_VALUE"""),0)</f>
        <v>0</v>
      </c>
      <c r="N175" s="37">
        <f ca="1">IFERROR(__xludf.DUMMYFUNCTION("""COMPUTED_VALUE"""),0)</f>
        <v>0</v>
      </c>
      <c r="O175" s="37">
        <f ca="1">IFERROR(__xludf.DUMMYFUNCTION("""COMPUTED_VALUE"""),0)</f>
        <v>0</v>
      </c>
      <c r="P175" s="37">
        <f ca="1">IFERROR(__xludf.DUMMYFUNCTION("""COMPUTED_VALUE"""),294)</f>
        <v>294</v>
      </c>
      <c r="Q175" s="37">
        <f ca="1">IFERROR(__xludf.DUMMYFUNCTION("""COMPUTED_VALUE"""),0)</f>
        <v>0</v>
      </c>
      <c r="R175" s="37">
        <f ca="1">IFERROR(__xludf.DUMMYFUNCTION("""COMPUTED_VALUE"""),0)</f>
        <v>0</v>
      </c>
      <c r="S175" s="37">
        <f ca="1">IFERROR(__xludf.DUMMYFUNCTION("""COMPUTED_VALUE"""),0)</f>
        <v>0</v>
      </c>
      <c r="T175" s="37">
        <f ca="1">IFERROR(__xludf.DUMMYFUNCTION("""COMPUTED_VALUE"""),336)</f>
        <v>336</v>
      </c>
      <c r="U175" s="37">
        <f ca="1">IFERROR(__xludf.DUMMYFUNCTION("""COMPUTED_VALUE"""),0)</f>
        <v>0</v>
      </c>
      <c r="V175" s="37">
        <f ca="1">IFERROR(__xludf.DUMMYFUNCTION("""COMPUTED_VALUE"""),0)</f>
        <v>0</v>
      </c>
      <c r="W175" s="37">
        <f ca="1">IFERROR(__xludf.DUMMYFUNCTION("""COMPUTED_VALUE"""),0)</f>
        <v>0</v>
      </c>
      <c r="X175" s="37">
        <f ca="1">IFERROR(__xludf.DUMMYFUNCTION("""COMPUTED_VALUE"""),0)</f>
        <v>0</v>
      </c>
      <c r="Y175" s="37">
        <f ca="1">IFERROR(__xludf.DUMMYFUNCTION("""COMPUTED_VALUE"""),0)</f>
        <v>0</v>
      </c>
      <c r="Z175" s="37">
        <f ca="1">IFERROR(__xludf.DUMMYFUNCTION("""COMPUTED_VALUE"""),0)</f>
        <v>0</v>
      </c>
    </row>
    <row r="176" spans="1:26" ht="12.75">
      <c r="A176" s="38" t="str">
        <f ca="1">IFERROR(__xludf.DUMMYFUNCTION("""COMPUTED_VALUE"""),"Guaraí")</f>
        <v>Guaraí</v>
      </c>
      <c r="B176" s="38" t="str">
        <f ca="1">IFERROR(__xludf.DUMMYFUNCTION("""COMPUTED_VALUE"""),"Fortaleza do Tabocao")</f>
        <v>Fortaleza do Tabocao</v>
      </c>
      <c r="C176" s="39" t="str">
        <f ca="1">IFERROR(__xludf.DUMMYFUNCTION("""COMPUTED_VALUE"""),"A.A. DA ESC. EST. MAJOR JUVENAL P.DE SOUZA")</f>
        <v>A.A. DA ESC. EST. MAJOR JUVENAL P.DE SOUZA</v>
      </c>
      <c r="D176" s="40" t="str">
        <f ca="1">IFERROR(__xludf.DUMMYFUNCTION("""COMPUTED_VALUE"""),"01408714000104")</f>
        <v>01408714000104</v>
      </c>
      <c r="E176" s="41" t="str">
        <f ca="1">IFERROR(__xludf.DUMMYFUNCTION("""COMPUTED_VALUE"""),"001")</f>
        <v>001</v>
      </c>
      <c r="F176" s="42" t="str">
        <f ca="1">IFERROR(__xludf.DUMMYFUNCTION("""COMPUTED_VALUE"""),"2094")</f>
        <v>2094</v>
      </c>
      <c r="G176" s="42" t="str">
        <f ca="1">IFERROR(__xludf.DUMMYFUNCTION("""COMPUTED_VALUE"""),"46743X")</f>
        <v>46743X</v>
      </c>
      <c r="H176" s="42">
        <f ca="1">IFERROR(__xludf.DUMMYFUNCTION("""COMPUTED_VALUE"""),0)</f>
        <v>0</v>
      </c>
      <c r="I176" s="42">
        <f ca="1">IFERROR(__xludf.DUMMYFUNCTION("""COMPUTED_VALUE"""),0)</f>
        <v>0</v>
      </c>
      <c r="J176" s="42">
        <f ca="1">IFERROR(__xludf.DUMMYFUNCTION("""COMPUTED_VALUE"""),0)</f>
        <v>0</v>
      </c>
      <c r="K176" s="42">
        <f ca="1">IFERROR(__xludf.DUMMYFUNCTION("""COMPUTED_VALUE"""),7526.4)</f>
        <v>7526.4</v>
      </c>
      <c r="L176" s="42">
        <f ca="1">IFERROR(__xludf.DUMMYFUNCTION("""COMPUTED_VALUE"""),0)</f>
        <v>0</v>
      </c>
      <c r="M176" s="42">
        <f ca="1">IFERROR(__xludf.DUMMYFUNCTION("""COMPUTED_VALUE"""),0)</f>
        <v>0</v>
      </c>
      <c r="N176" s="42">
        <f ca="1">IFERROR(__xludf.DUMMYFUNCTION("""COMPUTED_VALUE"""),0)</f>
        <v>0</v>
      </c>
      <c r="O176" s="42">
        <f ca="1">IFERROR(__xludf.DUMMYFUNCTION("""COMPUTED_VALUE"""),0)</f>
        <v>0</v>
      </c>
      <c r="P176" s="42">
        <f ca="1">IFERROR(__xludf.DUMMYFUNCTION("""COMPUTED_VALUE"""),399)</f>
        <v>399</v>
      </c>
      <c r="Q176" s="42">
        <f ca="1">IFERROR(__xludf.DUMMYFUNCTION("""COMPUTED_VALUE"""),0)</f>
        <v>0</v>
      </c>
      <c r="R176" s="42">
        <f ca="1">IFERROR(__xludf.DUMMYFUNCTION("""COMPUTED_VALUE"""),0)</f>
        <v>0</v>
      </c>
      <c r="S176" s="42">
        <f ca="1">IFERROR(__xludf.DUMMYFUNCTION("""COMPUTED_VALUE"""),10639.1999999999)</f>
        <v>10639.199999999901</v>
      </c>
      <c r="T176" s="42">
        <f ca="1">IFERROR(__xludf.DUMMYFUNCTION("""COMPUTED_VALUE"""),0)</f>
        <v>0</v>
      </c>
      <c r="U176" s="42">
        <f ca="1">IFERROR(__xludf.DUMMYFUNCTION("""COMPUTED_VALUE"""),0)</f>
        <v>0</v>
      </c>
      <c r="V176" s="42">
        <f ca="1">IFERROR(__xludf.DUMMYFUNCTION("""COMPUTED_VALUE"""),0)</f>
        <v>0</v>
      </c>
      <c r="W176" s="42">
        <f ca="1">IFERROR(__xludf.DUMMYFUNCTION("""COMPUTED_VALUE"""),1085.39999999999)</f>
        <v>1085.3999999999901</v>
      </c>
      <c r="X176" s="42">
        <f ca="1">IFERROR(__xludf.DUMMYFUNCTION("""COMPUTED_VALUE"""),0)</f>
        <v>0</v>
      </c>
      <c r="Y176" s="42">
        <f ca="1">IFERROR(__xludf.DUMMYFUNCTION("""COMPUTED_VALUE"""),0)</f>
        <v>0</v>
      </c>
      <c r="Z176" s="42">
        <f ca="1">IFERROR(__xludf.DUMMYFUNCTION("""COMPUTED_VALUE"""),598.8)</f>
        <v>598.79999999999995</v>
      </c>
    </row>
    <row r="177" spans="1:26" ht="12.75">
      <c r="A177" s="33" t="str">
        <f ca="1">IFERROR(__xludf.DUMMYFUNCTION("""COMPUTED_VALUE"""),"Guaraí")</f>
        <v>Guaraí</v>
      </c>
      <c r="B177" s="33" t="str">
        <f ca="1">IFERROR(__xludf.DUMMYFUNCTION("""COMPUTED_VALUE"""),"Goianorte")</f>
        <v>Goianorte</v>
      </c>
      <c r="C177" s="34" t="str">
        <f ca="1">IFERROR(__xludf.DUMMYFUNCTION("""COMPUTED_VALUE"""),"A.A. DA ESC. EST. ANTENOR BARREIRA")</f>
        <v>A.A. DA ESC. EST. ANTENOR BARREIRA</v>
      </c>
      <c r="D177" s="35" t="str">
        <f ca="1">IFERROR(__xludf.DUMMYFUNCTION("""COMPUTED_VALUE"""),"02069808000150")</f>
        <v>02069808000150</v>
      </c>
      <c r="E177" s="36" t="str">
        <f ca="1">IFERROR(__xludf.DUMMYFUNCTION("""COMPUTED_VALUE"""),"001")</f>
        <v>001</v>
      </c>
      <c r="F177" s="37" t="str">
        <f ca="1">IFERROR(__xludf.DUMMYFUNCTION("""COMPUTED_VALUE"""),"1306")</f>
        <v>1306</v>
      </c>
      <c r="G177" s="37" t="str">
        <f ca="1">IFERROR(__xludf.DUMMYFUNCTION("""COMPUTED_VALUE"""),"54186")</f>
        <v>54186</v>
      </c>
      <c r="H177" s="37">
        <f ca="1">IFERROR(__xludf.DUMMYFUNCTION("""COMPUTED_VALUE"""),0)</f>
        <v>0</v>
      </c>
      <c r="I177" s="37">
        <f ca="1">IFERROR(__xludf.DUMMYFUNCTION("""COMPUTED_VALUE"""),0)</f>
        <v>0</v>
      </c>
      <c r="J177" s="37">
        <f ca="1">IFERROR(__xludf.DUMMYFUNCTION("""COMPUTED_VALUE"""),2520)</f>
        <v>2520</v>
      </c>
      <c r="K177" s="37">
        <f ca="1">IFERROR(__xludf.DUMMYFUNCTION("""COMPUTED_VALUE"""),0)</f>
        <v>0</v>
      </c>
      <c r="L177" s="37">
        <f ca="1">IFERROR(__xludf.DUMMYFUNCTION("""COMPUTED_VALUE"""),0)</f>
        <v>0</v>
      </c>
      <c r="M177" s="37">
        <f ca="1">IFERROR(__xludf.DUMMYFUNCTION("""COMPUTED_VALUE"""),0)</f>
        <v>0</v>
      </c>
      <c r="N177" s="37">
        <f ca="1">IFERROR(__xludf.DUMMYFUNCTION("""COMPUTED_VALUE"""),0)</f>
        <v>0</v>
      </c>
      <c r="O177" s="37">
        <f ca="1">IFERROR(__xludf.DUMMYFUNCTION("""COMPUTED_VALUE"""),0)</f>
        <v>0</v>
      </c>
      <c r="P177" s="37">
        <f ca="1">IFERROR(__xludf.DUMMYFUNCTION("""COMPUTED_VALUE"""),294)</f>
        <v>294</v>
      </c>
      <c r="Q177" s="37">
        <f ca="1">IFERROR(__xludf.DUMMYFUNCTION("""COMPUTED_VALUE"""),3990)</f>
        <v>3990</v>
      </c>
      <c r="R177" s="37">
        <f ca="1">IFERROR(__xludf.DUMMYFUNCTION("""COMPUTED_VALUE"""),0)</f>
        <v>0</v>
      </c>
      <c r="S177" s="37">
        <f ca="1">IFERROR(__xludf.DUMMYFUNCTION("""COMPUTED_VALUE"""),0)</f>
        <v>0</v>
      </c>
      <c r="T177" s="37">
        <f ca="1">IFERROR(__xludf.DUMMYFUNCTION("""COMPUTED_VALUE"""),0)</f>
        <v>0</v>
      </c>
      <c r="U177" s="37">
        <f ca="1">IFERROR(__xludf.DUMMYFUNCTION("""COMPUTED_VALUE"""),0)</f>
        <v>0</v>
      </c>
      <c r="V177" s="37">
        <f ca="1">IFERROR(__xludf.DUMMYFUNCTION("""COMPUTED_VALUE"""),0)</f>
        <v>0</v>
      </c>
      <c r="W177" s="37">
        <f ca="1">IFERROR(__xludf.DUMMYFUNCTION("""COMPUTED_VALUE"""),0)</f>
        <v>0</v>
      </c>
      <c r="X177" s="37">
        <f ca="1">IFERROR(__xludf.DUMMYFUNCTION("""COMPUTED_VALUE"""),0)</f>
        <v>0</v>
      </c>
      <c r="Y177" s="37">
        <f ca="1">IFERROR(__xludf.DUMMYFUNCTION("""COMPUTED_VALUE"""),0)</f>
        <v>0</v>
      </c>
      <c r="Z177" s="37">
        <f ca="1">IFERROR(__xludf.DUMMYFUNCTION("""COMPUTED_VALUE"""),0)</f>
        <v>0</v>
      </c>
    </row>
    <row r="178" spans="1:26" ht="12.75">
      <c r="A178" s="38" t="str">
        <f ca="1">IFERROR(__xludf.DUMMYFUNCTION("""COMPUTED_VALUE"""),"Guaraí")</f>
        <v>Guaraí</v>
      </c>
      <c r="B178" s="38" t="str">
        <f ca="1">IFERROR(__xludf.DUMMYFUNCTION("""COMPUTED_VALUE"""),"Goianorte")</f>
        <v>Goianorte</v>
      </c>
      <c r="C178" s="39" t="str">
        <f ca="1">IFERROR(__xludf.DUMMYFUNCTION("""COMPUTED_VALUE"""),"ASSOC. DE APOIO DA ESCOLA ESPECIAL NOVOV PARAÍSO - APAE")</f>
        <v>ASSOC. DE APOIO DA ESCOLA ESPECIAL NOVOV PARAÍSO - APAE</v>
      </c>
      <c r="D178" s="40" t="str">
        <f ca="1">IFERROR(__xludf.DUMMYFUNCTION("""COMPUTED_VALUE"""),"09510602000163")</f>
        <v>09510602000163</v>
      </c>
      <c r="E178" s="41" t="str">
        <f ca="1">IFERROR(__xludf.DUMMYFUNCTION("""COMPUTED_VALUE"""),"001")</f>
        <v>001</v>
      </c>
      <c r="F178" s="42" t="str">
        <f ca="1">IFERROR(__xludf.DUMMYFUNCTION("""COMPUTED_VALUE"""),"1306")</f>
        <v>1306</v>
      </c>
      <c r="G178" s="42" t="str">
        <f ca="1">IFERROR(__xludf.DUMMYFUNCTION("""COMPUTED_VALUE"""),"138258")</f>
        <v>138258</v>
      </c>
      <c r="H178" s="42">
        <f ca="1">IFERROR(__xludf.DUMMYFUNCTION("""COMPUTED_VALUE"""),0)</f>
        <v>0</v>
      </c>
      <c r="I178" s="42">
        <f ca="1">IFERROR(__xludf.DUMMYFUNCTION("""COMPUTED_VALUE"""),84)</f>
        <v>84</v>
      </c>
      <c r="J178" s="42">
        <f ca="1">IFERROR(__xludf.DUMMYFUNCTION("""COMPUTED_VALUE"""),1365)</f>
        <v>1365</v>
      </c>
      <c r="K178" s="42">
        <f ca="1">IFERROR(__xludf.DUMMYFUNCTION("""COMPUTED_VALUE"""),0)</f>
        <v>0</v>
      </c>
      <c r="L178" s="42">
        <f ca="1">IFERROR(__xludf.DUMMYFUNCTION("""COMPUTED_VALUE"""),0)</f>
        <v>0</v>
      </c>
      <c r="M178" s="42">
        <f ca="1">IFERROR(__xludf.DUMMYFUNCTION("""COMPUTED_VALUE"""),0)</f>
        <v>0</v>
      </c>
      <c r="N178" s="42">
        <f ca="1">IFERROR(__xludf.DUMMYFUNCTION("""COMPUTED_VALUE"""),0)</f>
        <v>0</v>
      </c>
      <c r="O178" s="42">
        <f ca="1">IFERROR(__xludf.DUMMYFUNCTION("""COMPUTED_VALUE"""),0)</f>
        <v>0</v>
      </c>
      <c r="P178" s="42">
        <f ca="1">IFERROR(__xludf.DUMMYFUNCTION("""COMPUTED_VALUE"""),273)</f>
        <v>273</v>
      </c>
      <c r="Q178" s="42">
        <f ca="1">IFERROR(__xludf.DUMMYFUNCTION("""COMPUTED_VALUE"""),0)</f>
        <v>0</v>
      </c>
      <c r="R178" s="42">
        <f ca="1">IFERROR(__xludf.DUMMYFUNCTION("""COMPUTED_VALUE"""),0)</f>
        <v>0</v>
      </c>
      <c r="S178" s="42">
        <f ca="1">IFERROR(__xludf.DUMMYFUNCTION("""COMPUTED_VALUE"""),0)</f>
        <v>0</v>
      </c>
      <c r="T178" s="42">
        <f ca="1">IFERROR(__xludf.DUMMYFUNCTION("""COMPUTED_VALUE"""),462)</f>
        <v>462</v>
      </c>
      <c r="U178" s="42">
        <f ca="1">IFERROR(__xludf.DUMMYFUNCTION("""COMPUTED_VALUE"""),0)</f>
        <v>0</v>
      </c>
      <c r="V178" s="42">
        <f ca="1">IFERROR(__xludf.DUMMYFUNCTION("""COMPUTED_VALUE"""),0)</f>
        <v>0</v>
      </c>
      <c r="W178" s="42">
        <f ca="1">IFERROR(__xludf.DUMMYFUNCTION("""COMPUTED_VALUE"""),0)</f>
        <v>0</v>
      </c>
      <c r="X178" s="42">
        <f ca="1">IFERROR(__xludf.DUMMYFUNCTION("""COMPUTED_VALUE"""),0)</f>
        <v>0</v>
      </c>
      <c r="Y178" s="42">
        <f ca="1">IFERROR(__xludf.DUMMYFUNCTION("""COMPUTED_VALUE"""),0)</f>
        <v>0</v>
      </c>
      <c r="Z178" s="42">
        <f ca="1">IFERROR(__xludf.DUMMYFUNCTION("""COMPUTED_VALUE"""),0)</f>
        <v>0</v>
      </c>
    </row>
    <row r="179" spans="1:26" ht="12.75">
      <c r="A179" s="33" t="str">
        <f ca="1">IFERROR(__xludf.DUMMYFUNCTION("""COMPUTED_VALUE"""),"Guaraí")</f>
        <v>Guaraí</v>
      </c>
      <c r="B179" s="33" t="str">
        <f ca="1">IFERROR(__xludf.DUMMYFUNCTION("""COMPUTED_VALUE"""),"Goianorte")</f>
        <v>Goianorte</v>
      </c>
      <c r="C179" s="34" t="str">
        <f ca="1">IFERROR(__xludf.DUMMYFUNCTION("""COMPUTED_VALUE"""),"A.A.  DA ESCOLA ESTADUAL MORRO DO MATO")</f>
        <v>A.A.  DA ESCOLA ESTADUAL MORRO DO MATO</v>
      </c>
      <c r="D179" s="35" t="str">
        <f ca="1">IFERROR(__xludf.DUMMYFUNCTION("""COMPUTED_VALUE"""),"01990368000107")</f>
        <v>01990368000107</v>
      </c>
      <c r="E179" s="36" t="str">
        <f ca="1">IFERROR(__xludf.DUMMYFUNCTION("""COMPUTED_VALUE"""),"001")</f>
        <v>001</v>
      </c>
      <c r="F179" s="37" t="str">
        <f ca="1">IFERROR(__xludf.DUMMYFUNCTION("""COMPUTED_VALUE"""),"1306")</f>
        <v>1306</v>
      </c>
      <c r="G179" s="37" t="str">
        <f ca="1">IFERROR(__xludf.DUMMYFUNCTION("""COMPUTED_VALUE"""),"54178")</f>
        <v>54178</v>
      </c>
      <c r="H179" s="37">
        <f ca="1">IFERROR(__xludf.DUMMYFUNCTION("""COMPUTED_VALUE"""),0)</f>
        <v>0</v>
      </c>
      <c r="I179" s="37">
        <f ca="1">IFERROR(__xludf.DUMMYFUNCTION("""COMPUTED_VALUE"""),0)</f>
        <v>0</v>
      </c>
      <c r="J179" s="37">
        <f ca="1">IFERROR(__xludf.DUMMYFUNCTION("""COMPUTED_VALUE"""),4305)</f>
        <v>4305</v>
      </c>
      <c r="K179" s="37">
        <f ca="1">IFERROR(__xludf.DUMMYFUNCTION("""COMPUTED_VALUE"""),0)</f>
        <v>0</v>
      </c>
      <c r="L179" s="37">
        <f ca="1">IFERROR(__xludf.DUMMYFUNCTION("""COMPUTED_VALUE"""),0)</f>
        <v>0</v>
      </c>
      <c r="M179" s="37">
        <f ca="1">IFERROR(__xludf.DUMMYFUNCTION("""COMPUTED_VALUE"""),0)</f>
        <v>0</v>
      </c>
      <c r="N179" s="37">
        <f ca="1">IFERROR(__xludf.DUMMYFUNCTION("""COMPUTED_VALUE"""),0)</f>
        <v>0</v>
      </c>
      <c r="O179" s="37">
        <f ca="1">IFERROR(__xludf.DUMMYFUNCTION("""COMPUTED_VALUE"""),0)</f>
        <v>0</v>
      </c>
      <c r="P179" s="37">
        <f ca="1">IFERROR(__xludf.DUMMYFUNCTION("""COMPUTED_VALUE"""),609)</f>
        <v>609</v>
      </c>
      <c r="Q179" s="37">
        <f ca="1">IFERROR(__xludf.DUMMYFUNCTION("""COMPUTED_VALUE"""),0)</f>
        <v>0</v>
      </c>
      <c r="R179" s="37">
        <f ca="1">IFERROR(__xludf.DUMMYFUNCTION("""COMPUTED_VALUE"""),0)</f>
        <v>0</v>
      </c>
      <c r="S179" s="37">
        <f ca="1">IFERROR(__xludf.DUMMYFUNCTION("""COMPUTED_VALUE"""),0)</f>
        <v>0</v>
      </c>
      <c r="T179" s="37">
        <f ca="1">IFERROR(__xludf.DUMMYFUNCTION("""COMPUTED_VALUE"""),1932)</f>
        <v>1932</v>
      </c>
      <c r="U179" s="37">
        <f ca="1">IFERROR(__xludf.DUMMYFUNCTION("""COMPUTED_VALUE"""),0)</f>
        <v>0</v>
      </c>
      <c r="V179" s="37">
        <f ca="1">IFERROR(__xludf.DUMMYFUNCTION("""COMPUTED_VALUE"""),0)</f>
        <v>0</v>
      </c>
      <c r="W179" s="37">
        <f ca="1">IFERROR(__xludf.DUMMYFUNCTION("""COMPUTED_VALUE"""),0)</f>
        <v>0</v>
      </c>
      <c r="X179" s="37">
        <f ca="1">IFERROR(__xludf.DUMMYFUNCTION("""COMPUTED_VALUE"""),0)</f>
        <v>0</v>
      </c>
      <c r="Y179" s="37">
        <f ca="1">IFERROR(__xludf.DUMMYFUNCTION("""COMPUTED_VALUE"""),0)</f>
        <v>0</v>
      </c>
      <c r="Z179" s="37">
        <f ca="1">IFERROR(__xludf.DUMMYFUNCTION("""COMPUTED_VALUE"""),0)</f>
        <v>0</v>
      </c>
    </row>
    <row r="180" spans="1:26" ht="12.75">
      <c r="A180" s="38" t="str">
        <f ca="1">IFERROR(__xludf.DUMMYFUNCTION("""COMPUTED_VALUE"""),"Guaraí")</f>
        <v>Guaraí</v>
      </c>
      <c r="B180" s="38" t="str">
        <f ca="1">IFERROR(__xludf.DUMMYFUNCTION("""COMPUTED_VALUE"""),"Guarai")</f>
        <v>Guarai</v>
      </c>
      <c r="C180" s="39" t="str">
        <f ca="1">IFERROR(__xludf.DUMMYFUNCTION("""COMPUTED_VALUE"""),"ASSOC. DE APOIO ESC. EST. OQUERLINA TORRES")</f>
        <v>ASSOC. DE APOIO ESC. EST. OQUERLINA TORRES</v>
      </c>
      <c r="D180" s="40" t="str">
        <f ca="1">IFERROR(__xludf.DUMMYFUNCTION("""COMPUTED_VALUE"""),"01421201000125")</f>
        <v>01421201000125</v>
      </c>
      <c r="E180" s="41" t="str">
        <f ca="1">IFERROR(__xludf.DUMMYFUNCTION("""COMPUTED_VALUE"""),"001")</f>
        <v>001</v>
      </c>
      <c r="F180" s="42" t="str">
        <f ca="1">IFERROR(__xludf.DUMMYFUNCTION("""COMPUTED_VALUE"""),"2094")</f>
        <v>2094</v>
      </c>
      <c r="G180" s="42" t="str">
        <f ca="1">IFERROR(__xludf.DUMMYFUNCTION("""COMPUTED_VALUE"""),"19266X")</f>
        <v>19266X</v>
      </c>
      <c r="H180" s="42">
        <f ca="1">IFERROR(__xludf.DUMMYFUNCTION("""COMPUTED_VALUE"""),0)</f>
        <v>0</v>
      </c>
      <c r="I180" s="42">
        <f ca="1">IFERROR(__xludf.DUMMYFUNCTION("""COMPUTED_VALUE"""),0)</f>
        <v>0</v>
      </c>
      <c r="J180" s="42">
        <f ca="1">IFERROR(__xludf.DUMMYFUNCTION("""COMPUTED_VALUE"""),0)</f>
        <v>0</v>
      </c>
      <c r="K180" s="42">
        <f ca="1">IFERROR(__xludf.DUMMYFUNCTION("""COMPUTED_VALUE"""),0)</f>
        <v>0</v>
      </c>
      <c r="L180" s="42">
        <f ca="1">IFERROR(__xludf.DUMMYFUNCTION("""COMPUTED_VALUE"""),0)</f>
        <v>0</v>
      </c>
      <c r="M180" s="42">
        <f ca="1">IFERROR(__xludf.DUMMYFUNCTION("""COMPUTED_VALUE"""),0)</f>
        <v>0</v>
      </c>
      <c r="N180" s="42">
        <f ca="1">IFERROR(__xludf.DUMMYFUNCTION("""COMPUTED_VALUE"""),0)</f>
        <v>0</v>
      </c>
      <c r="O180" s="42">
        <f ca="1">IFERROR(__xludf.DUMMYFUNCTION("""COMPUTED_VALUE"""),0)</f>
        <v>0</v>
      </c>
      <c r="P180" s="42">
        <f ca="1">IFERROR(__xludf.DUMMYFUNCTION("""COMPUTED_VALUE"""),273)</f>
        <v>273</v>
      </c>
      <c r="Q180" s="42">
        <f ca="1">IFERROR(__xludf.DUMMYFUNCTION("""COMPUTED_VALUE"""),0)</f>
        <v>0</v>
      </c>
      <c r="R180" s="42">
        <f ca="1">IFERROR(__xludf.DUMMYFUNCTION("""COMPUTED_VALUE"""),0)</f>
        <v>0</v>
      </c>
      <c r="S180" s="42">
        <f ca="1">IFERROR(__xludf.DUMMYFUNCTION("""COMPUTED_VALUE"""),18457.3999999999)</f>
        <v>18457.3999999999</v>
      </c>
      <c r="T180" s="42">
        <f ca="1">IFERROR(__xludf.DUMMYFUNCTION("""COMPUTED_VALUE"""),0)</f>
        <v>0</v>
      </c>
      <c r="U180" s="42">
        <f ca="1">IFERROR(__xludf.DUMMYFUNCTION("""COMPUTED_VALUE"""),0)</f>
        <v>0</v>
      </c>
      <c r="V180" s="42">
        <f ca="1">IFERROR(__xludf.DUMMYFUNCTION("""COMPUTED_VALUE"""),0)</f>
        <v>0</v>
      </c>
      <c r="W180" s="42">
        <f ca="1">IFERROR(__xludf.DUMMYFUNCTION("""COMPUTED_VALUE"""),1809)</f>
        <v>1809</v>
      </c>
      <c r="X180" s="42">
        <f ca="1">IFERROR(__xludf.DUMMYFUNCTION("""COMPUTED_VALUE"""),0)</f>
        <v>0</v>
      </c>
      <c r="Y180" s="42">
        <f ca="1">IFERROR(__xludf.DUMMYFUNCTION("""COMPUTED_VALUE"""),0)</f>
        <v>0</v>
      </c>
      <c r="Z180" s="42">
        <f ca="1">IFERROR(__xludf.DUMMYFUNCTION("""COMPUTED_VALUE"""),0)</f>
        <v>0</v>
      </c>
    </row>
    <row r="181" spans="1:26" ht="12.75">
      <c r="A181" s="33" t="str">
        <f ca="1">IFERROR(__xludf.DUMMYFUNCTION("""COMPUTED_VALUE"""),"Guaraí")</f>
        <v>Guaraí</v>
      </c>
      <c r="B181" s="33" t="str">
        <f ca="1">IFERROR(__xludf.DUMMYFUNCTION("""COMPUTED_VALUE"""),"Guarai")</f>
        <v>Guarai</v>
      </c>
      <c r="C181" s="34" t="str">
        <f ca="1">IFERROR(__xludf.DUMMYFUNCTION("""COMPUTED_VALUE"""),"A.A.  AS ESC. EST. ANTONIO ALENCAR LEAO")</f>
        <v>A.A.  AS ESC. EST. ANTONIO ALENCAR LEAO</v>
      </c>
      <c r="D181" s="35" t="str">
        <f ca="1">IFERROR(__xludf.DUMMYFUNCTION("""COMPUTED_VALUE"""),"01575370000110")</f>
        <v>01575370000110</v>
      </c>
      <c r="E181" s="36" t="str">
        <f ca="1">IFERROR(__xludf.DUMMYFUNCTION("""COMPUTED_VALUE"""),"001")</f>
        <v>001</v>
      </c>
      <c r="F181" s="37" t="str">
        <f ca="1">IFERROR(__xludf.DUMMYFUNCTION("""COMPUTED_VALUE"""),"2094")</f>
        <v>2094</v>
      </c>
      <c r="G181" s="37" t="str">
        <f ca="1">IFERROR(__xludf.DUMMYFUNCTION("""COMPUTED_VALUE"""),"476536")</f>
        <v>476536</v>
      </c>
      <c r="H181" s="37">
        <f ca="1">IFERROR(__xludf.DUMMYFUNCTION("""COMPUTED_VALUE"""),0)</f>
        <v>0</v>
      </c>
      <c r="I181" s="37">
        <f ca="1">IFERROR(__xludf.DUMMYFUNCTION("""COMPUTED_VALUE"""),0)</f>
        <v>0</v>
      </c>
      <c r="J181" s="37">
        <f ca="1">IFERROR(__xludf.DUMMYFUNCTION("""COMPUTED_VALUE"""),8106)</f>
        <v>8106</v>
      </c>
      <c r="K181" s="37">
        <f ca="1">IFERROR(__xludf.DUMMYFUNCTION("""COMPUTED_VALUE"""),0)</f>
        <v>0</v>
      </c>
      <c r="L181" s="37">
        <f ca="1">IFERROR(__xludf.DUMMYFUNCTION("""COMPUTED_VALUE"""),0)</f>
        <v>0</v>
      </c>
      <c r="M181" s="37">
        <f ca="1">IFERROR(__xludf.DUMMYFUNCTION("""COMPUTED_VALUE"""),0)</f>
        <v>0</v>
      </c>
      <c r="N181" s="37">
        <f ca="1">IFERROR(__xludf.DUMMYFUNCTION("""COMPUTED_VALUE"""),0)</f>
        <v>0</v>
      </c>
      <c r="O181" s="37">
        <f ca="1">IFERROR(__xludf.DUMMYFUNCTION("""COMPUTED_VALUE"""),0)</f>
        <v>0</v>
      </c>
      <c r="P181" s="37">
        <f ca="1">IFERROR(__xludf.DUMMYFUNCTION("""COMPUTED_VALUE"""),231)</f>
        <v>231</v>
      </c>
      <c r="Q181" s="37">
        <f ca="1">IFERROR(__xludf.DUMMYFUNCTION("""COMPUTED_VALUE"""),0)</f>
        <v>0</v>
      </c>
      <c r="R181" s="37">
        <f ca="1">IFERROR(__xludf.DUMMYFUNCTION("""COMPUTED_VALUE"""),0)</f>
        <v>0</v>
      </c>
      <c r="S181" s="37">
        <f ca="1">IFERROR(__xludf.DUMMYFUNCTION("""COMPUTED_VALUE"""),0)</f>
        <v>0</v>
      </c>
      <c r="T181" s="37">
        <f ca="1">IFERROR(__xludf.DUMMYFUNCTION("""COMPUTED_VALUE"""),0)</f>
        <v>0</v>
      </c>
      <c r="U181" s="37">
        <f ca="1">IFERROR(__xludf.DUMMYFUNCTION("""COMPUTED_VALUE"""),0)</f>
        <v>0</v>
      </c>
      <c r="V181" s="37">
        <f ca="1">IFERROR(__xludf.DUMMYFUNCTION("""COMPUTED_VALUE"""),0)</f>
        <v>0</v>
      </c>
      <c r="W181" s="37">
        <f ca="1">IFERROR(__xludf.DUMMYFUNCTION("""COMPUTED_VALUE"""),0)</f>
        <v>0</v>
      </c>
      <c r="X181" s="37">
        <f ca="1">IFERROR(__xludf.DUMMYFUNCTION("""COMPUTED_VALUE"""),0)</f>
        <v>0</v>
      </c>
      <c r="Y181" s="37">
        <f ca="1">IFERROR(__xludf.DUMMYFUNCTION("""COMPUTED_VALUE"""),0)</f>
        <v>0</v>
      </c>
      <c r="Z181" s="37">
        <f ca="1">IFERROR(__xludf.DUMMYFUNCTION("""COMPUTED_VALUE"""),0)</f>
        <v>0</v>
      </c>
    </row>
    <row r="182" spans="1:26" ht="12.75">
      <c r="A182" s="38" t="str">
        <f ca="1">IFERROR(__xludf.DUMMYFUNCTION("""COMPUTED_VALUE"""),"Guaraí")</f>
        <v>Guaraí</v>
      </c>
      <c r="B182" s="38" t="str">
        <f ca="1">IFERROR(__xludf.DUMMYFUNCTION("""COMPUTED_VALUE"""),"Guarai")</f>
        <v>Guarai</v>
      </c>
      <c r="C182" s="39" t="str">
        <f ca="1">IFERROR(__xludf.DUMMYFUNCTION("""COMPUTED_VALUE"""),"A.A. DO COL. EST. DONA ANAIDES B.MIRANDA")</f>
        <v>A.A. DO COL. EST. DONA ANAIDES B.MIRANDA</v>
      </c>
      <c r="D182" s="40" t="str">
        <f ca="1">IFERROR(__xludf.DUMMYFUNCTION("""COMPUTED_VALUE"""),"01867376000160")</f>
        <v>01867376000160</v>
      </c>
      <c r="E182" s="41" t="str">
        <f ca="1">IFERROR(__xludf.DUMMYFUNCTION("""COMPUTED_VALUE"""),"001")</f>
        <v>001</v>
      </c>
      <c r="F182" s="42" t="str">
        <f ca="1">IFERROR(__xludf.DUMMYFUNCTION("""COMPUTED_VALUE"""),"2094")</f>
        <v>2094</v>
      </c>
      <c r="G182" s="42" t="str">
        <f ca="1">IFERROR(__xludf.DUMMYFUNCTION("""COMPUTED_VALUE"""),"472123")</f>
        <v>472123</v>
      </c>
      <c r="H182" s="42">
        <f ca="1">IFERROR(__xludf.DUMMYFUNCTION("""COMPUTED_VALUE"""),0)</f>
        <v>0</v>
      </c>
      <c r="I182" s="42">
        <f ca="1">IFERROR(__xludf.DUMMYFUNCTION("""COMPUTED_VALUE"""),0)</f>
        <v>0</v>
      </c>
      <c r="J182" s="42">
        <f ca="1">IFERROR(__xludf.DUMMYFUNCTION("""COMPUTED_VALUE"""),6909)</f>
        <v>6909</v>
      </c>
      <c r="K182" s="42">
        <f ca="1">IFERROR(__xludf.DUMMYFUNCTION("""COMPUTED_VALUE"""),0)</f>
        <v>0</v>
      </c>
      <c r="L182" s="42">
        <f ca="1">IFERROR(__xludf.DUMMYFUNCTION("""COMPUTED_VALUE"""),0)</f>
        <v>0</v>
      </c>
      <c r="M182" s="42">
        <f ca="1">IFERROR(__xludf.DUMMYFUNCTION("""COMPUTED_VALUE"""),0)</f>
        <v>0</v>
      </c>
      <c r="N182" s="42">
        <f ca="1">IFERROR(__xludf.DUMMYFUNCTION("""COMPUTED_VALUE"""),0)</f>
        <v>0</v>
      </c>
      <c r="O182" s="42">
        <f ca="1">IFERROR(__xludf.DUMMYFUNCTION("""COMPUTED_VALUE"""),0)</f>
        <v>0</v>
      </c>
      <c r="P182" s="42">
        <f ca="1">IFERROR(__xludf.DUMMYFUNCTION("""COMPUTED_VALUE"""),189)</f>
        <v>189</v>
      </c>
      <c r="Q182" s="42">
        <f ca="1">IFERROR(__xludf.DUMMYFUNCTION("""COMPUTED_VALUE"""),4368)</f>
        <v>4368</v>
      </c>
      <c r="R182" s="42">
        <f ca="1">IFERROR(__xludf.DUMMYFUNCTION("""COMPUTED_VALUE"""),0)</f>
        <v>0</v>
      </c>
      <c r="S182" s="42">
        <f ca="1">IFERROR(__xludf.DUMMYFUNCTION("""COMPUTED_VALUE"""),0)</f>
        <v>0</v>
      </c>
      <c r="T182" s="42">
        <f ca="1">IFERROR(__xludf.DUMMYFUNCTION("""COMPUTED_VALUE"""),0)</f>
        <v>0</v>
      </c>
      <c r="U182" s="42">
        <f ca="1">IFERROR(__xludf.DUMMYFUNCTION("""COMPUTED_VALUE"""),0)</f>
        <v>0</v>
      </c>
      <c r="V182" s="42">
        <f ca="1">IFERROR(__xludf.DUMMYFUNCTION("""COMPUTED_VALUE"""),0)</f>
        <v>0</v>
      </c>
      <c r="W182" s="42">
        <f ca="1">IFERROR(__xludf.DUMMYFUNCTION("""COMPUTED_VALUE"""),0)</f>
        <v>0</v>
      </c>
      <c r="X182" s="42">
        <f ca="1">IFERROR(__xludf.DUMMYFUNCTION("""COMPUTED_VALUE"""),0)</f>
        <v>0</v>
      </c>
      <c r="Y182" s="42">
        <f ca="1">IFERROR(__xludf.DUMMYFUNCTION("""COMPUTED_VALUE"""),0)</f>
        <v>0</v>
      </c>
      <c r="Z182" s="42">
        <f ca="1">IFERROR(__xludf.DUMMYFUNCTION("""COMPUTED_VALUE"""),0)</f>
        <v>0</v>
      </c>
    </row>
    <row r="183" spans="1:26" ht="12.75">
      <c r="A183" s="33" t="str">
        <f ca="1">IFERROR(__xludf.DUMMYFUNCTION("""COMPUTED_VALUE"""),"Guaraí")</f>
        <v>Guaraí</v>
      </c>
      <c r="B183" s="33" t="str">
        <f ca="1">IFERROR(__xludf.DUMMYFUNCTION("""COMPUTED_VALUE"""),"Guarai")</f>
        <v>Guarai</v>
      </c>
      <c r="C183" s="34" t="str">
        <f ca="1">IFERROR(__xludf.DUMMYFUNCTION("""COMPUTED_VALUE"""),"A. ESCOLAR COM.COL. EST.RAIMUNDO A.LEAO")</f>
        <v>A. ESCOLAR COM.COL. EST.RAIMUNDO A.LEAO</v>
      </c>
      <c r="D183" s="35" t="str">
        <f ca="1">IFERROR(__xludf.DUMMYFUNCTION("""COMPUTED_VALUE"""),"00880649000144")</f>
        <v>00880649000144</v>
      </c>
      <c r="E183" s="36" t="str">
        <f ca="1">IFERROR(__xludf.DUMMYFUNCTION("""COMPUTED_VALUE"""),"001")</f>
        <v>001</v>
      </c>
      <c r="F183" s="37" t="str">
        <f ca="1">IFERROR(__xludf.DUMMYFUNCTION("""COMPUTED_VALUE"""),"2094")</f>
        <v>2094</v>
      </c>
      <c r="G183" s="37" t="str">
        <f ca="1">IFERROR(__xludf.DUMMYFUNCTION("""COMPUTED_VALUE"""),"0472719")</f>
        <v>0472719</v>
      </c>
      <c r="H183" s="37">
        <f ca="1">IFERROR(__xludf.DUMMYFUNCTION("""COMPUTED_VALUE"""),0)</f>
        <v>0</v>
      </c>
      <c r="I183" s="37">
        <f ca="1">IFERROR(__xludf.DUMMYFUNCTION("""COMPUTED_VALUE"""),0)</f>
        <v>0</v>
      </c>
      <c r="J183" s="37">
        <f ca="1">IFERROR(__xludf.DUMMYFUNCTION("""COMPUTED_VALUE"""),3549)</f>
        <v>3549</v>
      </c>
      <c r="K183" s="37">
        <f ca="1">IFERROR(__xludf.DUMMYFUNCTION("""COMPUTED_VALUE"""),0)</f>
        <v>0</v>
      </c>
      <c r="L183" s="37">
        <f ca="1">IFERROR(__xludf.DUMMYFUNCTION("""COMPUTED_VALUE"""),0)</f>
        <v>0</v>
      </c>
      <c r="M183" s="37">
        <f ca="1">IFERROR(__xludf.DUMMYFUNCTION("""COMPUTED_VALUE"""),0)</f>
        <v>0</v>
      </c>
      <c r="N183" s="37">
        <f ca="1">IFERROR(__xludf.DUMMYFUNCTION("""COMPUTED_VALUE"""),0)</f>
        <v>0</v>
      </c>
      <c r="O183" s="37">
        <f ca="1">IFERROR(__xludf.DUMMYFUNCTION("""COMPUTED_VALUE"""),0)</f>
        <v>0</v>
      </c>
      <c r="P183" s="37">
        <f ca="1">IFERROR(__xludf.DUMMYFUNCTION("""COMPUTED_VALUE"""),252)</f>
        <v>252</v>
      </c>
      <c r="Q183" s="37">
        <f ca="1">IFERROR(__xludf.DUMMYFUNCTION("""COMPUTED_VALUE"""),0)</f>
        <v>0</v>
      </c>
      <c r="R183" s="37">
        <f ca="1">IFERROR(__xludf.DUMMYFUNCTION("""COMPUTED_VALUE"""),0)</f>
        <v>0</v>
      </c>
      <c r="S183" s="37">
        <f ca="1">IFERROR(__xludf.DUMMYFUNCTION("""COMPUTED_VALUE"""),0)</f>
        <v>0</v>
      </c>
      <c r="T183" s="37">
        <f ca="1">IFERROR(__xludf.DUMMYFUNCTION("""COMPUTED_VALUE"""),3885)</f>
        <v>3885</v>
      </c>
      <c r="U183" s="37">
        <f ca="1">IFERROR(__xludf.DUMMYFUNCTION("""COMPUTED_VALUE"""),0)</f>
        <v>0</v>
      </c>
      <c r="V183" s="37">
        <f ca="1">IFERROR(__xludf.DUMMYFUNCTION("""COMPUTED_VALUE"""),0)</f>
        <v>0</v>
      </c>
      <c r="W183" s="37">
        <f ca="1">IFERROR(__xludf.DUMMYFUNCTION("""COMPUTED_VALUE"""),0)</f>
        <v>0</v>
      </c>
      <c r="X183" s="37">
        <f ca="1">IFERROR(__xludf.DUMMYFUNCTION("""COMPUTED_VALUE"""),0)</f>
        <v>0</v>
      </c>
      <c r="Y183" s="37">
        <f ca="1">IFERROR(__xludf.DUMMYFUNCTION("""COMPUTED_VALUE"""),0)</f>
        <v>0</v>
      </c>
      <c r="Z183" s="37">
        <f ca="1">IFERROR(__xludf.DUMMYFUNCTION("""COMPUTED_VALUE"""),0)</f>
        <v>0</v>
      </c>
    </row>
    <row r="184" spans="1:26" ht="12.75">
      <c r="A184" s="38" t="str">
        <f ca="1">IFERROR(__xludf.DUMMYFUNCTION("""COMPUTED_VALUE"""),"Guaraí")</f>
        <v>Guaraí</v>
      </c>
      <c r="B184" s="38" t="str">
        <f ca="1">IFERROR(__xludf.DUMMYFUNCTION("""COMPUTED_VALUE"""),"Guarai")</f>
        <v>Guarai</v>
      </c>
      <c r="C184" s="39" t="str">
        <f ca="1">IFERROR(__xludf.DUMMYFUNCTION("""COMPUTED_VALUE"""),"ASSOCIAÇÃO DE APOIO A ESCOLA ESPECIAL ESTRELA DA ESPERANÇA")</f>
        <v>ASSOCIAÇÃO DE APOIO A ESCOLA ESPECIAL ESTRELA DA ESPERANÇA</v>
      </c>
      <c r="D184" s="40" t="str">
        <f ca="1">IFERROR(__xludf.DUMMYFUNCTION("""COMPUTED_VALUE"""),"07938604000122")</f>
        <v>07938604000122</v>
      </c>
      <c r="E184" s="41" t="str">
        <f ca="1">IFERROR(__xludf.DUMMYFUNCTION("""COMPUTED_VALUE"""),"001")</f>
        <v>001</v>
      </c>
      <c r="F184" s="42" t="str">
        <f ca="1">IFERROR(__xludf.DUMMYFUNCTION("""COMPUTED_VALUE"""),"2094")</f>
        <v>2094</v>
      </c>
      <c r="G184" s="42" t="str">
        <f ca="1">IFERROR(__xludf.DUMMYFUNCTION("""COMPUTED_VALUE"""),"211621")</f>
        <v>211621</v>
      </c>
      <c r="H184" s="42">
        <f ca="1">IFERROR(__xludf.DUMMYFUNCTION("""COMPUTED_VALUE"""),0)</f>
        <v>0</v>
      </c>
      <c r="I184" s="42">
        <f ca="1">IFERROR(__xludf.DUMMYFUNCTION("""COMPUTED_VALUE"""),63)</f>
        <v>63</v>
      </c>
      <c r="J184" s="42">
        <f ca="1">IFERROR(__xludf.DUMMYFUNCTION("""COMPUTED_VALUE"""),420)</f>
        <v>420</v>
      </c>
      <c r="K184" s="42">
        <f ca="1">IFERROR(__xludf.DUMMYFUNCTION("""COMPUTED_VALUE"""),0)</f>
        <v>0</v>
      </c>
      <c r="L184" s="42">
        <f ca="1">IFERROR(__xludf.DUMMYFUNCTION("""COMPUTED_VALUE"""),0)</f>
        <v>0</v>
      </c>
      <c r="M184" s="42">
        <f ca="1">IFERROR(__xludf.DUMMYFUNCTION("""COMPUTED_VALUE"""),0)</f>
        <v>0</v>
      </c>
      <c r="N184" s="42">
        <f ca="1">IFERROR(__xludf.DUMMYFUNCTION("""COMPUTED_VALUE"""),0)</f>
        <v>0</v>
      </c>
      <c r="O184" s="42">
        <f ca="1">IFERROR(__xludf.DUMMYFUNCTION("""COMPUTED_VALUE"""),0)</f>
        <v>0</v>
      </c>
      <c r="P184" s="42">
        <f ca="1">IFERROR(__xludf.DUMMYFUNCTION("""COMPUTED_VALUE"""),252)</f>
        <v>252</v>
      </c>
      <c r="Q184" s="42">
        <f ca="1">IFERROR(__xludf.DUMMYFUNCTION("""COMPUTED_VALUE"""),0)</f>
        <v>0</v>
      </c>
      <c r="R184" s="42">
        <f ca="1">IFERROR(__xludf.DUMMYFUNCTION("""COMPUTED_VALUE"""),0)</f>
        <v>0</v>
      </c>
      <c r="S184" s="42">
        <f ca="1">IFERROR(__xludf.DUMMYFUNCTION("""COMPUTED_VALUE"""),0)</f>
        <v>0</v>
      </c>
      <c r="T184" s="42">
        <f ca="1">IFERROR(__xludf.DUMMYFUNCTION("""COMPUTED_VALUE"""),1281)</f>
        <v>1281</v>
      </c>
      <c r="U184" s="42">
        <f ca="1">IFERROR(__xludf.DUMMYFUNCTION("""COMPUTED_VALUE"""),0)</f>
        <v>0</v>
      </c>
      <c r="V184" s="42">
        <f ca="1">IFERROR(__xludf.DUMMYFUNCTION("""COMPUTED_VALUE"""),0)</f>
        <v>0</v>
      </c>
      <c r="W184" s="42">
        <f ca="1">IFERROR(__xludf.DUMMYFUNCTION("""COMPUTED_VALUE"""),0)</f>
        <v>0</v>
      </c>
      <c r="X184" s="42">
        <f ca="1">IFERROR(__xludf.DUMMYFUNCTION("""COMPUTED_VALUE"""),0)</f>
        <v>0</v>
      </c>
      <c r="Y184" s="42">
        <f ca="1">IFERROR(__xludf.DUMMYFUNCTION("""COMPUTED_VALUE"""),0)</f>
        <v>0</v>
      </c>
      <c r="Z184" s="42">
        <f ca="1">IFERROR(__xludf.DUMMYFUNCTION("""COMPUTED_VALUE"""),0)</f>
        <v>0</v>
      </c>
    </row>
    <row r="185" spans="1:26" ht="12.75">
      <c r="A185" s="33" t="str">
        <f ca="1">IFERROR(__xludf.DUMMYFUNCTION("""COMPUTED_VALUE"""),"Guaraí")</f>
        <v>Guaraí</v>
      </c>
      <c r="B185" s="33" t="str">
        <f ca="1">IFERROR(__xludf.DUMMYFUNCTION("""COMPUTED_VALUE"""),"Guarai")</f>
        <v>Guarai</v>
      </c>
      <c r="C185" s="34" t="str">
        <f ca="1">IFERROR(__xludf.DUMMYFUNCTION("""COMPUTED_VALUE"""),"A.A. ESC. EST.IRINEU ALBANO HENDGES")</f>
        <v>A.A. ESC. EST.IRINEU ALBANO HENDGES</v>
      </c>
      <c r="D185" s="35" t="str">
        <f ca="1">IFERROR(__xludf.DUMMYFUNCTION("""COMPUTED_VALUE"""),"01136012000100")</f>
        <v>01136012000100</v>
      </c>
      <c r="E185" s="36" t="str">
        <f ca="1">IFERROR(__xludf.DUMMYFUNCTION("""COMPUTED_VALUE"""),"001")</f>
        <v>001</v>
      </c>
      <c r="F185" s="37" t="str">
        <f ca="1">IFERROR(__xludf.DUMMYFUNCTION("""COMPUTED_VALUE"""),"2094")</f>
        <v>2094</v>
      </c>
      <c r="G185" s="37" t="str">
        <f ca="1">IFERROR(__xludf.DUMMYFUNCTION("""COMPUTED_VALUE"""),"0472433")</f>
        <v>0472433</v>
      </c>
      <c r="H185" s="37">
        <f ca="1">IFERROR(__xludf.DUMMYFUNCTION("""COMPUTED_VALUE"""),0)</f>
        <v>0</v>
      </c>
      <c r="I185" s="37">
        <f ca="1">IFERROR(__xludf.DUMMYFUNCTION("""COMPUTED_VALUE"""),0)</f>
        <v>0</v>
      </c>
      <c r="J185" s="37">
        <f ca="1">IFERROR(__xludf.DUMMYFUNCTION("""COMPUTED_VALUE"""),9156)</f>
        <v>9156</v>
      </c>
      <c r="K185" s="37">
        <f ca="1">IFERROR(__xludf.DUMMYFUNCTION("""COMPUTED_VALUE"""),0)</f>
        <v>0</v>
      </c>
      <c r="L185" s="37">
        <f ca="1">IFERROR(__xludf.DUMMYFUNCTION("""COMPUTED_VALUE"""),0)</f>
        <v>0</v>
      </c>
      <c r="M185" s="37">
        <f ca="1">IFERROR(__xludf.DUMMYFUNCTION("""COMPUTED_VALUE"""),0)</f>
        <v>0</v>
      </c>
      <c r="N185" s="37">
        <f ca="1">IFERROR(__xludf.DUMMYFUNCTION("""COMPUTED_VALUE"""),0)</f>
        <v>0</v>
      </c>
      <c r="O185" s="37">
        <f ca="1">IFERROR(__xludf.DUMMYFUNCTION("""COMPUTED_VALUE"""),0)</f>
        <v>0</v>
      </c>
      <c r="P185" s="37">
        <f ca="1">IFERROR(__xludf.DUMMYFUNCTION("""COMPUTED_VALUE"""),462)</f>
        <v>462</v>
      </c>
      <c r="Q185" s="37">
        <f ca="1">IFERROR(__xludf.DUMMYFUNCTION("""COMPUTED_VALUE"""),17052)</f>
        <v>17052</v>
      </c>
      <c r="R185" s="37">
        <f ca="1">IFERROR(__xludf.DUMMYFUNCTION("""COMPUTED_VALUE"""),0)</f>
        <v>0</v>
      </c>
      <c r="S185" s="37">
        <f ca="1">IFERROR(__xludf.DUMMYFUNCTION("""COMPUTED_VALUE"""),0)</f>
        <v>0</v>
      </c>
      <c r="T185" s="37">
        <f ca="1">IFERROR(__xludf.DUMMYFUNCTION("""COMPUTED_VALUE"""),0)</f>
        <v>0</v>
      </c>
      <c r="U185" s="37">
        <f ca="1">IFERROR(__xludf.DUMMYFUNCTION("""COMPUTED_VALUE"""),0)</f>
        <v>0</v>
      </c>
      <c r="V185" s="37">
        <f ca="1">IFERROR(__xludf.DUMMYFUNCTION("""COMPUTED_VALUE"""),0)</f>
        <v>0</v>
      </c>
      <c r="W185" s="37">
        <f ca="1">IFERROR(__xludf.DUMMYFUNCTION("""COMPUTED_VALUE"""),0)</f>
        <v>0</v>
      </c>
      <c r="X185" s="37">
        <f ca="1">IFERROR(__xludf.DUMMYFUNCTION("""COMPUTED_VALUE"""),0)</f>
        <v>0</v>
      </c>
      <c r="Y185" s="37">
        <f ca="1">IFERROR(__xludf.DUMMYFUNCTION("""COMPUTED_VALUE"""),0)</f>
        <v>0</v>
      </c>
      <c r="Z185" s="37">
        <f ca="1">IFERROR(__xludf.DUMMYFUNCTION("""COMPUTED_VALUE"""),0)</f>
        <v>0</v>
      </c>
    </row>
    <row r="186" spans="1:26" ht="12.75">
      <c r="A186" s="38" t="str">
        <f ca="1">IFERROR(__xludf.DUMMYFUNCTION("""COMPUTED_VALUE"""),"Guaraí")</f>
        <v>Guaraí</v>
      </c>
      <c r="B186" s="38" t="str">
        <f ca="1">IFERROR(__xludf.DUMMYFUNCTION("""COMPUTED_VALUE"""),"Guarai")</f>
        <v>Guarai</v>
      </c>
      <c r="C186" s="39" t="str">
        <f ca="1">IFERROR(__xludf.DUMMYFUNCTION("""COMPUTED_VALUE"""),"A.A. ESCOLA EST. JOSE COSTA SOARES")</f>
        <v>A.A. ESCOLA EST. JOSE COSTA SOARES</v>
      </c>
      <c r="D186" s="40" t="str">
        <f ca="1">IFERROR(__xludf.DUMMYFUNCTION("""COMPUTED_VALUE"""),"01421200000180")</f>
        <v>01421200000180</v>
      </c>
      <c r="E186" s="41" t="str">
        <f ca="1">IFERROR(__xludf.DUMMYFUNCTION("""COMPUTED_VALUE"""),"001")</f>
        <v>001</v>
      </c>
      <c r="F186" s="42" t="str">
        <f ca="1">IFERROR(__xludf.DUMMYFUNCTION("""COMPUTED_VALUE"""),"2094")</f>
        <v>2094</v>
      </c>
      <c r="G186" s="42" t="str">
        <f ca="1">IFERROR(__xludf.DUMMYFUNCTION("""COMPUTED_VALUE"""),"471577")</f>
        <v>471577</v>
      </c>
      <c r="H186" s="42">
        <f ca="1">IFERROR(__xludf.DUMMYFUNCTION("""COMPUTED_VALUE"""),0)</f>
        <v>0</v>
      </c>
      <c r="I186" s="42">
        <f ca="1">IFERROR(__xludf.DUMMYFUNCTION("""COMPUTED_VALUE"""),0)</f>
        <v>0</v>
      </c>
      <c r="J186" s="42">
        <f ca="1">IFERROR(__xludf.DUMMYFUNCTION("""COMPUTED_VALUE"""),3129)</f>
        <v>3129</v>
      </c>
      <c r="K186" s="42">
        <f ca="1">IFERROR(__xludf.DUMMYFUNCTION("""COMPUTED_VALUE"""),0)</f>
        <v>0</v>
      </c>
      <c r="L186" s="42">
        <f ca="1">IFERROR(__xludf.DUMMYFUNCTION("""COMPUTED_VALUE"""),0)</f>
        <v>0</v>
      </c>
      <c r="M186" s="42">
        <f ca="1">IFERROR(__xludf.DUMMYFUNCTION("""COMPUTED_VALUE"""),0)</f>
        <v>0</v>
      </c>
      <c r="N186" s="42">
        <f ca="1">IFERROR(__xludf.DUMMYFUNCTION("""COMPUTED_VALUE"""),0)</f>
        <v>0</v>
      </c>
      <c r="O186" s="42">
        <f ca="1">IFERROR(__xludf.DUMMYFUNCTION("""COMPUTED_VALUE"""),0)</f>
        <v>0</v>
      </c>
      <c r="P186" s="42">
        <f ca="1">IFERROR(__xludf.DUMMYFUNCTION("""COMPUTED_VALUE"""),231)</f>
        <v>231</v>
      </c>
      <c r="Q186" s="42">
        <f ca="1">IFERROR(__xludf.DUMMYFUNCTION("""COMPUTED_VALUE"""),0)</f>
        <v>0</v>
      </c>
      <c r="R186" s="42">
        <f ca="1">IFERROR(__xludf.DUMMYFUNCTION("""COMPUTED_VALUE"""),0)</f>
        <v>0</v>
      </c>
      <c r="S186" s="42">
        <f ca="1">IFERROR(__xludf.DUMMYFUNCTION("""COMPUTED_VALUE"""),0)</f>
        <v>0</v>
      </c>
      <c r="T186" s="42">
        <f ca="1">IFERROR(__xludf.DUMMYFUNCTION("""COMPUTED_VALUE"""),0)</f>
        <v>0</v>
      </c>
      <c r="U186" s="42">
        <f ca="1">IFERROR(__xludf.DUMMYFUNCTION("""COMPUTED_VALUE"""),0)</f>
        <v>0</v>
      </c>
      <c r="V186" s="42">
        <f ca="1">IFERROR(__xludf.DUMMYFUNCTION("""COMPUTED_VALUE"""),0)</f>
        <v>0</v>
      </c>
      <c r="W186" s="42">
        <f ca="1">IFERROR(__xludf.DUMMYFUNCTION("""COMPUTED_VALUE"""),0)</f>
        <v>0</v>
      </c>
      <c r="X186" s="42">
        <f ca="1">IFERROR(__xludf.DUMMYFUNCTION("""COMPUTED_VALUE"""),0)</f>
        <v>0</v>
      </c>
      <c r="Y186" s="42">
        <f ca="1">IFERROR(__xludf.DUMMYFUNCTION("""COMPUTED_VALUE"""),0)</f>
        <v>0</v>
      </c>
      <c r="Z186" s="42">
        <f ca="1">IFERROR(__xludf.DUMMYFUNCTION("""COMPUTED_VALUE"""),0)</f>
        <v>0</v>
      </c>
    </row>
    <row r="187" spans="1:26" ht="12.75">
      <c r="A187" s="33" t="str">
        <f ca="1">IFERROR(__xludf.DUMMYFUNCTION("""COMPUTED_VALUE"""),"Guaraí")</f>
        <v>Guaraí</v>
      </c>
      <c r="B187" s="33" t="str">
        <f ca="1">IFERROR(__xludf.DUMMYFUNCTION("""COMPUTED_VALUE"""),"Itapora do Tocantins")</f>
        <v>Itapora do Tocantins</v>
      </c>
      <c r="C187" s="34" t="str">
        <f ca="1">IFERROR(__xludf.DUMMYFUNCTION("""COMPUTED_VALUE"""),"A.A. COL. EST. FRANCISCA ALVES ALENCAR")</f>
        <v>A.A. COL. EST. FRANCISCA ALVES ALENCAR</v>
      </c>
      <c r="D187" s="35" t="str">
        <f ca="1">IFERROR(__xludf.DUMMYFUNCTION("""COMPUTED_VALUE"""),"01190193000153")</f>
        <v>01190193000153</v>
      </c>
      <c r="E187" s="36" t="str">
        <f ca="1">IFERROR(__xludf.DUMMYFUNCTION("""COMPUTED_VALUE"""),"001")</f>
        <v>001</v>
      </c>
      <c r="F187" s="37" t="str">
        <f ca="1">IFERROR(__xludf.DUMMYFUNCTION("""COMPUTED_VALUE"""),"1306")</f>
        <v>1306</v>
      </c>
      <c r="G187" s="37" t="str">
        <f ca="1">IFERROR(__xludf.DUMMYFUNCTION("""COMPUTED_VALUE"""),"102865")</f>
        <v>102865</v>
      </c>
      <c r="H187" s="37">
        <f ca="1">IFERROR(__xludf.DUMMYFUNCTION("""COMPUTED_VALUE"""),0)</f>
        <v>0</v>
      </c>
      <c r="I187" s="37">
        <f ca="1">IFERROR(__xludf.DUMMYFUNCTION("""COMPUTED_VALUE"""),0)</f>
        <v>0</v>
      </c>
      <c r="J187" s="37">
        <f ca="1">IFERROR(__xludf.DUMMYFUNCTION("""COMPUTED_VALUE"""),2289)</f>
        <v>2289</v>
      </c>
      <c r="K187" s="37">
        <f ca="1">IFERROR(__xludf.DUMMYFUNCTION("""COMPUTED_VALUE"""),0)</f>
        <v>0</v>
      </c>
      <c r="L187" s="37">
        <f ca="1">IFERROR(__xludf.DUMMYFUNCTION("""COMPUTED_VALUE"""),0)</f>
        <v>0</v>
      </c>
      <c r="M187" s="37">
        <f ca="1">IFERROR(__xludf.DUMMYFUNCTION("""COMPUTED_VALUE"""),0)</f>
        <v>0</v>
      </c>
      <c r="N187" s="37">
        <f ca="1">IFERROR(__xludf.DUMMYFUNCTION("""COMPUTED_VALUE"""),0)</f>
        <v>0</v>
      </c>
      <c r="O187" s="37">
        <f ca="1">IFERROR(__xludf.DUMMYFUNCTION("""COMPUTED_VALUE"""),0)</f>
        <v>0</v>
      </c>
      <c r="P187" s="37">
        <f ca="1">IFERROR(__xludf.DUMMYFUNCTION("""COMPUTED_VALUE"""),210)</f>
        <v>210</v>
      </c>
      <c r="Q187" s="37">
        <f ca="1">IFERROR(__xludf.DUMMYFUNCTION("""COMPUTED_VALUE"""),1617)</f>
        <v>1617</v>
      </c>
      <c r="R187" s="37">
        <f ca="1">IFERROR(__xludf.DUMMYFUNCTION("""COMPUTED_VALUE"""),0)</f>
        <v>0</v>
      </c>
      <c r="S187" s="37">
        <f ca="1">IFERROR(__xludf.DUMMYFUNCTION("""COMPUTED_VALUE"""),0)</f>
        <v>0</v>
      </c>
      <c r="T187" s="37">
        <f ca="1">IFERROR(__xludf.DUMMYFUNCTION("""COMPUTED_VALUE"""),651)</f>
        <v>651</v>
      </c>
      <c r="U187" s="37">
        <f ca="1">IFERROR(__xludf.DUMMYFUNCTION("""COMPUTED_VALUE"""),0)</f>
        <v>0</v>
      </c>
      <c r="V187" s="37">
        <f ca="1">IFERROR(__xludf.DUMMYFUNCTION("""COMPUTED_VALUE"""),0)</f>
        <v>0</v>
      </c>
      <c r="W187" s="37">
        <f ca="1">IFERROR(__xludf.DUMMYFUNCTION("""COMPUTED_VALUE"""),0)</f>
        <v>0</v>
      </c>
      <c r="X187" s="37">
        <f ca="1">IFERROR(__xludf.DUMMYFUNCTION("""COMPUTED_VALUE"""),0)</f>
        <v>0</v>
      </c>
      <c r="Y187" s="37">
        <f ca="1">IFERROR(__xludf.DUMMYFUNCTION("""COMPUTED_VALUE"""),0)</f>
        <v>0</v>
      </c>
      <c r="Z187" s="37">
        <f ca="1">IFERROR(__xludf.DUMMYFUNCTION("""COMPUTED_VALUE"""),0)</f>
        <v>0</v>
      </c>
    </row>
    <row r="188" spans="1:26" ht="12.75">
      <c r="A188" s="38" t="str">
        <f ca="1">IFERROR(__xludf.DUMMYFUNCTION("""COMPUTED_VALUE"""),"Guaraí")</f>
        <v>Guaraí</v>
      </c>
      <c r="B188" s="38" t="str">
        <f ca="1">IFERROR(__xludf.DUMMYFUNCTION("""COMPUTED_VALUE"""),"Pequizeiro")</f>
        <v>Pequizeiro</v>
      </c>
      <c r="C188" s="39" t="str">
        <f ca="1">IFERROR(__xludf.DUMMYFUNCTION("""COMPUTED_VALUE"""),"ASSOC. DE APOIO ESC. EST. 1º DE JUNHO")</f>
        <v>ASSOC. DE APOIO ESC. EST. 1º DE JUNHO</v>
      </c>
      <c r="D188" s="40" t="str">
        <f ca="1">IFERROR(__xludf.DUMMYFUNCTION("""COMPUTED_VALUE"""),"02060455000128")</f>
        <v>02060455000128</v>
      </c>
      <c r="E188" s="41" t="str">
        <f ca="1">IFERROR(__xludf.DUMMYFUNCTION("""COMPUTED_VALUE"""),"001")</f>
        <v>001</v>
      </c>
      <c r="F188" s="42" t="str">
        <f ca="1">IFERROR(__xludf.DUMMYFUNCTION("""COMPUTED_VALUE"""),"1306")</f>
        <v>1306</v>
      </c>
      <c r="G188" s="42" t="str">
        <f ca="1">IFERROR(__xludf.DUMMYFUNCTION("""COMPUTED_VALUE"""),"147214")</f>
        <v>147214</v>
      </c>
      <c r="H188" s="42">
        <f ca="1">IFERROR(__xludf.DUMMYFUNCTION("""COMPUTED_VALUE"""),0)</f>
        <v>0</v>
      </c>
      <c r="I188" s="42">
        <f ca="1">IFERROR(__xludf.DUMMYFUNCTION("""COMPUTED_VALUE"""),0)</f>
        <v>0</v>
      </c>
      <c r="J188" s="42">
        <f ca="1">IFERROR(__xludf.DUMMYFUNCTION("""COMPUTED_VALUE"""),0)</f>
        <v>0</v>
      </c>
      <c r="K188" s="42">
        <f ca="1">IFERROR(__xludf.DUMMYFUNCTION("""COMPUTED_VALUE"""),0)</f>
        <v>0</v>
      </c>
      <c r="L188" s="42">
        <f ca="1">IFERROR(__xludf.DUMMYFUNCTION("""COMPUTED_VALUE"""),0)</f>
        <v>0</v>
      </c>
      <c r="M188" s="42">
        <f ca="1">IFERROR(__xludf.DUMMYFUNCTION("""COMPUTED_VALUE"""),0)</f>
        <v>0</v>
      </c>
      <c r="N188" s="42">
        <f ca="1">IFERROR(__xludf.DUMMYFUNCTION("""COMPUTED_VALUE"""),0)</f>
        <v>0</v>
      </c>
      <c r="O188" s="42">
        <f ca="1">IFERROR(__xludf.DUMMYFUNCTION("""COMPUTED_VALUE"""),0)</f>
        <v>0</v>
      </c>
      <c r="P188" s="42">
        <f ca="1">IFERROR(__xludf.DUMMYFUNCTION("""COMPUTED_VALUE"""),0)</f>
        <v>0</v>
      </c>
      <c r="Q188" s="42">
        <f ca="1">IFERROR(__xludf.DUMMYFUNCTION("""COMPUTED_VALUE"""),3843)</f>
        <v>3843</v>
      </c>
      <c r="R188" s="42">
        <f ca="1">IFERROR(__xludf.DUMMYFUNCTION("""COMPUTED_VALUE"""),0)</f>
        <v>0</v>
      </c>
      <c r="S188" s="42">
        <f ca="1">IFERROR(__xludf.DUMMYFUNCTION("""COMPUTED_VALUE"""),0)</f>
        <v>0</v>
      </c>
      <c r="T188" s="42">
        <f ca="1">IFERROR(__xludf.DUMMYFUNCTION("""COMPUTED_VALUE"""),0)</f>
        <v>0</v>
      </c>
      <c r="U188" s="42">
        <f ca="1">IFERROR(__xludf.DUMMYFUNCTION("""COMPUTED_VALUE"""),0)</f>
        <v>0</v>
      </c>
      <c r="V188" s="42">
        <f ca="1">IFERROR(__xludf.DUMMYFUNCTION("""COMPUTED_VALUE"""),0)</f>
        <v>0</v>
      </c>
      <c r="W188" s="42">
        <f ca="1">IFERROR(__xludf.DUMMYFUNCTION("""COMPUTED_VALUE"""),0)</f>
        <v>0</v>
      </c>
      <c r="X188" s="42">
        <f ca="1">IFERROR(__xludf.DUMMYFUNCTION("""COMPUTED_VALUE"""),0)</f>
        <v>0</v>
      </c>
      <c r="Y188" s="42">
        <f ca="1">IFERROR(__xludf.DUMMYFUNCTION("""COMPUTED_VALUE"""),0)</f>
        <v>0</v>
      </c>
      <c r="Z188" s="42">
        <f ca="1">IFERROR(__xludf.DUMMYFUNCTION("""COMPUTED_VALUE"""),0)</f>
        <v>0</v>
      </c>
    </row>
    <row r="189" spans="1:26" ht="12.75">
      <c r="A189" s="33" t="str">
        <f ca="1">IFERROR(__xludf.DUMMYFUNCTION("""COMPUTED_VALUE"""),"Guaraí")</f>
        <v>Guaraí</v>
      </c>
      <c r="B189" s="33" t="str">
        <f ca="1">IFERROR(__xludf.DUMMYFUNCTION("""COMPUTED_VALUE"""),"Pequizeiro")</f>
        <v>Pequizeiro</v>
      </c>
      <c r="C189" s="34" t="str">
        <f ca="1">IFERROR(__xludf.DUMMYFUNCTION("""COMPUTED_VALUE"""),"A.A. DO COLEGIO ESTADUAL BERNARDO SAYAO")</f>
        <v>A.A. DO COLEGIO ESTADUAL BERNARDO SAYAO</v>
      </c>
      <c r="D189" s="35" t="str">
        <f ca="1">IFERROR(__xludf.DUMMYFUNCTION("""COMPUTED_VALUE"""),"02160863000151")</f>
        <v>02160863000151</v>
      </c>
      <c r="E189" s="36" t="str">
        <f ca="1">IFERROR(__xludf.DUMMYFUNCTION("""COMPUTED_VALUE"""),"001")</f>
        <v>001</v>
      </c>
      <c r="F189" s="37" t="str">
        <f ca="1">IFERROR(__xludf.DUMMYFUNCTION("""COMPUTED_VALUE"""),"1306")</f>
        <v>1306</v>
      </c>
      <c r="G189" s="37" t="str">
        <f ca="1">IFERROR(__xludf.DUMMYFUNCTION("""COMPUTED_VALUE"""),"53910")</f>
        <v>53910</v>
      </c>
      <c r="H189" s="37">
        <f ca="1">IFERROR(__xludf.DUMMYFUNCTION("""COMPUTED_VALUE"""),0)</f>
        <v>0</v>
      </c>
      <c r="I189" s="37">
        <f ca="1">IFERROR(__xludf.DUMMYFUNCTION("""COMPUTED_VALUE"""),0)</f>
        <v>0</v>
      </c>
      <c r="J189" s="37">
        <f ca="1">IFERROR(__xludf.DUMMYFUNCTION("""COMPUTED_VALUE"""),3213)</f>
        <v>3213</v>
      </c>
      <c r="K189" s="37">
        <f ca="1">IFERROR(__xludf.DUMMYFUNCTION("""COMPUTED_VALUE"""),0)</f>
        <v>0</v>
      </c>
      <c r="L189" s="37">
        <f ca="1">IFERROR(__xludf.DUMMYFUNCTION("""COMPUTED_VALUE"""),0)</f>
        <v>0</v>
      </c>
      <c r="M189" s="37">
        <f ca="1">IFERROR(__xludf.DUMMYFUNCTION("""COMPUTED_VALUE"""),0)</f>
        <v>0</v>
      </c>
      <c r="N189" s="37">
        <f ca="1">IFERROR(__xludf.DUMMYFUNCTION("""COMPUTED_VALUE"""),0)</f>
        <v>0</v>
      </c>
      <c r="O189" s="37">
        <f ca="1">IFERROR(__xludf.DUMMYFUNCTION("""COMPUTED_VALUE"""),0)</f>
        <v>0</v>
      </c>
      <c r="P189" s="37">
        <f ca="1">IFERROR(__xludf.DUMMYFUNCTION("""COMPUTED_VALUE"""),483)</f>
        <v>483</v>
      </c>
      <c r="Q189" s="37">
        <f ca="1">IFERROR(__xludf.DUMMYFUNCTION("""COMPUTED_VALUE"""),0)</f>
        <v>0</v>
      </c>
      <c r="R189" s="37">
        <f ca="1">IFERROR(__xludf.DUMMYFUNCTION("""COMPUTED_VALUE"""),0)</f>
        <v>0</v>
      </c>
      <c r="S189" s="37">
        <f ca="1">IFERROR(__xludf.DUMMYFUNCTION("""COMPUTED_VALUE"""),0)</f>
        <v>0</v>
      </c>
      <c r="T189" s="37">
        <f ca="1">IFERROR(__xludf.DUMMYFUNCTION("""COMPUTED_VALUE"""),462)</f>
        <v>462</v>
      </c>
      <c r="U189" s="37">
        <f ca="1">IFERROR(__xludf.DUMMYFUNCTION("""COMPUTED_VALUE"""),0)</f>
        <v>0</v>
      </c>
      <c r="V189" s="37">
        <f ca="1">IFERROR(__xludf.DUMMYFUNCTION("""COMPUTED_VALUE"""),0)</f>
        <v>0</v>
      </c>
      <c r="W189" s="37">
        <f ca="1">IFERROR(__xludf.DUMMYFUNCTION("""COMPUTED_VALUE"""),0)</f>
        <v>0</v>
      </c>
      <c r="X189" s="37">
        <f ca="1">IFERROR(__xludf.DUMMYFUNCTION("""COMPUTED_VALUE"""),0)</f>
        <v>0</v>
      </c>
      <c r="Y189" s="37">
        <f ca="1">IFERROR(__xludf.DUMMYFUNCTION("""COMPUTED_VALUE"""),0)</f>
        <v>0</v>
      </c>
      <c r="Z189" s="37">
        <f ca="1">IFERROR(__xludf.DUMMYFUNCTION("""COMPUTED_VALUE"""),0)</f>
        <v>0</v>
      </c>
    </row>
    <row r="190" spans="1:26" ht="12.75">
      <c r="A190" s="38" t="str">
        <f ca="1">IFERROR(__xludf.DUMMYFUNCTION("""COMPUTED_VALUE"""),"Guaraí")</f>
        <v>Guaraí</v>
      </c>
      <c r="B190" s="38" t="str">
        <f ca="1">IFERROR(__xludf.DUMMYFUNCTION("""COMPUTED_VALUE"""),"Presidente Kennedy")</f>
        <v>Presidente Kennedy</v>
      </c>
      <c r="C190" s="39" t="str">
        <f ca="1">IFERROR(__xludf.DUMMYFUNCTION("""COMPUTED_VALUE"""),"A.PAIS E M.COL. EST. JUSCELINO KUBITSCHEK")</f>
        <v>A.PAIS E M.COL. EST. JUSCELINO KUBITSCHEK</v>
      </c>
      <c r="D190" s="40" t="str">
        <f ca="1">IFERROR(__xludf.DUMMYFUNCTION("""COMPUTED_VALUE"""),"02060456000172")</f>
        <v>02060456000172</v>
      </c>
      <c r="E190" s="41" t="str">
        <f ca="1">IFERROR(__xludf.DUMMYFUNCTION("""COMPUTED_VALUE"""),"001")</f>
        <v>001</v>
      </c>
      <c r="F190" s="42" t="str">
        <f ca="1">IFERROR(__xludf.DUMMYFUNCTION("""COMPUTED_VALUE"""),"2094")</f>
        <v>2094</v>
      </c>
      <c r="G190" s="42" t="str">
        <f ca="1">IFERROR(__xludf.DUMMYFUNCTION("""COMPUTED_VALUE"""),"047553X")</f>
        <v>047553X</v>
      </c>
      <c r="H190" s="42">
        <f ca="1">IFERROR(__xludf.DUMMYFUNCTION("""COMPUTED_VALUE"""),0)</f>
        <v>0</v>
      </c>
      <c r="I190" s="42">
        <f ca="1">IFERROR(__xludf.DUMMYFUNCTION("""COMPUTED_VALUE"""),0)</f>
        <v>0</v>
      </c>
      <c r="J190" s="42">
        <f ca="1">IFERROR(__xludf.DUMMYFUNCTION("""COMPUTED_VALUE"""),2961)</f>
        <v>2961</v>
      </c>
      <c r="K190" s="42">
        <f ca="1">IFERROR(__xludf.DUMMYFUNCTION("""COMPUTED_VALUE"""),0)</f>
        <v>0</v>
      </c>
      <c r="L190" s="42">
        <f ca="1">IFERROR(__xludf.DUMMYFUNCTION("""COMPUTED_VALUE"""),0)</f>
        <v>0</v>
      </c>
      <c r="M190" s="42">
        <f ca="1">IFERROR(__xludf.DUMMYFUNCTION("""COMPUTED_VALUE"""),0)</f>
        <v>0</v>
      </c>
      <c r="N190" s="42">
        <f ca="1">IFERROR(__xludf.DUMMYFUNCTION("""COMPUTED_VALUE"""),0)</f>
        <v>0</v>
      </c>
      <c r="O190" s="42">
        <f ca="1">IFERROR(__xludf.DUMMYFUNCTION("""COMPUTED_VALUE"""),0)</f>
        <v>0</v>
      </c>
      <c r="P190" s="42">
        <f ca="1">IFERROR(__xludf.DUMMYFUNCTION("""COMPUTED_VALUE"""),252)</f>
        <v>252</v>
      </c>
      <c r="Q190" s="42">
        <f ca="1">IFERROR(__xludf.DUMMYFUNCTION("""COMPUTED_VALUE"""),1953)</f>
        <v>1953</v>
      </c>
      <c r="R190" s="42">
        <f ca="1">IFERROR(__xludf.DUMMYFUNCTION("""COMPUTED_VALUE"""),0)</f>
        <v>0</v>
      </c>
      <c r="S190" s="42">
        <f ca="1">IFERROR(__xludf.DUMMYFUNCTION("""COMPUTED_VALUE"""),0)</f>
        <v>0</v>
      </c>
      <c r="T190" s="42">
        <f ca="1">IFERROR(__xludf.DUMMYFUNCTION("""COMPUTED_VALUE"""),0)</f>
        <v>0</v>
      </c>
      <c r="U190" s="42">
        <f ca="1">IFERROR(__xludf.DUMMYFUNCTION("""COMPUTED_VALUE"""),0)</f>
        <v>0</v>
      </c>
      <c r="V190" s="42">
        <f ca="1">IFERROR(__xludf.DUMMYFUNCTION("""COMPUTED_VALUE"""),0)</f>
        <v>0</v>
      </c>
      <c r="W190" s="42">
        <f ca="1">IFERROR(__xludf.DUMMYFUNCTION("""COMPUTED_VALUE"""),0)</f>
        <v>0</v>
      </c>
      <c r="X190" s="42">
        <f ca="1">IFERROR(__xludf.DUMMYFUNCTION("""COMPUTED_VALUE"""),0)</f>
        <v>0</v>
      </c>
      <c r="Y190" s="42">
        <f ca="1">IFERROR(__xludf.DUMMYFUNCTION("""COMPUTED_VALUE"""),0)</f>
        <v>0</v>
      </c>
      <c r="Z190" s="42">
        <f ca="1">IFERROR(__xludf.DUMMYFUNCTION("""COMPUTED_VALUE"""),0)</f>
        <v>0</v>
      </c>
    </row>
    <row r="191" spans="1:26" ht="12.75">
      <c r="A191" s="33" t="str">
        <f ca="1">IFERROR(__xludf.DUMMYFUNCTION("""COMPUTED_VALUE"""),"Gurupi")</f>
        <v>Gurupi</v>
      </c>
      <c r="B191" s="33" t="str">
        <f ca="1">IFERROR(__xludf.DUMMYFUNCTION("""COMPUTED_VALUE"""),"Alianca do Tocantins")</f>
        <v>Alianca do Tocantins</v>
      </c>
      <c r="C191" s="34" t="str">
        <f ca="1">IFERROR(__xludf.DUMMYFUNCTION("""COMPUTED_VALUE"""),"ASS. APOIO COL. EST. ANITA CASSIMIRO MORENO")</f>
        <v>ASS. APOIO COL. EST. ANITA CASSIMIRO MORENO</v>
      </c>
      <c r="D191" s="35" t="str">
        <f ca="1">IFERROR(__xludf.DUMMYFUNCTION("""COMPUTED_VALUE"""),"01304570000138")</f>
        <v>01304570000138</v>
      </c>
      <c r="E191" s="36" t="str">
        <f ca="1">IFERROR(__xludf.DUMMYFUNCTION("""COMPUTED_VALUE"""),"001")</f>
        <v>001</v>
      </c>
      <c r="F191" s="37" t="str">
        <f ca="1">IFERROR(__xludf.DUMMYFUNCTION("""COMPUTED_VALUE"""),"3972")</f>
        <v>3972</v>
      </c>
      <c r="G191" s="37" t="str">
        <f ca="1">IFERROR(__xludf.DUMMYFUNCTION("""COMPUTED_VALUE"""),"245984")</f>
        <v>245984</v>
      </c>
      <c r="H191" s="37">
        <f ca="1">IFERROR(__xludf.DUMMYFUNCTION("""COMPUTED_VALUE"""),0)</f>
        <v>0</v>
      </c>
      <c r="I191" s="37">
        <f ca="1">IFERROR(__xludf.DUMMYFUNCTION("""COMPUTED_VALUE"""),0)</f>
        <v>0</v>
      </c>
      <c r="J191" s="37">
        <f ca="1">IFERROR(__xludf.DUMMYFUNCTION("""COMPUTED_VALUE"""),2205)</f>
        <v>2205</v>
      </c>
      <c r="K191" s="37">
        <f ca="1">IFERROR(__xludf.DUMMYFUNCTION("""COMPUTED_VALUE"""),0)</f>
        <v>0</v>
      </c>
      <c r="L191" s="37">
        <f ca="1">IFERROR(__xludf.DUMMYFUNCTION("""COMPUTED_VALUE"""),0)</f>
        <v>0</v>
      </c>
      <c r="M191" s="37">
        <f ca="1">IFERROR(__xludf.DUMMYFUNCTION("""COMPUTED_VALUE"""),0)</f>
        <v>0</v>
      </c>
      <c r="N191" s="37">
        <f ca="1">IFERROR(__xludf.DUMMYFUNCTION("""COMPUTED_VALUE"""),0)</f>
        <v>0</v>
      </c>
      <c r="O191" s="37">
        <f ca="1">IFERROR(__xludf.DUMMYFUNCTION("""COMPUTED_VALUE"""),0)</f>
        <v>0</v>
      </c>
      <c r="P191" s="37">
        <f ca="1">IFERROR(__xludf.DUMMYFUNCTION("""COMPUTED_VALUE"""),0)</f>
        <v>0</v>
      </c>
      <c r="Q191" s="37">
        <f ca="1">IFERROR(__xludf.DUMMYFUNCTION("""COMPUTED_VALUE"""),3318)</f>
        <v>3318</v>
      </c>
      <c r="R191" s="37">
        <f ca="1">IFERROR(__xludf.DUMMYFUNCTION("""COMPUTED_VALUE"""),0)</f>
        <v>0</v>
      </c>
      <c r="S191" s="37">
        <f ca="1">IFERROR(__xludf.DUMMYFUNCTION("""COMPUTED_VALUE"""),0)</f>
        <v>0</v>
      </c>
      <c r="T191" s="37">
        <f ca="1">IFERROR(__xludf.DUMMYFUNCTION("""COMPUTED_VALUE"""),0)</f>
        <v>0</v>
      </c>
      <c r="U191" s="37">
        <f ca="1">IFERROR(__xludf.DUMMYFUNCTION("""COMPUTED_VALUE"""),0)</f>
        <v>0</v>
      </c>
      <c r="V191" s="37">
        <f ca="1">IFERROR(__xludf.DUMMYFUNCTION("""COMPUTED_VALUE"""),0)</f>
        <v>0</v>
      </c>
      <c r="W191" s="37">
        <f ca="1">IFERROR(__xludf.DUMMYFUNCTION("""COMPUTED_VALUE"""),0)</f>
        <v>0</v>
      </c>
      <c r="X191" s="37">
        <f ca="1">IFERROR(__xludf.DUMMYFUNCTION("""COMPUTED_VALUE"""),0)</f>
        <v>0</v>
      </c>
      <c r="Y191" s="37">
        <f ca="1">IFERROR(__xludf.DUMMYFUNCTION("""COMPUTED_VALUE"""),0)</f>
        <v>0</v>
      </c>
      <c r="Z191" s="37">
        <f ca="1">IFERROR(__xludf.DUMMYFUNCTION("""COMPUTED_VALUE"""),0)</f>
        <v>0</v>
      </c>
    </row>
    <row r="192" spans="1:26" ht="12.75">
      <c r="A192" s="38" t="str">
        <f ca="1">IFERROR(__xludf.DUMMYFUNCTION("""COMPUTED_VALUE"""),"Gurupi")</f>
        <v>Gurupi</v>
      </c>
      <c r="B192" s="38" t="str">
        <f ca="1">IFERROR(__xludf.DUMMYFUNCTION("""COMPUTED_VALUE"""),"Alianca do Tocantins")</f>
        <v>Alianca do Tocantins</v>
      </c>
      <c r="C192" s="39" t="str">
        <f ca="1">IFERROR(__xludf.DUMMYFUNCTION("""COMPUTED_VALUE"""),"A.A.  AO EDUCANDARIO EVANGELICO JERUSALEM")</f>
        <v>A.A.  AO EDUCANDARIO EVANGELICO JERUSALEM</v>
      </c>
      <c r="D192" s="40" t="str">
        <f ca="1">IFERROR(__xludf.DUMMYFUNCTION("""COMPUTED_VALUE"""),"03172227000102")</f>
        <v>03172227000102</v>
      </c>
      <c r="E192" s="41" t="str">
        <f ca="1">IFERROR(__xludf.DUMMYFUNCTION("""COMPUTED_VALUE"""),"001")</f>
        <v>001</v>
      </c>
      <c r="F192" s="42" t="str">
        <f ca="1">IFERROR(__xludf.DUMMYFUNCTION("""COMPUTED_VALUE"""),"3972")</f>
        <v>3972</v>
      </c>
      <c r="G192" s="42" t="str">
        <f ca="1">IFERROR(__xludf.DUMMYFUNCTION("""COMPUTED_VALUE"""),"54666")</f>
        <v>54666</v>
      </c>
      <c r="H192" s="42">
        <f ca="1">IFERROR(__xludf.DUMMYFUNCTION("""COMPUTED_VALUE"""),0)</f>
        <v>0</v>
      </c>
      <c r="I192" s="42">
        <f ca="1">IFERROR(__xludf.DUMMYFUNCTION("""COMPUTED_VALUE"""),0)</f>
        <v>0</v>
      </c>
      <c r="J192" s="42">
        <f ca="1">IFERROR(__xludf.DUMMYFUNCTION("""COMPUTED_VALUE"""),2163)</f>
        <v>2163</v>
      </c>
      <c r="K192" s="42">
        <f ca="1">IFERROR(__xludf.DUMMYFUNCTION("""COMPUTED_VALUE"""),0)</f>
        <v>0</v>
      </c>
      <c r="L192" s="42">
        <f ca="1">IFERROR(__xludf.DUMMYFUNCTION("""COMPUTED_VALUE"""),0)</f>
        <v>0</v>
      </c>
      <c r="M192" s="42">
        <f ca="1">IFERROR(__xludf.DUMMYFUNCTION("""COMPUTED_VALUE"""),0)</f>
        <v>0</v>
      </c>
      <c r="N192" s="42">
        <f ca="1">IFERROR(__xludf.DUMMYFUNCTION("""COMPUTED_VALUE"""),0)</f>
        <v>0</v>
      </c>
      <c r="O192" s="42">
        <f ca="1">IFERROR(__xludf.DUMMYFUNCTION("""COMPUTED_VALUE"""),0)</f>
        <v>0</v>
      </c>
      <c r="P192" s="42">
        <f ca="1">IFERROR(__xludf.DUMMYFUNCTION("""COMPUTED_VALUE"""),0)</f>
        <v>0</v>
      </c>
      <c r="Q192" s="42">
        <f ca="1">IFERROR(__xludf.DUMMYFUNCTION("""COMPUTED_VALUE"""),0)</f>
        <v>0</v>
      </c>
      <c r="R192" s="42">
        <f ca="1">IFERROR(__xludf.DUMMYFUNCTION("""COMPUTED_VALUE"""),0)</f>
        <v>0</v>
      </c>
      <c r="S192" s="42">
        <f ca="1">IFERROR(__xludf.DUMMYFUNCTION("""COMPUTED_VALUE"""),0)</f>
        <v>0</v>
      </c>
      <c r="T192" s="42">
        <f ca="1">IFERROR(__xludf.DUMMYFUNCTION("""COMPUTED_VALUE"""),0)</f>
        <v>0</v>
      </c>
      <c r="U192" s="42">
        <f ca="1">IFERROR(__xludf.DUMMYFUNCTION("""COMPUTED_VALUE"""),0)</f>
        <v>0</v>
      </c>
      <c r="V192" s="42">
        <f ca="1">IFERROR(__xludf.DUMMYFUNCTION("""COMPUTED_VALUE"""),0)</f>
        <v>0</v>
      </c>
      <c r="W192" s="42">
        <f ca="1">IFERROR(__xludf.DUMMYFUNCTION("""COMPUTED_VALUE"""),0)</f>
        <v>0</v>
      </c>
      <c r="X192" s="42">
        <f ca="1">IFERROR(__xludf.DUMMYFUNCTION("""COMPUTED_VALUE"""),0)</f>
        <v>0</v>
      </c>
      <c r="Y192" s="42">
        <f ca="1">IFERROR(__xludf.DUMMYFUNCTION("""COMPUTED_VALUE"""),0)</f>
        <v>0</v>
      </c>
      <c r="Z192" s="42">
        <f ca="1">IFERROR(__xludf.DUMMYFUNCTION("""COMPUTED_VALUE"""),0)</f>
        <v>0</v>
      </c>
    </row>
    <row r="193" spans="1:26" ht="12.75">
      <c r="A193" s="33" t="str">
        <f ca="1">IFERROR(__xludf.DUMMYFUNCTION("""COMPUTED_VALUE"""),"Gurupi")</f>
        <v>Gurupi</v>
      </c>
      <c r="B193" s="33" t="str">
        <f ca="1">IFERROR(__xludf.DUMMYFUNCTION("""COMPUTED_VALUE"""),"Alianca do Tocantins")</f>
        <v>Alianca do Tocantins</v>
      </c>
      <c r="C193" s="34" t="str">
        <f ca="1">IFERROR(__xludf.DUMMYFUNCTION("""COMPUTED_VALUE"""),"ASSOCIAÇÃO DE APOIO A ESCOLA ESPECIAL AMOR FRATERNAL")</f>
        <v>ASSOCIAÇÃO DE APOIO A ESCOLA ESPECIAL AMOR FRATERNAL</v>
      </c>
      <c r="D193" s="35" t="str">
        <f ca="1">IFERROR(__xludf.DUMMYFUNCTION("""COMPUTED_VALUE"""),"07953958000146")</f>
        <v>07953958000146</v>
      </c>
      <c r="E193" s="36" t="str">
        <f ca="1">IFERROR(__xludf.DUMMYFUNCTION("""COMPUTED_VALUE"""),"001")</f>
        <v>001</v>
      </c>
      <c r="F193" s="37" t="str">
        <f ca="1">IFERROR(__xludf.DUMMYFUNCTION("""COMPUTED_VALUE"""),"3972")</f>
        <v>3972</v>
      </c>
      <c r="G193" s="37" t="str">
        <f ca="1">IFERROR(__xludf.DUMMYFUNCTION("""COMPUTED_VALUE"""),"90115")</f>
        <v>90115</v>
      </c>
      <c r="H193" s="37">
        <f ca="1">IFERROR(__xludf.DUMMYFUNCTION("""COMPUTED_VALUE"""),0)</f>
        <v>0</v>
      </c>
      <c r="I193" s="37">
        <f ca="1">IFERROR(__xludf.DUMMYFUNCTION("""COMPUTED_VALUE"""),189)</f>
        <v>189</v>
      </c>
      <c r="J193" s="37">
        <f ca="1">IFERROR(__xludf.DUMMYFUNCTION("""COMPUTED_VALUE"""),0)</f>
        <v>0</v>
      </c>
      <c r="K193" s="37">
        <f ca="1">IFERROR(__xludf.DUMMYFUNCTION("""COMPUTED_VALUE"""),0)</f>
        <v>0</v>
      </c>
      <c r="L193" s="37">
        <f ca="1">IFERROR(__xludf.DUMMYFUNCTION("""COMPUTED_VALUE"""),0)</f>
        <v>0</v>
      </c>
      <c r="M193" s="37">
        <f ca="1">IFERROR(__xludf.DUMMYFUNCTION("""COMPUTED_VALUE"""),0)</f>
        <v>0</v>
      </c>
      <c r="N193" s="37">
        <f ca="1">IFERROR(__xludf.DUMMYFUNCTION("""COMPUTED_VALUE"""),0)</f>
        <v>0</v>
      </c>
      <c r="O193" s="37">
        <f ca="1">IFERROR(__xludf.DUMMYFUNCTION("""COMPUTED_VALUE"""),0)</f>
        <v>0</v>
      </c>
      <c r="P193" s="37">
        <f ca="1">IFERROR(__xludf.DUMMYFUNCTION("""COMPUTED_VALUE"""),735)</f>
        <v>735</v>
      </c>
      <c r="Q193" s="37">
        <f ca="1">IFERROR(__xludf.DUMMYFUNCTION("""COMPUTED_VALUE"""),0)</f>
        <v>0</v>
      </c>
      <c r="R193" s="37">
        <f ca="1">IFERROR(__xludf.DUMMYFUNCTION("""COMPUTED_VALUE"""),0)</f>
        <v>0</v>
      </c>
      <c r="S193" s="37">
        <f ca="1">IFERROR(__xludf.DUMMYFUNCTION("""COMPUTED_VALUE"""),0)</f>
        <v>0</v>
      </c>
      <c r="T193" s="37">
        <f ca="1">IFERROR(__xludf.DUMMYFUNCTION("""COMPUTED_VALUE"""),1365)</f>
        <v>1365</v>
      </c>
      <c r="U193" s="37">
        <f ca="1">IFERROR(__xludf.DUMMYFUNCTION("""COMPUTED_VALUE"""),0)</f>
        <v>0</v>
      </c>
      <c r="V193" s="37">
        <f ca="1">IFERROR(__xludf.DUMMYFUNCTION("""COMPUTED_VALUE"""),0)</f>
        <v>0</v>
      </c>
      <c r="W193" s="37">
        <f ca="1">IFERROR(__xludf.DUMMYFUNCTION("""COMPUTED_VALUE"""),0)</f>
        <v>0</v>
      </c>
      <c r="X193" s="37">
        <f ca="1">IFERROR(__xludf.DUMMYFUNCTION("""COMPUTED_VALUE"""),0)</f>
        <v>0</v>
      </c>
      <c r="Y193" s="37">
        <f ca="1">IFERROR(__xludf.DUMMYFUNCTION("""COMPUTED_VALUE"""),0)</f>
        <v>0</v>
      </c>
      <c r="Z193" s="37">
        <f ca="1">IFERROR(__xludf.DUMMYFUNCTION("""COMPUTED_VALUE"""),0)</f>
        <v>0</v>
      </c>
    </row>
    <row r="194" spans="1:26" ht="12.75">
      <c r="A194" s="38" t="str">
        <f ca="1">IFERROR(__xludf.DUMMYFUNCTION("""COMPUTED_VALUE"""),"Gurupi")</f>
        <v>Gurupi</v>
      </c>
      <c r="B194" s="38" t="str">
        <f ca="1">IFERROR(__xludf.DUMMYFUNCTION("""COMPUTED_VALUE"""),"Alianca do Tocantins")</f>
        <v>Alianca do Tocantins</v>
      </c>
      <c r="C194" s="39" t="str">
        <f ca="1">IFERROR(__xludf.DUMMYFUNCTION("""COMPUTED_VALUE"""),"A. PAIS E MESTRES ESC. EST.N.SRA.DO CARMO")</f>
        <v>A. PAIS E MESTRES ESC. EST.N.SRA.DO CARMO</v>
      </c>
      <c r="D194" s="40" t="str">
        <f ca="1">IFERROR(__xludf.DUMMYFUNCTION("""COMPUTED_VALUE"""),"01034192000110")</f>
        <v>01034192000110</v>
      </c>
      <c r="E194" s="41" t="str">
        <f ca="1">IFERROR(__xludf.DUMMYFUNCTION("""COMPUTED_VALUE"""),"001")</f>
        <v>001</v>
      </c>
      <c r="F194" s="42" t="str">
        <f ca="1">IFERROR(__xludf.DUMMYFUNCTION("""COMPUTED_VALUE"""),"3972")</f>
        <v>3972</v>
      </c>
      <c r="G194" s="42" t="str">
        <f ca="1">IFERROR(__xludf.DUMMYFUNCTION("""COMPUTED_VALUE"""),"243590")</f>
        <v>243590</v>
      </c>
      <c r="H194" s="42">
        <f ca="1">IFERROR(__xludf.DUMMYFUNCTION("""COMPUTED_VALUE"""),0)</f>
        <v>0</v>
      </c>
      <c r="I194" s="42">
        <f ca="1">IFERROR(__xludf.DUMMYFUNCTION("""COMPUTED_VALUE"""),0)</f>
        <v>0</v>
      </c>
      <c r="J194" s="42">
        <f ca="1">IFERROR(__xludf.DUMMYFUNCTION("""COMPUTED_VALUE"""),0)</f>
        <v>0</v>
      </c>
      <c r="K194" s="42">
        <f ca="1">IFERROR(__xludf.DUMMYFUNCTION("""COMPUTED_VALUE"""),9486.4)</f>
        <v>9486.4</v>
      </c>
      <c r="L194" s="42">
        <f ca="1">IFERROR(__xludf.DUMMYFUNCTION("""COMPUTED_VALUE"""),0)</f>
        <v>0</v>
      </c>
      <c r="M194" s="42">
        <f ca="1">IFERROR(__xludf.DUMMYFUNCTION("""COMPUTED_VALUE"""),0)</f>
        <v>0</v>
      </c>
      <c r="N194" s="42">
        <f ca="1">IFERROR(__xludf.DUMMYFUNCTION("""COMPUTED_VALUE"""),0)</f>
        <v>0</v>
      </c>
      <c r="O194" s="42">
        <f ca="1">IFERROR(__xludf.DUMMYFUNCTION("""COMPUTED_VALUE"""),0)</f>
        <v>0</v>
      </c>
      <c r="P194" s="42">
        <f ca="1">IFERROR(__xludf.DUMMYFUNCTION("""COMPUTED_VALUE"""),441)</f>
        <v>441</v>
      </c>
      <c r="Q194" s="42">
        <f ca="1">IFERROR(__xludf.DUMMYFUNCTION("""COMPUTED_VALUE"""),0)</f>
        <v>0</v>
      </c>
      <c r="R194" s="42">
        <f ca="1">IFERROR(__xludf.DUMMYFUNCTION("""COMPUTED_VALUE"""),2038.4)</f>
        <v>2038.4</v>
      </c>
      <c r="S194" s="42">
        <f ca="1">IFERROR(__xludf.DUMMYFUNCTION("""COMPUTED_VALUE"""),0)</f>
        <v>0</v>
      </c>
      <c r="T194" s="42">
        <f ca="1">IFERROR(__xludf.DUMMYFUNCTION("""COMPUTED_VALUE"""),0)</f>
        <v>0</v>
      </c>
      <c r="U194" s="42">
        <f ca="1">IFERROR(__xludf.DUMMYFUNCTION("""COMPUTED_VALUE"""),0)</f>
        <v>0</v>
      </c>
      <c r="V194" s="42">
        <f ca="1">IFERROR(__xludf.DUMMYFUNCTION("""COMPUTED_VALUE"""),0)</f>
        <v>0</v>
      </c>
      <c r="W194" s="42">
        <f ca="1">IFERROR(__xludf.DUMMYFUNCTION("""COMPUTED_VALUE"""),0)</f>
        <v>0</v>
      </c>
      <c r="X194" s="42">
        <f ca="1">IFERROR(__xludf.DUMMYFUNCTION("""COMPUTED_VALUE"""),0)</f>
        <v>0</v>
      </c>
      <c r="Y194" s="42">
        <f ca="1">IFERROR(__xludf.DUMMYFUNCTION("""COMPUTED_VALUE"""),0)</f>
        <v>0</v>
      </c>
      <c r="Z194" s="42">
        <f ca="1">IFERROR(__xludf.DUMMYFUNCTION("""COMPUTED_VALUE"""),998)</f>
        <v>998</v>
      </c>
    </row>
    <row r="195" spans="1:26" ht="12.75">
      <c r="A195" s="33" t="str">
        <f ca="1">IFERROR(__xludf.DUMMYFUNCTION("""COMPUTED_VALUE"""),"Gurupi")</f>
        <v>Gurupi</v>
      </c>
      <c r="B195" s="33" t="str">
        <f ca="1">IFERROR(__xludf.DUMMYFUNCTION("""COMPUTED_VALUE"""),"Alvorada")</f>
        <v>Alvorada</v>
      </c>
      <c r="C195" s="34" t="str">
        <f ca="1">IFERROR(__xludf.DUMMYFUNCTION("""COMPUTED_VALUE"""),"ASS. APOIO COL. EST. ADJULIO BALTHAZAR")</f>
        <v>ASS. APOIO COL. EST. ADJULIO BALTHAZAR</v>
      </c>
      <c r="D195" s="35" t="str">
        <f ca="1">IFERROR(__xludf.DUMMYFUNCTION("""COMPUTED_VALUE"""),"01138432000126")</f>
        <v>01138432000126</v>
      </c>
      <c r="E195" s="36" t="str">
        <f ca="1">IFERROR(__xludf.DUMMYFUNCTION("""COMPUTED_VALUE"""),"001")</f>
        <v>001</v>
      </c>
      <c r="F195" s="37" t="str">
        <f ca="1">IFERROR(__xludf.DUMMYFUNCTION("""COMPUTED_VALUE"""),"1303")</f>
        <v>1303</v>
      </c>
      <c r="G195" s="37" t="str">
        <f ca="1">IFERROR(__xludf.DUMMYFUNCTION("""COMPUTED_VALUE"""),"103462")</f>
        <v>103462</v>
      </c>
      <c r="H195" s="37">
        <f ca="1">IFERROR(__xludf.DUMMYFUNCTION("""COMPUTED_VALUE"""),0)</f>
        <v>0</v>
      </c>
      <c r="I195" s="37">
        <f ca="1">IFERROR(__xludf.DUMMYFUNCTION("""COMPUTED_VALUE"""),0)</f>
        <v>0</v>
      </c>
      <c r="J195" s="37">
        <f ca="1">IFERROR(__xludf.DUMMYFUNCTION("""COMPUTED_VALUE"""),4368)</f>
        <v>4368</v>
      </c>
      <c r="K195" s="37">
        <f ca="1">IFERROR(__xludf.DUMMYFUNCTION("""COMPUTED_VALUE"""),0)</f>
        <v>0</v>
      </c>
      <c r="L195" s="37">
        <f ca="1">IFERROR(__xludf.DUMMYFUNCTION("""COMPUTED_VALUE"""),0)</f>
        <v>0</v>
      </c>
      <c r="M195" s="37">
        <f ca="1">IFERROR(__xludf.DUMMYFUNCTION("""COMPUTED_VALUE"""),0)</f>
        <v>0</v>
      </c>
      <c r="N195" s="37">
        <f ca="1">IFERROR(__xludf.DUMMYFUNCTION("""COMPUTED_VALUE"""),0)</f>
        <v>0</v>
      </c>
      <c r="O195" s="37">
        <f ca="1">IFERROR(__xludf.DUMMYFUNCTION("""COMPUTED_VALUE"""),0)</f>
        <v>0</v>
      </c>
      <c r="P195" s="37">
        <f ca="1">IFERROR(__xludf.DUMMYFUNCTION("""COMPUTED_VALUE"""),0)</f>
        <v>0</v>
      </c>
      <c r="Q195" s="37">
        <f ca="1">IFERROR(__xludf.DUMMYFUNCTION("""COMPUTED_VALUE"""),0)</f>
        <v>0</v>
      </c>
      <c r="R195" s="37">
        <f ca="1">IFERROR(__xludf.DUMMYFUNCTION("""COMPUTED_VALUE"""),0)</f>
        <v>0</v>
      </c>
      <c r="S195" s="37">
        <f ca="1">IFERROR(__xludf.DUMMYFUNCTION("""COMPUTED_VALUE"""),0)</f>
        <v>0</v>
      </c>
      <c r="T195" s="37">
        <f ca="1">IFERROR(__xludf.DUMMYFUNCTION("""COMPUTED_VALUE"""),0)</f>
        <v>0</v>
      </c>
      <c r="U195" s="37">
        <f ca="1">IFERROR(__xludf.DUMMYFUNCTION("""COMPUTED_VALUE"""),0)</f>
        <v>0</v>
      </c>
      <c r="V195" s="37">
        <f ca="1">IFERROR(__xludf.DUMMYFUNCTION("""COMPUTED_VALUE"""),0)</f>
        <v>0</v>
      </c>
      <c r="W195" s="37">
        <f ca="1">IFERROR(__xludf.DUMMYFUNCTION("""COMPUTED_VALUE"""),0)</f>
        <v>0</v>
      </c>
      <c r="X195" s="37">
        <f ca="1">IFERROR(__xludf.DUMMYFUNCTION("""COMPUTED_VALUE"""),0)</f>
        <v>0</v>
      </c>
      <c r="Y195" s="37">
        <f ca="1">IFERROR(__xludf.DUMMYFUNCTION("""COMPUTED_VALUE"""),0)</f>
        <v>0</v>
      </c>
      <c r="Z195" s="37">
        <f ca="1">IFERROR(__xludf.DUMMYFUNCTION("""COMPUTED_VALUE"""),0)</f>
        <v>0</v>
      </c>
    </row>
    <row r="196" spans="1:26" ht="12.75">
      <c r="A196" s="38" t="str">
        <f ca="1">IFERROR(__xludf.DUMMYFUNCTION("""COMPUTED_VALUE"""),"Gurupi")</f>
        <v>Gurupi</v>
      </c>
      <c r="B196" s="38" t="str">
        <f ca="1">IFERROR(__xludf.DUMMYFUNCTION("""COMPUTED_VALUE"""),"Alvorada")</f>
        <v>Alvorada</v>
      </c>
      <c r="C196" s="39" t="str">
        <f ca="1">IFERROR(__xludf.DUMMYFUNCTION("""COMPUTED_VALUE"""),"A.A.  COLEGIO ESTADUAL DE ALVORADA")</f>
        <v>A.A.  COLEGIO ESTADUAL DE ALVORADA</v>
      </c>
      <c r="D196" s="40" t="str">
        <f ca="1">IFERROR(__xludf.DUMMYFUNCTION("""COMPUTED_VALUE"""),"01269283000134")</f>
        <v>01269283000134</v>
      </c>
      <c r="E196" s="41" t="str">
        <f ca="1">IFERROR(__xludf.DUMMYFUNCTION("""COMPUTED_VALUE"""),"001")</f>
        <v>001</v>
      </c>
      <c r="F196" s="42" t="str">
        <f ca="1">IFERROR(__xludf.DUMMYFUNCTION("""COMPUTED_VALUE"""),"1303")</f>
        <v>1303</v>
      </c>
      <c r="G196" s="42" t="str">
        <f ca="1">IFERROR(__xludf.DUMMYFUNCTION("""COMPUTED_VALUE"""),"0088544")</f>
        <v>0088544</v>
      </c>
      <c r="H196" s="42">
        <f ca="1">IFERROR(__xludf.DUMMYFUNCTION("""COMPUTED_VALUE"""),0)</f>
        <v>0</v>
      </c>
      <c r="I196" s="42">
        <f ca="1">IFERROR(__xludf.DUMMYFUNCTION("""COMPUTED_VALUE"""),0)</f>
        <v>0</v>
      </c>
      <c r="J196" s="42">
        <f ca="1">IFERROR(__xludf.DUMMYFUNCTION("""COMPUTED_VALUE"""),0)</f>
        <v>0</v>
      </c>
      <c r="K196" s="42">
        <f ca="1">IFERROR(__xludf.DUMMYFUNCTION("""COMPUTED_VALUE"""),0)</f>
        <v>0</v>
      </c>
      <c r="L196" s="42">
        <f ca="1">IFERROR(__xludf.DUMMYFUNCTION("""COMPUTED_VALUE"""),0)</f>
        <v>0</v>
      </c>
      <c r="M196" s="42">
        <f ca="1">IFERROR(__xludf.DUMMYFUNCTION("""COMPUTED_VALUE"""),0)</f>
        <v>0</v>
      </c>
      <c r="N196" s="42">
        <f ca="1">IFERROR(__xludf.DUMMYFUNCTION("""COMPUTED_VALUE"""),0)</f>
        <v>0</v>
      </c>
      <c r="O196" s="42">
        <f ca="1">IFERROR(__xludf.DUMMYFUNCTION("""COMPUTED_VALUE"""),0)</f>
        <v>0</v>
      </c>
      <c r="P196" s="42">
        <f ca="1">IFERROR(__xludf.DUMMYFUNCTION("""COMPUTED_VALUE"""),0)</f>
        <v>0</v>
      </c>
      <c r="Q196" s="42">
        <f ca="1">IFERROR(__xludf.DUMMYFUNCTION("""COMPUTED_VALUE"""),6573)</f>
        <v>6573</v>
      </c>
      <c r="R196" s="42">
        <f ca="1">IFERROR(__xludf.DUMMYFUNCTION("""COMPUTED_VALUE"""),0)</f>
        <v>0</v>
      </c>
      <c r="S196" s="42">
        <f ca="1">IFERROR(__xludf.DUMMYFUNCTION("""COMPUTED_VALUE"""),0)</f>
        <v>0</v>
      </c>
      <c r="T196" s="42">
        <f ca="1">IFERROR(__xludf.DUMMYFUNCTION("""COMPUTED_VALUE"""),0)</f>
        <v>0</v>
      </c>
      <c r="U196" s="42">
        <f ca="1">IFERROR(__xludf.DUMMYFUNCTION("""COMPUTED_VALUE"""),0)</f>
        <v>0</v>
      </c>
      <c r="V196" s="42">
        <f ca="1">IFERROR(__xludf.DUMMYFUNCTION("""COMPUTED_VALUE"""),0)</f>
        <v>0</v>
      </c>
      <c r="W196" s="42">
        <f ca="1">IFERROR(__xludf.DUMMYFUNCTION("""COMPUTED_VALUE"""),0)</f>
        <v>0</v>
      </c>
      <c r="X196" s="42">
        <f ca="1">IFERROR(__xludf.DUMMYFUNCTION("""COMPUTED_VALUE"""),0)</f>
        <v>0</v>
      </c>
      <c r="Y196" s="42">
        <f ca="1">IFERROR(__xludf.DUMMYFUNCTION("""COMPUTED_VALUE"""),0)</f>
        <v>0</v>
      </c>
      <c r="Z196" s="42">
        <f ca="1">IFERROR(__xludf.DUMMYFUNCTION("""COMPUTED_VALUE"""),0)</f>
        <v>0</v>
      </c>
    </row>
    <row r="197" spans="1:26" ht="12.75">
      <c r="A197" s="33" t="str">
        <f ca="1">IFERROR(__xludf.DUMMYFUNCTION("""COMPUTED_VALUE"""),"Gurupi")</f>
        <v>Gurupi</v>
      </c>
      <c r="B197" s="33" t="str">
        <f ca="1">IFERROR(__xludf.DUMMYFUNCTION("""COMPUTED_VALUE"""),"Alvorada")</f>
        <v>Alvorada</v>
      </c>
      <c r="C197" s="34" t="str">
        <f ca="1">IFERROR(__xludf.DUMMYFUNCTION("""COMPUTED_VALUE"""),"A.P.A.DOS EXCEP. DE ALVORADA-APAE")</f>
        <v>A.P.A.DOS EXCEP. DE ALVORADA-APAE</v>
      </c>
      <c r="D197" s="35" t="str">
        <f ca="1">IFERROR(__xludf.DUMMYFUNCTION("""COMPUTED_VALUE"""),"02201735000109")</f>
        <v>02201735000109</v>
      </c>
      <c r="E197" s="36" t="str">
        <f ca="1">IFERROR(__xludf.DUMMYFUNCTION("""COMPUTED_VALUE"""),"001")</f>
        <v>001</v>
      </c>
      <c r="F197" s="37" t="str">
        <f ca="1">IFERROR(__xludf.DUMMYFUNCTION("""COMPUTED_VALUE"""),"1303")</f>
        <v>1303</v>
      </c>
      <c r="G197" s="37" t="str">
        <f ca="1">IFERROR(__xludf.DUMMYFUNCTION("""COMPUTED_VALUE"""),"101826")</f>
        <v>101826</v>
      </c>
      <c r="H197" s="37">
        <f ca="1">IFERROR(__xludf.DUMMYFUNCTION("""COMPUTED_VALUE"""),0)</f>
        <v>0</v>
      </c>
      <c r="I197" s="37">
        <f ca="1">IFERROR(__xludf.DUMMYFUNCTION("""COMPUTED_VALUE"""),294)</f>
        <v>294</v>
      </c>
      <c r="J197" s="37">
        <f ca="1">IFERROR(__xludf.DUMMYFUNCTION("""COMPUTED_VALUE"""),126)</f>
        <v>126</v>
      </c>
      <c r="K197" s="37">
        <f ca="1">IFERROR(__xludf.DUMMYFUNCTION("""COMPUTED_VALUE"""),0)</f>
        <v>0</v>
      </c>
      <c r="L197" s="37">
        <f ca="1">IFERROR(__xludf.DUMMYFUNCTION("""COMPUTED_VALUE"""),0)</f>
        <v>0</v>
      </c>
      <c r="M197" s="37">
        <f ca="1">IFERROR(__xludf.DUMMYFUNCTION("""COMPUTED_VALUE"""),0)</f>
        <v>0</v>
      </c>
      <c r="N197" s="37">
        <f ca="1">IFERROR(__xludf.DUMMYFUNCTION("""COMPUTED_VALUE"""),0)</f>
        <v>0</v>
      </c>
      <c r="O197" s="37">
        <f ca="1">IFERROR(__xludf.DUMMYFUNCTION("""COMPUTED_VALUE"""),0)</f>
        <v>0</v>
      </c>
      <c r="P197" s="37">
        <f ca="1">IFERROR(__xludf.DUMMYFUNCTION("""COMPUTED_VALUE"""),546)</f>
        <v>546</v>
      </c>
      <c r="Q197" s="37">
        <f ca="1">IFERROR(__xludf.DUMMYFUNCTION("""COMPUTED_VALUE"""),0)</f>
        <v>0</v>
      </c>
      <c r="R197" s="37">
        <f ca="1">IFERROR(__xludf.DUMMYFUNCTION("""COMPUTED_VALUE"""),0)</f>
        <v>0</v>
      </c>
      <c r="S197" s="37">
        <f ca="1">IFERROR(__xludf.DUMMYFUNCTION("""COMPUTED_VALUE"""),0)</f>
        <v>0</v>
      </c>
      <c r="T197" s="37">
        <f ca="1">IFERROR(__xludf.DUMMYFUNCTION("""COMPUTED_VALUE"""),1512)</f>
        <v>1512</v>
      </c>
      <c r="U197" s="37">
        <f ca="1">IFERROR(__xludf.DUMMYFUNCTION("""COMPUTED_VALUE"""),0)</f>
        <v>0</v>
      </c>
      <c r="V197" s="37">
        <f ca="1">IFERROR(__xludf.DUMMYFUNCTION("""COMPUTED_VALUE"""),0)</f>
        <v>0</v>
      </c>
      <c r="W197" s="37">
        <f ca="1">IFERROR(__xludf.DUMMYFUNCTION("""COMPUTED_VALUE"""),0)</f>
        <v>0</v>
      </c>
      <c r="X197" s="37">
        <f ca="1">IFERROR(__xludf.DUMMYFUNCTION("""COMPUTED_VALUE"""),0)</f>
        <v>0</v>
      </c>
      <c r="Y197" s="37">
        <f ca="1">IFERROR(__xludf.DUMMYFUNCTION("""COMPUTED_VALUE"""),0)</f>
        <v>0</v>
      </c>
      <c r="Z197" s="37">
        <f ca="1">IFERROR(__xludf.DUMMYFUNCTION("""COMPUTED_VALUE"""),0)</f>
        <v>0</v>
      </c>
    </row>
    <row r="198" spans="1:26" ht="12.75">
      <c r="A198" s="38" t="str">
        <f ca="1">IFERROR(__xludf.DUMMYFUNCTION("""COMPUTED_VALUE"""),"Gurupi")</f>
        <v>Gurupi</v>
      </c>
      <c r="B198" s="38" t="str">
        <f ca="1">IFERROR(__xludf.DUMMYFUNCTION("""COMPUTED_VALUE"""),"Alvorada")</f>
        <v>Alvorada</v>
      </c>
      <c r="C198" s="39" t="str">
        <f ca="1">IFERROR(__xludf.DUMMYFUNCTION("""COMPUTED_VALUE"""),"ASS. APOIO ESC. EST. ANA MARIA DE JESUS")</f>
        <v>ASS. APOIO ESC. EST. ANA MARIA DE JESUS</v>
      </c>
      <c r="D198" s="40" t="str">
        <f ca="1">IFERROR(__xludf.DUMMYFUNCTION("""COMPUTED_VALUE"""),"01221145000185")</f>
        <v>01221145000185</v>
      </c>
      <c r="E198" s="41" t="str">
        <f ca="1">IFERROR(__xludf.DUMMYFUNCTION("""COMPUTED_VALUE"""),"001")</f>
        <v>001</v>
      </c>
      <c r="F198" s="42" t="str">
        <f ca="1">IFERROR(__xludf.DUMMYFUNCTION("""COMPUTED_VALUE"""),"1303")</f>
        <v>1303</v>
      </c>
      <c r="G198" s="42" t="str">
        <f ca="1">IFERROR(__xludf.DUMMYFUNCTION("""COMPUTED_VALUE"""),"103691")</f>
        <v>103691</v>
      </c>
      <c r="H198" s="42">
        <f ca="1">IFERROR(__xludf.DUMMYFUNCTION("""COMPUTED_VALUE"""),0)</f>
        <v>0</v>
      </c>
      <c r="I198" s="42">
        <f ca="1">IFERROR(__xludf.DUMMYFUNCTION("""COMPUTED_VALUE"""),0)</f>
        <v>0</v>
      </c>
      <c r="J198" s="42">
        <f ca="1">IFERROR(__xludf.DUMMYFUNCTION("""COMPUTED_VALUE"""),1470)</f>
        <v>1470</v>
      </c>
      <c r="K198" s="42">
        <f ca="1">IFERROR(__xludf.DUMMYFUNCTION("""COMPUTED_VALUE"""),0)</f>
        <v>0</v>
      </c>
      <c r="L198" s="42">
        <f ca="1">IFERROR(__xludf.DUMMYFUNCTION("""COMPUTED_VALUE"""),0)</f>
        <v>0</v>
      </c>
      <c r="M198" s="42">
        <f ca="1">IFERROR(__xludf.DUMMYFUNCTION("""COMPUTED_VALUE"""),0)</f>
        <v>0</v>
      </c>
      <c r="N198" s="42">
        <f ca="1">IFERROR(__xludf.DUMMYFUNCTION("""COMPUTED_VALUE"""),0)</f>
        <v>0</v>
      </c>
      <c r="O198" s="42">
        <f ca="1">IFERROR(__xludf.DUMMYFUNCTION("""COMPUTED_VALUE"""),0)</f>
        <v>0</v>
      </c>
      <c r="P198" s="42">
        <f ca="1">IFERROR(__xludf.DUMMYFUNCTION("""COMPUTED_VALUE"""),210)</f>
        <v>210</v>
      </c>
      <c r="Q198" s="42">
        <f ca="1">IFERROR(__xludf.DUMMYFUNCTION("""COMPUTED_VALUE"""),0)</f>
        <v>0</v>
      </c>
      <c r="R198" s="42">
        <f ca="1">IFERROR(__xludf.DUMMYFUNCTION("""COMPUTED_VALUE"""),0)</f>
        <v>0</v>
      </c>
      <c r="S198" s="42">
        <f ca="1">IFERROR(__xludf.DUMMYFUNCTION("""COMPUTED_VALUE"""),0)</f>
        <v>0</v>
      </c>
      <c r="T198" s="42">
        <f ca="1">IFERROR(__xludf.DUMMYFUNCTION("""COMPUTED_VALUE"""),1323)</f>
        <v>1323</v>
      </c>
      <c r="U198" s="42">
        <f ca="1">IFERROR(__xludf.DUMMYFUNCTION("""COMPUTED_VALUE"""),0)</f>
        <v>0</v>
      </c>
      <c r="V198" s="42">
        <f ca="1">IFERROR(__xludf.DUMMYFUNCTION("""COMPUTED_VALUE"""),0)</f>
        <v>0</v>
      </c>
      <c r="W198" s="42">
        <f ca="1">IFERROR(__xludf.DUMMYFUNCTION("""COMPUTED_VALUE"""),0)</f>
        <v>0</v>
      </c>
      <c r="X198" s="42">
        <f ca="1">IFERROR(__xludf.DUMMYFUNCTION("""COMPUTED_VALUE"""),0)</f>
        <v>0</v>
      </c>
      <c r="Y198" s="42">
        <f ca="1">IFERROR(__xludf.DUMMYFUNCTION("""COMPUTED_VALUE"""),0)</f>
        <v>0</v>
      </c>
      <c r="Z198" s="42">
        <f ca="1">IFERROR(__xludf.DUMMYFUNCTION("""COMPUTED_VALUE"""),0)</f>
        <v>0</v>
      </c>
    </row>
    <row r="199" spans="1:26" ht="12.75">
      <c r="A199" s="33" t="str">
        <f ca="1">IFERROR(__xludf.DUMMYFUNCTION("""COMPUTED_VALUE"""),"Gurupi")</f>
        <v>Gurupi</v>
      </c>
      <c r="B199" s="33" t="str">
        <f ca="1">IFERROR(__xludf.DUMMYFUNCTION("""COMPUTED_VALUE"""),"Araguacu")</f>
        <v>Araguacu</v>
      </c>
      <c r="C199" s="34" t="str">
        <f ca="1">IFERROR(__xludf.DUMMYFUNCTION("""COMPUTED_VALUE"""),"ASS. APOIO ESC. EST. JOAO TAVARES MARTINS")</f>
        <v>ASS. APOIO ESC. EST. JOAO TAVARES MARTINS</v>
      </c>
      <c r="D199" s="35" t="str">
        <f ca="1">IFERROR(__xludf.DUMMYFUNCTION("""COMPUTED_VALUE"""),"01133707000139")</f>
        <v>01133707000139</v>
      </c>
      <c r="E199" s="36" t="str">
        <f ca="1">IFERROR(__xludf.DUMMYFUNCTION("""COMPUTED_VALUE"""),"001")</f>
        <v>001</v>
      </c>
      <c r="F199" s="37" t="str">
        <f ca="1">IFERROR(__xludf.DUMMYFUNCTION("""COMPUTED_VALUE"""),"1304")</f>
        <v>1304</v>
      </c>
      <c r="G199" s="37" t="str">
        <f ca="1">IFERROR(__xludf.DUMMYFUNCTION("""COMPUTED_VALUE"""),"112542")</f>
        <v>112542</v>
      </c>
      <c r="H199" s="37">
        <f ca="1">IFERROR(__xludf.DUMMYFUNCTION("""COMPUTED_VALUE"""),0)</f>
        <v>0</v>
      </c>
      <c r="I199" s="37">
        <f ca="1">IFERROR(__xludf.DUMMYFUNCTION("""COMPUTED_VALUE"""),0)</f>
        <v>0</v>
      </c>
      <c r="J199" s="37">
        <f ca="1">IFERROR(__xludf.DUMMYFUNCTION("""COMPUTED_VALUE"""),0)</f>
        <v>0</v>
      </c>
      <c r="K199" s="37">
        <f ca="1">IFERROR(__xludf.DUMMYFUNCTION("""COMPUTED_VALUE"""),0)</f>
        <v>0</v>
      </c>
      <c r="L199" s="37">
        <f ca="1">IFERROR(__xludf.DUMMYFUNCTION("""COMPUTED_VALUE"""),0)</f>
        <v>0</v>
      </c>
      <c r="M199" s="37">
        <f ca="1">IFERROR(__xludf.DUMMYFUNCTION("""COMPUTED_VALUE"""),0)</f>
        <v>0</v>
      </c>
      <c r="N199" s="37">
        <f ca="1">IFERROR(__xludf.DUMMYFUNCTION("""COMPUTED_VALUE"""),0)</f>
        <v>0</v>
      </c>
      <c r="O199" s="37">
        <f ca="1">IFERROR(__xludf.DUMMYFUNCTION("""COMPUTED_VALUE"""),0)</f>
        <v>0</v>
      </c>
      <c r="P199" s="37">
        <f ca="1">IFERROR(__xludf.DUMMYFUNCTION("""COMPUTED_VALUE"""),0)</f>
        <v>0</v>
      </c>
      <c r="Q199" s="37">
        <f ca="1">IFERROR(__xludf.DUMMYFUNCTION("""COMPUTED_VALUE"""),5796)</f>
        <v>5796</v>
      </c>
      <c r="R199" s="37">
        <f ca="1">IFERROR(__xludf.DUMMYFUNCTION("""COMPUTED_VALUE"""),0)</f>
        <v>0</v>
      </c>
      <c r="S199" s="37">
        <f ca="1">IFERROR(__xludf.DUMMYFUNCTION("""COMPUTED_VALUE"""),0)</f>
        <v>0</v>
      </c>
      <c r="T199" s="37">
        <f ca="1">IFERROR(__xludf.DUMMYFUNCTION("""COMPUTED_VALUE"""),0)</f>
        <v>0</v>
      </c>
      <c r="U199" s="37">
        <f ca="1">IFERROR(__xludf.DUMMYFUNCTION("""COMPUTED_VALUE"""),0)</f>
        <v>0</v>
      </c>
      <c r="V199" s="37">
        <f ca="1">IFERROR(__xludf.DUMMYFUNCTION("""COMPUTED_VALUE"""),0)</f>
        <v>0</v>
      </c>
      <c r="W199" s="37">
        <f ca="1">IFERROR(__xludf.DUMMYFUNCTION("""COMPUTED_VALUE"""),0)</f>
        <v>0</v>
      </c>
      <c r="X199" s="37">
        <f ca="1">IFERROR(__xludf.DUMMYFUNCTION("""COMPUTED_VALUE"""),0)</f>
        <v>0</v>
      </c>
      <c r="Y199" s="37">
        <f ca="1">IFERROR(__xludf.DUMMYFUNCTION("""COMPUTED_VALUE"""),0)</f>
        <v>0</v>
      </c>
      <c r="Z199" s="37">
        <f ca="1">IFERROR(__xludf.DUMMYFUNCTION("""COMPUTED_VALUE"""),0)</f>
        <v>0</v>
      </c>
    </row>
    <row r="200" spans="1:26" ht="12.75">
      <c r="A200" s="38" t="str">
        <f ca="1">IFERROR(__xludf.DUMMYFUNCTION("""COMPUTED_VALUE"""),"Gurupi")</f>
        <v>Gurupi</v>
      </c>
      <c r="B200" s="38" t="str">
        <f ca="1">IFERROR(__xludf.DUMMYFUNCTION("""COMPUTED_VALUE"""),"Araguacu")</f>
        <v>Araguacu</v>
      </c>
      <c r="C200" s="39" t="str">
        <f ca="1">IFERROR(__xludf.DUMMYFUNCTION("""COMPUTED_VALUE"""),"A..A. ESC. ESPECIAL  ABELINHA EM BUSCA DO SABER")</f>
        <v>A..A. ESC. ESPECIAL  ABELINHA EM BUSCA DO SABER</v>
      </c>
      <c r="D200" s="40" t="str">
        <f ca="1">IFERROR(__xludf.DUMMYFUNCTION("""COMPUTED_VALUE"""),"07924466000122")</f>
        <v>07924466000122</v>
      </c>
      <c r="E200" s="41" t="str">
        <f ca="1">IFERROR(__xludf.DUMMYFUNCTION("""COMPUTED_VALUE"""),"001")</f>
        <v>001</v>
      </c>
      <c r="F200" s="42" t="str">
        <f ca="1">IFERROR(__xludf.DUMMYFUNCTION("""COMPUTED_VALUE"""),"1304")</f>
        <v>1304</v>
      </c>
      <c r="G200" s="42" t="str">
        <f ca="1">IFERROR(__xludf.DUMMYFUNCTION("""COMPUTED_VALUE"""),"136417")</f>
        <v>136417</v>
      </c>
      <c r="H200" s="42">
        <f ca="1">IFERROR(__xludf.DUMMYFUNCTION("""COMPUTED_VALUE"""),0)</f>
        <v>0</v>
      </c>
      <c r="I200" s="42">
        <f ca="1">IFERROR(__xludf.DUMMYFUNCTION("""COMPUTED_VALUE"""),84)</f>
        <v>84</v>
      </c>
      <c r="J200" s="42">
        <f ca="1">IFERROR(__xludf.DUMMYFUNCTION("""COMPUTED_VALUE"""),126)</f>
        <v>126</v>
      </c>
      <c r="K200" s="42">
        <f ca="1">IFERROR(__xludf.DUMMYFUNCTION("""COMPUTED_VALUE"""),0)</f>
        <v>0</v>
      </c>
      <c r="L200" s="42">
        <f ca="1">IFERROR(__xludf.DUMMYFUNCTION("""COMPUTED_VALUE"""),0)</f>
        <v>0</v>
      </c>
      <c r="M200" s="42">
        <f ca="1">IFERROR(__xludf.DUMMYFUNCTION("""COMPUTED_VALUE"""),0)</f>
        <v>0</v>
      </c>
      <c r="N200" s="42">
        <f ca="1">IFERROR(__xludf.DUMMYFUNCTION("""COMPUTED_VALUE"""),0)</f>
        <v>0</v>
      </c>
      <c r="O200" s="42">
        <f ca="1">IFERROR(__xludf.DUMMYFUNCTION("""COMPUTED_VALUE"""),0)</f>
        <v>0</v>
      </c>
      <c r="P200" s="42">
        <f ca="1">IFERROR(__xludf.DUMMYFUNCTION("""COMPUTED_VALUE"""),357)</f>
        <v>357</v>
      </c>
      <c r="Q200" s="42">
        <f ca="1">IFERROR(__xludf.DUMMYFUNCTION("""COMPUTED_VALUE"""),0)</f>
        <v>0</v>
      </c>
      <c r="R200" s="42">
        <f ca="1">IFERROR(__xludf.DUMMYFUNCTION("""COMPUTED_VALUE"""),0)</f>
        <v>0</v>
      </c>
      <c r="S200" s="42">
        <f ca="1">IFERROR(__xludf.DUMMYFUNCTION("""COMPUTED_VALUE"""),0)</f>
        <v>0</v>
      </c>
      <c r="T200" s="42">
        <f ca="1">IFERROR(__xludf.DUMMYFUNCTION("""COMPUTED_VALUE"""),1491)</f>
        <v>1491</v>
      </c>
      <c r="U200" s="42">
        <f ca="1">IFERROR(__xludf.DUMMYFUNCTION("""COMPUTED_VALUE"""),0)</f>
        <v>0</v>
      </c>
      <c r="V200" s="42">
        <f ca="1">IFERROR(__xludf.DUMMYFUNCTION("""COMPUTED_VALUE"""),0)</f>
        <v>0</v>
      </c>
      <c r="W200" s="42">
        <f ca="1">IFERROR(__xludf.DUMMYFUNCTION("""COMPUTED_VALUE"""),0)</f>
        <v>0</v>
      </c>
      <c r="X200" s="42">
        <f ca="1">IFERROR(__xludf.DUMMYFUNCTION("""COMPUTED_VALUE"""),0)</f>
        <v>0</v>
      </c>
      <c r="Y200" s="42">
        <f ca="1">IFERROR(__xludf.DUMMYFUNCTION("""COMPUTED_VALUE"""),0)</f>
        <v>0</v>
      </c>
      <c r="Z200" s="42">
        <f ca="1">IFERROR(__xludf.DUMMYFUNCTION("""COMPUTED_VALUE"""),0)</f>
        <v>0</v>
      </c>
    </row>
    <row r="201" spans="1:26" ht="12.75">
      <c r="A201" s="33" t="str">
        <f ca="1">IFERROR(__xludf.DUMMYFUNCTION("""COMPUTED_VALUE"""),"Gurupi")</f>
        <v>Gurupi</v>
      </c>
      <c r="B201" s="33" t="str">
        <f ca="1">IFERROR(__xludf.DUMMYFUNCTION("""COMPUTED_VALUE"""),"Araguacu")</f>
        <v>Araguacu</v>
      </c>
      <c r="C201" s="34" t="str">
        <f ca="1">IFERROR(__xludf.DUMMYFUNCTION("""COMPUTED_VALUE"""),"ASS. APOIO ESC. EST. SALVADOR CAETANO")</f>
        <v>ASS. APOIO ESC. EST. SALVADOR CAETANO</v>
      </c>
      <c r="D201" s="35" t="str">
        <f ca="1">IFERROR(__xludf.DUMMYFUNCTION("""COMPUTED_VALUE"""),"01341484000103")</f>
        <v>01341484000103</v>
      </c>
      <c r="E201" s="36" t="str">
        <f ca="1">IFERROR(__xludf.DUMMYFUNCTION("""COMPUTED_VALUE"""),"001")</f>
        <v>001</v>
      </c>
      <c r="F201" s="37" t="str">
        <f ca="1">IFERROR(__xludf.DUMMYFUNCTION("""COMPUTED_VALUE"""),"1304")</f>
        <v>1304</v>
      </c>
      <c r="G201" s="37" t="str">
        <f ca="1">IFERROR(__xludf.DUMMYFUNCTION("""COMPUTED_VALUE"""),"0105589")</f>
        <v>0105589</v>
      </c>
      <c r="H201" s="37">
        <f ca="1">IFERROR(__xludf.DUMMYFUNCTION("""COMPUTED_VALUE"""),0)</f>
        <v>0</v>
      </c>
      <c r="I201" s="37">
        <f ca="1">IFERROR(__xludf.DUMMYFUNCTION("""COMPUTED_VALUE"""),0)</f>
        <v>0</v>
      </c>
      <c r="J201" s="37">
        <f ca="1">IFERROR(__xludf.DUMMYFUNCTION("""COMPUTED_VALUE"""),4830)</f>
        <v>4830</v>
      </c>
      <c r="K201" s="37">
        <f ca="1">IFERROR(__xludf.DUMMYFUNCTION("""COMPUTED_VALUE"""),0)</f>
        <v>0</v>
      </c>
      <c r="L201" s="37">
        <f ca="1">IFERROR(__xludf.DUMMYFUNCTION("""COMPUTED_VALUE"""),0)</f>
        <v>0</v>
      </c>
      <c r="M201" s="37">
        <f ca="1">IFERROR(__xludf.DUMMYFUNCTION("""COMPUTED_VALUE"""),0)</f>
        <v>0</v>
      </c>
      <c r="N201" s="37">
        <f ca="1">IFERROR(__xludf.DUMMYFUNCTION("""COMPUTED_VALUE"""),0)</f>
        <v>0</v>
      </c>
      <c r="O201" s="37">
        <f ca="1">IFERROR(__xludf.DUMMYFUNCTION("""COMPUTED_VALUE"""),0)</f>
        <v>0</v>
      </c>
      <c r="P201" s="37">
        <f ca="1">IFERROR(__xludf.DUMMYFUNCTION("""COMPUTED_VALUE"""),546)</f>
        <v>546</v>
      </c>
      <c r="Q201" s="37">
        <f ca="1">IFERROR(__xludf.DUMMYFUNCTION("""COMPUTED_VALUE"""),0)</f>
        <v>0</v>
      </c>
      <c r="R201" s="37">
        <f ca="1">IFERROR(__xludf.DUMMYFUNCTION("""COMPUTED_VALUE"""),0)</f>
        <v>0</v>
      </c>
      <c r="S201" s="37">
        <f ca="1">IFERROR(__xludf.DUMMYFUNCTION("""COMPUTED_VALUE"""),0)</f>
        <v>0</v>
      </c>
      <c r="T201" s="37">
        <f ca="1">IFERROR(__xludf.DUMMYFUNCTION("""COMPUTED_VALUE"""),0)</f>
        <v>0</v>
      </c>
      <c r="U201" s="37">
        <f ca="1">IFERROR(__xludf.DUMMYFUNCTION("""COMPUTED_VALUE"""),0)</f>
        <v>0</v>
      </c>
      <c r="V201" s="37">
        <f ca="1">IFERROR(__xludf.DUMMYFUNCTION("""COMPUTED_VALUE"""),0)</f>
        <v>0</v>
      </c>
      <c r="W201" s="37">
        <f ca="1">IFERROR(__xludf.DUMMYFUNCTION("""COMPUTED_VALUE"""),0)</f>
        <v>0</v>
      </c>
      <c r="X201" s="37">
        <f ca="1">IFERROR(__xludf.DUMMYFUNCTION("""COMPUTED_VALUE"""),0)</f>
        <v>0</v>
      </c>
      <c r="Y201" s="37">
        <f ca="1">IFERROR(__xludf.DUMMYFUNCTION("""COMPUTED_VALUE"""),0)</f>
        <v>0</v>
      </c>
      <c r="Z201" s="37">
        <f ca="1">IFERROR(__xludf.DUMMYFUNCTION("""COMPUTED_VALUE"""),0)</f>
        <v>0</v>
      </c>
    </row>
    <row r="202" spans="1:26" ht="12.75">
      <c r="A202" s="38" t="str">
        <f ca="1">IFERROR(__xludf.DUMMYFUNCTION("""COMPUTED_VALUE"""),"Gurupi")</f>
        <v>Gurupi</v>
      </c>
      <c r="B202" s="38" t="str">
        <f ca="1">IFERROR(__xludf.DUMMYFUNCTION("""COMPUTED_VALUE"""),"Cariri do Tocantins")</f>
        <v>Cariri do Tocantins</v>
      </c>
      <c r="C202" s="39" t="str">
        <f ca="1">IFERROR(__xludf.DUMMYFUNCTION("""COMPUTED_VALUE"""),"ASS. APOIO ESCOLA ESTADUAL TARSO DUTRA")</f>
        <v>ASS. APOIO ESCOLA ESTADUAL TARSO DUTRA</v>
      </c>
      <c r="D202" s="40" t="str">
        <f ca="1">IFERROR(__xludf.DUMMYFUNCTION("""COMPUTED_VALUE"""),"01239275000145")</f>
        <v>01239275000145</v>
      </c>
      <c r="E202" s="41" t="str">
        <f ca="1">IFERROR(__xludf.DUMMYFUNCTION("""COMPUTED_VALUE"""),"001")</f>
        <v>001</v>
      </c>
      <c r="F202" s="42" t="str">
        <f ca="1">IFERROR(__xludf.DUMMYFUNCTION("""COMPUTED_VALUE"""),"0794")</f>
        <v>0794</v>
      </c>
      <c r="G202" s="42" t="str">
        <f ca="1">IFERROR(__xludf.DUMMYFUNCTION("""COMPUTED_VALUE"""),"245496")</f>
        <v>245496</v>
      </c>
      <c r="H202" s="42">
        <f ca="1">IFERROR(__xludf.DUMMYFUNCTION("""COMPUTED_VALUE"""),0)</f>
        <v>0</v>
      </c>
      <c r="I202" s="42">
        <f ca="1">IFERROR(__xludf.DUMMYFUNCTION("""COMPUTED_VALUE"""),0)</f>
        <v>0</v>
      </c>
      <c r="J202" s="42">
        <f ca="1">IFERROR(__xludf.DUMMYFUNCTION("""COMPUTED_VALUE"""),1890)</f>
        <v>1890</v>
      </c>
      <c r="K202" s="42">
        <f ca="1">IFERROR(__xludf.DUMMYFUNCTION("""COMPUTED_VALUE"""),0)</f>
        <v>0</v>
      </c>
      <c r="L202" s="42">
        <f ca="1">IFERROR(__xludf.DUMMYFUNCTION("""COMPUTED_VALUE"""),0)</f>
        <v>0</v>
      </c>
      <c r="M202" s="42">
        <f ca="1">IFERROR(__xludf.DUMMYFUNCTION("""COMPUTED_VALUE"""),0)</f>
        <v>0</v>
      </c>
      <c r="N202" s="42">
        <f ca="1">IFERROR(__xludf.DUMMYFUNCTION("""COMPUTED_VALUE"""),0)</f>
        <v>0</v>
      </c>
      <c r="O202" s="42">
        <f ca="1">IFERROR(__xludf.DUMMYFUNCTION("""COMPUTED_VALUE"""),0)</f>
        <v>0</v>
      </c>
      <c r="P202" s="42">
        <f ca="1">IFERROR(__xludf.DUMMYFUNCTION("""COMPUTED_VALUE"""),0)</f>
        <v>0</v>
      </c>
      <c r="Q202" s="42">
        <f ca="1">IFERROR(__xludf.DUMMYFUNCTION("""COMPUTED_VALUE"""),3192)</f>
        <v>3192</v>
      </c>
      <c r="R202" s="42">
        <f ca="1">IFERROR(__xludf.DUMMYFUNCTION("""COMPUTED_VALUE"""),0)</f>
        <v>0</v>
      </c>
      <c r="S202" s="42">
        <f ca="1">IFERROR(__xludf.DUMMYFUNCTION("""COMPUTED_VALUE"""),0)</f>
        <v>0</v>
      </c>
      <c r="T202" s="42">
        <f ca="1">IFERROR(__xludf.DUMMYFUNCTION("""COMPUTED_VALUE"""),315)</f>
        <v>315</v>
      </c>
      <c r="U202" s="42">
        <f ca="1">IFERROR(__xludf.DUMMYFUNCTION("""COMPUTED_VALUE"""),0)</f>
        <v>0</v>
      </c>
      <c r="V202" s="42">
        <f ca="1">IFERROR(__xludf.DUMMYFUNCTION("""COMPUTED_VALUE"""),0)</f>
        <v>0</v>
      </c>
      <c r="W202" s="42">
        <f ca="1">IFERROR(__xludf.DUMMYFUNCTION("""COMPUTED_VALUE"""),0)</f>
        <v>0</v>
      </c>
      <c r="X202" s="42">
        <f ca="1">IFERROR(__xludf.DUMMYFUNCTION("""COMPUTED_VALUE"""),0)</f>
        <v>0</v>
      </c>
      <c r="Y202" s="42">
        <f ca="1">IFERROR(__xludf.DUMMYFUNCTION("""COMPUTED_VALUE"""),0)</f>
        <v>0</v>
      </c>
      <c r="Z202" s="42">
        <f ca="1">IFERROR(__xludf.DUMMYFUNCTION("""COMPUTED_VALUE"""),0)</f>
        <v>0</v>
      </c>
    </row>
    <row r="203" spans="1:26" ht="12.75">
      <c r="A203" s="33" t="str">
        <f ca="1">IFERROR(__xludf.DUMMYFUNCTION("""COMPUTED_VALUE"""),"Gurupi")</f>
        <v>Gurupi</v>
      </c>
      <c r="B203" s="33" t="str">
        <f ca="1">IFERROR(__xludf.DUMMYFUNCTION("""COMPUTED_VALUE"""),"Crixas do Tocantins")</f>
        <v>Crixas do Tocantins</v>
      </c>
      <c r="C203" s="34" t="str">
        <f ca="1">IFERROR(__xludf.DUMMYFUNCTION("""COMPUTED_VALUE"""),"ASSOC. DE AP. DA ESC. EST. OLAVO BILAC")</f>
        <v>ASSOC. DE AP. DA ESC. EST. OLAVO BILAC</v>
      </c>
      <c r="D203" s="35" t="str">
        <f ca="1">IFERROR(__xludf.DUMMYFUNCTION("""COMPUTED_VALUE"""),"01892440000163")</f>
        <v>01892440000163</v>
      </c>
      <c r="E203" s="36" t="str">
        <f ca="1">IFERROR(__xludf.DUMMYFUNCTION("""COMPUTED_VALUE"""),"001")</f>
        <v>001</v>
      </c>
      <c r="F203" s="37" t="str">
        <f ca="1">IFERROR(__xludf.DUMMYFUNCTION("""COMPUTED_VALUE"""),"0794")</f>
        <v>0794</v>
      </c>
      <c r="G203" s="37" t="str">
        <f ca="1">IFERROR(__xludf.DUMMYFUNCTION("""COMPUTED_VALUE"""),"13498")</f>
        <v>13498</v>
      </c>
      <c r="H203" s="37">
        <f ca="1">IFERROR(__xludf.DUMMYFUNCTION("""COMPUTED_VALUE"""),0)</f>
        <v>0</v>
      </c>
      <c r="I203" s="37">
        <f ca="1">IFERROR(__xludf.DUMMYFUNCTION("""COMPUTED_VALUE"""),0)</f>
        <v>0</v>
      </c>
      <c r="J203" s="37">
        <f ca="1">IFERROR(__xludf.DUMMYFUNCTION("""COMPUTED_VALUE"""),1281)</f>
        <v>1281</v>
      </c>
      <c r="K203" s="37">
        <f ca="1">IFERROR(__xludf.DUMMYFUNCTION("""COMPUTED_VALUE"""),0)</f>
        <v>0</v>
      </c>
      <c r="L203" s="37">
        <f ca="1">IFERROR(__xludf.DUMMYFUNCTION("""COMPUTED_VALUE"""),0)</f>
        <v>0</v>
      </c>
      <c r="M203" s="37">
        <f ca="1">IFERROR(__xludf.DUMMYFUNCTION("""COMPUTED_VALUE"""),0)</f>
        <v>0</v>
      </c>
      <c r="N203" s="37">
        <f ca="1">IFERROR(__xludf.DUMMYFUNCTION("""COMPUTED_VALUE"""),0)</f>
        <v>0</v>
      </c>
      <c r="O203" s="37">
        <f ca="1">IFERROR(__xludf.DUMMYFUNCTION("""COMPUTED_VALUE"""),0)</f>
        <v>0</v>
      </c>
      <c r="P203" s="37">
        <f ca="1">IFERROR(__xludf.DUMMYFUNCTION("""COMPUTED_VALUE"""),0)</f>
        <v>0</v>
      </c>
      <c r="Q203" s="37">
        <f ca="1">IFERROR(__xludf.DUMMYFUNCTION("""COMPUTED_VALUE"""),1113)</f>
        <v>1113</v>
      </c>
      <c r="R203" s="37">
        <f ca="1">IFERROR(__xludf.DUMMYFUNCTION("""COMPUTED_VALUE"""),0)</f>
        <v>0</v>
      </c>
      <c r="S203" s="37">
        <f ca="1">IFERROR(__xludf.DUMMYFUNCTION("""COMPUTED_VALUE"""),0)</f>
        <v>0</v>
      </c>
      <c r="T203" s="37">
        <f ca="1">IFERROR(__xludf.DUMMYFUNCTION("""COMPUTED_VALUE"""),0)</f>
        <v>0</v>
      </c>
      <c r="U203" s="37">
        <f ca="1">IFERROR(__xludf.DUMMYFUNCTION("""COMPUTED_VALUE"""),0)</f>
        <v>0</v>
      </c>
      <c r="V203" s="37">
        <f ca="1">IFERROR(__xludf.DUMMYFUNCTION("""COMPUTED_VALUE"""),0)</f>
        <v>0</v>
      </c>
      <c r="W203" s="37">
        <f ca="1">IFERROR(__xludf.DUMMYFUNCTION("""COMPUTED_VALUE"""),0)</f>
        <v>0</v>
      </c>
      <c r="X203" s="37">
        <f ca="1">IFERROR(__xludf.DUMMYFUNCTION("""COMPUTED_VALUE"""),0)</f>
        <v>0</v>
      </c>
      <c r="Y203" s="37">
        <f ca="1">IFERROR(__xludf.DUMMYFUNCTION("""COMPUTED_VALUE"""),0)</f>
        <v>0</v>
      </c>
      <c r="Z203" s="37">
        <f ca="1">IFERROR(__xludf.DUMMYFUNCTION("""COMPUTED_VALUE"""),0)</f>
        <v>0</v>
      </c>
    </row>
    <row r="204" spans="1:26" ht="12.75">
      <c r="A204" s="38" t="str">
        <f ca="1">IFERROR(__xludf.DUMMYFUNCTION("""COMPUTED_VALUE"""),"Gurupi")</f>
        <v>Gurupi</v>
      </c>
      <c r="B204" s="38" t="str">
        <f ca="1">IFERROR(__xludf.DUMMYFUNCTION("""COMPUTED_VALUE"""),"Duere")</f>
        <v>Duere</v>
      </c>
      <c r="C204" s="39" t="str">
        <f ca="1">IFERROR(__xludf.DUMMYFUNCTION("""COMPUTED_VALUE"""),"A.P.MESTRES DA ESCOLA EST.ELESBAO LIMA")</f>
        <v>A.P.MESTRES DA ESCOLA EST.ELESBAO LIMA</v>
      </c>
      <c r="D204" s="40" t="str">
        <f ca="1">IFERROR(__xludf.DUMMYFUNCTION("""COMPUTED_VALUE"""),"01865387000101")</f>
        <v>01865387000101</v>
      </c>
      <c r="E204" s="41" t="str">
        <f ca="1">IFERROR(__xludf.DUMMYFUNCTION("""COMPUTED_VALUE"""),"001")</f>
        <v>001</v>
      </c>
      <c r="F204" s="42" t="str">
        <f ca="1">IFERROR(__xludf.DUMMYFUNCTION("""COMPUTED_VALUE"""),"0794")</f>
        <v>0794</v>
      </c>
      <c r="G204" s="42" t="str">
        <f ca="1">IFERROR(__xludf.DUMMYFUNCTION("""COMPUTED_VALUE"""),"6758X")</f>
        <v>6758X</v>
      </c>
      <c r="H204" s="42">
        <f ca="1">IFERROR(__xludf.DUMMYFUNCTION("""COMPUTED_VALUE"""),0)</f>
        <v>0</v>
      </c>
      <c r="I204" s="42">
        <f ca="1">IFERROR(__xludf.DUMMYFUNCTION("""COMPUTED_VALUE"""),0)</f>
        <v>0</v>
      </c>
      <c r="J204" s="42">
        <f ca="1">IFERROR(__xludf.DUMMYFUNCTION("""COMPUTED_VALUE"""),6006)</f>
        <v>6006</v>
      </c>
      <c r="K204" s="42">
        <f ca="1">IFERROR(__xludf.DUMMYFUNCTION("""COMPUTED_VALUE"""),0)</f>
        <v>0</v>
      </c>
      <c r="L204" s="42">
        <f ca="1">IFERROR(__xludf.DUMMYFUNCTION("""COMPUTED_VALUE"""),0)</f>
        <v>0</v>
      </c>
      <c r="M204" s="42">
        <f ca="1">IFERROR(__xludf.DUMMYFUNCTION("""COMPUTED_VALUE"""),0)</f>
        <v>0</v>
      </c>
      <c r="N204" s="42">
        <f ca="1">IFERROR(__xludf.DUMMYFUNCTION("""COMPUTED_VALUE"""),0)</f>
        <v>0</v>
      </c>
      <c r="O204" s="42">
        <f ca="1">IFERROR(__xludf.DUMMYFUNCTION("""COMPUTED_VALUE"""),0)</f>
        <v>0</v>
      </c>
      <c r="P204" s="42">
        <f ca="1">IFERROR(__xludf.DUMMYFUNCTION("""COMPUTED_VALUE"""),504)</f>
        <v>504</v>
      </c>
      <c r="Q204" s="42">
        <f ca="1">IFERROR(__xludf.DUMMYFUNCTION("""COMPUTED_VALUE"""),2898)</f>
        <v>2898</v>
      </c>
      <c r="R204" s="42">
        <f ca="1">IFERROR(__xludf.DUMMYFUNCTION("""COMPUTED_VALUE"""),0)</f>
        <v>0</v>
      </c>
      <c r="S204" s="42">
        <f ca="1">IFERROR(__xludf.DUMMYFUNCTION("""COMPUTED_VALUE"""),0)</f>
        <v>0</v>
      </c>
      <c r="T204" s="42">
        <f ca="1">IFERROR(__xludf.DUMMYFUNCTION("""COMPUTED_VALUE"""),0)</f>
        <v>0</v>
      </c>
      <c r="U204" s="42">
        <f ca="1">IFERROR(__xludf.DUMMYFUNCTION("""COMPUTED_VALUE"""),0)</f>
        <v>0</v>
      </c>
      <c r="V204" s="42">
        <f ca="1">IFERROR(__xludf.DUMMYFUNCTION("""COMPUTED_VALUE"""),0)</f>
        <v>0</v>
      </c>
      <c r="W204" s="42">
        <f ca="1">IFERROR(__xludf.DUMMYFUNCTION("""COMPUTED_VALUE"""),0)</f>
        <v>0</v>
      </c>
      <c r="X204" s="42">
        <f ca="1">IFERROR(__xludf.DUMMYFUNCTION("""COMPUTED_VALUE"""),0)</f>
        <v>0</v>
      </c>
      <c r="Y204" s="42">
        <f ca="1">IFERROR(__xludf.DUMMYFUNCTION("""COMPUTED_VALUE"""),0)</f>
        <v>0</v>
      </c>
      <c r="Z204" s="42">
        <f ca="1">IFERROR(__xludf.DUMMYFUNCTION("""COMPUTED_VALUE"""),0)</f>
        <v>0</v>
      </c>
    </row>
    <row r="205" spans="1:26" ht="12.75">
      <c r="A205" s="33" t="str">
        <f ca="1">IFERROR(__xludf.DUMMYFUNCTION("""COMPUTED_VALUE"""),"Gurupi")</f>
        <v>Gurupi</v>
      </c>
      <c r="B205" s="33" t="str">
        <f ca="1">IFERROR(__xludf.DUMMYFUNCTION("""COMPUTED_VALUE"""),"Figueiropolis")</f>
        <v>Figueiropolis</v>
      </c>
      <c r="C205" s="34" t="str">
        <f ca="1">IFERROR(__xludf.DUMMYFUNCTION("""COMPUTED_VALUE"""),"A. APOIO COL. EST. ALAIR SENA CONCEICAO")</f>
        <v>A. APOIO COL. EST. ALAIR SENA CONCEICAO</v>
      </c>
      <c r="D205" s="35" t="str">
        <f ca="1">IFERROR(__xludf.DUMMYFUNCTION("""COMPUTED_VALUE"""),"01257080000128")</f>
        <v>01257080000128</v>
      </c>
      <c r="E205" s="36" t="str">
        <f ca="1">IFERROR(__xludf.DUMMYFUNCTION("""COMPUTED_VALUE"""),"001")</f>
        <v>001</v>
      </c>
      <c r="F205" s="37" t="str">
        <f ca="1">IFERROR(__xludf.DUMMYFUNCTION("""COMPUTED_VALUE"""),"3978")</f>
        <v>3978</v>
      </c>
      <c r="G205" s="37" t="str">
        <f ca="1">IFERROR(__xludf.DUMMYFUNCTION("""COMPUTED_VALUE"""),"52639")</f>
        <v>52639</v>
      </c>
      <c r="H205" s="37">
        <f ca="1">IFERROR(__xludf.DUMMYFUNCTION("""COMPUTED_VALUE"""),0)</f>
        <v>0</v>
      </c>
      <c r="I205" s="37">
        <f ca="1">IFERROR(__xludf.DUMMYFUNCTION("""COMPUTED_VALUE"""),0)</f>
        <v>0</v>
      </c>
      <c r="J205" s="37">
        <f ca="1">IFERROR(__xludf.DUMMYFUNCTION("""COMPUTED_VALUE"""),0)</f>
        <v>0</v>
      </c>
      <c r="K205" s="37">
        <f ca="1">IFERROR(__xludf.DUMMYFUNCTION("""COMPUTED_VALUE"""),0)</f>
        <v>0</v>
      </c>
      <c r="L205" s="37">
        <f ca="1">IFERROR(__xludf.DUMMYFUNCTION("""COMPUTED_VALUE"""),0)</f>
        <v>0</v>
      </c>
      <c r="M205" s="37">
        <f ca="1">IFERROR(__xludf.DUMMYFUNCTION("""COMPUTED_VALUE"""),0)</f>
        <v>0</v>
      </c>
      <c r="N205" s="37">
        <f ca="1">IFERROR(__xludf.DUMMYFUNCTION("""COMPUTED_VALUE"""),0)</f>
        <v>0</v>
      </c>
      <c r="O205" s="37">
        <f ca="1">IFERROR(__xludf.DUMMYFUNCTION("""COMPUTED_VALUE"""),0)</f>
        <v>0</v>
      </c>
      <c r="P205" s="37">
        <f ca="1">IFERROR(__xludf.DUMMYFUNCTION("""COMPUTED_VALUE"""),0)</f>
        <v>0</v>
      </c>
      <c r="Q205" s="37">
        <f ca="1">IFERROR(__xludf.DUMMYFUNCTION("""COMPUTED_VALUE"""),3381)</f>
        <v>3381</v>
      </c>
      <c r="R205" s="37">
        <f ca="1">IFERROR(__xludf.DUMMYFUNCTION("""COMPUTED_VALUE"""),0)</f>
        <v>0</v>
      </c>
      <c r="S205" s="37">
        <f ca="1">IFERROR(__xludf.DUMMYFUNCTION("""COMPUTED_VALUE"""),0)</f>
        <v>0</v>
      </c>
      <c r="T205" s="37">
        <f ca="1">IFERROR(__xludf.DUMMYFUNCTION("""COMPUTED_VALUE"""),0)</f>
        <v>0</v>
      </c>
      <c r="U205" s="37">
        <f ca="1">IFERROR(__xludf.DUMMYFUNCTION("""COMPUTED_VALUE"""),0)</f>
        <v>0</v>
      </c>
      <c r="V205" s="37">
        <f ca="1">IFERROR(__xludf.DUMMYFUNCTION("""COMPUTED_VALUE"""),0)</f>
        <v>0</v>
      </c>
      <c r="W205" s="37">
        <f ca="1">IFERROR(__xludf.DUMMYFUNCTION("""COMPUTED_VALUE"""),0)</f>
        <v>0</v>
      </c>
      <c r="X205" s="37">
        <f ca="1">IFERROR(__xludf.DUMMYFUNCTION("""COMPUTED_VALUE"""),0)</f>
        <v>0</v>
      </c>
      <c r="Y205" s="37">
        <f ca="1">IFERROR(__xludf.DUMMYFUNCTION("""COMPUTED_VALUE"""),0)</f>
        <v>0</v>
      </c>
      <c r="Z205" s="37">
        <f ca="1">IFERROR(__xludf.DUMMYFUNCTION("""COMPUTED_VALUE"""),0)</f>
        <v>0</v>
      </c>
    </row>
    <row r="206" spans="1:26" ht="12.75">
      <c r="A206" s="38" t="str">
        <f ca="1">IFERROR(__xludf.DUMMYFUNCTION("""COMPUTED_VALUE"""),"Gurupi")</f>
        <v>Gurupi</v>
      </c>
      <c r="B206" s="38" t="str">
        <f ca="1">IFERROR(__xludf.DUMMYFUNCTION("""COMPUTED_VALUE"""),"Figueiropolis")</f>
        <v>Figueiropolis</v>
      </c>
      <c r="C206" s="39" t="str">
        <f ca="1">IFERROR(__xludf.DUMMYFUNCTION("""COMPUTED_VALUE"""),"A. APOIO COLEGIO EST. CANDIDO FIGUEIRA")</f>
        <v>A. APOIO COLEGIO EST. CANDIDO FIGUEIRA</v>
      </c>
      <c r="D206" s="40" t="str">
        <f ca="1">IFERROR(__xludf.DUMMYFUNCTION("""COMPUTED_VALUE"""),"01262902000169")</f>
        <v>01262902000169</v>
      </c>
      <c r="E206" s="41" t="str">
        <f ca="1">IFERROR(__xludf.DUMMYFUNCTION("""COMPUTED_VALUE"""),"001")</f>
        <v>001</v>
      </c>
      <c r="F206" s="42" t="str">
        <f ca="1">IFERROR(__xludf.DUMMYFUNCTION("""COMPUTED_VALUE"""),"3978")</f>
        <v>3978</v>
      </c>
      <c r="G206" s="42" t="str">
        <f ca="1">IFERROR(__xludf.DUMMYFUNCTION("""COMPUTED_VALUE"""),"4802X")</f>
        <v>4802X</v>
      </c>
      <c r="H206" s="42">
        <f ca="1">IFERROR(__xludf.DUMMYFUNCTION("""COMPUTED_VALUE"""),0)</f>
        <v>0</v>
      </c>
      <c r="I206" s="42">
        <f ca="1">IFERROR(__xludf.DUMMYFUNCTION("""COMPUTED_VALUE"""),0)</f>
        <v>0</v>
      </c>
      <c r="J206" s="42">
        <f ca="1">IFERROR(__xludf.DUMMYFUNCTION("""COMPUTED_VALUE"""),6888)</f>
        <v>6888</v>
      </c>
      <c r="K206" s="42">
        <f ca="1">IFERROR(__xludf.DUMMYFUNCTION("""COMPUTED_VALUE"""),0)</f>
        <v>0</v>
      </c>
      <c r="L206" s="42">
        <f ca="1">IFERROR(__xludf.DUMMYFUNCTION("""COMPUTED_VALUE"""),0)</f>
        <v>0</v>
      </c>
      <c r="M206" s="42">
        <f ca="1">IFERROR(__xludf.DUMMYFUNCTION("""COMPUTED_VALUE"""),0)</f>
        <v>0</v>
      </c>
      <c r="N206" s="42">
        <f ca="1">IFERROR(__xludf.DUMMYFUNCTION("""COMPUTED_VALUE"""),0)</f>
        <v>0</v>
      </c>
      <c r="O206" s="42">
        <f ca="1">IFERROR(__xludf.DUMMYFUNCTION("""COMPUTED_VALUE"""),0)</f>
        <v>0</v>
      </c>
      <c r="P206" s="42">
        <f ca="1">IFERROR(__xludf.DUMMYFUNCTION("""COMPUTED_VALUE"""),252)</f>
        <v>252</v>
      </c>
      <c r="Q206" s="42">
        <f ca="1">IFERROR(__xludf.DUMMYFUNCTION("""COMPUTED_VALUE"""),0)</f>
        <v>0</v>
      </c>
      <c r="R206" s="42">
        <f ca="1">IFERROR(__xludf.DUMMYFUNCTION("""COMPUTED_VALUE"""),0)</f>
        <v>0</v>
      </c>
      <c r="S206" s="42">
        <f ca="1">IFERROR(__xludf.DUMMYFUNCTION("""COMPUTED_VALUE"""),0)</f>
        <v>0</v>
      </c>
      <c r="T206" s="42">
        <f ca="1">IFERROR(__xludf.DUMMYFUNCTION("""COMPUTED_VALUE"""),0)</f>
        <v>0</v>
      </c>
      <c r="U206" s="42">
        <f ca="1">IFERROR(__xludf.DUMMYFUNCTION("""COMPUTED_VALUE"""),0)</f>
        <v>0</v>
      </c>
      <c r="V206" s="42">
        <f ca="1">IFERROR(__xludf.DUMMYFUNCTION("""COMPUTED_VALUE"""),0)</f>
        <v>0</v>
      </c>
      <c r="W206" s="42">
        <f ca="1">IFERROR(__xludf.DUMMYFUNCTION("""COMPUTED_VALUE"""),0)</f>
        <v>0</v>
      </c>
      <c r="X206" s="42">
        <f ca="1">IFERROR(__xludf.DUMMYFUNCTION("""COMPUTED_VALUE"""),0)</f>
        <v>0</v>
      </c>
      <c r="Y206" s="42">
        <f ca="1">IFERROR(__xludf.DUMMYFUNCTION("""COMPUTED_VALUE"""),0)</f>
        <v>0</v>
      </c>
      <c r="Z206" s="42">
        <f ca="1">IFERROR(__xludf.DUMMYFUNCTION("""COMPUTED_VALUE"""),0)</f>
        <v>0</v>
      </c>
    </row>
    <row r="207" spans="1:26" ht="12.75">
      <c r="A207" s="33" t="str">
        <f ca="1">IFERROR(__xludf.DUMMYFUNCTION("""COMPUTED_VALUE"""),"Gurupi")</f>
        <v>Gurupi</v>
      </c>
      <c r="B207" s="33" t="str">
        <f ca="1">IFERROR(__xludf.DUMMYFUNCTION("""COMPUTED_VALUE"""),"Formoso do Araguaia")</f>
        <v>Formoso do Araguaia</v>
      </c>
      <c r="C207" s="34" t="str">
        <f ca="1">IFERROR(__xludf.DUMMYFUNCTION("""COMPUTED_VALUE"""),"A.P.E MESTRES DA E. E.BENEDITO P.BANDEIRA")</f>
        <v>A.P.E MESTRES DA E. E.BENEDITO P.BANDEIRA</v>
      </c>
      <c r="D207" s="35" t="str">
        <f ca="1">IFERROR(__xludf.DUMMYFUNCTION("""COMPUTED_VALUE"""),"01136026000124")</f>
        <v>01136026000124</v>
      </c>
      <c r="E207" s="36" t="str">
        <f ca="1">IFERROR(__xludf.DUMMYFUNCTION("""COMPUTED_VALUE"""),"001")</f>
        <v>001</v>
      </c>
      <c r="F207" s="37" t="str">
        <f ca="1">IFERROR(__xludf.DUMMYFUNCTION("""COMPUTED_VALUE"""),"3123")</f>
        <v>3123</v>
      </c>
      <c r="G207" s="37" t="str">
        <f ca="1">IFERROR(__xludf.DUMMYFUNCTION("""COMPUTED_VALUE"""),"0303240")</f>
        <v>0303240</v>
      </c>
      <c r="H207" s="37">
        <f ca="1">IFERROR(__xludf.DUMMYFUNCTION("""COMPUTED_VALUE"""),0)</f>
        <v>0</v>
      </c>
      <c r="I207" s="37">
        <f ca="1">IFERROR(__xludf.DUMMYFUNCTION("""COMPUTED_VALUE"""),0)</f>
        <v>0</v>
      </c>
      <c r="J207" s="37">
        <f ca="1">IFERROR(__xludf.DUMMYFUNCTION("""COMPUTED_VALUE"""),2079)</f>
        <v>2079</v>
      </c>
      <c r="K207" s="37">
        <f ca="1">IFERROR(__xludf.DUMMYFUNCTION("""COMPUTED_VALUE"""),0)</f>
        <v>0</v>
      </c>
      <c r="L207" s="37">
        <f ca="1">IFERROR(__xludf.DUMMYFUNCTION("""COMPUTED_VALUE"""),0)</f>
        <v>0</v>
      </c>
      <c r="M207" s="37">
        <f ca="1">IFERROR(__xludf.DUMMYFUNCTION("""COMPUTED_VALUE"""),0)</f>
        <v>0</v>
      </c>
      <c r="N207" s="37">
        <f ca="1">IFERROR(__xludf.DUMMYFUNCTION("""COMPUTED_VALUE"""),0)</f>
        <v>0</v>
      </c>
      <c r="O207" s="37">
        <f ca="1">IFERROR(__xludf.DUMMYFUNCTION("""COMPUTED_VALUE"""),0)</f>
        <v>0</v>
      </c>
      <c r="P207" s="37">
        <f ca="1">IFERROR(__xludf.DUMMYFUNCTION("""COMPUTED_VALUE"""),0)</f>
        <v>0</v>
      </c>
      <c r="Q207" s="37">
        <f ca="1">IFERROR(__xludf.DUMMYFUNCTION("""COMPUTED_VALUE"""),1785)</f>
        <v>1785</v>
      </c>
      <c r="R207" s="37">
        <f ca="1">IFERROR(__xludf.DUMMYFUNCTION("""COMPUTED_VALUE"""),0)</f>
        <v>0</v>
      </c>
      <c r="S207" s="37">
        <f ca="1">IFERROR(__xludf.DUMMYFUNCTION("""COMPUTED_VALUE"""),0)</f>
        <v>0</v>
      </c>
      <c r="T207" s="37">
        <f ca="1">IFERROR(__xludf.DUMMYFUNCTION("""COMPUTED_VALUE"""),0)</f>
        <v>0</v>
      </c>
      <c r="U207" s="37">
        <f ca="1">IFERROR(__xludf.DUMMYFUNCTION("""COMPUTED_VALUE"""),0)</f>
        <v>0</v>
      </c>
      <c r="V207" s="37">
        <f ca="1">IFERROR(__xludf.DUMMYFUNCTION("""COMPUTED_VALUE"""),0)</f>
        <v>0</v>
      </c>
      <c r="W207" s="37">
        <f ca="1">IFERROR(__xludf.DUMMYFUNCTION("""COMPUTED_VALUE"""),0)</f>
        <v>0</v>
      </c>
      <c r="X207" s="37">
        <f ca="1">IFERROR(__xludf.DUMMYFUNCTION("""COMPUTED_VALUE"""),0)</f>
        <v>0</v>
      </c>
      <c r="Y207" s="37">
        <f ca="1">IFERROR(__xludf.DUMMYFUNCTION("""COMPUTED_VALUE"""),0)</f>
        <v>0</v>
      </c>
      <c r="Z207" s="37">
        <f ca="1">IFERROR(__xludf.DUMMYFUNCTION("""COMPUTED_VALUE"""),0)</f>
        <v>0</v>
      </c>
    </row>
    <row r="208" spans="1:26" ht="12.75">
      <c r="A208" s="38" t="str">
        <f ca="1">IFERROR(__xludf.DUMMYFUNCTION("""COMPUTED_VALUE"""),"Gurupi")</f>
        <v>Gurupi</v>
      </c>
      <c r="B208" s="38" t="str">
        <f ca="1">IFERROR(__xludf.DUMMYFUNCTION("""COMPUTED_VALUE"""),"Formoso do Araguaia")</f>
        <v>Formoso do Araguaia</v>
      </c>
      <c r="C208" s="39" t="str">
        <f ca="1">IFERROR(__xludf.DUMMYFUNCTION("""COMPUTED_VALUE"""),"A.A. COLEGIO ESTADUAL TIRADENTES")</f>
        <v>A.A. COLEGIO ESTADUAL TIRADENTES</v>
      </c>
      <c r="D208" s="40" t="str">
        <f ca="1">IFERROR(__xludf.DUMMYFUNCTION("""COMPUTED_VALUE"""),"01263350000103")</f>
        <v>01263350000103</v>
      </c>
      <c r="E208" s="41" t="str">
        <f ca="1">IFERROR(__xludf.DUMMYFUNCTION("""COMPUTED_VALUE"""),"001")</f>
        <v>001</v>
      </c>
      <c r="F208" s="42" t="str">
        <f ca="1">IFERROR(__xludf.DUMMYFUNCTION("""COMPUTED_VALUE"""),"3123")</f>
        <v>3123</v>
      </c>
      <c r="G208" s="42" t="str">
        <f ca="1">IFERROR(__xludf.DUMMYFUNCTION("""COMPUTED_VALUE"""),"302988")</f>
        <v>302988</v>
      </c>
      <c r="H208" s="42">
        <f ca="1">IFERROR(__xludf.DUMMYFUNCTION("""COMPUTED_VALUE"""),0)</f>
        <v>0</v>
      </c>
      <c r="I208" s="42">
        <f ca="1">IFERROR(__xludf.DUMMYFUNCTION("""COMPUTED_VALUE"""),0)</f>
        <v>0</v>
      </c>
      <c r="J208" s="42">
        <f ca="1">IFERROR(__xludf.DUMMYFUNCTION("""COMPUTED_VALUE"""),0)</f>
        <v>0</v>
      </c>
      <c r="K208" s="42">
        <f ca="1">IFERROR(__xludf.DUMMYFUNCTION("""COMPUTED_VALUE"""),0)</f>
        <v>0</v>
      </c>
      <c r="L208" s="42">
        <f ca="1">IFERROR(__xludf.DUMMYFUNCTION("""COMPUTED_VALUE"""),0)</f>
        <v>0</v>
      </c>
      <c r="M208" s="42">
        <f ca="1">IFERROR(__xludf.DUMMYFUNCTION("""COMPUTED_VALUE"""),0)</f>
        <v>0</v>
      </c>
      <c r="N208" s="42">
        <f ca="1">IFERROR(__xludf.DUMMYFUNCTION("""COMPUTED_VALUE"""),0)</f>
        <v>0</v>
      </c>
      <c r="O208" s="42">
        <f ca="1">IFERROR(__xludf.DUMMYFUNCTION("""COMPUTED_VALUE"""),0)</f>
        <v>0</v>
      </c>
      <c r="P208" s="42">
        <f ca="1">IFERROR(__xludf.DUMMYFUNCTION("""COMPUTED_VALUE"""),0)</f>
        <v>0</v>
      </c>
      <c r="Q208" s="42">
        <f ca="1">IFERROR(__xludf.DUMMYFUNCTION("""COMPUTED_VALUE"""),5229)</f>
        <v>5229</v>
      </c>
      <c r="R208" s="42">
        <f ca="1">IFERROR(__xludf.DUMMYFUNCTION("""COMPUTED_VALUE"""),0)</f>
        <v>0</v>
      </c>
      <c r="S208" s="42">
        <f ca="1">IFERROR(__xludf.DUMMYFUNCTION("""COMPUTED_VALUE"""),0)</f>
        <v>0</v>
      </c>
      <c r="T208" s="42">
        <f ca="1">IFERROR(__xludf.DUMMYFUNCTION("""COMPUTED_VALUE"""),0)</f>
        <v>0</v>
      </c>
      <c r="U208" s="42">
        <f ca="1">IFERROR(__xludf.DUMMYFUNCTION("""COMPUTED_VALUE"""),0)</f>
        <v>0</v>
      </c>
      <c r="V208" s="42">
        <f ca="1">IFERROR(__xludf.DUMMYFUNCTION("""COMPUTED_VALUE"""),0)</f>
        <v>0</v>
      </c>
      <c r="W208" s="42">
        <f ca="1">IFERROR(__xludf.DUMMYFUNCTION("""COMPUTED_VALUE"""),0)</f>
        <v>0</v>
      </c>
      <c r="X208" s="42">
        <f ca="1">IFERROR(__xludf.DUMMYFUNCTION("""COMPUTED_VALUE"""),0)</f>
        <v>0</v>
      </c>
      <c r="Y208" s="42">
        <f ca="1">IFERROR(__xludf.DUMMYFUNCTION("""COMPUTED_VALUE"""),0)</f>
        <v>0</v>
      </c>
      <c r="Z208" s="42">
        <f ca="1">IFERROR(__xludf.DUMMYFUNCTION("""COMPUTED_VALUE"""),0)</f>
        <v>0</v>
      </c>
    </row>
    <row r="209" spans="1:26" ht="12.75">
      <c r="A209" s="33" t="str">
        <f ca="1">IFERROR(__xludf.DUMMYFUNCTION("""COMPUTED_VALUE"""),"Gurupi")</f>
        <v>Gurupi</v>
      </c>
      <c r="B209" s="33" t="str">
        <f ca="1">IFERROR(__xludf.DUMMYFUNCTION("""COMPUTED_VALUE"""),"Formoso do Araguaia")</f>
        <v>Formoso do Araguaia</v>
      </c>
      <c r="C209" s="34" t="str">
        <f ca="1">IFERROR(__xludf.DUMMYFUNCTION("""COMPUTED_VALUE"""),"A.A. ESC ESPECIAL ANJO DA GUARDA")</f>
        <v>A.A. ESC ESPECIAL ANJO DA GUARDA</v>
      </c>
      <c r="D209" s="35" t="str">
        <f ca="1">IFERROR(__xludf.DUMMYFUNCTION("""COMPUTED_VALUE"""),"17617389000111")</f>
        <v>17617389000111</v>
      </c>
      <c r="E209" s="36" t="str">
        <f ca="1">IFERROR(__xludf.DUMMYFUNCTION("""COMPUTED_VALUE"""),"001")</f>
        <v>001</v>
      </c>
      <c r="F209" s="37" t="str">
        <f ca="1">IFERROR(__xludf.DUMMYFUNCTION("""COMPUTED_VALUE"""),"3123")</f>
        <v>3123</v>
      </c>
      <c r="G209" s="37" t="str">
        <f ca="1">IFERROR(__xludf.DUMMYFUNCTION("""COMPUTED_VALUE"""),"168211")</f>
        <v>168211</v>
      </c>
      <c r="H209" s="37">
        <f ca="1">IFERROR(__xludf.DUMMYFUNCTION("""COMPUTED_VALUE"""),0)</f>
        <v>0</v>
      </c>
      <c r="I209" s="37">
        <f ca="1">IFERROR(__xludf.DUMMYFUNCTION("""COMPUTED_VALUE"""),0)</f>
        <v>0</v>
      </c>
      <c r="J209" s="37">
        <f ca="1">IFERROR(__xludf.DUMMYFUNCTION("""COMPUTED_VALUE"""),588)</f>
        <v>588</v>
      </c>
      <c r="K209" s="37">
        <f ca="1">IFERROR(__xludf.DUMMYFUNCTION("""COMPUTED_VALUE"""),0)</f>
        <v>0</v>
      </c>
      <c r="L209" s="37">
        <f ca="1">IFERROR(__xludf.DUMMYFUNCTION("""COMPUTED_VALUE"""),0)</f>
        <v>0</v>
      </c>
      <c r="M209" s="37">
        <f ca="1">IFERROR(__xludf.DUMMYFUNCTION("""COMPUTED_VALUE"""),0)</f>
        <v>0</v>
      </c>
      <c r="N209" s="37">
        <f ca="1">IFERROR(__xludf.DUMMYFUNCTION("""COMPUTED_VALUE"""),0)</f>
        <v>0</v>
      </c>
      <c r="O209" s="37">
        <f ca="1">IFERROR(__xludf.DUMMYFUNCTION("""COMPUTED_VALUE"""),0)</f>
        <v>0</v>
      </c>
      <c r="P209" s="37">
        <f ca="1">IFERROR(__xludf.DUMMYFUNCTION("""COMPUTED_VALUE"""),735)</f>
        <v>735</v>
      </c>
      <c r="Q209" s="37">
        <f ca="1">IFERROR(__xludf.DUMMYFUNCTION("""COMPUTED_VALUE"""),0)</f>
        <v>0</v>
      </c>
      <c r="R209" s="37">
        <f ca="1">IFERROR(__xludf.DUMMYFUNCTION("""COMPUTED_VALUE"""),0)</f>
        <v>0</v>
      </c>
      <c r="S209" s="37">
        <f ca="1">IFERROR(__xludf.DUMMYFUNCTION("""COMPUTED_VALUE"""),0)</f>
        <v>0</v>
      </c>
      <c r="T209" s="37">
        <f ca="1">IFERROR(__xludf.DUMMYFUNCTION("""COMPUTED_VALUE"""),924)</f>
        <v>924</v>
      </c>
      <c r="U209" s="37">
        <f ca="1">IFERROR(__xludf.DUMMYFUNCTION("""COMPUTED_VALUE"""),0)</f>
        <v>0</v>
      </c>
      <c r="V209" s="37">
        <f ca="1">IFERROR(__xludf.DUMMYFUNCTION("""COMPUTED_VALUE"""),0)</f>
        <v>0</v>
      </c>
      <c r="W209" s="37">
        <f ca="1">IFERROR(__xludf.DUMMYFUNCTION("""COMPUTED_VALUE"""),0)</f>
        <v>0</v>
      </c>
      <c r="X209" s="37">
        <f ca="1">IFERROR(__xludf.DUMMYFUNCTION("""COMPUTED_VALUE"""),0)</f>
        <v>0</v>
      </c>
      <c r="Y209" s="37">
        <f ca="1">IFERROR(__xludf.DUMMYFUNCTION("""COMPUTED_VALUE"""),0)</f>
        <v>0</v>
      </c>
      <c r="Z209" s="37">
        <f ca="1">IFERROR(__xludf.DUMMYFUNCTION("""COMPUTED_VALUE"""),0)</f>
        <v>0</v>
      </c>
    </row>
    <row r="210" spans="1:26" ht="12.75">
      <c r="A210" s="38" t="str">
        <f ca="1">IFERROR(__xludf.DUMMYFUNCTION("""COMPUTED_VALUE"""),"Gurupi")</f>
        <v>Gurupi</v>
      </c>
      <c r="B210" s="38" t="str">
        <f ca="1">IFERROR(__xludf.DUMMYFUNCTION("""COMPUTED_VALUE"""),"Formoso do Araguaia")</f>
        <v>Formoso do Araguaia</v>
      </c>
      <c r="C210" s="39" t="str">
        <f ca="1">IFERROR(__xludf.DUMMYFUNCTION("""COMPUTED_VALUE"""),"A.A. ESC. EST. DONA GERCINA BORGES TEIXEIRA")</f>
        <v>A.A. ESC. EST. DONA GERCINA BORGES TEIXEIRA</v>
      </c>
      <c r="D210" s="40" t="str">
        <f ca="1">IFERROR(__xludf.DUMMYFUNCTION("""COMPUTED_VALUE"""),"01268334000103")</f>
        <v>01268334000103</v>
      </c>
      <c r="E210" s="41" t="str">
        <f ca="1">IFERROR(__xludf.DUMMYFUNCTION("""COMPUTED_VALUE"""),"001")</f>
        <v>001</v>
      </c>
      <c r="F210" s="42" t="str">
        <f ca="1">IFERROR(__xludf.DUMMYFUNCTION("""COMPUTED_VALUE"""),"3123")</f>
        <v>3123</v>
      </c>
      <c r="G210" s="42" t="str">
        <f ca="1">IFERROR(__xludf.DUMMYFUNCTION("""COMPUTED_VALUE"""),"302880")</f>
        <v>302880</v>
      </c>
      <c r="H210" s="42">
        <f ca="1">IFERROR(__xludf.DUMMYFUNCTION("""COMPUTED_VALUE"""),0)</f>
        <v>0</v>
      </c>
      <c r="I210" s="42">
        <f ca="1">IFERROR(__xludf.DUMMYFUNCTION("""COMPUTED_VALUE"""),0)</f>
        <v>0</v>
      </c>
      <c r="J210" s="42">
        <f ca="1">IFERROR(__xludf.DUMMYFUNCTION("""COMPUTED_VALUE"""),16254)</f>
        <v>16254</v>
      </c>
      <c r="K210" s="42">
        <f ca="1">IFERROR(__xludf.DUMMYFUNCTION("""COMPUTED_VALUE"""),0)</f>
        <v>0</v>
      </c>
      <c r="L210" s="42">
        <f ca="1">IFERROR(__xludf.DUMMYFUNCTION("""COMPUTED_VALUE"""),0)</f>
        <v>0</v>
      </c>
      <c r="M210" s="42">
        <f ca="1">IFERROR(__xludf.DUMMYFUNCTION("""COMPUTED_VALUE"""),0)</f>
        <v>0</v>
      </c>
      <c r="N210" s="42">
        <f ca="1">IFERROR(__xludf.DUMMYFUNCTION("""COMPUTED_VALUE"""),0)</f>
        <v>0</v>
      </c>
      <c r="O210" s="42">
        <f ca="1">IFERROR(__xludf.DUMMYFUNCTION("""COMPUTED_VALUE"""),0)</f>
        <v>0</v>
      </c>
      <c r="P210" s="42">
        <f ca="1">IFERROR(__xludf.DUMMYFUNCTION("""COMPUTED_VALUE"""),1176)</f>
        <v>1176</v>
      </c>
      <c r="Q210" s="42">
        <f ca="1">IFERROR(__xludf.DUMMYFUNCTION("""COMPUTED_VALUE"""),0)</f>
        <v>0</v>
      </c>
      <c r="R210" s="42">
        <f ca="1">IFERROR(__xludf.DUMMYFUNCTION("""COMPUTED_VALUE"""),0)</f>
        <v>0</v>
      </c>
      <c r="S210" s="42">
        <f ca="1">IFERROR(__xludf.DUMMYFUNCTION("""COMPUTED_VALUE"""),0)</f>
        <v>0</v>
      </c>
      <c r="T210" s="42">
        <f ca="1">IFERROR(__xludf.DUMMYFUNCTION("""COMPUTED_VALUE"""),3570)</f>
        <v>3570</v>
      </c>
      <c r="U210" s="42">
        <f ca="1">IFERROR(__xludf.DUMMYFUNCTION("""COMPUTED_VALUE"""),0)</f>
        <v>0</v>
      </c>
      <c r="V210" s="42">
        <f ca="1">IFERROR(__xludf.DUMMYFUNCTION("""COMPUTED_VALUE"""),0)</f>
        <v>0</v>
      </c>
      <c r="W210" s="42">
        <f ca="1">IFERROR(__xludf.DUMMYFUNCTION("""COMPUTED_VALUE"""),0)</f>
        <v>0</v>
      </c>
      <c r="X210" s="42">
        <f ca="1">IFERROR(__xludf.DUMMYFUNCTION("""COMPUTED_VALUE"""),0)</f>
        <v>0</v>
      </c>
      <c r="Y210" s="42">
        <f ca="1">IFERROR(__xludf.DUMMYFUNCTION("""COMPUTED_VALUE"""),0)</f>
        <v>0</v>
      </c>
      <c r="Z210" s="42">
        <f ca="1">IFERROR(__xludf.DUMMYFUNCTION("""COMPUTED_VALUE"""),0)</f>
        <v>0</v>
      </c>
    </row>
    <row r="211" spans="1:26" ht="12.75">
      <c r="A211" s="33" t="str">
        <f ca="1">IFERROR(__xludf.DUMMYFUNCTION("""COMPUTED_VALUE"""),"Gurupi")</f>
        <v>Gurupi</v>
      </c>
      <c r="B211" s="33" t="str">
        <f ca="1">IFERROR(__xludf.DUMMYFUNCTION("""COMPUTED_VALUE"""),"Formoso do Araguaia")</f>
        <v>Formoso do Araguaia</v>
      </c>
      <c r="C211" s="34" t="str">
        <f ca="1">IFERROR(__xludf.DUMMYFUNCTION("""COMPUTED_VALUE"""),"ASSOCIAÇÃO DE APOIO DA ESCOLA INDÍGENA TAINÁ DA ALDEIA CANUANA")</f>
        <v>ASSOCIAÇÃO DE APOIO DA ESCOLA INDÍGENA TAINÁ DA ALDEIA CANUANA</v>
      </c>
      <c r="D211" s="35" t="str">
        <f ca="1">IFERROR(__xludf.DUMMYFUNCTION("""COMPUTED_VALUE"""),"27701257000127")</f>
        <v>27701257000127</v>
      </c>
      <c r="E211" s="36" t="str">
        <f ca="1">IFERROR(__xludf.DUMMYFUNCTION("""COMPUTED_VALUE"""),"001")</f>
        <v>001</v>
      </c>
      <c r="F211" s="37" t="str">
        <f ca="1">IFERROR(__xludf.DUMMYFUNCTION("""COMPUTED_VALUE"""),"3123")</f>
        <v>3123</v>
      </c>
      <c r="G211" s="37" t="str">
        <f ca="1">IFERROR(__xludf.DUMMYFUNCTION("""COMPUTED_VALUE"""),"171174")</f>
        <v>171174</v>
      </c>
      <c r="H211" s="37">
        <f ca="1">IFERROR(__xludf.DUMMYFUNCTION("""COMPUTED_VALUE"""),0)</f>
        <v>0</v>
      </c>
      <c r="I211" s="37">
        <f ca="1">IFERROR(__xludf.DUMMYFUNCTION("""COMPUTED_VALUE"""),0)</f>
        <v>0</v>
      </c>
      <c r="J211" s="37">
        <f ca="1">IFERROR(__xludf.DUMMYFUNCTION("""COMPUTED_VALUE"""),0)</f>
        <v>0</v>
      </c>
      <c r="K211" s="37">
        <f ca="1">IFERROR(__xludf.DUMMYFUNCTION("""COMPUTED_VALUE"""),0)</f>
        <v>0</v>
      </c>
      <c r="L211" s="37">
        <f ca="1">IFERROR(__xludf.DUMMYFUNCTION("""COMPUTED_VALUE"""),0)</f>
        <v>0</v>
      </c>
      <c r="M211" s="37">
        <f ca="1">IFERROR(__xludf.DUMMYFUNCTION("""COMPUTED_VALUE"""),0)</f>
        <v>0</v>
      </c>
      <c r="N211" s="37">
        <f ca="1">IFERROR(__xludf.DUMMYFUNCTION("""COMPUTED_VALUE"""),0)</f>
        <v>0</v>
      </c>
      <c r="O211" s="37">
        <f ca="1">IFERROR(__xludf.DUMMYFUNCTION("""COMPUTED_VALUE"""),2541)</f>
        <v>2541</v>
      </c>
      <c r="P211" s="37">
        <f ca="1">IFERROR(__xludf.DUMMYFUNCTION("""COMPUTED_VALUE"""),0)</f>
        <v>0</v>
      </c>
      <c r="Q211" s="37">
        <f ca="1">IFERROR(__xludf.DUMMYFUNCTION("""COMPUTED_VALUE"""),0)</f>
        <v>0</v>
      </c>
      <c r="R211" s="37">
        <f ca="1">IFERROR(__xludf.DUMMYFUNCTION("""COMPUTED_VALUE"""),0)</f>
        <v>0</v>
      </c>
      <c r="S211" s="37">
        <f ca="1">IFERROR(__xludf.DUMMYFUNCTION("""COMPUTED_VALUE"""),0)</f>
        <v>0</v>
      </c>
      <c r="T211" s="37">
        <f ca="1">IFERROR(__xludf.DUMMYFUNCTION("""COMPUTED_VALUE"""),0)</f>
        <v>0</v>
      </c>
      <c r="U211" s="37">
        <f ca="1">IFERROR(__xludf.DUMMYFUNCTION("""COMPUTED_VALUE"""),0)</f>
        <v>0</v>
      </c>
      <c r="V211" s="37">
        <f ca="1">IFERROR(__xludf.DUMMYFUNCTION("""COMPUTED_VALUE"""),0)</f>
        <v>0</v>
      </c>
      <c r="W211" s="37">
        <f ca="1">IFERROR(__xludf.DUMMYFUNCTION("""COMPUTED_VALUE"""),0)</f>
        <v>0</v>
      </c>
      <c r="X211" s="37">
        <f ca="1">IFERROR(__xludf.DUMMYFUNCTION("""COMPUTED_VALUE"""),0)</f>
        <v>0</v>
      </c>
      <c r="Y211" s="37">
        <f ca="1">IFERROR(__xludf.DUMMYFUNCTION("""COMPUTED_VALUE"""),0)</f>
        <v>0</v>
      </c>
      <c r="Z211" s="37">
        <f ca="1">IFERROR(__xludf.DUMMYFUNCTION("""COMPUTED_VALUE"""),0)</f>
        <v>0</v>
      </c>
    </row>
    <row r="212" spans="1:26" ht="12.75">
      <c r="A212" s="38" t="str">
        <f ca="1">IFERROR(__xludf.DUMMYFUNCTION("""COMPUTED_VALUE"""),"Gurupi")</f>
        <v>Gurupi</v>
      </c>
      <c r="B212" s="38" t="str">
        <f ca="1">IFERROR(__xludf.DUMMYFUNCTION("""COMPUTED_VALUE"""),"Formoso do Araguaia")</f>
        <v>Formoso do Araguaia</v>
      </c>
      <c r="C212" s="39" t="str">
        <f ca="1">IFERROR(__xludf.DUMMYFUNCTION("""COMPUTED_VALUE"""),"ASSOCIAÇÃO DE APOIO DA ESCOLA INDÍGENA TEMANARE")</f>
        <v>ASSOCIAÇÃO DE APOIO DA ESCOLA INDÍGENA TEMANARE</v>
      </c>
      <c r="D212" s="40" t="str">
        <f ca="1">IFERROR(__xludf.DUMMYFUNCTION("""COMPUTED_VALUE"""),"47800676000123")</f>
        <v>47800676000123</v>
      </c>
      <c r="E212" s="41" t="str">
        <f ca="1">IFERROR(__xludf.DUMMYFUNCTION("""COMPUTED_VALUE"""),"001")</f>
        <v>001</v>
      </c>
      <c r="F212" s="42" t="str">
        <f ca="1">IFERROR(__xludf.DUMMYFUNCTION("""COMPUTED_VALUE"""),"3123")</f>
        <v>3123</v>
      </c>
      <c r="G212" s="42" t="str">
        <f ca="1">IFERROR(__xludf.DUMMYFUNCTION("""COMPUTED_VALUE"""),"207160")</f>
        <v>207160</v>
      </c>
      <c r="H212" s="42">
        <f ca="1">IFERROR(__xludf.DUMMYFUNCTION("""COMPUTED_VALUE"""),0)</f>
        <v>0</v>
      </c>
      <c r="I212" s="42">
        <f ca="1">IFERROR(__xludf.DUMMYFUNCTION("""COMPUTED_VALUE"""),0)</f>
        <v>0</v>
      </c>
      <c r="J212" s="42">
        <f ca="1">IFERROR(__xludf.DUMMYFUNCTION("""COMPUTED_VALUE"""),0)</f>
        <v>0</v>
      </c>
      <c r="K212" s="42">
        <f ca="1">IFERROR(__xludf.DUMMYFUNCTION("""COMPUTED_VALUE"""),0)</f>
        <v>0</v>
      </c>
      <c r="L212" s="42">
        <f ca="1">IFERROR(__xludf.DUMMYFUNCTION("""COMPUTED_VALUE"""),0)</f>
        <v>0</v>
      </c>
      <c r="M212" s="42">
        <f ca="1">IFERROR(__xludf.DUMMYFUNCTION("""COMPUTED_VALUE"""),0)</f>
        <v>0</v>
      </c>
      <c r="N212" s="42">
        <f ca="1">IFERROR(__xludf.DUMMYFUNCTION("""COMPUTED_VALUE"""),0)</f>
        <v>0</v>
      </c>
      <c r="O212" s="42">
        <f ca="1">IFERROR(__xludf.DUMMYFUNCTION("""COMPUTED_VALUE"""),2058)</f>
        <v>2058</v>
      </c>
      <c r="P212" s="42">
        <f ca="1">IFERROR(__xludf.DUMMYFUNCTION("""COMPUTED_VALUE"""),0)</f>
        <v>0</v>
      </c>
      <c r="Q212" s="42">
        <f ca="1">IFERROR(__xludf.DUMMYFUNCTION("""COMPUTED_VALUE"""),0)</f>
        <v>0</v>
      </c>
      <c r="R212" s="42">
        <f ca="1">IFERROR(__xludf.DUMMYFUNCTION("""COMPUTED_VALUE"""),0)</f>
        <v>0</v>
      </c>
      <c r="S212" s="42">
        <f ca="1">IFERROR(__xludf.DUMMYFUNCTION("""COMPUTED_VALUE"""),0)</f>
        <v>0</v>
      </c>
      <c r="T212" s="42">
        <f ca="1">IFERROR(__xludf.DUMMYFUNCTION("""COMPUTED_VALUE"""),0)</f>
        <v>0</v>
      </c>
      <c r="U212" s="42">
        <f ca="1">IFERROR(__xludf.DUMMYFUNCTION("""COMPUTED_VALUE"""),0)</f>
        <v>0</v>
      </c>
      <c r="V212" s="42">
        <f ca="1">IFERROR(__xludf.DUMMYFUNCTION("""COMPUTED_VALUE"""),0)</f>
        <v>0</v>
      </c>
      <c r="W212" s="42">
        <f ca="1">IFERROR(__xludf.DUMMYFUNCTION("""COMPUTED_VALUE"""),0)</f>
        <v>0</v>
      </c>
      <c r="X212" s="42">
        <f ca="1">IFERROR(__xludf.DUMMYFUNCTION("""COMPUTED_VALUE"""),0)</f>
        <v>0</v>
      </c>
      <c r="Y212" s="42">
        <f ca="1">IFERROR(__xludf.DUMMYFUNCTION("""COMPUTED_VALUE"""),0)</f>
        <v>0</v>
      </c>
      <c r="Z212" s="42">
        <f ca="1">IFERROR(__xludf.DUMMYFUNCTION("""COMPUTED_VALUE"""),0)</f>
        <v>0</v>
      </c>
    </row>
    <row r="213" spans="1:26" ht="12.75">
      <c r="A213" s="33" t="str">
        <f ca="1">IFERROR(__xludf.DUMMYFUNCTION("""COMPUTED_VALUE"""),"Gurupi")</f>
        <v>Gurupi</v>
      </c>
      <c r="B213" s="33" t="str">
        <f ca="1">IFERROR(__xludf.DUMMYFUNCTION("""COMPUTED_VALUE"""),"Formoso do Araguaia")</f>
        <v>Formoso do Araguaia</v>
      </c>
      <c r="C213" s="34" t="str">
        <f ca="1">IFERROR(__xludf.DUMMYFUNCTION("""COMPUTED_VALUE"""),"ASSOCIAÇÃO DE APOIO ESCOLAR DA ESCOLA INDÍGENA TXUIRI HINÃ")</f>
        <v>ASSOCIAÇÃO DE APOIO ESCOLAR DA ESCOLA INDÍGENA TXUIRI HINÃ</v>
      </c>
      <c r="D213" s="35" t="str">
        <f ca="1">IFERROR(__xludf.DUMMYFUNCTION("""COMPUTED_VALUE"""),"47801073000146")</f>
        <v>47801073000146</v>
      </c>
      <c r="E213" s="36" t="str">
        <f ca="1">IFERROR(__xludf.DUMMYFUNCTION("""COMPUTED_VALUE"""),"001")</f>
        <v>001</v>
      </c>
      <c r="F213" s="37" t="str">
        <f ca="1">IFERROR(__xludf.DUMMYFUNCTION("""COMPUTED_VALUE"""),"3123")</f>
        <v>3123</v>
      </c>
      <c r="G213" s="37" t="str">
        <f ca="1">IFERROR(__xludf.DUMMYFUNCTION("""COMPUTED_VALUE"""),"206458")</f>
        <v>206458</v>
      </c>
      <c r="H213" s="37">
        <f ca="1">IFERROR(__xludf.DUMMYFUNCTION("""COMPUTED_VALUE"""),0)</f>
        <v>0</v>
      </c>
      <c r="I213" s="37">
        <f ca="1">IFERROR(__xludf.DUMMYFUNCTION("""COMPUTED_VALUE"""),0)</f>
        <v>0</v>
      </c>
      <c r="J213" s="37">
        <f ca="1">IFERROR(__xludf.DUMMYFUNCTION("""COMPUTED_VALUE"""),0)</f>
        <v>0</v>
      </c>
      <c r="K213" s="37">
        <f ca="1">IFERROR(__xludf.DUMMYFUNCTION("""COMPUTED_VALUE"""),0)</f>
        <v>0</v>
      </c>
      <c r="L213" s="37">
        <f ca="1">IFERROR(__xludf.DUMMYFUNCTION("""COMPUTED_VALUE"""),0)</f>
        <v>0</v>
      </c>
      <c r="M213" s="37">
        <f ca="1">IFERROR(__xludf.DUMMYFUNCTION("""COMPUTED_VALUE"""),0)</f>
        <v>0</v>
      </c>
      <c r="N213" s="37">
        <f ca="1">IFERROR(__xludf.DUMMYFUNCTION("""COMPUTED_VALUE"""),0)</f>
        <v>0</v>
      </c>
      <c r="O213" s="37">
        <f ca="1">IFERROR(__xludf.DUMMYFUNCTION("""COMPUTED_VALUE"""),1638)</f>
        <v>1638</v>
      </c>
      <c r="P213" s="37">
        <f ca="1">IFERROR(__xludf.DUMMYFUNCTION("""COMPUTED_VALUE"""),0)</f>
        <v>0</v>
      </c>
      <c r="Q213" s="37">
        <f ca="1">IFERROR(__xludf.DUMMYFUNCTION("""COMPUTED_VALUE"""),0)</f>
        <v>0</v>
      </c>
      <c r="R213" s="37">
        <f ca="1">IFERROR(__xludf.DUMMYFUNCTION("""COMPUTED_VALUE"""),0)</f>
        <v>0</v>
      </c>
      <c r="S213" s="37">
        <f ca="1">IFERROR(__xludf.DUMMYFUNCTION("""COMPUTED_VALUE"""),0)</f>
        <v>0</v>
      </c>
      <c r="T213" s="37">
        <f ca="1">IFERROR(__xludf.DUMMYFUNCTION("""COMPUTED_VALUE"""),0)</f>
        <v>0</v>
      </c>
      <c r="U213" s="37">
        <f ca="1">IFERROR(__xludf.DUMMYFUNCTION("""COMPUTED_VALUE"""),0)</f>
        <v>0</v>
      </c>
      <c r="V213" s="37">
        <f ca="1">IFERROR(__xludf.DUMMYFUNCTION("""COMPUTED_VALUE"""),0)</f>
        <v>0</v>
      </c>
      <c r="W213" s="37">
        <f ca="1">IFERROR(__xludf.DUMMYFUNCTION("""COMPUTED_VALUE"""),0)</f>
        <v>0</v>
      </c>
      <c r="X213" s="37">
        <f ca="1">IFERROR(__xludf.DUMMYFUNCTION("""COMPUTED_VALUE"""),0)</f>
        <v>0</v>
      </c>
      <c r="Y213" s="37">
        <f ca="1">IFERROR(__xludf.DUMMYFUNCTION("""COMPUTED_VALUE"""),0)</f>
        <v>0</v>
      </c>
      <c r="Z213" s="37">
        <f ca="1">IFERROR(__xludf.DUMMYFUNCTION("""COMPUTED_VALUE"""),0)</f>
        <v>0</v>
      </c>
    </row>
    <row r="214" spans="1:26" ht="12.75">
      <c r="A214" s="38" t="str">
        <f ca="1">IFERROR(__xludf.DUMMYFUNCTION("""COMPUTED_VALUE"""),"Gurupi")</f>
        <v>Gurupi</v>
      </c>
      <c r="B214" s="38" t="str">
        <f ca="1">IFERROR(__xludf.DUMMYFUNCTION("""COMPUTED_VALUE"""),"Formoso do Araguaia")</f>
        <v>Formoso do Araguaia</v>
      </c>
      <c r="C214" s="39" t="str">
        <f ca="1">IFERROR(__xludf.DUMMYFUNCTION("""COMPUTED_VALUE"""),"ASSOCIAÇÃO DE APOIO ESCOLAR DA ESCOLA INDÍGENA WATAKURI")</f>
        <v>ASSOCIAÇÃO DE APOIO ESCOLAR DA ESCOLA INDÍGENA WATAKURI</v>
      </c>
      <c r="D214" s="40" t="str">
        <f ca="1">IFERROR(__xludf.DUMMYFUNCTION("""COMPUTED_VALUE"""),"48057828000102")</f>
        <v>48057828000102</v>
      </c>
      <c r="E214" s="41" t="str">
        <f ca="1">IFERROR(__xludf.DUMMYFUNCTION("""COMPUTED_VALUE"""),"001")</f>
        <v>001</v>
      </c>
      <c r="F214" s="42" t="str">
        <f ca="1">IFERROR(__xludf.DUMMYFUNCTION("""COMPUTED_VALUE"""),"3123")</f>
        <v>3123</v>
      </c>
      <c r="G214" s="42" t="str">
        <f ca="1">IFERROR(__xludf.DUMMYFUNCTION("""COMPUTED_VALUE"""),"206695")</f>
        <v>206695</v>
      </c>
      <c r="H214" s="42">
        <f ca="1">IFERROR(__xludf.DUMMYFUNCTION("""COMPUTED_VALUE"""),0)</f>
        <v>0</v>
      </c>
      <c r="I214" s="42">
        <f ca="1">IFERROR(__xludf.DUMMYFUNCTION("""COMPUTED_VALUE"""),0)</f>
        <v>0</v>
      </c>
      <c r="J214" s="42">
        <f ca="1">IFERROR(__xludf.DUMMYFUNCTION("""COMPUTED_VALUE"""),0)</f>
        <v>0</v>
      </c>
      <c r="K214" s="42">
        <f ca="1">IFERROR(__xludf.DUMMYFUNCTION("""COMPUTED_VALUE"""),0)</f>
        <v>0</v>
      </c>
      <c r="L214" s="42">
        <f ca="1">IFERROR(__xludf.DUMMYFUNCTION("""COMPUTED_VALUE"""),0)</f>
        <v>0</v>
      </c>
      <c r="M214" s="42">
        <f ca="1">IFERROR(__xludf.DUMMYFUNCTION("""COMPUTED_VALUE"""),0)</f>
        <v>0</v>
      </c>
      <c r="N214" s="42">
        <f ca="1">IFERROR(__xludf.DUMMYFUNCTION("""COMPUTED_VALUE"""),0)</f>
        <v>0</v>
      </c>
      <c r="O214" s="42">
        <f ca="1">IFERROR(__xludf.DUMMYFUNCTION("""COMPUTED_VALUE"""),1638)</f>
        <v>1638</v>
      </c>
      <c r="P214" s="42">
        <f ca="1">IFERROR(__xludf.DUMMYFUNCTION("""COMPUTED_VALUE"""),0)</f>
        <v>0</v>
      </c>
      <c r="Q214" s="42">
        <f ca="1">IFERROR(__xludf.DUMMYFUNCTION("""COMPUTED_VALUE"""),0)</f>
        <v>0</v>
      </c>
      <c r="R214" s="42">
        <f ca="1">IFERROR(__xludf.DUMMYFUNCTION("""COMPUTED_VALUE"""),0)</f>
        <v>0</v>
      </c>
      <c r="S214" s="42">
        <f ca="1">IFERROR(__xludf.DUMMYFUNCTION("""COMPUTED_VALUE"""),0)</f>
        <v>0</v>
      </c>
      <c r="T214" s="42">
        <f ca="1">IFERROR(__xludf.DUMMYFUNCTION("""COMPUTED_VALUE"""),0)</f>
        <v>0</v>
      </c>
      <c r="U214" s="42">
        <f ca="1">IFERROR(__xludf.DUMMYFUNCTION("""COMPUTED_VALUE"""),0)</f>
        <v>0</v>
      </c>
      <c r="V214" s="42">
        <f ca="1">IFERROR(__xludf.DUMMYFUNCTION("""COMPUTED_VALUE"""),0)</f>
        <v>0</v>
      </c>
      <c r="W214" s="42">
        <f ca="1">IFERROR(__xludf.DUMMYFUNCTION("""COMPUTED_VALUE"""),0)</f>
        <v>0</v>
      </c>
      <c r="X214" s="42">
        <f ca="1">IFERROR(__xludf.DUMMYFUNCTION("""COMPUTED_VALUE"""),0)</f>
        <v>0</v>
      </c>
      <c r="Y214" s="42">
        <f ca="1">IFERROR(__xludf.DUMMYFUNCTION("""COMPUTED_VALUE"""),0)</f>
        <v>0</v>
      </c>
      <c r="Z214" s="42">
        <f ca="1">IFERROR(__xludf.DUMMYFUNCTION("""COMPUTED_VALUE"""),0)</f>
        <v>0</v>
      </c>
    </row>
    <row r="215" spans="1:26" ht="12.75">
      <c r="A215" s="33" t="str">
        <f ca="1">IFERROR(__xludf.DUMMYFUNCTION("""COMPUTED_VALUE"""),"Gurupi")</f>
        <v>Gurupi</v>
      </c>
      <c r="B215" s="33" t="str">
        <f ca="1">IFERROR(__xludf.DUMMYFUNCTION("""COMPUTED_VALUE"""),"Gurupi")</f>
        <v>Gurupi</v>
      </c>
      <c r="C215" s="34" t="str">
        <f ca="1">IFERROR(__xludf.DUMMYFUNCTION("""COMPUTED_VALUE"""),"A.A. ESC. EST.ISOL.E IND.REG.DE GURUPI")</f>
        <v>A.A. ESC. EST.ISOL.E IND.REG.DE GURUPI</v>
      </c>
      <c r="D215" s="35" t="str">
        <f ca="1">IFERROR(__xludf.DUMMYFUNCTION("""COMPUTED_VALUE"""),"03011592000135")</f>
        <v>03011592000135</v>
      </c>
      <c r="E215" s="36" t="str">
        <f ca="1">IFERROR(__xludf.DUMMYFUNCTION("""COMPUTED_VALUE"""),"001")</f>
        <v>001</v>
      </c>
      <c r="F215" s="37" t="str">
        <f ca="1">IFERROR(__xludf.DUMMYFUNCTION("""COMPUTED_VALUE"""),"0794")</f>
        <v>0794</v>
      </c>
      <c r="G215" s="37" t="str">
        <f ca="1">IFERROR(__xludf.DUMMYFUNCTION("""COMPUTED_VALUE"""),"67563")</f>
        <v>67563</v>
      </c>
      <c r="H215" s="37">
        <f ca="1">IFERROR(__xludf.DUMMYFUNCTION("""COMPUTED_VALUE"""),0)</f>
        <v>0</v>
      </c>
      <c r="I215" s="37">
        <f ca="1">IFERROR(__xludf.DUMMYFUNCTION("""COMPUTED_VALUE"""),0)</f>
        <v>0</v>
      </c>
      <c r="J215" s="37">
        <f ca="1">IFERROR(__xludf.DUMMYFUNCTION("""COMPUTED_VALUE"""),0)</f>
        <v>0</v>
      </c>
      <c r="K215" s="37">
        <f ca="1">IFERROR(__xludf.DUMMYFUNCTION("""COMPUTED_VALUE"""),0)</f>
        <v>0</v>
      </c>
      <c r="L215" s="37">
        <f ca="1">IFERROR(__xludf.DUMMYFUNCTION("""COMPUTED_VALUE"""),0)</f>
        <v>0</v>
      </c>
      <c r="M215" s="37">
        <f ca="1">IFERROR(__xludf.DUMMYFUNCTION("""COMPUTED_VALUE"""),0)</f>
        <v>0</v>
      </c>
      <c r="N215" s="37">
        <f ca="1">IFERROR(__xludf.DUMMYFUNCTION("""COMPUTED_VALUE"""),0)</f>
        <v>0</v>
      </c>
      <c r="O215" s="37">
        <f ca="1">IFERROR(__xludf.DUMMYFUNCTION("""COMPUTED_VALUE"""),1638)</f>
        <v>1638</v>
      </c>
      <c r="P215" s="37">
        <f ca="1">IFERROR(__xludf.DUMMYFUNCTION("""COMPUTED_VALUE"""),0)</f>
        <v>0</v>
      </c>
      <c r="Q215" s="37">
        <f ca="1">IFERROR(__xludf.DUMMYFUNCTION("""COMPUTED_VALUE"""),0)</f>
        <v>0</v>
      </c>
      <c r="R215" s="37">
        <f ca="1">IFERROR(__xludf.DUMMYFUNCTION("""COMPUTED_VALUE"""),0)</f>
        <v>0</v>
      </c>
      <c r="S215" s="37">
        <f ca="1">IFERROR(__xludf.DUMMYFUNCTION("""COMPUTED_VALUE"""),0)</f>
        <v>0</v>
      </c>
      <c r="T215" s="37">
        <f ca="1">IFERROR(__xludf.DUMMYFUNCTION("""COMPUTED_VALUE"""),0)</f>
        <v>0</v>
      </c>
      <c r="U215" s="37">
        <f ca="1">IFERROR(__xludf.DUMMYFUNCTION("""COMPUTED_VALUE"""),0)</f>
        <v>0</v>
      </c>
      <c r="V215" s="37">
        <f ca="1">IFERROR(__xludf.DUMMYFUNCTION("""COMPUTED_VALUE"""),0)</f>
        <v>0</v>
      </c>
      <c r="W215" s="37">
        <f ca="1">IFERROR(__xludf.DUMMYFUNCTION("""COMPUTED_VALUE"""),0)</f>
        <v>0</v>
      </c>
      <c r="X215" s="37">
        <f ca="1">IFERROR(__xludf.DUMMYFUNCTION("""COMPUTED_VALUE"""),0)</f>
        <v>0</v>
      </c>
      <c r="Y215" s="37">
        <f ca="1">IFERROR(__xludf.DUMMYFUNCTION("""COMPUTED_VALUE"""),0)</f>
        <v>0</v>
      </c>
      <c r="Z215" s="37">
        <f ca="1">IFERROR(__xludf.DUMMYFUNCTION("""COMPUTED_VALUE"""),0)</f>
        <v>0</v>
      </c>
    </row>
    <row r="216" spans="1:26" ht="12.75">
      <c r="A216" s="38" t="str">
        <f ca="1">IFERROR(__xludf.DUMMYFUNCTION("""COMPUTED_VALUE"""),"Gurupi")</f>
        <v>Gurupi</v>
      </c>
      <c r="B216" s="38" t="str">
        <f ca="1">IFERROR(__xludf.DUMMYFUNCTION("""COMPUTED_VALUE"""),"Gurupi")</f>
        <v>Gurupi</v>
      </c>
      <c r="C216" s="39" t="str">
        <f ca="1">IFERROR(__xludf.DUMMYFUNCTION("""COMPUTED_VALUE"""),"ASSOC. A. CENTRO DE ENS. MÉDIO ARY R. VALADÃO FILHO")</f>
        <v>ASSOC. A. CENTRO DE ENS. MÉDIO ARY R. VALADÃO FILHO</v>
      </c>
      <c r="D216" s="40" t="str">
        <f ca="1">IFERROR(__xludf.DUMMYFUNCTION("""COMPUTED_VALUE"""),"02152392000130")</f>
        <v>02152392000130</v>
      </c>
      <c r="E216" s="41" t="str">
        <f ca="1">IFERROR(__xludf.DUMMYFUNCTION("""COMPUTED_VALUE"""),"001")</f>
        <v>001</v>
      </c>
      <c r="F216" s="42" t="str">
        <f ca="1">IFERROR(__xludf.DUMMYFUNCTION("""COMPUTED_VALUE"""),"0794")</f>
        <v>0794</v>
      </c>
      <c r="G216" s="42" t="str">
        <f ca="1">IFERROR(__xludf.DUMMYFUNCTION("""COMPUTED_VALUE"""),"420646")</f>
        <v>420646</v>
      </c>
      <c r="H216" s="42">
        <f ca="1">IFERROR(__xludf.DUMMYFUNCTION("""COMPUTED_VALUE"""),0)</f>
        <v>0</v>
      </c>
      <c r="I216" s="42">
        <f ca="1">IFERROR(__xludf.DUMMYFUNCTION("""COMPUTED_VALUE"""),0)</f>
        <v>0</v>
      </c>
      <c r="J216" s="42">
        <f ca="1">IFERROR(__xludf.DUMMYFUNCTION("""COMPUTED_VALUE"""),0)</f>
        <v>0</v>
      </c>
      <c r="K216" s="42">
        <f ca="1">IFERROR(__xludf.DUMMYFUNCTION("""COMPUTED_VALUE"""),0)</f>
        <v>0</v>
      </c>
      <c r="L216" s="42">
        <f ca="1">IFERROR(__xludf.DUMMYFUNCTION("""COMPUTED_VALUE"""),0)</f>
        <v>0</v>
      </c>
      <c r="M216" s="42">
        <f ca="1">IFERROR(__xludf.DUMMYFUNCTION("""COMPUTED_VALUE"""),0)</f>
        <v>0</v>
      </c>
      <c r="N216" s="42">
        <f ca="1">IFERROR(__xludf.DUMMYFUNCTION("""COMPUTED_VALUE"""),0)</f>
        <v>0</v>
      </c>
      <c r="O216" s="42">
        <f ca="1">IFERROR(__xludf.DUMMYFUNCTION("""COMPUTED_VALUE"""),0)</f>
        <v>0</v>
      </c>
      <c r="P216" s="42">
        <f ca="1">IFERROR(__xludf.DUMMYFUNCTION("""COMPUTED_VALUE"""),609)</f>
        <v>609</v>
      </c>
      <c r="Q216" s="42">
        <f ca="1">IFERROR(__xludf.DUMMYFUNCTION("""COMPUTED_VALUE"""),16506)</f>
        <v>16506</v>
      </c>
      <c r="R216" s="42">
        <f ca="1">IFERROR(__xludf.DUMMYFUNCTION("""COMPUTED_VALUE"""),0)</f>
        <v>0</v>
      </c>
      <c r="S216" s="42">
        <f ca="1">IFERROR(__xludf.DUMMYFUNCTION("""COMPUTED_VALUE"""),0)</f>
        <v>0</v>
      </c>
      <c r="T216" s="42">
        <f ca="1">IFERROR(__xludf.DUMMYFUNCTION("""COMPUTED_VALUE"""),0)</f>
        <v>0</v>
      </c>
      <c r="U216" s="42">
        <f ca="1">IFERROR(__xludf.DUMMYFUNCTION("""COMPUTED_VALUE"""),0)</f>
        <v>0</v>
      </c>
      <c r="V216" s="42">
        <f ca="1">IFERROR(__xludf.DUMMYFUNCTION("""COMPUTED_VALUE"""),0)</f>
        <v>0</v>
      </c>
      <c r="W216" s="42">
        <f ca="1">IFERROR(__xludf.DUMMYFUNCTION("""COMPUTED_VALUE"""),0)</f>
        <v>0</v>
      </c>
      <c r="X216" s="42">
        <f ca="1">IFERROR(__xludf.DUMMYFUNCTION("""COMPUTED_VALUE"""),0)</f>
        <v>0</v>
      </c>
      <c r="Y216" s="42">
        <f ca="1">IFERROR(__xludf.DUMMYFUNCTION("""COMPUTED_VALUE"""),0)</f>
        <v>0</v>
      </c>
      <c r="Z216" s="42">
        <f ca="1">IFERROR(__xludf.DUMMYFUNCTION("""COMPUTED_VALUE"""),0)</f>
        <v>0</v>
      </c>
    </row>
    <row r="217" spans="1:26" ht="12.75">
      <c r="A217" s="33" t="str">
        <f ca="1">IFERROR(__xludf.DUMMYFUNCTION("""COMPUTED_VALUE"""),"Gurupi")</f>
        <v>Gurupi</v>
      </c>
      <c r="B217" s="33" t="str">
        <f ca="1">IFERROR(__xludf.DUMMYFUNCTION("""COMPUTED_VALUE"""),"Gurupi")</f>
        <v>Gurupi</v>
      </c>
      <c r="C217" s="34" t="str">
        <f ca="1">IFERROR(__xludf.DUMMYFUNCTION("""COMPUTED_VALUE"""),"ASSOC. DE APOIO ESC. EST. BOM JESUS")</f>
        <v>ASSOC. DE APOIO ESC. EST. BOM JESUS</v>
      </c>
      <c r="D217" s="35" t="str">
        <f ca="1">IFERROR(__xludf.DUMMYFUNCTION("""COMPUTED_VALUE"""),"01865430000139")</f>
        <v>01865430000139</v>
      </c>
      <c r="E217" s="36" t="str">
        <f ca="1">IFERROR(__xludf.DUMMYFUNCTION("""COMPUTED_VALUE"""),"001")</f>
        <v>001</v>
      </c>
      <c r="F217" s="37" t="str">
        <f ca="1">IFERROR(__xludf.DUMMYFUNCTION("""COMPUTED_VALUE"""),"0794")</f>
        <v>0794</v>
      </c>
      <c r="G217" s="37" t="str">
        <f ca="1">IFERROR(__xludf.DUMMYFUNCTION("""COMPUTED_VALUE"""),"420603")</f>
        <v>420603</v>
      </c>
      <c r="H217" s="37">
        <f ca="1">IFERROR(__xludf.DUMMYFUNCTION("""COMPUTED_VALUE"""),0)</f>
        <v>0</v>
      </c>
      <c r="I217" s="37">
        <f ca="1">IFERROR(__xludf.DUMMYFUNCTION("""COMPUTED_VALUE"""),0)</f>
        <v>0</v>
      </c>
      <c r="J217" s="37">
        <f ca="1">IFERROR(__xludf.DUMMYFUNCTION("""COMPUTED_VALUE"""),0)</f>
        <v>0</v>
      </c>
      <c r="K217" s="37">
        <f ca="1">IFERROR(__xludf.DUMMYFUNCTION("""COMPUTED_VALUE"""),0)</f>
        <v>0</v>
      </c>
      <c r="L217" s="37">
        <f ca="1">IFERROR(__xludf.DUMMYFUNCTION("""COMPUTED_VALUE"""),0)</f>
        <v>0</v>
      </c>
      <c r="M217" s="37">
        <f ca="1">IFERROR(__xludf.DUMMYFUNCTION("""COMPUTED_VALUE"""),0)</f>
        <v>0</v>
      </c>
      <c r="N217" s="37">
        <f ca="1">IFERROR(__xludf.DUMMYFUNCTION("""COMPUTED_VALUE"""),0)</f>
        <v>0</v>
      </c>
      <c r="O217" s="37">
        <f ca="1">IFERROR(__xludf.DUMMYFUNCTION("""COMPUTED_VALUE"""),0)</f>
        <v>0</v>
      </c>
      <c r="P217" s="37">
        <f ca="1">IFERROR(__xludf.DUMMYFUNCTION("""COMPUTED_VALUE"""),357)</f>
        <v>357</v>
      </c>
      <c r="Q217" s="37">
        <f ca="1">IFERROR(__xludf.DUMMYFUNCTION("""COMPUTED_VALUE"""),0)</f>
        <v>0</v>
      </c>
      <c r="R217" s="37">
        <f ca="1">IFERROR(__xludf.DUMMYFUNCTION("""COMPUTED_VALUE"""),0)</f>
        <v>0</v>
      </c>
      <c r="S217" s="37">
        <f ca="1">IFERROR(__xludf.DUMMYFUNCTION("""COMPUTED_VALUE"""),23535.1999999999)</f>
        <v>23535.199999999899</v>
      </c>
      <c r="T217" s="37">
        <f ca="1">IFERROR(__xludf.DUMMYFUNCTION("""COMPUTED_VALUE"""),0)</f>
        <v>0</v>
      </c>
      <c r="U217" s="37">
        <f ca="1">IFERROR(__xludf.DUMMYFUNCTION("""COMPUTED_VALUE"""),0)</f>
        <v>0</v>
      </c>
      <c r="V217" s="37">
        <f ca="1">IFERROR(__xludf.DUMMYFUNCTION("""COMPUTED_VALUE"""),0)</f>
        <v>0</v>
      </c>
      <c r="W217" s="37">
        <f ca="1">IFERROR(__xludf.DUMMYFUNCTION("""COMPUTED_VALUE"""),2291.4)</f>
        <v>2291.4</v>
      </c>
      <c r="X217" s="37">
        <f ca="1">IFERROR(__xludf.DUMMYFUNCTION("""COMPUTED_VALUE"""),0)</f>
        <v>0</v>
      </c>
      <c r="Y217" s="37">
        <f ca="1">IFERROR(__xludf.DUMMYFUNCTION("""COMPUTED_VALUE"""),0)</f>
        <v>0</v>
      </c>
      <c r="Z217" s="37">
        <f ca="1">IFERROR(__xludf.DUMMYFUNCTION("""COMPUTED_VALUE"""),0)</f>
        <v>0</v>
      </c>
    </row>
    <row r="218" spans="1:26" ht="12.75">
      <c r="A218" s="38" t="str">
        <f ca="1">IFERROR(__xludf.DUMMYFUNCTION("""COMPUTED_VALUE"""),"Gurupi")</f>
        <v>Gurupi</v>
      </c>
      <c r="B218" s="38" t="str">
        <f ca="1">IFERROR(__xludf.DUMMYFUNCTION("""COMPUTED_VALUE"""),"Gurupi")</f>
        <v>Gurupi</v>
      </c>
      <c r="C218" s="39" t="str">
        <f ca="1">IFERROR(__xludf.DUMMYFUNCTION("""COMPUTED_VALUE"""),"ASSOC. DE APOIO COL. EST. DE GURUPI")</f>
        <v>ASSOC. DE APOIO COL. EST. DE GURUPI</v>
      </c>
      <c r="D218" s="40" t="str">
        <f ca="1">IFERROR(__xludf.DUMMYFUNCTION("""COMPUTED_VALUE"""),"01887135000183")</f>
        <v>01887135000183</v>
      </c>
      <c r="E218" s="41" t="str">
        <f ca="1">IFERROR(__xludf.DUMMYFUNCTION("""COMPUTED_VALUE"""),"001")</f>
        <v>001</v>
      </c>
      <c r="F218" s="42" t="str">
        <f ca="1">IFERROR(__xludf.DUMMYFUNCTION("""COMPUTED_VALUE"""),"0794")</f>
        <v>0794</v>
      </c>
      <c r="G218" s="42" t="str">
        <f ca="1">IFERROR(__xludf.DUMMYFUNCTION("""COMPUTED_VALUE"""),"420700")</f>
        <v>420700</v>
      </c>
      <c r="H218" s="42">
        <f ca="1">IFERROR(__xludf.DUMMYFUNCTION("""COMPUTED_VALUE"""),0)</f>
        <v>0</v>
      </c>
      <c r="I218" s="42">
        <f ca="1">IFERROR(__xludf.DUMMYFUNCTION("""COMPUTED_VALUE"""),0)</f>
        <v>0</v>
      </c>
      <c r="J218" s="42">
        <f ca="1">IFERROR(__xludf.DUMMYFUNCTION("""COMPUTED_VALUE"""),0)</f>
        <v>0</v>
      </c>
      <c r="K218" s="42">
        <f ca="1">IFERROR(__xludf.DUMMYFUNCTION("""COMPUTED_VALUE"""),0)</f>
        <v>0</v>
      </c>
      <c r="L218" s="42">
        <f ca="1">IFERROR(__xludf.DUMMYFUNCTION("""COMPUTED_VALUE"""),0)</f>
        <v>0</v>
      </c>
      <c r="M218" s="42">
        <f ca="1">IFERROR(__xludf.DUMMYFUNCTION("""COMPUTED_VALUE"""),0)</f>
        <v>0</v>
      </c>
      <c r="N218" s="42">
        <f ca="1">IFERROR(__xludf.DUMMYFUNCTION("""COMPUTED_VALUE"""),0)</f>
        <v>0</v>
      </c>
      <c r="O218" s="42">
        <f ca="1">IFERROR(__xludf.DUMMYFUNCTION("""COMPUTED_VALUE"""),0)</f>
        <v>0</v>
      </c>
      <c r="P218" s="42">
        <f ca="1">IFERROR(__xludf.DUMMYFUNCTION("""COMPUTED_VALUE"""),168)</f>
        <v>168</v>
      </c>
      <c r="Q218" s="42">
        <f ca="1">IFERROR(__xludf.DUMMYFUNCTION("""COMPUTED_VALUE"""),0)</f>
        <v>0</v>
      </c>
      <c r="R218" s="42">
        <f ca="1">IFERROR(__xludf.DUMMYFUNCTION("""COMPUTED_VALUE"""),0)</f>
        <v>0</v>
      </c>
      <c r="S218" s="42">
        <f ca="1">IFERROR(__xludf.DUMMYFUNCTION("""COMPUTED_VALUE"""),7415.2)</f>
        <v>7415.2</v>
      </c>
      <c r="T218" s="42">
        <f ca="1">IFERROR(__xludf.DUMMYFUNCTION("""COMPUTED_VALUE"""),0)</f>
        <v>0</v>
      </c>
      <c r="U218" s="42">
        <f ca="1">IFERROR(__xludf.DUMMYFUNCTION("""COMPUTED_VALUE"""),0)</f>
        <v>0</v>
      </c>
      <c r="V218" s="42">
        <f ca="1">IFERROR(__xludf.DUMMYFUNCTION("""COMPUTED_VALUE"""),0)</f>
        <v>0</v>
      </c>
      <c r="W218" s="42">
        <f ca="1">IFERROR(__xludf.DUMMYFUNCTION("""COMPUTED_VALUE"""),723.599999999999)</f>
        <v>723.599999999999</v>
      </c>
      <c r="X218" s="42">
        <f ca="1">IFERROR(__xludf.DUMMYFUNCTION("""COMPUTED_VALUE"""),0)</f>
        <v>0</v>
      </c>
      <c r="Y218" s="42">
        <f ca="1">IFERROR(__xludf.DUMMYFUNCTION("""COMPUTED_VALUE"""),0)</f>
        <v>0</v>
      </c>
      <c r="Z218" s="42">
        <f ca="1">IFERROR(__xludf.DUMMYFUNCTION("""COMPUTED_VALUE"""),0)</f>
        <v>0</v>
      </c>
    </row>
    <row r="219" spans="1:26" ht="12.75">
      <c r="A219" s="33" t="str">
        <f ca="1">IFERROR(__xludf.DUMMYFUNCTION("""COMPUTED_VALUE"""),"Gurupi")</f>
        <v>Gurupi</v>
      </c>
      <c r="B219" s="33" t="str">
        <f ca="1">IFERROR(__xludf.DUMMYFUNCTION("""COMPUTED_VALUE"""),"Gurupi")</f>
        <v>Gurupi</v>
      </c>
      <c r="C219" s="34" t="str">
        <f ca="1">IFERROR(__xludf.DUMMYFUNCTION("""COMPUTED_VALUE"""),"A.A.  DO COL. PAROQUIAL BERNARDO SAYAO")</f>
        <v>A.A.  DO COL. PAROQUIAL BERNARDO SAYAO</v>
      </c>
      <c r="D219" s="35" t="str">
        <f ca="1">IFERROR(__xludf.DUMMYFUNCTION("""COMPUTED_VALUE"""),"01865371000107")</f>
        <v>01865371000107</v>
      </c>
      <c r="E219" s="36" t="str">
        <f ca="1">IFERROR(__xludf.DUMMYFUNCTION("""COMPUTED_VALUE"""),"001")</f>
        <v>001</v>
      </c>
      <c r="F219" s="37" t="str">
        <f ca="1">IFERROR(__xludf.DUMMYFUNCTION("""COMPUTED_VALUE"""),"0794")</f>
        <v>0794</v>
      </c>
      <c r="G219" s="37" t="str">
        <f ca="1">IFERROR(__xludf.DUMMYFUNCTION("""COMPUTED_VALUE"""),"66796")</f>
        <v>66796</v>
      </c>
      <c r="H219" s="37">
        <f ca="1">IFERROR(__xludf.DUMMYFUNCTION("""COMPUTED_VALUE"""),0)</f>
        <v>0</v>
      </c>
      <c r="I219" s="37">
        <f ca="1">IFERROR(__xludf.DUMMYFUNCTION("""COMPUTED_VALUE"""),0)</f>
        <v>0</v>
      </c>
      <c r="J219" s="37">
        <f ca="1">IFERROR(__xludf.DUMMYFUNCTION("""COMPUTED_VALUE"""),11151)</f>
        <v>11151</v>
      </c>
      <c r="K219" s="37">
        <f ca="1">IFERROR(__xludf.DUMMYFUNCTION("""COMPUTED_VALUE"""),0)</f>
        <v>0</v>
      </c>
      <c r="L219" s="37">
        <f ca="1">IFERROR(__xludf.DUMMYFUNCTION("""COMPUTED_VALUE"""),0)</f>
        <v>0</v>
      </c>
      <c r="M219" s="37">
        <f ca="1">IFERROR(__xludf.DUMMYFUNCTION("""COMPUTED_VALUE"""),0)</f>
        <v>0</v>
      </c>
      <c r="N219" s="37">
        <f ca="1">IFERROR(__xludf.DUMMYFUNCTION("""COMPUTED_VALUE"""),0)</f>
        <v>0</v>
      </c>
      <c r="O219" s="37">
        <f ca="1">IFERROR(__xludf.DUMMYFUNCTION("""COMPUTED_VALUE"""),0)</f>
        <v>0</v>
      </c>
      <c r="P219" s="37">
        <f ca="1">IFERROR(__xludf.DUMMYFUNCTION("""COMPUTED_VALUE"""),672)</f>
        <v>672</v>
      </c>
      <c r="Q219" s="37">
        <f ca="1">IFERROR(__xludf.DUMMYFUNCTION("""COMPUTED_VALUE"""),0)</f>
        <v>0</v>
      </c>
      <c r="R219" s="37">
        <f ca="1">IFERROR(__xludf.DUMMYFUNCTION("""COMPUTED_VALUE"""),0)</f>
        <v>0</v>
      </c>
      <c r="S219" s="37">
        <f ca="1">IFERROR(__xludf.DUMMYFUNCTION("""COMPUTED_VALUE"""),0)</f>
        <v>0</v>
      </c>
      <c r="T219" s="37">
        <f ca="1">IFERROR(__xludf.DUMMYFUNCTION("""COMPUTED_VALUE"""),0)</f>
        <v>0</v>
      </c>
      <c r="U219" s="37">
        <f ca="1">IFERROR(__xludf.DUMMYFUNCTION("""COMPUTED_VALUE"""),0)</f>
        <v>0</v>
      </c>
      <c r="V219" s="37">
        <f ca="1">IFERROR(__xludf.DUMMYFUNCTION("""COMPUTED_VALUE"""),0)</f>
        <v>0</v>
      </c>
      <c r="W219" s="37">
        <f ca="1">IFERROR(__xludf.DUMMYFUNCTION("""COMPUTED_VALUE"""),0)</f>
        <v>0</v>
      </c>
      <c r="X219" s="37">
        <f ca="1">IFERROR(__xludf.DUMMYFUNCTION("""COMPUTED_VALUE"""),0)</f>
        <v>0</v>
      </c>
      <c r="Y219" s="37">
        <f ca="1">IFERROR(__xludf.DUMMYFUNCTION("""COMPUTED_VALUE"""),0)</f>
        <v>0</v>
      </c>
      <c r="Z219" s="37">
        <f ca="1">IFERROR(__xludf.DUMMYFUNCTION("""COMPUTED_VALUE"""),0)</f>
        <v>0</v>
      </c>
    </row>
    <row r="220" spans="1:26" ht="12.75">
      <c r="A220" s="38" t="str">
        <f ca="1">IFERROR(__xludf.DUMMYFUNCTION("""COMPUTED_VALUE"""),"Gurupi")</f>
        <v>Gurupi</v>
      </c>
      <c r="B220" s="38" t="str">
        <f ca="1">IFERROR(__xludf.DUMMYFUNCTION("""COMPUTED_VALUE"""),"Gurupi")</f>
        <v>Gurupi</v>
      </c>
      <c r="C220" s="39" t="str">
        <f ca="1">IFERROR(__xludf.DUMMYFUNCTION("""COMPUTED_VALUE"""),"A.A.  ESCOLAR DO COL. EST. JOSE SEABRA")</f>
        <v>A.A.  ESCOLAR DO COL. EST. JOSE SEABRA</v>
      </c>
      <c r="D220" s="40" t="str">
        <f ca="1">IFERROR(__xludf.DUMMYFUNCTION("""COMPUTED_VALUE"""),"01910570000181")</f>
        <v>01910570000181</v>
      </c>
      <c r="E220" s="41" t="str">
        <f ca="1">IFERROR(__xludf.DUMMYFUNCTION("""COMPUTED_VALUE"""),"001")</f>
        <v>001</v>
      </c>
      <c r="F220" s="42" t="str">
        <f ca="1">IFERROR(__xludf.DUMMYFUNCTION("""COMPUTED_VALUE"""),"0794")</f>
        <v>0794</v>
      </c>
      <c r="G220" s="42" t="str">
        <f ca="1">IFERROR(__xludf.DUMMYFUNCTION("""COMPUTED_VALUE"""),"66982")</f>
        <v>66982</v>
      </c>
      <c r="H220" s="42">
        <f ca="1">IFERROR(__xludf.DUMMYFUNCTION("""COMPUTED_VALUE"""),0)</f>
        <v>0</v>
      </c>
      <c r="I220" s="42">
        <f ca="1">IFERROR(__xludf.DUMMYFUNCTION("""COMPUTED_VALUE"""),0)</f>
        <v>0</v>
      </c>
      <c r="J220" s="42">
        <f ca="1">IFERROR(__xludf.DUMMYFUNCTION("""COMPUTED_VALUE"""),0)</f>
        <v>0</v>
      </c>
      <c r="K220" s="42">
        <f ca="1">IFERROR(__xludf.DUMMYFUNCTION("""COMPUTED_VALUE"""),49862.4)</f>
        <v>49862.400000000001</v>
      </c>
      <c r="L220" s="42">
        <f ca="1">IFERROR(__xludf.DUMMYFUNCTION("""COMPUTED_VALUE"""),0)</f>
        <v>0</v>
      </c>
      <c r="M220" s="42">
        <f ca="1">IFERROR(__xludf.DUMMYFUNCTION("""COMPUTED_VALUE"""),0)</f>
        <v>0</v>
      </c>
      <c r="N220" s="42">
        <f ca="1">IFERROR(__xludf.DUMMYFUNCTION("""COMPUTED_VALUE"""),0)</f>
        <v>0</v>
      </c>
      <c r="O220" s="42">
        <f ca="1">IFERROR(__xludf.DUMMYFUNCTION("""COMPUTED_VALUE"""),0)</f>
        <v>0</v>
      </c>
      <c r="P220" s="42">
        <f ca="1">IFERROR(__xludf.DUMMYFUNCTION("""COMPUTED_VALUE"""),0)</f>
        <v>0</v>
      </c>
      <c r="Q220" s="42">
        <f ca="1">IFERROR(__xludf.DUMMYFUNCTION("""COMPUTED_VALUE"""),0)</f>
        <v>0</v>
      </c>
      <c r="R220" s="42">
        <f ca="1">IFERROR(__xludf.DUMMYFUNCTION("""COMPUTED_VALUE"""),0)</f>
        <v>0</v>
      </c>
      <c r="S220" s="42">
        <f ca="1">IFERROR(__xludf.DUMMYFUNCTION("""COMPUTED_VALUE"""),0)</f>
        <v>0</v>
      </c>
      <c r="T220" s="42">
        <f ca="1">IFERROR(__xludf.DUMMYFUNCTION("""COMPUTED_VALUE"""),0)</f>
        <v>0</v>
      </c>
      <c r="U220" s="42">
        <f ca="1">IFERROR(__xludf.DUMMYFUNCTION("""COMPUTED_VALUE"""),0)</f>
        <v>0</v>
      </c>
      <c r="V220" s="42">
        <f ca="1">IFERROR(__xludf.DUMMYFUNCTION("""COMPUTED_VALUE"""),0)</f>
        <v>0</v>
      </c>
      <c r="W220" s="42">
        <f ca="1">IFERROR(__xludf.DUMMYFUNCTION("""COMPUTED_VALUE"""),0)</f>
        <v>0</v>
      </c>
      <c r="X220" s="42">
        <f ca="1">IFERROR(__xludf.DUMMYFUNCTION("""COMPUTED_VALUE"""),0)</f>
        <v>0</v>
      </c>
      <c r="Y220" s="42">
        <f ca="1">IFERROR(__xludf.DUMMYFUNCTION("""COMPUTED_VALUE"""),0)</f>
        <v>0</v>
      </c>
      <c r="Z220" s="42">
        <f ca="1">IFERROR(__xludf.DUMMYFUNCTION("""COMPUTED_VALUE"""),4191.59999999999)</f>
        <v>4191.5999999999904</v>
      </c>
    </row>
    <row r="221" spans="1:26" ht="12.75">
      <c r="A221" s="33" t="str">
        <f ca="1">IFERROR(__xludf.DUMMYFUNCTION("""COMPUTED_VALUE"""),"Gurupi")</f>
        <v>Gurupi</v>
      </c>
      <c r="B221" s="33" t="str">
        <f ca="1">IFERROR(__xludf.DUMMYFUNCTION("""COMPUTED_VALUE"""),"Gurupi")</f>
        <v>Gurupi</v>
      </c>
      <c r="C221" s="34" t="str">
        <f ca="1">IFERROR(__xludf.DUMMYFUNCTION("""COMPUTED_VALUE"""),"A.P.M.AL.MAIORES DE ID.C.POSITIVO GURUPI")</f>
        <v>A.P.M.AL.MAIORES DE ID.C.POSITIVO GURUPI</v>
      </c>
      <c r="D221" s="35" t="str">
        <f ca="1">IFERROR(__xludf.DUMMYFUNCTION("""COMPUTED_VALUE"""),"01865432000128")</f>
        <v>01865432000128</v>
      </c>
      <c r="E221" s="36" t="str">
        <f ca="1">IFERROR(__xludf.DUMMYFUNCTION("""COMPUTED_VALUE"""),"104")</f>
        <v>104</v>
      </c>
      <c r="F221" s="37" t="str">
        <f ca="1">IFERROR(__xludf.DUMMYFUNCTION("""COMPUTED_VALUE"""),"0793")</f>
        <v>0793</v>
      </c>
      <c r="G221" s="37" t="str">
        <f ca="1">IFERROR(__xludf.DUMMYFUNCTION("""COMPUTED_VALUE"""),"12138")</f>
        <v>12138</v>
      </c>
      <c r="H221" s="37">
        <f ca="1">IFERROR(__xludf.DUMMYFUNCTION("""COMPUTED_VALUE"""),0)</f>
        <v>0</v>
      </c>
      <c r="I221" s="37">
        <f ca="1">IFERROR(__xludf.DUMMYFUNCTION("""COMPUTED_VALUE"""),0)</f>
        <v>0</v>
      </c>
      <c r="J221" s="37">
        <f ca="1">IFERROR(__xludf.DUMMYFUNCTION("""COMPUTED_VALUE"""),9471)</f>
        <v>9471</v>
      </c>
      <c r="K221" s="37">
        <f ca="1">IFERROR(__xludf.DUMMYFUNCTION("""COMPUTED_VALUE"""),0)</f>
        <v>0</v>
      </c>
      <c r="L221" s="37">
        <f ca="1">IFERROR(__xludf.DUMMYFUNCTION("""COMPUTED_VALUE"""),0)</f>
        <v>0</v>
      </c>
      <c r="M221" s="37">
        <f ca="1">IFERROR(__xludf.DUMMYFUNCTION("""COMPUTED_VALUE"""),0)</f>
        <v>0</v>
      </c>
      <c r="N221" s="37">
        <f ca="1">IFERROR(__xludf.DUMMYFUNCTION("""COMPUTED_VALUE"""),0)</f>
        <v>0</v>
      </c>
      <c r="O221" s="37">
        <f ca="1">IFERROR(__xludf.DUMMYFUNCTION("""COMPUTED_VALUE"""),0)</f>
        <v>0</v>
      </c>
      <c r="P221" s="37">
        <f ca="1">IFERROR(__xludf.DUMMYFUNCTION("""COMPUTED_VALUE"""),0)</f>
        <v>0</v>
      </c>
      <c r="Q221" s="37">
        <f ca="1">IFERROR(__xludf.DUMMYFUNCTION("""COMPUTED_VALUE"""),0)</f>
        <v>0</v>
      </c>
      <c r="R221" s="37">
        <f ca="1">IFERROR(__xludf.DUMMYFUNCTION("""COMPUTED_VALUE"""),0)</f>
        <v>0</v>
      </c>
      <c r="S221" s="37">
        <f ca="1">IFERROR(__xludf.DUMMYFUNCTION("""COMPUTED_VALUE"""),0)</f>
        <v>0</v>
      </c>
      <c r="T221" s="37">
        <f ca="1">IFERROR(__xludf.DUMMYFUNCTION("""COMPUTED_VALUE"""),0)</f>
        <v>0</v>
      </c>
      <c r="U221" s="37">
        <f ca="1">IFERROR(__xludf.DUMMYFUNCTION("""COMPUTED_VALUE"""),0)</f>
        <v>0</v>
      </c>
      <c r="V221" s="37">
        <f ca="1">IFERROR(__xludf.DUMMYFUNCTION("""COMPUTED_VALUE"""),0)</f>
        <v>0</v>
      </c>
      <c r="W221" s="37">
        <f ca="1">IFERROR(__xludf.DUMMYFUNCTION("""COMPUTED_VALUE"""),0)</f>
        <v>0</v>
      </c>
      <c r="X221" s="37">
        <f ca="1">IFERROR(__xludf.DUMMYFUNCTION("""COMPUTED_VALUE"""),0)</f>
        <v>0</v>
      </c>
      <c r="Y221" s="37">
        <f ca="1">IFERROR(__xludf.DUMMYFUNCTION("""COMPUTED_VALUE"""),0)</f>
        <v>0</v>
      </c>
      <c r="Z221" s="37">
        <f ca="1">IFERROR(__xludf.DUMMYFUNCTION("""COMPUTED_VALUE"""),0)</f>
        <v>0</v>
      </c>
    </row>
    <row r="222" spans="1:26" ht="12.75">
      <c r="A222" s="38" t="str">
        <f ca="1">IFERROR(__xludf.DUMMYFUNCTION("""COMPUTED_VALUE"""),"Gurupi")</f>
        <v>Gurupi</v>
      </c>
      <c r="B222" s="38" t="str">
        <f ca="1">IFERROR(__xludf.DUMMYFUNCTION("""COMPUTED_VALUE"""),"Gurupi")</f>
        <v>Gurupi</v>
      </c>
      <c r="C222" s="39" t="str">
        <f ca="1">IFERROR(__xludf.DUMMYFUNCTION("""COMPUTED_VALUE"""),"INSTITUTO SOCIAL EVANG DE GURUPI/EDUC. EVANG. EBENÉZER")</f>
        <v>INSTITUTO SOCIAL EVANG DE GURUPI/EDUC. EVANG. EBENÉZER</v>
      </c>
      <c r="D222" s="40" t="str">
        <f ca="1">IFERROR(__xludf.DUMMYFUNCTION("""COMPUTED_VALUE"""),"17194297000176")</f>
        <v>17194297000176</v>
      </c>
      <c r="E222" s="41" t="str">
        <f ca="1">IFERROR(__xludf.DUMMYFUNCTION("""COMPUTED_VALUE"""),"001")</f>
        <v>001</v>
      </c>
      <c r="F222" s="42" t="str">
        <f ca="1">IFERROR(__xludf.DUMMYFUNCTION("""COMPUTED_VALUE"""),"0794")</f>
        <v>0794</v>
      </c>
      <c r="G222" s="42" t="str">
        <f ca="1">IFERROR(__xludf.DUMMYFUNCTION("""COMPUTED_VALUE"""),"493066")</f>
        <v>493066</v>
      </c>
      <c r="H222" s="42">
        <f ca="1">IFERROR(__xludf.DUMMYFUNCTION("""COMPUTED_VALUE"""),0)</f>
        <v>0</v>
      </c>
      <c r="I222" s="42">
        <f ca="1">IFERROR(__xludf.DUMMYFUNCTION("""COMPUTED_VALUE"""),0)</f>
        <v>0</v>
      </c>
      <c r="J222" s="42">
        <f ca="1">IFERROR(__xludf.DUMMYFUNCTION("""COMPUTED_VALUE"""),15750)</f>
        <v>15750</v>
      </c>
      <c r="K222" s="42">
        <f ca="1">IFERROR(__xludf.DUMMYFUNCTION("""COMPUTED_VALUE"""),0)</f>
        <v>0</v>
      </c>
      <c r="L222" s="42">
        <f ca="1">IFERROR(__xludf.DUMMYFUNCTION("""COMPUTED_VALUE"""),0)</f>
        <v>0</v>
      </c>
      <c r="M222" s="42">
        <f ca="1">IFERROR(__xludf.DUMMYFUNCTION("""COMPUTED_VALUE"""),0)</f>
        <v>0</v>
      </c>
      <c r="N222" s="42">
        <f ca="1">IFERROR(__xludf.DUMMYFUNCTION("""COMPUTED_VALUE"""),0)</f>
        <v>0</v>
      </c>
      <c r="O222" s="42">
        <f ca="1">IFERROR(__xludf.DUMMYFUNCTION("""COMPUTED_VALUE"""),0)</f>
        <v>0</v>
      </c>
      <c r="P222" s="42">
        <f ca="1">IFERROR(__xludf.DUMMYFUNCTION("""COMPUTED_VALUE"""),0)</f>
        <v>0</v>
      </c>
      <c r="Q222" s="42">
        <f ca="1">IFERROR(__xludf.DUMMYFUNCTION("""COMPUTED_VALUE"""),0)</f>
        <v>0</v>
      </c>
      <c r="R222" s="42">
        <f ca="1">IFERROR(__xludf.DUMMYFUNCTION("""COMPUTED_VALUE"""),0)</f>
        <v>0</v>
      </c>
      <c r="S222" s="42">
        <f ca="1">IFERROR(__xludf.DUMMYFUNCTION("""COMPUTED_VALUE"""),0)</f>
        <v>0</v>
      </c>
      <c r="T222" s="42">
        <f ca="1">IFERROR(__xludf.DUMMYFUNCTION("""COMPUTED_VALUE"""),0)</f>
        <v>0</v>
      </c>
      <c r="U222" s="42">
        <f ca="1">IFERROR(__xludf.DUMMYFUNCTION("""COMPUTED_VALUE"""),0)</f>
        <v>0</v>
      </c>
      <c r="V222" s="42">
        <f ca="1">IFERROR(__xludf.DUMMYFUNCTION("""COMPUTED_VALUE"""),0)</f>
        <v>0</v>
      </c>
      <c r="W222" s="42">
        <f ca="1">IFERROR(__xludf.DUMMYFUNCTION("""COMPUTED_VALUE"""),0)</f>
        <v>0</v>
      </c>
      <c r="X222" s="42">
        <f ca="1">IFERROR(__xludf.DUMMYFUNCTION("""COMPUTED_VALUE"""),0)</f>
        <v>0</v>
      </c>
      <c r="Y222" s="42">
        <f ca="1">IFERROR(__xludf.DUMMYFUNCTION("""COMPUTED_VALUE"""),0)</f>
        <v>0</v>
      </c>
      <c r="Z222" s="42">
        <f ca="1">IFERROR(__xludf.DUMMYFUNCTION("""COMPUTED_VALUE"""),0)</f>
        <v>0</v>
      </c>
    </row>
    <row r="223" spans="1:26" ht="12.75">
      <c r="A223" s="33" t="str">
        <f ca="1">IFERROR(__xludf.DUMMYFUNCTION("""COMPUTED_VALUE"""),"Gurupi")</f>
        <v>Gurupi</v>
      </c>
      <c r="B223" s="33" t="str">
        <f ca="1">IFERROR(__xludf.DUMMYFUNCTION("""COMPUTED_VALUE"""),"Gurupi")</f>
        <v>Gurupi</v>
      </c>
      <c r="C223" s="34" t="str">
        <f ca="1">IFERROR(__xludf.DUMMYFUNCTION("""COMPUTED_VALUE"""),"ASSOCIAÇÃO DE APOIO A ESCOLA ESPECIAL SÃO FRANCISCO DE ASSIS")</f>
        <v>ASSOCIAÇÃO DE APOIO A ESCOLA ESPECIAL SÃO FRANCISCO DE ASSIS</v>
      </c>
      <c r="D223" s="35" t="str">
        <f ca="1">IFERROR(__xludf.DUMMYFUNCTION("""COMPUTED_VALUE"""),"07947356000186")</f>
        <v>07947356000186</v>
      </c>
      <c r="E223" s="36" t="str">
        <f ca="1">IFERROR(__xludf.DUMMYFUNCTION("""COMPUTED_VALUE"""),"001")</f>
        <v>001</v>
      </c>
      <c r="F223" s="37" t="str">
        <f ca="1">IFERROR(__xludf.DUMMYFUNCTION("""COMPUTED_VALUE"""),"0794")</f>
        <v>0794</v>
      </c>
      <c r="G223" s="37" t="str">
        <f ca="1">IFERROR(__xludf.DUMMYFUNCTION("""COMPUTED_VALUE"""),"431109")</f>
        <v>431109</v>
      </c>
      <c r="H223" s="37">
        <f ca="1">IFERROR(__xludf.DUMMYFUNCTION("""COMPUTED_VALUE"""),0)</f>
        <v>0</v>
      </c>
      <c r="I223" s="37">
        <f ca="1">IFERROR(__xludf.DUMMYFUNCTION("""COMPUTED_VALUE"""),483)</f>
        <v>483</v>
      </c>
      <c r="J223" s="37">
        <f ca="1">IFERROR(__xludf.DUMMYFUNCTION("""COMPUTED_VALUE"""),462)</f>
        <v>462</v>
      </c>
      <c r="K223" s="37">
        <f ca="1">IFERROR(__xludf.DUMMYFUNCTION("""COMPUTED_VALUE"""),0)</f>
        <v>0</v>
      </c>
      <c r="L223" s="37">
        <f ca="1">IFERROR(__xludf.DUMMYFUNCTION("""COMPUTED_VALUE"""),0)</f>
        <v>0</v>
      </c>
      <c r="M223" s="37">
        <f ca="1">IFERROR(__xludf.DUMMYFUNCTION("""COMPUTED_VALUE"""),0)</f>
        <v>0</v>
      </c>
      <c r="N223" s="37">
        <f ca="1">IFERROR(__xludf.DUMMYFUNCTION("""COMPUTED_VALUE"""),0)</f>
        <v>0</v>
      </c>
      <c r="O223" s="37">
        <f ca="1">IFERROR(__xludf.DUMMYFUNCTION("""COMPUTED_VALUE"""),0)</f>
        <v>0</v>
      </c>
      <c r="P223" s="37">
        <f ca="1">IFERROR(__xludf.DUMMYFUNCTION("""COMPUTED_VALUE"""),399)</f>
        <v>399</v>
      </c>
      <c r="Q223" s="37">
        <f ca="1">IFERROR(__xludf.DUMMYFUNCTION("""COMPUTED_VALUE"""),0)</f>
        <v>0</v>
      </c>
      <c r="R223" s="37">
        <f ca="1">IFERROR(__xludf.DUMMYFUNCTION("""COMPUTED_VALUE"""),0)</f>
        <v>0</v>
      </c>
      <c r="S223" s="37">
        <f ca="1">IFERROR(__xludf.DUMMYFUNCTION("""COMPUTED_VALUE"""),0)</f>
        <v>0</v>
      </c>
      <c r="T223" s="37">
        <f ca="1">IFERROR(__xludf.DUMMYFUNCTION("""COMPUTED_VALUE"""),2373)</f>
        <v>2373</v>
      </c>
      <c r="U223" s="37">
        <f ca="1">IFERROR(__xludf.DUMMYFUNCTION("""COMPUTED_VALUE"""),0)</f>
        <v>0</v>
      </c>
      <c r="V223" s="37">
        <f ca="1">IFERROR(__xludf.DUMMYFUNCTION("""COMPUTED_VALUE"""),0)</f>
        <v>0</v>
      </c>
      <c r="W223" s="37">
        <f ca="1">IFERROR(__xludf.DUMMYFUNCTION("""COMPUTED_VALUE"""),0)</f>
        <v>0</v>
      </c>
      <c r="X223" s="37">
        <f ca="1">IFERROR(__xludf.DUMMYFUNCTION("""COMPUTED_VALUE"""),0)</f>
        <v>0</v>
      </c>
      <c r="Y223" s="37">
        <f ca="1">IFERROR(__xludf.DUMMYFUNCTION("""COMPUTED_VALUE"""),0)</f>
        <v>0</v>
      </c>
      <c r="Z223" s="37">
        <f ca="1">IFERROR(__xludf.DUMMYFUNCTION("""COMPUTED_VALUE"""),0)</f>
        <v>0</v>
      </c>
    </row>
    <row r="224" spans="1:26" ht="12.75">
      <c r="A224" s="38" t="str">
        <f ca="1">IFERROR(__xludf.DUMMYFUNCTION("""COMPUTED_VALUE"""),"Gurupi")</f>
        <v>Gurupi</v>
      </c>
      <c r="B224" s="38" t="str">
        <f ca="1">IFERROR(__xludf.DUMMYFUNCTION("""COMPUTED_VALUE"""),"Gurupi")</f>
        <v>Gurupi</v>
      </c>
      <c r="C224" s="39" t="str">
        <f ca="1">IFERROR(__xludf.DUMMYFUNCTION("""COMPUTED_VALUE"""),"A.A. ESC. EST. DR. JOAQUIM P. DA COSTA")</f>
        <v>A.A. ESC. EST. DR. JOAQUIM P. DA COSTA</v>
      </c>
      <c r="D224" s="40" t="str">
        <f ca="1">IFERROR(__xludf.DUMMYFUNCTION("""COMPUTED_VALUE"""),"01865386000167")</f>
        <v>01865386000167</v>
      </c>
      <c r="E224" s="41" t="str">
        <f ca="1">IFERROR(__xludf.DUMMYFUNCTION("""COMPUTED_VALUE"""),"001")</f>
        <v>001</v>
      </c>
      <c r="F224" s="42" t="str">
        <f ca="1">IFERROR(__xludf.DUMMYFUNCTION("""COMPUTED_VALUE"""),"0794")</f>
        <v>0794</v>
      </c>
      <c r="G224" s="42" t="str">
        <f ca="1">IFERROR(__xludf.DUMMYFUNCTION("""COMPUTED_VALUE"""),"67288")</f>
        <v>67288</v>
      </c>
      <c r="H224" s="42">
        <f ca="1">IFERROR(__xludf.DUMMYFUNCTION("""COMPUTED_VALUE"""),0)</f>
        <v>0</v>
      </c>
      <c r="I224" s="42">
        <f ca="1">IFERROR(__xludf.DUMMYFUNCTION("""COMPUTED_VALUE"""),0)</f>
        <v>0</v>
      </c>
      <c r="J224" s="42">
        <f ca="1">IFERROR(__xludf.DUMMYFUNCTION("""COMPUTED_VALUE"""),4725)</f>
        <v>4725</v>
      </c>
      <c r="K224" s="42">
        <f ca="1">IFERROR(__xludf.DUMMYFUNCTION("""COMPUTED_VALUE"""),0)</f>
        <v>0</v>
      </c>
      <c r="L224" s="42">
        <f ca="1">IFERROR(__xludf.DUMMYFUNCTION("""COMPUTED_VALUE"""),0)</f>
        <v>0</v>
      </c>
      <c r="M224" s="42">
        <f ca="1">IFERROR(__xludf.DUMMYFUNCTION("""COMPUTED_VALUE"""),0)</f>
        <v>0</v>
      </c>
      <c r="N224" s="42">
        <f ca="1">IFERROR(__xludf.DUMMYFUNCTION("""COMPUTED_VALUE"""),0)</f>
        <v>0</v>
      </c>
      <c r="O224" s="42">
        <f ca="1">IFERROR(__xludf.DUMMYFUNCTION("""COMPUTED_VALUE"""),0)</f>
        <v>0</v>
      </c>
      <c r="P224" s="42">
        <f ca="1">IFERROR(__xludf.DUMMYFUNCTION("""COMPUTED_VALUE"""),714)</f>
        <v>714</v>
      </c>
      <c r="Q224" s="42">
        <f ca="1">IFERROR(__xludf.DUMMYFUNCTION("""COMPUTED_VALUE"""),13881)</f>
        <v>13881</v>
      </c>
      <c r="R224" s="42">
        <f ca="1">IFERROR(__xludf.DUMMYFUNCTION("""COMPUTED_VALUE"""),0)</f>
        <v>0</v>
      </c>
      <c r="S224" s="42">
        <f ca="1">IFERROR(__xludf.DUMMYFUNCTION("""COMPUTED_VALUE"""),0)</f>
        <v>0</v>
      </c>
      <c r="T224" s="42">
        <f ca="1">IFERROR(__xludf.DUMMYFUNCTION("""COMPUTED_VALUE"""),1092)</f>
        <v>1092</v>
      </c>
      <c r="U224" s="42">
        <f ca="1">IFERROR(__xludf.DUMMYFUNCTION("""COMPUTED_VALUE"""),0)</f>
        <v>0</v>
      </c>
      <c r="V224" s="42">
        <f ca="1">IFERROR(__xludf.DUMMYFUNCTION("""COMPUTED_VALUE"""),0)</f>
        <v>0</v>
      </c>
      <c r="W224" s="42">
        <f ca="1">IFERROR(__xludf.DUMMYFUNCTION("""COMPUTED_VALUE"""),0)</f>
        <v>0</v>
      </c>
      <c r="X224" s="42">
        <f ca="1">IFERROR(__xludf.DUMMYFUNCTION("""COMPUTED_VALUE"""),0)</f>
        <v>0</v>
      </c>
      <c r="Y224" s="42">
        <f ca="1">IFERROR(__xludf.DUMMYFUNCTION("""COMPUTED_VALUE"""),0)</f>
        <v>0</v>
      </c>
      <c r="Z224" s="42">
        <f ca="1">IFERROR(__xludf.DUMMYFUNCTION("""COMPUTED_VALUE"""),0)</f>
        <v>0</v>
      </c>
    </row>
    <row r="225" spans="1:26" ht="12.75">
      <c r="A225" s="33" t="str">
        <f ca="1">IFERROR(__xludf.DUMMYFUNCTION("""COMPUTED_VALUE"""),"Gurupi")</f>
        <v>Gurupi</v>
      </c>
      <c r="B225" s="33" t="str">
        <f ca="1">IFERROR(__xludf.DUMMYFUNCTION("""COMPUTED_VALUE"""),"Gurupi")</f>
        <v>Gurupi</v>
      </c>
      <c r="C225" s="34" t="str">
        <f ca="1">IFERROR(__xludf.DUMMYFUNCTION("""COMPUTED_VALUE"""),"A.A. ESCOLAR DA ESC. EST. DR.WALDIR LINS")</f>
        <v>A.A. ESCOLAR DA ESC. EST. DR.WALDIR LINS</v>
      </c>
      <c r="D225" s="35" t="str">
        <f ca="1">IFERROR(__xludf.DUMMYFUNCTION("""COMPUTED_VALUE"""),"01936535000131")</f>
        <v>01936535000131</v>
      </c>
      <c r="E225" s="36" t="str">
        <f ca="1">IFERROR(__xludf.DUMMYFUNCTION("""COMPUTED_VALUE"""),"001")</f>
        <v>001</v>
      </c>
      <c r="F225" s="37" t="str">
        <f ca="1">IFERROR(__xludf.DUMMYFUNCTION("""COMPUTED_VALUE"""),"0794")</f>
        <v>0794</v>
      </c>
      <c r="G225" s="37" t="str">
        <f ca="1">IFERROR(__xludf.DUMMYFUNCTION("""COMPUTED_VALUE"""),"66966")</f>
        <v>66966</v>
      </c>
      <c r="H225" s="37">
        <f ca="1">IFERROR(__xludf.DUMMYFUNCTION("""COMPUTED_VALUE"""),0)</f>
        <v>0</v>
      </c>
      <c r="I225" s="37">
        <f ca="1">IFERROR(__xludf.DUMMYFUNCTION("""COMPUTED_VALUE"""),0)</f>
        <v>0</v>
      </c>
      <c r="J225" s="37">
        <f ca="1">IFERROR(__xludf.DUMMYFUNCTION("""COMPUTED_VALUE"""),84)</f>
        <v>84</v>
      </c>
      <c r="K225" s="37">
        <f ca="1">IFERROR(__xludf.DUMMYFUNCTION("""COMPUTED_VALUE"""),0)</f>
        <v>0</v>
      </c>
      <c r="L225" s="37">
        <f ca="1">IFERROR(__xludf.DUMMYFUNCTION("""COMPUTED_VALUE"""),0)</f>
        <v>0</v>
      </c>
      <c r="M225" s="37">
        <f ca="1">IFERROR(__xludf.DUMMYFUNCTION("""COMPUTED_VALUE"""),0)</f>
        <v>0</v>
      </c>
      <c r="N225" s="37">
        <f ca="1">IFERROR(__xludf.DUMMYFUNCTION("""COMPUTED_VALUE"""),0)</f>
        <v>0</v>
      </c>
      <c r="O225" s="37">
        <f ca="1">IFERROR(__xludf.DUMMYFUNCTION("""COMPUTED_VALUE"""),0)</f>
        <v>0</v>
      </c>
      <c r="P225" s="37">
        <f ca="1">IFERROR(__xludf.DUMMYFUNCTION("""COMPUTED_VALUE"""),252)</f>
        <v>252</v>
      </c>
      <c r="Q225" s="37">
        <f ca="1">IFERROR(__xludf.DUMMYFUNCTION("""COMPUTED_VALUE"""),2373)</f>
        <v>2373</v>
      </c>
      <c r="R225" s="37">
        <f ca="1">IFERROR(__xludf.DUMMYFUNCTION("""COMPUTED_VALUE"""),0)</f>
        <v>0</v>
      </c>
      <c r="S225" s="37">
        <f ca="1">IFERROR(__xludf.DUMMYFUNCTION("""COMPUTED_VALUE"""),0)</f>
        <v>0</v>
      </c>
      <c r="T225" s="37">
        <f ca="1">IFERROR(__xludf.DUMMYFUNCTION("""COMPUTED_VALUE"""),0)</f>
        <v>0</v>
      </c>
      <c r="U225" s="37">
        <f ca="1">IFERROR(__xludf.DUMMYFUNCTION("""COMPUTED_VALUE"""),0)</f>
        <v>0</v>
      </c>
      <c r="V225" s="37">
        <f ca="1">IFERROR(__xludf.DUMMYFUNCTION("""COMPUTED_VALUE"""),0)</f>
        <v>0</v>
      </c>
      <c r="W225" s="37">
        <f ca="1">IFERROR(__xludf.DUMMYFUNCTION("""COMPUTED_VALUE"""),0)</f>
        <v>0</v>
      </c>
      <c r="X225" s="37">
        <f ca="1">IFERROR(__xludf.DUMMYFUNCTION("""COMPUTED_VALUE"""),0)</f>
        <v>0</v>
      </c>
      <c r="Y225" s="37">
        <f ca="1">IFERROR(__xludf.DUMMYFUNCTION("""COMPUTED_VALUE"""),0)</f>
        <v>0</v>
      </c>
      <c r="Z225" s="37">
        <f ca="1">IFERROR(__xludf.DUMMYFUNCTION("""COMPUTED_VALUE"""),0)</f>
        <v>0</v>
      </c>
    </row>
    <row r="226" spans="1:26" ht="12.75">
      <c r="A226" s="38" t="str">
        <f ca="1">IFERROR(__xludf.DUMMYFUNCTION("""COMPUTED_VALUE"""),"Gurupi")</f>
        <v>Gurupi</v>
      </c>
      <c r="B226" s="38" t="str">
        <f ca="1">IFERROR(__xludf.DUMMYFUNCTION("""COMPUTED_VALUE"""),"Gurupi")</f>
        <v>Gurupi</v>
      </c>
      <c r="C226" s="39" t="str">
        <f ca="1">IFERROR(__xludf.DUMMYFUNCTION("""COMPUTED_VALUE"""),"A. EDUCACIONAL PRES. COSTA E SILVA")</f>
        <v>A. EDUCACIONAL PRES. COSTA E SILVA</v>
      </c>
      <c r="D226" s="40" t="str">
        <f ca="1">IFERROR(__xludf.DUMMYFUNCTION("""COMPUTED_VALUE"""),"01888719000173")</f>
        <v>01888719000173</v>
      </c>
      <c r="E226" s="41" t="str">
        <f ca="1">IFERROR(__xludf.DUMMYFUNCTION("""COMPUTED_VALUE"""),"001")</f>
        <v>001</v>
      </c>
      <c r="F226" s="42" t="str">
        <f ca="1">IFERROR(__xludf.DUMMYFUNCTION("""COMPUTED_VALUE"""),"0794")</f>
        <v>0794</v>
      </c>
      <c r="G226" s="42" t="str">
        <f ca="1">IFERROR(__xludf.DUMMYFUNCTION("""COMPUTED_VALUE"""),"67490")</f>
        <v>67490</v>
      </c>
      <c r="H226" s="42">
        <f ca="1">IFERROR(__xludf.DUMMYFUNCTION("""COMPUTED_VALUE"""),0)</f>
        <v>0</v>
      </c>
      <c r="I226" s="42">
        <f ca="1">IFERROR(__xludf.DUMMYFUNCTION("""COMPUTED_VALUE"""),0)</f>
        <v>0</v>
      </c>
      <c r="J226" s="42">
        <f ca="1">IFERROR(__xludf.DUMMYFUNCTION("""COMPUTED_VALUE"""),0)</f>
        <v>0</v>
      </c>
      <c r="K226" s="42">
        <f ca="1">IFERROR(__xludf.DUMMYFUNCTION("""COMPUTED_VALUE"""),65072)</f>
        <v>65072</v>
      </c>
      <c r="L226" s="42">
        <f ca="1">IFERROR(__xludf.DUMMYFUNCTION("""COMPUTED_VALUE"""),0)</f>
        <v>0</v>
      </c>
      <c r="M226" s="42">
        <f ca="1">IFERROR(__xludf.DUMMYFUNCTION("""COMPUTED_VALUE"""),0)</f>
        <v>0</v>
      </c>
      <c r="N226" s="42">
        <f ca="1">IFERROR(__xludf.DUMMYFUNCTION("""COMPUTED_VALUE"""),0)</f>
        <v>0</v>
      </c>
      <c r="O226" s="42">
        <f ca="1">IFERROR(__xludf.DUMMYFUNCTION("""COMPUTED_VALUE"""),0)</f>
        <v>0</v>
      </c>
      <c r="P226" s="42">
        <f ca="1">IFERROR(__xludf.DUMMYFUNCTION("""COMPUTED_VALUE"""),1134)</f>
        <v>1134</v>
      </c>
      <c r="Q226" s="42">
        <f ca="1">IFERROR(__xludf.DUMMYFUNCTION("""COMPUTED_VALUE"""),0)</f>
        <v>0</v>
      </c>
      <c r="R226" s="42">
        <f ca="1">IFERROR(__xludf.DUMMYFUNCTION("""COMPUTED_VALUE"""),23520)</f>
        <v>23520</v>
      </c>
      <c r="S226" s="42">
        <f ca="1">IFERROR(__xludf.DUMMYFUNCTION("""COMPUTED_VALUE"""),0)</f>
        <v>0</v>
      </c>
      <c r="T226" s="42">
        <f ca="1">IFERROR(__xludf.DUMMYFUNCTION("""COMPUTED_VALUE"""),0)</f>
        <v>0</v>
      </c>
      <c r="U226" s="42">
        <f ca="1">IFERROR(__xludf.DUMMYFUNCTION("""COMPUTED_VALUE"""),0)</f>
        <v>0</v>
      </c>
      <c r="V226" s="42">
        <f ca="1">IFERROR(__xludf.DUMMYFUNCTION("""COMPUTED_VALUE"""),0)</f>
        <v>0</v>
      </c>
      <c r="W226" s="42">
        <f ca="1">IFERROR(__xludf.DUMMYFUNCTION("""COMPUTED_VALUE"""),0)</f>
        <v>0</v>
      </c>
      <c r="X226" s="42">
        <f ca="1">IFERROR(__xludf.DUMMYFUNCTION("""COMPUTED_VALUE"""),0)</f>
        <v>0</v>
      </c>
      <c r="Y226" s="42">
        <f ca="1">IFERROR(__xludf.DUMMYFUNCTION("""COMPUTED_VALUE"""),0)</f>
        <v>0</v>
      </c>
      <c r="Z226" s="42">
        <f ca="1">IFERROR(__xludf.DUMMYFUNCTION("""COMPUTED_VALUE"""),7485)</f>
        <v>7485</v>
      </c>
    </row>
    <row r="227" spans="1:26" ht="12.75">
      <c r="A227" s="33" t="str">
        <f ca="1">IFERROR(__xludf.DUMMYFUNCTION("""COMPUTED_VALUE"""),"Gurupi")</f>
        <v>Gurupi</v>
      </c>
      <c r="B227" s="33" t="str">
        <f ca="1">IFERROR(__xludf.DUMMYFUNCTION("""COMPUTED_VALUE"""),"Gurupi")</f>
        <v>Gurupi</v>
      </c>
      <c r="C227" s="34" t="str">
        <f ca="1">IFERROR(__xludf.DUMMYFUNCTION("""COMPUTED_VALUE"""),"A.A. ESC. EST. HERCILIA CARVALHO DA SILVA")</f>
        <v>A.A. ESC. EST. HERCILIA CARVALHO DA SILVA</v>
      </c>
      <c r="D227" s="35" t="str">
        <f ca="1">IFERROR(__xludf.DUMMYFUNCTION("""COMPUTED_VALUE"""),"01465790000143")</f>
        <v>01465790000143</v>
      </c>
      <c r="E227" s="36" t="str">
        <f ca="1">IFERROR(__xludf.DUMMYFUNCTION("""COMPUTED_VALUE"""),"001")</f>
        <v>001</v>
      </c>
      <c r="F227" s="37" t="str">
        <f ca="1">IFERROR(__xludf.DUMMYFUNCTION("""COMPUTED_VALUE"""),"0794")</f>
        <v>0794</v>
      </c>
      <c r="G227" s="37" t="str">
        <f ca="1">IFERROR(__xludf.DUMMYFUNCTION("""COMPUTED_VALUE"""),"66834")</f>
        <v>66834</v>
      </c>
      <c r="H227" s="37">
        <f ca="1">IFERROR(__xludf.DUMMYFUNCTION("""COMPUTED_VALUE"""),0)</f>
        <v>0</v>
      </c>
      <c r="I227" s="37">
        <f ca="1">IFERROR(__xludf.DUMMYFUNCTION("""COMPUTED_VALUE"""),0)</f>
        <v>0</v>
      </c>
      <c r="J227" s="37">
        <f ca="1">IFERROR(__xludf.DUMMYFUNCTION("""COMPUTED_VALUE"""),6678)</f>
        <v>6678</v>
      </c>
      <c r="K227" s="37">
        <f ca="1">IFERROR(__xludf.DUMMYFUNCTION("""COMPUTED_VALUE"""),0)</f>
        <v>0</v>
      </c>
      <c r="L227" s="37">
        <f ca="1">IFERROR(__xludf.DUMMYFUNCTION("""COMPUTED_VALUE"""),0)</f>
        <v>0</v>
      </c>
      <c r="M227" s="37">
        <f ca="1">IFERROR(__xludf.DUMMYFUNCTION("""COMPUTED_VALUE"""),0)</f>
        <v>0</v>
      </c>
      <c r="N227" s="37">
        <f ca="1">IFERROR(__xludf.DUMMYFUNCTION("""COMPUTED_VALUE"""),0)</f>
        <v>0</v>
      </c>
      <c r="O227" s="37">
        <f ca="1">IFERROR(__xludf.DUMMYFUNCTION("""COMPUTED_VALUE"""),0)</f>
        <v>0</v>
      </c>
      <c r="P227" s="37">
        <f ca="1">IFERROR(__xludf.DUMMYFUNCTION("""COMPUTED_VALUE"""),378)</f>
        <v>378</v>
      </c>
      <c r="Q227" s="37">
        <f ca="1">IFERROR(__xludf.DUMMYFUNCTION("""COMPUTED_VALUE"""),3486)</f>
        <v>3486</v>
      </c>
      <c r="R227" s="37">
        <f ca="1">IFERROR(__xludf.DUMMYFUNCTION("""COMPUTED_VALUE"""),0)</f>
        <v>0</v>
      </c>
      <c r="S227" s="37">
        <f ca="1">IFERROR(__xludf.DUMMYFUNCTION("""COMPUTED_VALUE"""),0)</f>
        <v>0</v>
      </c>
      <c r="T227" s="37">
        <f ca="1">IFERROR(__xludf.DUMMYFUNCTION("""COMPUTED_VALUE"""),0)</f>
        <v>0</v>
      </c>
      <c r="U227" s="37">
        <f ca="1">IFERROR(__xludf.DUMMYFUNCTION("""COMPUTED_VALUE"""),0)</f>
        <v>0</v>
      </c>
      <c r="V227" s="37">
        <f ca="1">IFERROR(__xludf.DUMMYFUNCTION("""COMPUTED_VALUE"""),0)</f>
        <v>0</v>
      </c>
      <c r="W227" s="37">
        <f ca="1">IFERROR(__xludf.DUMMYFUNCTION("""COMPUTED_VALUE"""),0)</f>
        <v>0</v>
      </c>
      <c r="X227" s="37">
        <f ca="1">IFERROR(__xludf.DUMMYFUNCTION("""COMPUTED_VALUE"""),0)</f>
        <v>0</v>
      </c>
      <c r="Y227" s="37">
        <f ca="1">IFERROR(__xludf.DUMMYFUNCTION("""COMPUTED_VALUE"""),0)</f>
        <v>0</v>
      </c>
      <c r="Z227" s="37">
        <f ca="1">IFERROR(__xludf.DUMMYFUNCTION("""COMPUTED_VALUE"""),0)</f>
        <v>0</v>
      </c>
    </row>
    <row r="228" spans="1:26" ht="12.75">
      <c r="A228" s="38" t="str">
        <f ca="1">IFERROR(__xludf.DUMMYFUNCTION("""COMPUTED_VALUE"""),"Gurupi")</f>
        <v>Gurupi</v>
      </c>
      <c r="B228" s="38" t="str">
        <f ca="1">IFERROR(__xludf.DUMMYFUNCTION("""COMPUTED_VALUE"""),"Gurupi")</f>
        <v>Gurupi</v>
      </c>
      <c r="C228" s="39" t="str">
        <f ca="1">IFERROR(__xludf.DUMMYFUNCTION("""COMPUTED_VALUE"""),"A.A. DA ESCOLA ESTADUAL RUI BARBOSA")</f>
        <v>A.A. DA ESCOLA ESTADUAL RUI BARBOSA</v>
      </c>
      <c r="D228" s="40" t="str">
        <f ca="1">IFERROR(__xludf.DUMMYFUNCTION("""COMPUTED_VALUE"""),"43753475000161")</f>
        <v>43753475000161</v>
      </c>
      <c r="E228" s="41" t="str">
        <f ca="1">IFERROR(__xludf.DUMMYFUNCTION("""COMPUTED_VALUE"""),"001")</f>
        <v>001</v>
      </c>
      <c r="F228" s="42" t="str">
        <f ca="1">IFERROR(__xludf.DUMMYFUNCTION("""COMPUTED_VALUE"""),"0794")</f>
        <v>0794</v>
      </c>
      <c r="G228" s="42" t="str">
        <f ca="1">IFERROR(__xludf.DUMMYFUNCTION("""COMPUTED_VALUE"""),"682969")</f>
        <v>682969</v>
      </c>
      <c r="H228" s="42">
        <f ca="1">IFERROR(__xludf.DUMMYFUNCTION("""COMPUTED_VALUE"""),0)</f>
        <v>0</v>
      </c>
      <c r="I228" s="42">
        <f ca="1">IFERROR(__xludf.DUMMYFUNCTION("""COMPUTED_VALUE"""),0)</f>
        <v>0</v>
      </c>
      <c r="J228" s="42">
        <f ca="1">IFERROR(__xludf.DUMMYFUNCTION("""COMPUTED_VALUE"""),0)</f>
        <v>0</v>
      </c>
      <c r="K228" s="42">
        <f ca="1">IFERROR(__xludf.DUMMYFUNCTION("""COMPUTED_VALUE"""),0)</f>
        <v>0</v>
      </c>
      <c r="L228" s="42">
        <f ca="1">IFERROR(__xludf.DUMMYFUNCTION("""COMPUTED_VALUE"""),0)</f>
        <v>0</v>
      </c>
      <c r="M228" s="42">
        <f ca="1">IFERROR(__xludf.DUMMYFUNCTION("""COMPUTED_VALUE"""),0)</f>
        <v>0</v>
      </c>
      <c r="N228" s="42">
        <f ca="1">IFERROR(__xludf.DUMMYFUNCTION("""COMPUTED_VALUE"""),0)</f>
        <v>0</v>
      </c>
      <c r="O228" s="42">
        <f ca="1">IFERROR(__xludf.DUMMYFUNCTION("""COMPUTED_VALUE"""),0)</f>
        <v>0</v>
      </c>
      <c r="P228" s="42">
        <f ca="1">IFERROR(__xludf.DUMMYFUNCTION("""COMPUTED_VALUE"""),0)</f>
        <v>0</v>
      </c>
      <c r="Q228" s="42">
        <f ca="1">IFERROR(__xludf.DUMMYFUNCTION("""COMPUTED_VALUE"""),0)</f>
        <v>0</v>
      </c>
      <c r="R228" s="42">
        <f ca="1">IFERROR(__xludf.DUMMYFUNCTION("""COMPUTED_VALUE"""),0)</f>
        <v>0</v>
      </c>
      <c r="S228" s="42">
        <f ca="1">IFERROR(__xludf.DUMMYFUNCTION("""COMPUTED_VALUE"""),0)</f>
        <v>0</v>
      </c>
      <c r="T228" s="42">
        <f ca="1">IFERROR(__xludf.DUMMYFUNCTION("""COMPUTED_VALUE"""),5187)</f>
        <v>5187</v>
      </c>
      <c r="U228" s="42">
        <f ca="1">IFERROR(__xludf.DUMMYFUNCTION("""COMPUTED_VALUE"""),0)</f>
        <v>0</v>
      </c>
      <c r="V228" s="42">
        <f ca="1">IFERROR(__xludf.DUMMYFUNCTION("""COMPUTED_VALUE"""),0)</f>
        <v>0</v>
      </c>
      <c r="W228" s="42">
        <f ca="1">IFERROR(__xludf.DUMMYFUNCTION("""COMPUTED_VALUE"""),0)</f>
        <v>0</v>
      </c>
      <c r="X228" s="42">
        <f ca="1">IFERROR(__xludf.DUMMYFUNCTION("""COMPUTED_VALUE"""),0)</f>
        <v>0</v>
      </c>
      <c r="Y228" s="42">
        <f ca="1">IFERROR(__xludf.DUMMYFUNCTION("""COMPUTED_VALUE"""),0)</f>
        <v>0</v>
      </c>
      <c r="Z228" s="42">
        <f ca="1">IFERROR(__xludf.DUMMYFUNCTION("""COMPUTED_VALUE"""),0)</f>
        <v>0</v>
      </c>
    </row>
    <row r="229" spans="1:26" ht="12.75">
      <c r="A229" s="33" t="str">
        <f ca="1">IFERROR(__xludf.DUMMYFUNCTION("""COMPUTED_VALUE"""),"Gurupi")</f>
        <v>Gurupi</v>
      </c>
      <c r="B229" s="33" t="str">
        <f ca="1">IFERROR(__xludf.DUMMYFUNCTION("""COMPUTED_VALUE"""),"Gurupi")</f>
        <v>Gurupi</v>
      </c>
      <c r="C229" s="34" t="str">
        <f ca="1">IFERROR(__xludf.DUMMYFUNCTION("""COMPUTED_VALUE"""),"A. DE PAIS E MESTRES/ESC. EST. VILA GUARACY")</f>
        <v>A. DE PAIS E MESTRES/ESC. EST. VILA GUARACY</v>
      </c>
      <c r="D229" s="35" t="str">
        <f ca="1">IFERROR(__xludf.DUMMYFUNCTION("""COMPUTED_VALUE"""),"01918955000195")</f>
        <v>01918955000195</v>
      </c>
      <c r="E229" s="36" t="str">
        <f ca="1">IFERROR(__xludf.DUMMYFUNCTION("""COMPUTED_VALUE"""),"001")</f>
        <v>001</v>
      </c>
      <c r="F229" s="37" t="str">
        <f ca="1">IFERROR(__xludf.DUMMYFUNCTION("""COMPUTED_VALUE"""),"0794")</f>
        <v>0794</v>
      </c>
      <c r="G229" s="37" t="str">
        <f ca="1">IFERROR(__xludf.DUMMYFUNCTION("""COMPUTED_VALUE"""),"67008")</f>
        <v>67008</v>
      </c>
      <c r="H229" s="37">
        <f ca="1">IFERROR(__xludf.DUMMYFUNCTION("""COMPUTED_VALUE"""),0)</f>
        <v>0</v>
      </c>
      <c r="I229" s="37">
        <f ca="1">IFERROR(__xludf.DUMMYFUNCTION("""COMPUTED_VALUE"""),0)</f>
        <v>0</v>
      </c>
      <c r="J229" s="37">
        <f ca="1">IFERROR(__xludf.DUMMYFUNCTION("""COMPUTED_VALUE"""),3696)</f>
        <v>3696</v>
      </c>
      <c r="K229" s="37">
        <f ca="1">IFERROR(__xludf.DUMMYFUNCTION("""COMPUTED_VALUE"""),0)</f>
        <v>0</v>
      </c>
      <c r="L229" s="37">
        <f ca="1">IFERROR(__xludf.DUMMYFUNCTION("""COMPUTED_VALUE"""),0)</f>
        <v>0</v>
      </c>
      <c r="M229" s="37">
        <f ca="1">IFERROR(__xludf.DUMMYFUNCTION("""COMPUTED_VALUE"""),0)</f>
        <v>0</v>
      </c>
      <c r="N229" s="37">
        <f ca="1">IFERROR(__xludf.DUMMYFUNCTION("""COMPUTED_VALUE"""),0)</f>
        <v>0</v>
      </c>
      <c r="O229" s="37">
        <f ca="1">IFERROR(__xludf.DUMMYFUNCTION("""COMPUTED_VALUE"""),0)</f>
        <v>0</v>
      </c>
      <c r="P229" s="37">
        <f ca="1">IFERROR(__xludf.DUMMYFUNCTION("""COMPUTED_VALUE"""),315)</f>
        <v>315</v>
      </c>
      <c r="Q229" s="37">
        <f ca="1">IFERROR(__xludf.DUMMYFUNCTION("""COMPUTED_VALUE"""),0)</f>
        <v>0</v>
      </c>
      <c r="R229" s="37">
        <f ca="1">IFERROR(__xludf.DUMMYFUNCTION("""COMPUTED_VALUE"""),0)</f>
        <v>0</v>
      </c>
      <c r="S229" s="37">
        <f ca="1">IFERROR(__xludf.DUMMYFUNCTION("""COMPUTED_VALUE"""),0)</f>
        <v>0</v>
      </c>
      <c r="T229" s="37">
        <f ca="1">IFERROR(__xludf.DUMMYFUNCTION("""COMPUTED_VALUE"""),0)</f>
        <v>0</v>
      </c>
      <c r="U229" s="37">
        <f ca="1">IFERROR(__xludf.DUMMYFUNCTION("""COMPUTED_VALUE"""),0)</f>
        <v>0</v>
      </c>
      <c r="V229" s="37">
        <f ca="1">IFERROR(__xludf.DUMMYFUNCTION("""COMPUTED_VALUE"""),0)</f>
        <v>0</v>
      </c>
      <c r="W229" s="37">
        <f ca="1">IFERROR(__xludf.DUMMYFUNCTION("""COMPUTED_VALUE"""),0)</f>
        <v>0</v>
      </c>
      <c r="X229" s="37">
        <f ca="1">IFERROR(__xludf.DUMMYFUNCTION("""COMPUTED_VALUE"""),0)</f>
        <v>0</v>
      </c>
      <c r="Y229" s="37">
        <f ca="1">IFERROR(__xludf.DUMMYFUNCTION("""COMPUTED_VALUE"""),0)</f>
        <v>0</v>
      </c>
      <c r="Z229" s="37">
        <f ca="1">IFERROR(__xludf.DUMMYFUNCTION("""COMPUTED_VALUE"""),0)</f>
        <v>0</v>
      </c>
    </row>
    <row r="230" spans="1:26" ht="12.75">
      <c r="A230" s="38" t="str">
        <f ca="1">IFERROR(__xludf.DUMMYFUNCTION("""COMPUTED_VALUE"""),"Gurupi")</f>
        <v>Gurupi</v>
      </c>
      <c r="B230" s="38" t="str">
        <f ca="1">IFERROR(__xludf.DUMMYFUNCTION("""COMPUTED_VALUE"""),"Gurupi")</f>
        <v>Gurupi</v>
      </c>
      <c r="C230" s="39" t="str">
        <f ca="1">IFERROR(__xludf.DUMMYFUNCTION("""COMPUTED_VALUE"""),"APM. DA INSTITUIÇÃO BENEFICENTE IRMÃ DULCE")</f>
        <v>APM. DA INSTITUIÇÃO BENEFICENTE IRMÃ DULCE</v>
      </c>
      <c r="D230" s="40" t="str">
        <f ca="1">IFERROR(__xludf.DUMMYFUNCTION("""COMPUTED_VALUE"""),"10807313000100")</f>
        <v>10807313000100</v>
      </c>
      <c r="E230" s="41" t="str">
        <f ca="1">IFERROR(__xludf.DUMMYFUNCTION("""COMPUTED_VALUE"""),"001")</f>
        <v>001</v>
      </c>
      <c r="F230" s="42" t="str">
        <f ca="1">IFERROR(__xludf.DUMMYFUNCTION("""COMPUTED_VALUE"""),"0794")</f>
        <v>0794</v>
      </c>
      <c r="G230" s="42" t="str">
        <f ca="1">IFERROR(__xludf.DUMMYFUNCTION("""COMPUTED_VALUE"""),"447218")</f>
        <v>447218</v>
      </c>
      <c r="H230" s="42">
        <f ca="1">IFERROR(__xludf.DUMMYFUNCTION("""COMPUTED_VALUE"""),0)</f>
        <v>0</v>
      </c>
      <c r="I230" s="42">
        <f ca="1">IFERROR(__xludf.DUMMYFUNCTION("""COMPUTED_VALUE"""),0)</f>
        <v>0</v>
      </c>
      <c r="J230" s="42">
        <f ca="1">IFERROR(__xludf.DUMMYFUNCTION("""COMPUTED_VALUE"""),0)</f>
        <v>0</v>
      </c>
      <c r="K230" s="42">
        <f ca="1">IFERROR(__xludf.DUMMYFUNCTION("""COMPUTED_VALUE"""),14504)</f>
        <v>14504</v>
      </c>
      <c r="L230" s="42">
        <f ca="1">IFERROR(__xludf.DUMMYFUNCTION("""COMPUTED_VALUE"""),0)</f>
        <v>0</v>
      </c>
      <c r="M230" s="42">
        <f ca="1">IFERROR(__xludf.DUMMYFUNCTION("""COMPUTED_VALUE"""),0)</f>
        <v>0</v>
      </c>
      <c r="N230" s="42">
        <f ca="1">IFERROR(__xludf.DUMMYFUNCTION("""COMPUTED_VALUE"""),0)</f>
        <v>0</v>
      </c>
      <c r="O230" s="42">
        <f ca="1">IFERROR(__xludf.DUMMYFUNCTION("""COMPUTED_VALUE"""),0)</f>
        <v>0</v>
      </c>
      <c r="P230" s="42">
        <f ca="1">IFERROR(__xludf.DUMMYFUNCTION("""COMPUTED_VALUE"""),0)</f>
        <v>0</v>
      </c>
      <c r="Q230" s="42">
        <f ca="1">IFERROR(__xludf.DUMMYFUNCTION("""COMPUTED_VALUE"""),0)</f>
        <v>0</v>
      </c>
      <c r="R230" s="42">
        <f ca="1">IFERROR(__xludf.DUMMYFUNCTION("""COMPUTED_VALUE"""),0)</f>
        <v>0</v>
      </c>
      <c r="S230" s="42">
        <f ca="1">IFERROR(__xludf.DUMMYFUNCTION("""COMPUTED_VALUE"""),0)</f>
        <v>0</v>
      </c>
      <c r="T230" s="42">
        <f ca="1">IFERROR(__xludf.DUMMYFUNCTION("""COMPUTED_VALUE"""),0)</f>
        <v>0</v>
      </c>
      <c r="U230" s="42">
        <f ca="1">IFERROR(__xludf.DUMMYFUNCTION("""COMPUTED_VALUE"""),0)</f>
        <v>0</v>
      </c>
      <c r="V230" s="42">
        <f ca="1">IFERROR(__xludf.DUMMYFUNCTION("""COMPUTED_VALUE"""),0)</f>
        <v>0</v>
      </c>
      <c r="W230" s="42">
        <f ca="1">IFERROR(__xludf.DUMMYFUNCTION("""COMPUTED_VALUE"""),0)</f>
        <v>0</v>
      </c>
      <c r="X230" s="42">
        <f ca="1">IFERROR(__xludf.DUMMYFUNCTION("""COMPUTED_VALUE"""),0)</f>
        <v>0</v>
      </c>
      <c r="Y230" s="42">
        <f ca="1">IFERROR(__xludf.DUMMYFUNCTION("""COMPUTED_VALUE"""),0)</f>
        <v>0</v>
      </c>
      <c r="Z230" s="42">
        <f ca="1">IFERROR(__xludf.DUMMYFUNCTION("""COMPUTED_VALUE"""),1197.6)</f>
        <v>1197.5999999999999</v>
      </c>
    </row>
    <row r="231" spans="1:26" ht="12.75">
      <c r="A231" s="33" t="str">
        <f ca="1">IFERROR(__xludf.DUMMYFUNCTION("""COMPUTED_VALUE"""),"Gurupi")</f>
        <v>Gurupi</v>
      </c>
      <c r="B231" s="33" t="str">
        <f ca="1">IFERROR(__xludf.DUMMYFUNCTION("""COMPUTED_VALUE"""),"Gurupi")</f>
        <v>Gurupi</v>
      </c>
      <c r="C231" s="34" t="str">
        <f ca="1">IFERROR(__xludf.DUMMYFUNCTION("""COMPUTED_VALUE"""),"ASSOC APOIO INSTITUTO EDUCACIONAL PASSO A PASSO")</f>
        <v>ASSOC APOIO INSTITUTO EDUCACIONAL PASSO A PASSO</v>
      </c>
      <c r="D231" s="35" t="str">
        <f ca="1">IFERROR(__xludf.DUMMYFUNCTION("""COMPUTED_VALUE"""),"10450172000110")</f>
        <v>10450172000110</v>
      </c>
      <c r="E231" s="36" t="str">
        <f ca="1">IFERROR(__xludf.DUMMYFUNCTION("""COMPUTED_VALUE"""),"001")</f>
        <v>001</v>
      </c>
      <c r="F231" s="37" t="str">
        <f ca="1">IFERROR(__xludf.DUMMYFUNCTION("""COMPUTED_VALUE"""),"0794")</f>
        <v>0794</v>
      </c>
      <c r="G231" s="37" t="str">
        <f ca="1">IFERROR(__xludf.DUMMYFUNCTION("""COMPUTED_VALUE"""),"414263")</f>
        <v>414263</v>
      </c>
      <c r="H231" s="37">
        <f ca="1">IFERROR(__xludf.DUMMYFUNCTION("""COMPUTED_VALUE"""),0)</f>
        <v>0</v>
      </c>
      <c r="I231" s="37">
        <f ca="1">IFERROR(__xludf.DUMMYFUNCTION("""COMPUTED_VALUE"""),0)</f>
        <v>0</v>
      </c>
      <c r="J231" s="37">
        <f ca="1">IFERROR(__xludf.DUMMYFUNCTION("""COMPUTED_VALUE"""),8820)</f>
        <v>8820</v>
      </c>
      <c r="K231" s="37">
        <f ca="1">IFERROR(__xludf.DUMMYFUNCTION("""COMPUTED_VALUE"""),0)</f>
        <v>0</v>
      </c>
      <c r="L231" s="37">
        <f ca="1">IFERROR(__xludf.DUMMYFUNCTION("""COMPUTED_VALUE"""),0)</f>
        <v>0</v>
      </c>
      <c r="M231" s="37">
        <f ca="1">IFERROR(__xludf.DUMMYFUNCTION("""COMPUTED_VALUE"""),0)</f>
        <v>0</v>
      </c>
      <c r="N231" s="37">
        <f ca="1">IFERROR(__xludf.DUMMYFUNCTION("""COMPUTED_VALUE"""),0)</f>
        <v>0</v>
      </c>
      <c r="O231" s="37">
        <f ca="1">IFERROR(__xludf.DUMMYFUNCTION("""COMPUTED_VALUE"""),0)</f>
        <v>0</v>
      </c>
      <c r="P231" s="37">
        <f ca="1">IFERROR(__xludf.DUMMYFUNCTION("""COMPUTED_VALUE"""),0)</f>
        <v>0</v>
      </c>
      <c r="Q231" s="37">
        <f ca="1">IFERROR(__xludf.DUMMYFUNCTION("""COMPUTED_VALUE"""),0)</f>
        <v>0</v>
      </c>
      <c r="R231" s="37">
        <f ca="1">IFERROR(__xludf.DUMMYFUNCTION("""COMPUTED_VALUE"""),0)</f>
        <v>0</v>
      </c>
      <c r="S231" s="37">
        <f ca="1">IFERROR(__xludf.DUMMYFUNCTION("""COMPUTED_VALUE"""),0)</f>
        <v>0</v>
      </c>
      <c r="T231" s="37">
        <f ca="1">IFERROR(__xludf.DUMMYFUNCTION("""COMPUTED_VALUE"""),0)</f>
        <v>0</v>
      </c>
      <c r="U231" s="37">
        <f ca="1">IFERROR(__xludf.DUMMYFUNCTION("""COMPUTED_VALUE"""),0)</f>
        <v>0</v>
      </c>
      <c r="V231" s="37">
        <f ca="1">IFERROR(__xludf.DUMMYFUNCTION("""COMPUTED_VALUE"""),0)</f>
        <v>0</v>
      </c>
      <c r="W231" s="37">
        <f ca="1">IFERROR(__xludf.DUMMYFUNCTION("""COMPUTED_VALUE"""),0)</f>
        <v>0</v>
      </c>
      <c r="X231" s="37">
        <f ca="1">IFERROR(__xludf.DUMMYFUNCTION("""COMPUTED_VALUE"""),0)</f>
        <v>0</v>
      </c>
      <c r="Y231" s="37">
        <f ca="1">IFERROR(__xludf.DUMMYFUNCTION("""COMPUTED_VALUE"""),0)</f>
        <v>0</v>
      </c>
      <c r="Z231" s="37">
        <f ca="1">IFERROR(__xludf.DUMMYFUNCTION("""COMPUTED_VALUE"""),0)</f>
        <v>0</v>
      </c>
    </row>
    <row r="232" spans="1:26" ht="12.75">
      <c r="A232" s="38" t="str">
        <f ca="1">IFERROR(__xludf.DUMMYFUNCTION("""COMPUTED_VALUE"""),"Gurupi")</f>
        <v>Gurupi</v>
      </c>
      <c r="B232" s="38" t="str">
        <f ca="1">IFERROR(__xludf.DUMMYFUNCTION("""COMPUTED_VALUE"""),"Gurupi")</f>
        <v>Gurupi</v>
      </c>
      <c r="C232" s="39" t="str">
        <f ca="1">IFERROR(__xludf.DUMMYFUNCTION("""COMPUTED_VALUE"""),"A.A. DO INSTITUTO PRESBITERIANO ARAGUAIA")</f>
        <v>A.A. DO INSTITUTO PRESBITERIANO ARAGUAIA</v>
      </c>
      <c r="D232" s="40" t="str">
        <f ca="1">IFERROR(__xludf.DUMMYFUNCTION("""COMPUTED_VALUE"""),"03060918000114")</f>
        <v>03060918000114</v>
      </c>
      <c r="E232" s="41" t="str">
        <f ca="1">IFERROR(__xludf.DUMMYFUNCTION("""COMPUTED_VALUE"""),"104")</f>
        <v>104</v>
      </c>
      <c r="F232" s="42" t="str">
        <f ca="1">IFERROR(__xludf.DUMMYFUNCTION("""COMPUTED_VALUE"""),"0793")</f>
        <v>0793</v>
      </c>
      <c r="G232" s="42" t="str">
        <f ca="1">IFERROR(__xludf.DUMMYFUNCTION("""COMPUTED_VALUE"""),"12090")</f>
        <v>12090</v>
      </c>
      <c r="H232" s="42">
        <f ca="1">IFERROR(__xludf.DUMMYFUNCTION("""COMPUTED_VALUE"""),0)</f>
        <v>0</v>
      </c>
      <c r="I232" s="42">
        <f ca="1">IFERROR(__xludf.DUMMYFUNCTION("""COMPUTED_VALUE"""),0)</f>
        <v>0</v>
      </c>
      <c r="J232" s="42">
        <f ca="1">IFERROR(__xludf.DUMMYFUNCTION("""COMPUTED_VALUE"""),13356)</f>
        <v>13356</v>
      </c>
      <c r="K232" s="42">
        <f ca="1">IFERROR(__xludf.DUMMYFUNCTION("""COMPUTED_VALUE"""),0)</f>
        <v>0</v>
      </c>
      <c r="L232" s="42">
        <f ca="1">IFERROR(__xludf.DUMMYFUNCTION("""COMPUTED_VALUE"""),0)</f>
        <v>0</v>
      </c>
      <c r="M232" s="42">
        <f ca="1">IFERROR(__xludf.DUMMYFUNCTION("""COMPUTED_VALUE"""),0)</f>
        <v>0</v>
      </c>
      <c r="N232" s="42">
        <f ca="1">IFERROR(__xludf.DUMMYFUNCTION("""COMPUTED_VALUE"""),0)</f>
        <v>0</v>
      </c>
      <c r="O232" s="42">
        <f ca="1">IFERROR(__xludf.DUMMYFUNCTION("""COMPUTED_VALUE"""),0)</f>
        <v>0</v>
      </c>
      <c r="P232" s="42">
        <f ca="1">IFERROR(__xludf.DUMMYFUNCTION("""COMPUTED_VALUE"""),567)</f>
        <v>567</v>
      </c>
      <c r="Q232" s="42">
        <f ca="1">IFERROR(__xludf.DUMMYFUNCTION("""COMPUTED_VALUE"""),9723)</f>
        <v>9723</v>
      </c>
      <c r="R232" s="42">
        <f ca="1">IFERROR(__xludf.DUMMYFUNCTION("""COMPUTED_VALUE"""),0)</f>
        <v>0</v>
      </c>
      <c r="S232" s="42">
        <f ca="1">IFERROR(__xludf.DUMMYFUNCTION("""COMPUTED_VALUE"""),0)</f>
        <v>0</v>
      </c>
      <c r="T232" s="42">
        <f ca="1">IFERROR(__xludf.DUMMYFUNCTION("""COMPUTED_VALUE"""),0)</f>
        <v>0</v>
      </c>
      <c r="U232" s="42">
        <f ca="1">IFERROR(__xludf.DUMMYFUNCTION("""COMPUTED_VALUE"""),0)</f>
        <v>0</v>
      </c>
      <c r="V232" s="42">
        <f ca="1">IFERROR(__xludf.DUMMYFUNCTION("""COMPUTED_VALUE"""),0)</f>
        <v>0</v>
      </c>
      <c r="W232" s="42">
        <f ca="1">IFERROR(__xludf.DUMMYFUNCTION("""COMPUTED_VALUE"""),0)</f>
        <v>0</v>
      </c>
      <c r="X232" s="42">
        <f ca="1">IFERROR(__xludf.DUMMYFUNCTION("""COMPUTED_VALUE"""),0)</f>
        <v>0</v>
      </c>
      <c r="Y232" s="42">
        <f ca="1">IFERROR(__xludf.DUMMYFUNCTION("""COMPUTED_VALUE"""),0)</f>
        <v>0</v>
      </c>
      <c r="Z232" s="42">
        <f ca="1">IFERROR(__xludf.DUMMYFUNCTION("""COMPUTED_VALUE"""),0)</f>
        <v>0</v>
      </c>
    </row>
    <row r="233" spans="1:26" ht="12.75">
      <c r="A233" s="33" t="str">
        <f ca="1">IFERROR(__xludf.DUMMYFUNCTION("""COMPUTED_VALUE"""),"Gurupi")</f>
        <v>Gurupi</v>
      </c>
      <c r="B233" s="33" t="str">
        <f ca="1">IFERROR(__xludf.DUMMYFUNCTION("""COMPUTED_VALUE"""),"Gurupi")</f>
        <v>Gurupi</v>
      </c>
      <c r="C233" s="34" t="str">
        <f ca="1">IFERROR(__xludf.DUMMYFUNCTION("""COMPUTED_VALUE"""),"A.A. DO INSTITUTO PRESBITERIANO EDUCACIONAL")</f>
        <v>A.A. DO INSTITUTO PRESBITERIANO EDUCACIONAL</v>
      </c>
      <c r="D233" s="35" t="str">
        <f ca="1">IFERROR(__xludf.DUMMYFUNCTION("""COMPUTED_VALUE"""),"07217559000117")</f>
        <v>07217559000117</v>
      </c>
      <c r="E233" s="36" t="str">
        <f ca="1">IFERROR(__xludf.DUMMYFUNCTION("""COMPUTED_VALUE"""),"104")</f>
        <v>104</v>
      </c>
      <c r="F233" s="37" t="str">
        <f ca="1">IFERROR(__xludf.DUMMYFUNCTION("""COMPUTED_VALUE"""),"0793")</f>
        <v>0793</v>
      </c>
      <c r="G233" s="37" t="str">
        <f ca="1">IFERROR(__xludf.DUMMYFUNCTION("""COMPUTED_VALUE"""),"2663")</f>
        <v>2663</v>
      </c>
      <c r="H233" s="37">
        <f ca="1">IFERROR(__xludf.DUMMYFUNCTION("""COMPUTED_VALUE"""),0)</f>
        <v>0</v>
      </c>
      <c r="I233" s="37">
        <f ca="1">IFERROR(__xludf.DUMMYFUNCTION("""COMPUTED_VALUE"""),0)</f>
        <v>0</v>
      </c>
      <c r="J233" s="37">
        <f ca="1">IFERROR(__xludf.DUMMYFUNCTION("""COMPUTED_VALUE"""),5460)</f>
        <v>5460</v>
      </c>
      <c r="K233" s="37">
        <f ca="1">IFERROR(__xludf.DUMMYFUNCTION("""COMPUTED_VALUE"""),0)</f>
        <v>0</v>
      </c>
      <c r="L233" s="37">
        <f ca="1">IFERROR(__xludf.DUMMYFUNCTION("""COMPUTED_VALUE"""),0)</f>
        <v>0</v>
      </c>
      <c r="M233" s="37">
        <f ca="1">IFERROR(__xludf.DUMMYFUNCTION("""COMPUTED_VALUE"""),0)</f>
        <v>0</v>
      </c>
      <c r="N233" s="37">
        <f ca="1">IFERROR(__xludf.DUMMYFUNCTION("""COMPUTED_VALUE"""),0)</f>
        <v>0</v>
      </c>
      <c r="O233" s="37">
        <f ca="1">IFERROR(__xludf.DUMMYFUNCTION("""COMPUTED_VALUE"""),0)</f>
        <v>0</v>
      </c>
      <c r="P233" s="37">
        <f ca="1">IFERROR(__xludf.DUMMYFUNCTION("""COMPUTED_VALUE"""),0)</f>
        <v>0</v>
      </c>
      <c r="Q233" s="37">
        <f ca="1">IFERROR(__xludf.DUMMYFUNCTION("""COMPUTED_VALUE"""),0)</f>
        <v>0</v>
      </c>
      <c r="R233" s="37">
        <f ca="1">IFERROR(__xludf.DUMMYFUNCTION("""COMPUTED_VALUE"""),0)</f>
        <v>0</v>
      </c>
      <c r="S233" s="37">
        <f ca="1">IFERROR(__xludf.DUMMYFUNCTION("""COMPUTED_VALUE"""),0)</f>
        <v>0</v>
      </c>
      <c r="T233" s="37">
        <f ca="1">IFERROR(__xludf.DUMMYFUNCTION("""COMPUTED_VALUE"""),0)</f>
        <v>0</v>
      </c>
      <c r="U233" s="37">
        <f ca="1">IFERROR(__xludf.DUMMYFUNCTION("""COMPUTED_VALUE"""),0)</f>
        <v>0</v>
      </c>
      <c r="V233" s="37">
        <f ca="1">IFERROR(__xludf.DUMMYFUNCTION("""COMPUTED_VALUE"""),0)</f>
        <v>0</v>
      </c>
      <c r="W233" s="37">
        <f ca="1">IFERROR(__xludf.DUMMYFUNCTION("""COMPUTED_VALUE"""),0)</f>
        <v>0</v>
      </c>
      <c r="X233" s="37">
        <f ca="1">IFERROR(__xludf.DUMMYFUNCTION("""COMPUTED_VALUE"""),0)</f>
        <v>0</v>
      </c>
      <c r="Y233" s="37">
        <f ca="1">IFERROR(__xludf.DUMMYFUNCTION("""COMPUTED_VALUE"""),0)</f>
        <v>0</v>
      </c>
      <c r="Z233" s="37">
        <f ca="1">IFERROR(__xludf.DUMMYFUNCTION("""COMPUTED_VALUE"""),0)</f>
        <v>0</v>
      </c>
    </row>
    <row r="234" spans="1:26" ht="12.75">
      <c r="A234" s="38" t="str">
        <f ca="1">IFERROR(__xludf.DUMMYFUNCTION("""COMPUTED_VALUE"""),"Gurupi")</f>
        <v>Gurupi</v>
      </c>
      <c r="B234" s="38" t="str">
        <f ca="1">IFERROR(__xludf.DUMMYFUNCTION("""COMPUTED_VALUE"""),"Jau do Tocantins")</f>
        <v>Jau do Tocantins</v>
      </c>
      <c r="C234" s="39" t="str">
        <f ca="1">IFERROR(__xludf.DUMMYFUNCTION("""COMPUTED_VALUE"""),"AAEC PEDRO LUIZ BONFIM/ADELÁIDE FRANCISCO SOARES")</f>
        <v>AAEC PEDRO LUIZ BONFIM/ADELÁIDE FRANCISCO SOARES</v>
      </c>
      <c r="D234" s="40" t="str">
        <f ca="1">IFERROR(__xludf.DUMMYFUNCTION("""COMPUTED_VALUE"""),"02080228000164")</f>
        <v>02080228000164</v>
      </c>
      <c r="E234" s="41" t="str">
        <f ca="1">IFERROR(__xludf.DUMMYFUNCTION("""COMPUTED_VALUE"""),"001")</f>
        <v>001</v>
      </c>
      <c r="F234" s="42" t="str">
        <f ca="1">IFERROR(__xludf.DUMMYFUNCTION("""COMPUTED_VALUE"""),"0794")</f>
        <v>0794</v>
      </c>
      <c r="G234" s="42" t="str">
        <f ca="1">IFERROR(__xludf.DUMMYFUNCTION("""COMPUTED_VALUE"""),"420743")</f>
        <v>420743</v>
      </c>
      <c r="H234" s="42">
        <f ca="1">IFERROR(__xludf.DUMMYFUNCTION("""COMPUTED_VALUE"""),0)</f>
        <v>0</v>
      </c>
      <c r="I234" s="42">
        <f ca="1">IFERROR(__xludf.DUMMYFUNCTION("""COMPUTED_VALUE"""),0)</f>
        <v>0</v>
      </c>
      <c r="J234" s="42">
        <f ca="1">IFERROR(__xludf.DUMMYFUNCTION("""COMPUTED_VALUE"""),0)</f>
        <v>0</v>
      </c>
      <c r="K234" s="42">
        <f ca="1">IFERROR(__xludf.DUMMYFUNCTION("""COMPUTED_VALUE"""),0)</f>
        <v>0</v>
      </c>
      <c r="L234" s="42">
        <f ca="1">IFERROR(__xludf.DUMMYFUNCTION("""COMPUTED_VALUE"""),0)</f>
        <v>0</v>
      </c>
      <c r="M234" s="42">
        <f ca="1">IFERROR(__xludf.DUMMYFUNCTION("""COMPUTED_VALUE"""),0)</f>
        <v>0</v>
      </c>
      <c r="N234" s="42">
        <f ca="1">IFERROR(__xludf.DUMMYFUNCTION("""COMPUTED_VALUE"""),0)</f>
        <v>0</v>
      </c>
      <c r="O234" s="42">
        <f ca="1">IFERROR(__xludf.DUMMYFUNCTION("""COMPUTED_VALUE"""),0)</f>
        <v>0</v>
      </c>
      <c r="P234" s="42">
        <f ca="1">IFERROR(__xludf.DUMMYFUNCTION("""COMPUTED_VALUE"""),0)</f>
        <v>0</v>
      </c>
      <c r="Q234" s="42">
        <f ca="1">IFERROR(__xludf.DUMMYFUNCTION("""COMPUTED_VALUE"""),2730)</f>
        <v>2730</v>
      </c>
      <c r="R234" s="42">
        <f ca="1">IFERROR(__xludf.DUMMYFUNCTION("""COMPUTED_VALUE"""),0)</f>
        <v>0</v>
      </c>
      <c r="S234" s="42">
        <f ca="1">IFERROR(__xludf.DUMMYFUNCTION("""COMPUTED_VALUE"""),0)</f>
        <v>0</v>
      </c>
      <c r="T234" s="42">
        <f ca="1">IFERROR(__xludf.DUMMYFUNCTION("""COMPUTED_VALUE"""),0)</f>
        <v>0</v>
      </c>
      <c r="U234" s="42">
        <f ca="1">IFERROR(__xludf.DUMMYFUNCTION("""COMPUTED_VALUE"""),0)</f>
        <v>0</v>
      </c>
      <c r="V234" s="42">
        <f ca="1">IFERROR(__xludf.DUMMYFUNCTION("""COMPUTED_VALUE"""),0)</f>
        <v>0</v>
      </c>
      <c r="W234" s="42">
        <f ca="1">IFERROR(__xludf.DUMMYFUNCTION("""COMPUTED_VALUE"""),0)</f>
        <v>0</v>
      </c>
      <c r="X234" s="42">
        <f ca="1">IFERROR(__xludf.DUMMYFUNCTION("""COMPUTED_VALUE"""),0)</f>
        <v>0</v>
      </c>
      <c r="Y234" s="42">
        <f ca="1">IFERROR(__xludf.DUMMYFUNCTION("""COMPUTED_VALUE"""),0)</f>
        <v>0</v>
      </c>
      <c r="Z234" s="42">
        <f ca="1">IFERROR(__xludf.DUMMYFUNCTION("""COMPUTED_VALUE"""),0)</f>
        <v>0</v>
      </c>
    </row>
    <row r="235" spans="1:26" ht="12.75">
      <c r="A235" s="33" t="str">
        <f ca="1">IFERROR(__xludf.DUMMYFUNCTION("""COMPUTED_VALUE"""),"Gurupi")</f>
        <v>Gurupi</v>
      </c>
      <c r="B235" s="33" t="str">
        <f ca="1">IFERROR(__xludf.DUMMYFUNCTION("""COMPUTED_VALUE"""),"Palmeiropolis")</f>
        <v>Palmeiropolis</v>
      </c>
      <c r="C235" s="34" t="str">
        <f ca="1">IFERROR(__xludf.DUMMYFUNCTION("""COMPUTED_VALUE"""),"A.A. ESCOLA ESTADUAL PROFESSORA ONEIDES")</f>
        <v>A.A. ESCOLA ESTADUAL PROFESSORA ONEIDES</v>
      </c>
      <c r="D235" s="35" t="str">
        <f ca="1">IFERROR(__xludf.DUMMYFUNCTION("""COMPUTED_VALUE"""),"01262903000103")</f>
        <v>01262903000103</v>
      </c>
      <c r="E235" s="36" t="str">
        <f ca="1">IFERROR(__xludf.DUMMYFUNCTION("""COMPUTED_VALUE"""),"001")</f>
        <v>001</v>
      </c>
      <c r="F235" s="37" t="str">
        <f ca="1">IFERROR(__xludf.DUMMYFUNCTION("""COMPUTED_VALUE"""),"4608")</f>
        <v>4608</v>
      </c>
      <c r="G235" s="37" t="str">
        <f ca="1">IFERROR(__xludf.DUMMYFUNCTION("""COMPUTED_VALUE"""),"79758")</f>
        <v>79758</v>
      </c>
      <c r="H235" s="37">
        <f ca="1">IFERROR(__xludf.DUMMYFUNCTION("""COMPUTED_VALUE"""),0)</f>
        <v>0</v>
      </c>
      <c r="I235" s="37">
        <f ca="1">IFERROR(__xludf.DUMMYFUNCTION("""COMPUTED_VALUE"""),0)</f>
        <v>0</v>
      </c>
      <c r="J235" s="37">
        <f ca="1">IFERROR(__xludf.DUMMYFUNCTION("""COMPUTED_VALUE"""),4872)</f>
        <v>4872</v>
      </c>
      <c r="K235" s="37">
        <f ca="1">IFERROR(__xludf.DUMMYFUNCTION("""COMPUTED_VALUE"""),0)</f>
        <v>0</v>
      </c>
      <c r="L235" s="37">
        <f ca="1">IFERROR(__xludf.DUMMYFUNCTION("""COMPUTED_VALUE"""),0)</f>
        <v>0</v>
      </c>
      <c r="M235" s="37">
        <f ca="1">IFERROR(__xludf.DUMMYFUNCTION("""COMPUTED_VALUE"""),0)</f>
        <v>0</v>
      </c>
      <c r="N235" s="37">
        <f ca="1">IFERROR(__xludf.DUMMYFUNCTION("""COMPUTED_VALUE"""),0)</f>
        <v>0</v>
      </c>
      <c r="O235" s="37">
        <f ca="1">IFERROR(__xludf.DUMMYFUNCTION("""COMPUTED_VALUE"""),0)</f>
        <v>0</v>
      </c>
      <c r="P235" s="37">
        <f ca="1">IFERROR(__xludf.DUMMYFUNCTION("""COMPUTED_VALUE"""),546)</f>
        <v>546</v>
      </c>
      <c r="Q235" s="37">
        <f ca="1">IFERROR(__xludf.DUMMYFUNCTION("""COMPUTED_VALUE"""),3087)</f>
        <v>3087</v>
      </c>
      <c r="R235" s="37">
        <f ca="1">IFERROR(__xludf.DUMMYFUNCTION("""COMPUTED_VALUE"""),0)</f>
        <v>0</v>
      </c>
      <c r="S235" s="37">
        <f ca="1">IFERROR(__xludf.DUMMYFUNCTION("""COMPUTED_VALUE"""),0)</f>
        <v>0</v>
      </c>
      <c r="T235" s="37">
        <f ca="1">IFERROR(__xludf.DUMMYFUNCTION("""COMPUTED_VALUE"""),378)</f>
        <v>378</v>
      </c>
      <c r="U235" s="37">
        <f ca="1">IFERROR(__xludf.DUMMYFUNCTION("""COMPUTED_VALUE"""),0)</f>
        <v>0</v>
      </c>
      <c r="V235" s="37">
        <f ca="1">IFERROR(__xludf.DUMMYFUNCTION("""COMPUTED_VALUE"""),0)</f>
        <v>0</v>
      </c>
      <c r="W235" s="37">
        <f ca="1">IFERROR(__xludf.DUMMYFUNCTION("""COMPUTED_VALUE"""),0)</f>
        <v>0</v>
      </c>
      <c r="X235" s="37">
        <f ca="1">IFERROR(__xludf.DUMMYFUNCTION("""COMPUTED_VALUE"""),0)</f>
        <v>0</v>
      </c>
      <c r="Y235" s="37">
        <f ca="1">IFERROR(__xludf.DUMMYFUNCTION("""COMPUTED_VALUE"""),0)</f>
        <v>0</v>
      </c>
      <c r="Z235" s="37">
        <f ca="1">IFERROR(__xludf.DUMMYFUNCTION("""COMPUTED_VALUE"""),0)</f>
        <v>0</v>
      </c>
    </row>
    <row r="236" spans="1:26" ht="12.75">
      <c r="A236" s="38" t="str">
        <f ca="1">IFERROR(__xludf.DUMMYFUNCTION("""COMPUTED_VALUE"""),"Gurupi")</f>
        <v>Gurupi</v>
      </c>
      <c r="B236" s="38" t="str">
        <f ca="1">IFERROR(__xludf.DUMMYFUNCTION("""COMPUTED_VALUE"""),"Palmeiropolis")</f>
        <v>Palmeiropolis</v>
      </c>
      <c r="C236" s="39" t="str">
        <f ca="1">IFERROR(__xludf.DUMMYFUNCTION("""COMPUTED_VALUE"""),"A. A.DO COLEGIO EST. DE PALMEIROPOLIS (COLÉGIO MILITAR)")</f>
        <v>A. A.DO COLEGIO EST. DE PALMEIROPOLIS (COLÉGIO MILITAR)</v>
      </c>
      <c r="D236" s="40" t="str">
        <f ca="1">IFERROR(__xludf.DUMMYFUNCTION("""COMPUTED_VALUE"""),"01210496000190")</f>
        <v>01210496000190</v>
      </c>
      <c r="E236" s="41" t="str">
        <f ca="1">IFERROR(__xludf.DUMMYFUNCTION("""COMPUTED_VALUE"""),"001")</f>
        <v>001</v>
      </c>
      <c r="F236" s="42" t="str">
        <f ca="1">IFERROR(__xludf.DUMMYFUNCTION("""COMPUTED_VALUE"""),"1303")</f>
        <v>1303</v>
      </c>
      <c r="G236" s="42" t="str">
        <f ca="1">IFERROR(__xludf.DUMMYFUNCTION("""COMPUTED_VALUE"""),"97438")</f>
        <v>97438</v>
      </c>
      <c r="H236" s="42">
        <f ca="1">IFERROR(__xludf.DUMMYFUNCTION("""COMPUTED_VALUE"""),0)</f>
        <v>0</v>
      </c>
      <c r="I236" s="42">
        <f ca="1">IFERROR(__xludf.DUMMYFUNCTION("""COMPUTED_VALUE"""),0)</f>
        <v>0</v>
      </c>
      <c r="J236" s="42">
        <f ca="1">IFERROR(__xludf.DUMMYFUNCTION("""COMPUTED_VALUE"""),4662)</f>
        <v>4662</v>
      </c>
      <c r="K236" s="42">
        <f ca="1">IFERROR(__xludf.DUMMYFUNCTION("""COMPUTED_VALUE"""),0)</f>
        <v>0</v>
      </c>
      <c r="L236" s="42">
        <f ca="1">IFERROR(__xludf.DUMMYFUNCTION("""COMPUTED_VALUE"""),0)</f>
        <v>0</v>
      </c>
      <c r="M236" s="42">
        <f ca="1">IFERROR(__xludf.DUMMYFUNCTION("""COMPUTED_VALUE"""),0)</f>
        <v>0</v>
      </c>
      <c r="N236" s="42">
        <f ca="1">IFERROR(__xludf.DUMMYFUNCTION("""COMPUTED_VALUE"""),0)</f>
        <v>0</v>
      </c>
      <c r="O236" s="42">
        <f ca="1">IFERROR(__xludf.DUMMYFUNCTION("""COMPUTED_VALUE"""),0)</f>
        <v>0</v>
      </c>
      <c r="P236" s="42">
        <f ca="1">IFERROR(__xludf.DUMMYFUNCTION("""COMPUTED_VALUE"""),273)</f>
        <v>273</v>
      </c>
      <c r="Q236" s="42">
        <f ca="1">IFERROR(__xludf.DUMMYFUNCTION("""COMPUTED_VALUE"""),3507)</f>
        <v>3507</v>
      </c>
      <c r="R236" s="42">
        <f ca="1">IFERROR(__xludf.DUMMYFUNCTION("""COMPUTED_VALUE"""),0)</f>
        <v>0</v>
      </c>
      <c r="S236" s="42">
        <f ca="1">IFERROR(__xludf.DUMMYFUNCTION("""COMPUTED_VALUE"""),0)</f>
        <v>0</v>
      </c>
      <c r="T236" s="42">
        <f ca="1">IFERROR(__xludf.DUMMYFUNCTION("""COMPUTED_VALUE"""),0)</f>
        <v>0</v>
      </c>
      <c r="U236" s="42">
        <f ca="1">IFERROR(__xludf.DUMMYFUNCTION("""COMPUTED_VALUE"""),0)</f>
        <v>0</v>
      </c>
      <c r="V236" s="42">
        <f ca="1">IFERROR(__xludf.DUMMYFUNCTION("""COMPUTED_VALUE"""),0)</f>
        <v>0</v>
      </c>
      <c r="W236" s="42">
        <f ca="1">IFERROR(__xludf.DUMMYFUNCTION("""COMPUTED_VALUE"""),0)</f>
        <v>0</v>
      </c>
      <c r="X236" s="42">
        <f ca="1">IFERROR(__xludf.DUMMYFUNCTION("""COMPUTED_VALUE"""),0)</f>
        <v>0</v>
      </c>
      <c r="Y236" s="42">
        <f ca="1">IFERROR(__xludf.DUMMYFUNCTION("""COMPUTED_VALUE"""),0)</f>
        <v>0</v>
      </c>
      <c r="Z236" s="42">
        <f ca="1">IFERROR(__xludf.DUMMYFUNCTION("""COMPUTED_VALUE"""),0)</f>
        <v>0</v>
      </c>
    </row>
    <row r="237" spans="1:26" ht="12.75">
      <c r="A237" s="33" t="str">
        <f ca="1">IFERROR(__xludf.DUMMYFUNCTION("""COMPUTED_VALUE"""),"Gurupi")</f>
        <v>Gurupi</v>
      </c>
      <c r="B237" s="33" t="str">
        <f ca="1">IFERROR(__xludf.DUMMYFUNCTION("""COMPUTED_VALUE"""),"Peixe")</f>
        <v>Peixe</v>
      </c>
      <c r="C237" s="34" t="str">
        <f ca="1">IFERROR(__xludf.DUMMYFUNCTION("""COMPUTED_VALUE"""),"A.A. AO COLEGIO ESTADUAL D. ALANO")</f>
        <v>A.A. AO COLEGIO ESTADUAL D. ALANO</v>
      </c>
      <c r="D237" s="35" t="str">
        <f ca="1">IFERROR(__xludf.DUMMYFUNCTION("""COMPUTED_VALUE"""),"01133705000140")</f>
        <v>01133705000140</v>
      </c>
      <c r="E237" s="36" t="str">
        <f ca="1">IFERROR(__xludf.DUMMYFUNCTION("""COMPUTED_VALUE"""),"001")</f>
        <v>001</v>
      </c>
      <c r="F237" s="37" t="str">
        <f ca="1">IFERROR(__xludf.DUMMYFUNCTION("""COMPUTED_VALUE"""),"3979")</f>
        <v>3979</v>
      </c>
      <c r="G237" s="37" t="str">
        <f ca="1">IFERROR(__xludf.DUMMYFUNCTION("""COMPUTED_VALUE"""),"53155")</f>
        <v>53155</v>
      </c>
      <c r="H237" s="37">
        <f ca="1">IFERROR(__xludf.DUMMYFUNCTION("""COMPUTED_VALUE"""),0)</f>
        <v>0</v>
      </c>
      <c r="I237" s="37">
        <f ca="1">IFERROR(__xludf.DUMMYFUNCTION("""COMPUTED_VALUE"""),0)</f>
        <v>0</v>
      </c>
      <c r="J237" s="37">
        <f ca="1">IFERROR(__xludf.DUMMYFUNCTION("""COMPUTED_VALUE"""),0)</f>
        <v>0</v>
      </c>
      <c r="K237" s="37">
        <f ca="1">IFERROR(__xludf.DUMMYFUNCTION("""COMPUTED_VALUE"""),0)</f>
        <v>0</v>
      </c>
      <c r="L237" s="37">
        <f ca="1">IFERROR(__xludf.DUMMYFUNCTION("""COMPUTED_VALUE"""),0)</f>
        <v>0</v>
      </c>
      <c r="M237" s="37">
        <f ca="1">IFERROR(__xludf.DUMMYFUNCTION("""COMPUTED_VALUE"""),0)</f>
        <v>0</v>
      </c>
      <c r="N237" s="37">
        <f ca="1">IFERROR(__xludf.DUMMYFUNCTION("""COMPUTED_VALUE"""),0)</f>
        <v>0</v>
      </c>
      <c r="O237" s="37">
        <f ca="1">IFERROR(__xludf.DUMMYFUNCTION("""COMPUTED_VALUE"""),0)</f>
        <v>0</v>
      </c>
      <c r="P237" s="37">
        <f ca="1">IFERROR(__xludf.DUMMYFUNCTION("""COMPUTED_VALUE"""),0)</f>
        <v>0</v>
      </c>
      <c r="Q237" s="37">
        <f ca="1">IFERROR(__xludf.DUMMYFUNCTION("""COMPUTED_VALUE"""),6006)</f>
        <v>6006</v>
      </c>
      <c r="R237" s="37">
        <f ca="1">IFERROR(__xludf.DUMMYFUNCTION("""COMPUTED_VALUE"""),0)</f>
        <v>0</v>
      </c>
      <c r="S237" s="37">
        <f ca="1">IFERROR(__xludf.DUMMYFUNCTION("""COMPUTED_VALUE"""),0)</f>
        <v>0</v>
      </c>
      <c r="T237" s="37">
        <f ca="1">IFERROR(__xludf.DUMMYFUNCTION("""COMPUTED_VALUE"""),357)</f>
        <v>357</v>
      </c>
      <c r="U237" s="37">
        <f ca="1">IFERROR(__xludf.DUMMYFUNCTION("""COMPUTED_VALUE"""),0)</f>
        <v>0</v>
      </c>
      <c r="V237" s="37">
        <f ca="1">IFERROR(__xludf.DUMMYFUNCTION("""COMPUTED_VALUE"""),0)</f>
        <v>0</v>
      </c>
      <c r="W237" s="37">
        <f ca="1">IFERROR(__xludf.DUMMYFUNCTION("""COMPUTED_VALUE"""),0)</f>
        <v>0</v>
      </c>
      <c r="X237" s="37">
        <f ca="1">IFERROR(__xludf.DUMMYFUNCTION("""COMPUTED_VALUE"""),0)</f>
        <v>0</v>
      </c>
      <c r="Y237" s="37">
        <f ca="1">IFERROR(__xludf.DUMMYFUNCTION("""COMPUTED_VALUE"""),0)</f>
        <v>0</v>
      </c>
      <c r="Z237" s="37">
        <f ca="1">IFERROR(__xludf.DUMMYFUNCTION("""COMPUTED_VALUE"""),0)</f>
        <v>0</v>
      </c>
    </row>
    <row r="238" spans="1:26" ht="12.75">
      <c r="A238" s="38" t="str">
        <f ca="1">IFERROR(__xludf.DUMMYFUNCTION("""COMPUTED_VALUE"""),"Gurupi")</f>
        <v>Gurupi</v>
      </c>
      <c r="B238" s="38" t="str">
        <f ca="1">IFERROR(__xludf.DUMMYFUNCTION("""COMPUTED_VALUE"""),"Peixe")</f>
        <v>Peixe</v>
      </c>
      <c r="C238" s="39" t="str">
        <f ca="1">IFERROR(__xludf.DUMMYFUNCTION("""COMPUTED_VALUE"""),"A.A.  ESC. EST.TANCREDO DE ALMEIDA NEVES")</f>
        <v>A.A.  ESC. EST.TANCREDO DE ALMEIDA NEVES</v>
      </c>
      <c r="D238" s="40" t="str">
        <f ca="1">IFERROR(__xludf.DUMMYFUNCTION("""COMPUTED_VALUE"""),"01136008000142")</f>
        <v>01136008000142</v>
      </c>
      <c r="E238" s="41" t="str">
        <f ca="1">IFERROR(__xludf.DUMMYFUNCTION("""COMPUTED_VALUE"""),"001")</f>
        <v>001</v>
      </c>
      <c r="F238" s="42" t="str">
        <f ca="1">IFERROR(__xludf.DUMMYFUNCTION("""COMPUTED_VALUE"""),"3979")</f>
        <v>3979</v>
      </c>
      <c r="G238" s="42" t="str">
        <f ca="1">IFERROR(__xludf.DUMMYFUNCTION("""COMPUTED_VALUE"""),"52914")</f>
        <v>52914</v>
      </c>
      <c r="H238" s="42">
        <f ca="1">IFERROR(__xludf.DUMMYFUNCTION("""COMPUTED_VALUE"""),0)</f>
        <v>0</v>
      </c>
      <c r="I238" s="42">
        <f ca="1">IFERROR(__xludf.DUMMYFUNCTION("""COMPUTED_VALUE"""),0)</f>
        <v>0</v>
      </c>
      <c r="J238" s="42">
        <f ca="1">IFERROR(__xludf.DUMMYFUNCTION("""COMPUTED_VALUE"""),7476)</f>
        <v>7476</v>
      </c>
      <c r="K238" s="42">
        <f ca="1">IFERROR(__xludf.DUMMYFUNCTION("""COMPUTED_VALUE"""),0)</f>
        <v>0</v>
      </c>
      <c r="L238" s="42">
        <f ca="1">IFERROR(__xludf.DUMMYFUNCTION("""COMPUTED_VALUE"""),0)</f>
        <v>0</v>
      </c>
      <c r="M238" s="42">
        <f ca="1">IFERROR(__xludf.DUMMYFUNCTION("""COMPUTED_VALUE"""),0)</f>
        <v>0</v>
      </c>
      <c r="N238" s="42">
        <f ca="1">IFERROR(__xludf.DUMMYFUNCTION("""COMPUTED_VALUE"""),0)</f>
        <v>0</v>
      </c>
      <c r="O238" s="42">
        <f ca="1">IFERROR(__xludf.DUMMYFUNCTION("""COMPUTED_VALUE"""),0)</f>
        <v>0</v>
      </c>
      <c r="P238" s="42">
        <f ca="1">IFERROR(__xludf.DUMMYFUNCTION("""COMPUTED_VALUE"""),0)</f>
        <v>0</v>
      </c>
      <c r="Q238" s="42">
        <f ca="1">IFERROR(__xludf.DUMMYFUNCTION("""COMPUTED_VALUE"""),0)</f>
        <v>0</v>
      </c>
      <c r="R238" s="42">
        <f ca="1">IFERROR(__xludf.DUMMYFUNCTION("""COMPUTED_VALUE"""),0)</f>
        <v>0</v>
      </c>
      <c r="S238" s="42">
        <f ca="1">IFERROR(__xludf.DUMMYFUNCTION("""COMPUTED_VALUE"""),0)</f>
        <v>0</v>
      </c>
      <c r="T238" s="42">
        <f ca="1">IFERROR(__xludf.DUMMYFUNCTION("""COMPUTED_VALUE"""),0)</f>
        <v>0</v>
      </c>
      <c r="U238" s="42">
        <f ca="1">IFERROR(__xludf.DUMMYFUNCTION("""COMPUTED_VALUE"""),0)</f>
        <v>0</v>
      </c>
      <c r="V238" s="42">
        <f ca="1">IFERROR(__xludf.DUMMYFUNCTION("""COMPUTED_VALUE"""),0)</f>
        <v>0</v>
      </c>
      <c r="W238" s="42">
        <f ca="1">IFERROR(__xludf.DUMMYFUNCTION("""COMPUTED_VALUE"""),0)</f>
        <v>0</v>
      </c>
      <c r="X238" s="42">
        <f ca="1">IFERROR(__xludf.DUMMYFUNCTION("""COMPUTED_VALUE"""),0)</f>
        <v>0</v>
      </c>
      <c r="Y238" s="42">
        <f ca="1">IFERROR(__xludf.DUMMYFUNCTION("""COMPUTED_VALUE"""),0)</f>
        <v>0</v>
      </c>
      <c r="Z238" s="42">
        <f ca="1">IFERROR(__xludf.DUMMYFUNCTION("""COMPUTED_VALUE"""),0)</f>
        <v>0</v>
      </c>
    </row>
    <row r="239" spans="1:26" ht="12.75">
      <c r="A239" s="33" t="str">
        <f ca="1">IFERROR(__xludf.DUMMYFUNCTION("""COMPUTED_VALUE"""),"Gurupi")</f>
        <v>Gurupi</v>
      </c>
      <c r="B239" s="33" t="str">
        <f ca="1">IFERROR(__xludf.DUMMYFUNCTION("""COMPUTED_VALUE"""),"Sandolandia")</f>
        <v>Sandolandia</v>
      </c>
      <c r="C239" s="34" t="str">
        <f ca="1">IFERROR(__xludf.DUMMYFUNCTION("""COMPUTED_VALUE"""),"A.A. A ESC. EST.NOSSA SENHORA APARECIDA")</f>
        <v>A.A. A ESC. EST.NOSSA SENHORA APARECIDA</v>
      </c>
      <c r="D239" s="35" t="str">
        <f ca="1">IFERROR(__xludf.DUMMYFUNCTION("""COMPUTED_VALUE"""),"01393269000148")</f>
        <v>01393269000148</v>
      </c>
      <c r="E239" s="36" t="str">
        <f ca="1">IFERROR(__xludf.DUMMYFUNCTION("""COMPUTED_VALUE"""),"001")</f>
        <v>001</v>
      </c>
      <c r="F239" s="37" t="str">
        <f ca="1">IFERROR(__xludf.DUMMYFUNCTION("""COMPUTED_VALUE"""),"1304")</f>
        <v>1304</v>
      </c>
      <c r="G239" s="37" t="str">
        <f ca="1">IFERROR(__xludf.DUMMYFUNCTION("""COMPUTED_VALUE"""),"105163")</f>
        <v>105163</v>
      </c>
      <c r="H239" s="37">
        <f ca="1">IFERROR(__xludf.DUMMYFUNCTION("""COMPUTED_VALUE"""),0)</f>
        <v>0</v>
      </c>
      <c r="I239" s="37">
        <f ca="1">IFERROR(__xludf.DUMMYFUNCTION("""COMPUTED_VALUE"""),0)</f>
        <v>0</v>
      </c>
      <c r="J239" s="37">
        <f ca="1">IFERROR(__xludf.DUMMYFUNCTION("""COMPUTED_VALUE"""),4431)</f>
        <v>4431</v>
      </c>
      <c r="K239" s="37">
        <f ca="1">IFERROR(__xludf.DUMMYFUNCTION("""COMPUTED_VALUE"""),0)</f>
        <v>0</v>
      </c>
      <c r="L239" s="37">
        <f ca="1">IFERROR(__xludf.DUMMYFUNCTION("""COMPUTED_VALUE"""),0)</f>
        <v>0</v>
      </c>
      <c r="M239" s="37">
        <f ca="1">IFERROR(__xludf.DUMMYFUNCTION("""COMPUTED_VALUE"""),0)</f>
        <v>0</v>
      </c>
      <c r="N239" s="37">
        <f ca="1">IFERROR(__xludf.DUMMYFUNCTION("""COMPUTED_VALUE"""),0)</f>
        <v>0</v>
      </c>
      <c r="O239" s="37">
        <f ca="1">IFERROR(__xludf.DUMMYFUNCTION("""COMPUTED_VALUE"""),0)</f>
        <v>0</v>
      </c>
      <c r="P239" s="37">
        <f ca="1">IFERROR(__xludf.DUMMYFUNCTION("""COMPUTED_VALUE"""),399)</f>
        <v>399</v>
      </c>
      <c r="Q239" s="37">
        <f ca="1">IFERROR(__xludf.DUMMYFUNCTION("""COMPUTED_VALUE"""),2499)</f>
        <v>2499</v>
      </c>
      <c r="R239" s="37">
        <f ca="1">IFERROR(__xludf.DUMMYFUNCTION("""COMPUTED_VALUE"""),0)</f>
        <v>0</v>
      </c>
      <c r="S239" s="37">
        <f ca="1">IFERROR(__xludf.DUMMYFUNCTION("""COMPUTED_VALUE"""),0)</f>
        <v>0</v>
      </c>
      <c r="T239" s="37">
        <f ca="1">IFERROR(__xludf.DUMMYFUNCTION("""COMPUTED_VALUE"""),0)</f>
        <v>0</v>
      </c>
      <c r="U239" s="37">
        <f ca="1">IFERROR(__xludf.DUMMYFUNCTION("""COMPUTED_VALUE"""),0)</f>
        <v>0</v>
      </c>
      <c r="V239" s="37">
        <f ca="1">IFERROR(__xludf.DUMMYFUNCTION("""COMPUTED_VALUE"""),0)</f>
        <v>0</v>
      </c>
      <c r="W239" s="37">
        <f ca="1">IFERROR(__xludf.DUMMYFUNCTION("""COMPUTED_VALUE"""),0)</f>
        <v>0</v>
      </c>
      <c r="X239" s="37">
        <f ca="1">IFERROR(__xludf.DUMMYFUNCTION("""COMPUTED_VALUE"""),0)</f>
        <v>0</v>
      </c>
      <c r="Y239" s="37">
        <f ca="1">IFERROR(__xludf.DUMMYFUNCTION("""COMPUTED_VALUE"""),0)</f>
        <v>0</v>
      </c>
      <c r="Z239" s="37">
        <f ca="1">IFERROR(__xludf.DUMMYFUNCTION("""COMPUTED_VALUE"""),0)</f>
        <v>0</v>
      </c>
    </row>
    <row r="240" spans="1:26" ht="12.75">
      <c r="A240" s="38" t="str">
        <f ca="1">IFERROR(__xludf.DUMMYFUNCTION("""COMPUTED_VALUE"""),"Gurupi")</f>
        <v>Gurupi</v>
      </c>
      <c r="B240" s="38" t="str">
        <f ca="1">IFERROR(__xludf.DUMMYFUNCTION("""COMPUTED_VALUE"""),"Sandolandia")</f>
        <v>Sandolandia</v>
      </c>
      <c r="C240" s="39" t="str">
        <f ca="1">IFERROR(__xludf.DUMMYFUNCTION("""COMPUTED_VALUE"""),"ASS. DE APOIO ESC. EST.PE.JOSE DE ANCHIETA")</f>
        <v>ASS. DE APOIO ESC. EST.PE.JOSE DE ANCHIETA</v>
      </c>
      <c r="D240" s="40" t="str">
        <f ca="1">IFERROR(__xludf.DUMMYFUNCTION("""COMPUTED_VALUE"""),"01190190000110")</f>
        <v>01190190000110</v>
      </c>
      <c r="E240" s="41" t="str">
        <f ca="1">IFERROR(__xludf.DUMMYFUNCTION("""COMPUTED_VALUE"""),"001")</f>
        <v>001</v>
      </c>
      <c r="F240" s="42" t="str">
        <f ca="1">IFERROR(__xludf.DUMMYFUNCTION("""COMPUTED_VALUE"""),"1304")</f>
        <v>1304</v>
      </c>
      <c r="G240" s="42" t="str">
        <f ca="1">IFERROR(__xludf.DUMMYFUNCTION("""COMPUTED_VALUE"""),"105171")</f>
        <v>105171</v>
      </c>
      <c r="H240" s="42">
        <f ca="1">IFERROR(__xludf.DUMMYFUNCTION("""COMPUTED_VALUE"""),0)</f>
        <v>0</v>
      </c>
      <c r="I240" s="42">
        <f ca="1">IFERROR(__xludf.DUMMYFUNCTION("""COMPUTED_VALUE"""),0)</f>
        <v>0</v>
      </c>
      <c r="J240" s="42">
        <f ca="1">IFERROR(__xludf.DUMMYFUNCTION("""COMPUTED_VALUE"""),903)</f>
        <v>903</v>
      </c>
      <c r="K240" s="42">
        <f ca="1">IFERROR(__xludf.DUMMYFUNCTION("""COMPUTED_VALUE"""),0)</f>
        <v>0</v>
      </c>
      <c r="L240" s="42">
        <f ca="1">IFERROR(__xludf.DUMMYFUNCTION("""COMPUTED_VALUE"""),0)</f>
        <v>0</v>
      </c>
      <c r="M240" s="42">
        <f ca="1">IFERROR(__xludf.DUMMYFUNCTION("""COMPUTED_VALUE"""),0)</f>
        <v>0</v>
      </c>
      <c r="N240" s="42">
        <f ca="1">IFERROR(__xludf.DUMMYFUNCTION("""COMPUTED_VALUE"""),0)</f>
        <v>0</v>
      </c>
      <c r="O240" s="42">
        <f ca="1">IFERROR(__xludf.DUMMYFUNCTION("""COMPUTED_VALUE"""),0)</f>
        <v>0</v>
      </c>
      <c r="P240" s="42">
        <f ca="1">IFERROR(__xludf.DUMMYFUNCTION("""COMPUTED_VALUE"""),0)</f>
        <v>0</v>
      </c>
      <c r="Q240" s="42">
        <f ca="1">IFERROR(__xludf.DUMMYFUNCTION("""COMPUTED_VALUE"""),336)</f>
        <v>336</v>
      </c>
      <c r="R240" s="42">
        <f ca="1">IFERROR(__xludf.DUMMYFUNCTION("""COMPUTED_VALUE"""),0)</f>
        <v>0</v>
      </c>
      <c r="S240" s="42">
        <f ca="1">IFERROR(__xludf.DUMMYFUNCTION("""COMPUTED_VALUE"""),0)</f>
        <v>0</v>
      </c>
      <c r="T240" s="42">
        <f ca="1">IFERROR(__xludf.DUMMYFUNCTION("""COMPUTED_VALUE"""),0)</f>
        <v>0</v>
      </c>
      <c r="U240" s="42">
        <f ca="1">IFERROR(__xludf.DUMMYFUNCTION("""COMPUTED_VALUE"""),0)</f>
        <v>0</v>
      </c>
      <c r="V240" s="42">
        <f ca="1">IFERROR(__xludf.DUMMYFUNCTION("""COMPUTED_VALUE"""),0)</f>
        <v>0</v>
      </c>
      <c r="W240" s="42">
        <f ca="1">IFERROR(__xludf.DUMMYFUNCTION("""COMPUTED_VALUE"""),0)</f>
        <v>0</v>
      </c>
      <c r="X240" s="42">
        <f ca="1">IFERROR(__xludf.DUMMYFUNCTION("""COMPUTED_VALUE"""),0)</f>
        <v>0</v>
      </c>
      <c r="Y240" s="42">
        <f ca="1">IFERROR(__xludf.DUMMYFUNCTION("""COMPUTED_VALUE"""),0)</f>
        <v>0</v>
      </c>
      <c r="Z240" s="42">
        <f ca="1">IFERROR(__xludf.DUMMYFUNCTION("""COMPUTED_VALUE"""),0)</f>
        <v>0</v>
      </c>
    </row>
    <row r="241" spans="1:26" ht="12.75">
      <c r="A241" s="33" t="str">
        <f ca="1">IFERROR(__xludf.DUMMYFUNCTION("""COMPUTED_VALUE"""),"Gurupi")</f>
        <v>Gurupi</v>
      </c>
      <c r="B241" s="33" t="str">
        <f ca="1">IFERROR(__xludf.DUMMYFUNCTION("""COMPUTED_VALUE"""),"Sandolandia")</f>
        <v>Sandolandia</v>
      </c>
      <c r="C241" s="34" t="str">
        <f ca="1">IFERROR(__xludf.DUMMYFUNCTION("""COMPUTED_VALUE"""),"A.A.DE APOIO ESCOLAR DA ESCOLA INDÍGENA IJAWALA")</f>
        <v>A.A.DE APOIO ESCOLAR DA ESCOLA INDÍGENA IJAWALA</v>
      </c>
      <c r="D241" s="35" t="str">
        <f ca="1">IFERROR(__xludf.DUMMYFUNCTION("""COMPUTED_VALUE"""),"48240313000143")</f>
        <v>48240313000143</v>
      </c>
      <c r="E241" s="36" t="str">
        <f ca="1">IFERROR(__xludf.DUMMYFUNCTION("""COMPUTED_VALUE"""),"001")</f>
        <v>001</v>
      </c>
      <c r="F241" s="37" t="str">
        <f ca="1">IFERROR(__xludf.DUMMYFUNCTION("""COMPUTED_VALUE"""),"1304")</f>
        <v>1304</v>
      </c>
      <c r="G241" s="37" t="str">
        <f ca="1">IFERROR(__xludf.DUMMYFUNCTION("""COMPUTED_VALUE"""),"1949810")</f>
        <v>1949810</v>
      </c>
      <c r="H241" s="37">
        <f ca="1">IFERROR(__xludf.DUMMYFUNCTION("""COMPUTED_VALUE"""),0)</f>
        <v>0</v>
      </c>
      <c r="I241" s="37">
        <f ca="1">IFERROR(__xludf.DUMMYFUNCTION("""COMPUTED_VALUE"""),0)</f>
        <v>0</v>
      </c>
      <c r="J241" s="37">
        <f ca="1">IFERROR(__xludf.DUMMYFUNCTION("""COMPUTED_VALUE"""),0)</f>
        <v>0</v>
      </c>
      <c r="K241" s="37">
        <f ca="1">IFERROR(__xludf.DUMMYFUNCTION("""COMPUTED_VALUE"""),0)</f>
        <v>0</v>
      </c>
      <c r="L241" s="37">
        <f ca="1">IFERROR(__xludf.DUMMYFUNCTION("""COMPUTED_VALUE"""),0)</f>
        <v>0</v>
      </c>
      <c r="M241" s="37">
        <f ca="1">IFERROR(__xludf.DUMMYFUNCTION("""COMPUTED_VALUE"""),0)</f>
        <v>0</v>
      </c>
      <c r="N241" s="37">
        <f ca="1">IFERROR(__xludf.DUMMYFUNCTION("""COMPUTED_VALUE"""),0)</f>
        <v>0</v>
      </c>
      <c r="O241" s="37">
        <f ca="1">IFERROR(__xludf.DUMMYFUNCTION("""COMPUTED_VALUE"""),1407)</f>
        <v>1407</v>
      </c>
      <c r="P241" s="37">
        <f ca="1">IFERROR(__xludf.DUMMYFUNCTION("""COMPUTED_VALUE"""),0)</f>
        <v>0</v>
      </c>
      <c r="Q241" s="37">
        <f ca="1">IFERROR(__xludf.DUMMYFUNCTION("""COMPUTED_VALUE"""),0)</f>
        <v>0</v>
      </c>
      <c r="R241" s="37">
        <f ca="1">IFERROR(__xludf.DUMMYFUNCTION("""COMPUTED_VALUE"""),0)</f>
        <v>0</v>
      </c>
      <c r="S241" s="37">
        <f ca="1">IFERROR(__xludf.DUMMYFUNCTION("""COMPUTED_VALUE"""),0)</f>
        <v>0</v>
      </c>
      <c r="T241" s="37">
        <f ca="1">IFERROR(__xludf.DUMMYFUNCTION("""COMPUTED_VALUE"""),0)</f>
        <v>0</v>
      </c>
      <c r="U241" s="37">
        <f ca="1">IFERROR(__xludf.DUMMYFUNCTION("""COMPUTED_VALUE"""),0)</f>
        <v>0</v>
      </c>
      <c r="V241" s="37">
        <f ca="1">IFERROR(__xludf.DUMMYFUNCTION("""COMPUTED_VALUE"""),0)</f>
        <v>0</v>
      </c>
      <c r="W241" s="37">
        <f ca="1">IFERROR(__xludf.DUMMYFUNCTION("""COMPUTED_VALUE"""),0)</f>
        <v>0</v>
      </c>
      <c r="X241" s="37">
        <f ca="1">IFERROR(__xludf.DUMMYFUNCTION("""COMPUTED_VALUE"""),0)</f>
        <v>0</v>
      </c>
      <c r="Y241" s="37">
        <f ca="1">IFERROR(__xludf.DUMMYFUNCTION("""COMPUTED_VALUE"""),0)</f>
        <v>0</v>
      </c>
      <c r="Z241" s="37">
        <f ca="1">IFERROR(__xludf.DUMMYFUNCTION("""COMPUTED_VALUE"""),0)</f>
        <v>0</v>
      </c>
    </row>
    <row r="242" spans="1:26" ht="12.75">
      <c r="A242" s="38" t="str">
        <f ca="1">IFERROR(__xludf.DUMMYFUNCTION("""COMPUTED_VALUE"""),"Gurupi")</f>
        <v>Gurupi</v>
      </c>
      <c r="B242" s="38" t="str">
        <f ca="1">IFERROR(__xludf.DUMMYFUNCTION("""COMPUTED_VALUE"""),"Sao Salvador do Tocantins")</f>
        <v>Sao Salvador do Tocantins</v>
      </c>
      <c r="C242" s="39" t="str">
        <f ca="1">IFERROR(__xludf.DUMMYFUNCTION("""COMPUTED_VALUE"""),"A.A. COLEGIO ESTADUAL AGRÍCOLA JOSÉ PORFÍRIO DE SOUZA")</f>
        <v>A.A. COLEGIO ESTADUAL AGRÍCOLA JOSÉ PORFÍRIO DE SOUZA</v>
      </c>
      <c r="D242" s="40" t="str">
        <f ca="1">IFERROR(__xludf.DUMMYFUNCTION("""COMPUTED_VALUE"""),"49952315000128")</f>
        <v>49952315000128</v>
      </c>
      <c r="E242" s="41" t="str">
        <f ca="1">IFERROR(__xludf.DUMMYFUNCTION("""COMPUTED_VALUE"""),"001")</f>
        <v>001</v>
      </c>
      <c r="F242" s="42" t="str">
        <f ca="1">IFERROR(__xludf.DUMMYFUNCTION("""COMPUTED_VALUE"""),"4608")</f>
        <v>4608</v>
      </c>
      <c r="G242" s="42" t="str">
        <f ca="1">IFERROR(__xludf.DUMMYFUNCTION("""COMPUTED_VALUE"""),"183679")</f>
        <v>183679</v>
      </c>
      <c r="H242" s="42">
        <f ca="1">IFERROR(__xludf.DUMMYFUNCTION("""COMPUTED_VALUE"""),0)</f>
        <v>0</v>
      </c>
      <c r="I242" s="42">
        <f ca="1">IFERROR(__xludf.DUMMYFUNCTION("""COMPUTED_VALUE"""),0)</f>
        <v>0</v>
      </c>
      <c r="J242" s="42">
        <f ca="1">IFERROR(__xludf.DUMMYFUNCTION("""COMPUTED_VALUE"""),0)</f>
        <v>0</v>
      </c>
      <c r="K242" s="42">
        <f ca="1">IFERROR(__xludf.DUMMYFUNCTION("""COMPUTED_VALUE"""),0)</f>
        <v>0</v>
      </c>
      <c r="L242" s="42">
        <f ca="1">IFERROR(__xludf.DUMMYFUNCTION("""COMPUTED_VALUE"""),0)</f>
        <v>0</v>
      </c>
      <c r="M242" s="42">
        <f ca="1">IFERROR(__xludf.DUMMYFUNCTION("""COMPUTED_VALUE"""),0)</f>
        <v>0</v>
      </c>
      <c r="N242" s="42">
        <f ca="1">IFERROR(__xludf.DUMMYFUNCTION("""COMPUTED_VALUE"""),0)</f>
        <v>0</v>
      </c>
      <c r="O242" s="42">
        <f ca="1">IFERROR(__xludf.DUMMYFUNCTION("""COMPUTED_VALUE"""),0)</f>
        <v>0</v>
      </c>
      <c r="P242" s="42">
        <f ca="1">IFERROR(__xludf.DUMMYFUNCTION("""COMPUTED_VALUE"""),0)</f>
        <v>0</v>
      </c>
      <c r="Q242" s="42">
        <f ca="1">IFERROR(__xludf.DUMMYFUNCTION("""COMPUTED_VALUE"""),0)</f>
        <v>0</v>
      </c>
      <c r="R242" s="42">
        <f ca="1">IFERROR(__xludf.DUMMYFUNCTION("""COMPUTED_VALUE"""),0)</f>
        <v>0</v>
      </c>
      <c r="S242" s="42">
        <f ca="1">IFERROR(__xludf.DUMMYFUNCTION("""COMPUTED_VALUE"""),0)</f>
        <v>0</v>
      </c>
      <c r="T242" s="42">
        <f ca="1">IFERROR(__xludf.DUMMYFUNCTION("""COMPUTED_VALUE"""),0)</f>
        <v>0</v>
      </c>
      <c r="U242" s="42">
        <f ca="1">IFERROR(__xludf.DUMMYFUNCTION("""COMPUTED_VALUE"""),0)</f>
        <v>0</v>
      </c>
      <c r="V242" s="42">
        <f ca="1">IFERROR(__xludf.DUMMYFUNCTION("""COMPUTED_VALUE"""),28569.6)</f>
        <v>28569.599999999999</v>
      </c>
      <c r="W242" s="42">
        <f ca="1">IFERROR(__xludf.DUMMYFUNCTION("""COMPUTED_VALUE"""),0)</f>
        <v>0</v>
      </c>
      <c r="X242" s="42">
        <f ca="1">IFERROR(__xludf.DUMMYFUNCTION("""COMPUTED_VALUE"""),0)</f>
        <v>0</v>
      </c>
      <c r="Y242" s="42">
        <f ca="1">IFERROR(__xludf.DUMMYFUNCTION("""COMPUTED_VALUE"""),2212.6)</f>
        <v>2212.6</v>
      </c>
      <c r="Z242" s="42">
        <f ca="1">IFERROR(__xludf.DUMMYFUNCTION("""COMPUTED_VALUE"""),0)</f>
        <v>0</v>
      </c>
    </row>
    <row r="243" spans="1:26" ht="12.75">
      <c r="A243" s="33" t="str">
        <f ca="1">IFERROR(__xludf.DUMMYFUNCTION("""COMPUTED_VALUE"""),"Gurupi")</f>
        <v>Gurupi</v>
      </c>
      <c r="B243" s="33" t="str">
        <f ca="1">IFERROR(__xludf.DUMMYFUNCTION("""COMPUTED_VALUE"""),"Sao Salvador do Tocantins")</f>
        <v>Sao Salvador do Tocantins</v>
      </c>
      <c r="C243" s="34" t="str">
        <f ca="1">IFERROR(__xludf.DUMMYFUNCTION("""COMPUTED_VALUE"""),"ASS.PAIS E M.ESC. EST.PORTO RIO MARANHAO")</f>
        <v>ASS.PAIS E M.ESC. EST.PORTO RIO MARANHAO</v>
      </c>
      <c r="D243" s="35" t="str">
        <f ca="1">IFERROR(__xludf.DUMMYFUNCTION("""COMPUTED_VALUE"""),"01296366000112")</f>
        <v>01296366000112</v>
      </c>
      <c r="E243" s="36" t="str">
        <f ca="1">IFERROR(__xludf.DUMMYFUNCTION("""COMPUTED_VALUE"""),"001")</f>
        <v>001</v>
      </c>
      <c r="F243" s="37" t="str">
        <f ca="1">IFERROR(__xludf.DUMMYFUNCTION("""COMPUTED_VALUE"""),"4608")</f>
        <v>4608</v>
      </c>
      <c r="G243" s="37" t="str">
        <f ca="1">IFERROR(__xludf.DUMMYFUNCTION("""COMPUTED_VALUE"""),"70270")</f>
        <v>70270</v>
      </c>
      <c r="H243" s="37">
        <f ca="1">IFERROR(__xludf.DUMMYFUNCTION("""COMPUTED_VALUE"""),0)</f>
        <v>0</v>
      </c>
      <c r="I243" s="37">
        <f ca="1">IFERROR(__xludf.DUMMYFUNCTION("""COMPUTED_VALUE"""),0)</f>
        <v>0</v>
      </c>
      <c r="J243" s="37">
        <f ca="1">IFERROR(__xludf.DUMMYFUNCTION("""COMPUTED_VALUE"""),2520)</f>
        <v>2520</v>
      </c>
      <c r="K243" s="37">
        <f ca="1">IFERROR(__xludf.DUMMYFUNCTION("""COMPUTED_VALUE"""),0)</f>
        <v>0</v>
      </c>
      <c r="L243" s="37">
        <f ca="1">IFERROR(__xludf.DUMMYFUNCTION("""COMPUTED_VALUE"""),0)</f>
        <v>0</v>
      </c>
      <c r="M243" s="37">
        <f ca="1">IFERROR(__xludf.DUMMYFUNCTION("""COMPUTED_VALUE"""),0)</f>
        <v>0</v>
      </c>
      <c r="N243" s="37">
        <f ca="1">IFERROR(__xludf.DUMMYFUNCTION("""COMPUTED_VALUE"""),0)</f>
        <v>0</v>
      </c>
      <c r="O243" s="37">
        <f ca="1">IFERROR(__xludf.DUMMYFUNCTION("""COMPUTED_VALUE"""),0)</f>
        <v>0</v>
      </c>
      <c r="P243" s="37">
        <f ca="1">IFERROR(__xludf.DUMMYFUNCTION("""COMPUTED_VALUE"""),0)</f>
        <v>0</v>
      </c>
      <c r="Q243" s="37">
        <f ca="1">IFERROR(__xludf.DUMMYFUNCTION("""COMPUTED_VALUE"""),1071)</f>
        <v>1071</v>
      </c>
      <c r="R243" s="37">
        <f ca="1">IFERROR(__xludf.DUMMYFUNCTION("""COMPUTED_VALUE"""),0)</f>
        <v>0</v>
      </c>
      <c r="S243" s="37">
        <f ca="1">IFERROR(__xludf.DUMMYFUNCTION("""COMPUTED_VALUE"""),0)</f>
        <v>0</v>
      </c>
      <c r="T243" s="37">
        <f ca="1">IFERROR(__xludf.DUMMYFUNCTION("""COMPUTED_VALUE"""),0)</f>
        <v>0</v>
      </c>
      <c r="U243" s="37">
        <f ca="1">IFERROR(__xludf.DUMMYFUNCTION("""COMPUTED_VALUE"""),0)</f>
        <v>0</v>
      </c>
      <c r="V243" s="37">
        <f ca="1">IFERROR(__xludf.DUMMYFUNCTION("""COMPUTED_VALUE"""),0)</f>
        <v>0</v>
      </c>
      <c r="W243" s="37">
        <f ca="1">IFERROR(__xludf.DUMMYFUNCTION("""COMPUTED_VALUE"""),0)</f>
        <v>0</v>
      </c>
      <c r="X243" s="37">
        <f ca="1">IFERROR(__xludf.DUMMYFUNCTION("""COMPUTED_VALUE"""),0)</f>
        <v>0</v>
      </c>
      <c r="Y243" s="37">
        <f ca="1">IFERROR(__xludf.DUMMYFUNCTION("""COMPUTED_VALUE"""),0)</f>
        <v>0</v>
      </c>
      <c r="Z243" s="37">
        <f ca="1">IFERROR(__xludf.DUMMYFUNCTION("""COMPUTED_VALUE"""),0)</f>
        <v>0</v>
      </c>
    </row>
    <row r="244" spans="1:26" ht="12.75">
      <c r="A244" s="38" t="str">
        <f ca="1">IFERROR(__xludf.DUMMYFUNCTION("""COMPUTED_VALUE"""),"Gurupi")</f>
        <v>Gurupi</v>
      </c>
      <c r="B244" s="38" t="str">
        <f ca="1">IFERROR(__xludf.DUMMYFUNCTION("""COMPUTED_VALUE"""),"Sao Salvador do Tocantins")</f>
        <v>Sao Salvador do Tocantins</v>
      </c>
      <c r="C244" s="39" t="str">
        <f ca="1">IFERROR(__xludf.DUMMYFUNCTION("""COMPUTED_VALUE"""),"A.A DA ESCOLA ESTADUAL RETIRO")</f>
        <v>A.A DA ESCOLA ESTADUAL RETIRO</v>
      </c>
      <c r="D244" s="40" t="str">
        <f ca="1">IFERROR(__xludf.DUMMYFUNCTION("""COMPUTED_VALUE"""),"04205236000115")</f>
        <v>04205236000115</v>
      </c>
      <c r="E244" s="41" t="str">
        <f ca="1">IFERROR(__xludf.DUMMYFUNCTION("""COMPUTED_VALUE"""),"001")</f>
        <v>001</v>
      </c>
      <c r="F244" s="42" t="str">
        <f ca="1">IFERROR(__xludf.DUMMYFUNCTION("""COMPUTED_VALUE"""),"4608")</f>
        <v>4608</v>
      </c>
      <c r="G244" s="42" t="str">
        <f ca="1">IFERROR(__xludf.DUMMYFUNCTION("""COMPUTED_VALUE"""),"73563")</f>
        <v>73563</v>
      </c>
      <c r="H244" s="42">
        <f ca="1">IFERROR(__xludf.DUMMYFUNCTION("""COMPUTED_VALUE"""),0)</f>
        <v>0</v>
      </c>
      <c r="I244" s="42">
        <f ca="1">IFERROR(__xludf.DUMMYFUNCTION("""COMPUTED_VALUE"""),0)</f>
        <v>0</v>
      </c>
      <c r="J244" s="42">
        <f ca="1">IFERROR(__xludf.DUMMYFUNCTION("""COMPUTED_VALUE"""),0)</f>
        <v>0</v>
      </c>
      <c r="K244" s="42">
        <f ca="1">IFERROR(__xludf.DUMMYFUNCTION("""COMPUTED_VALUE"""),5096)</f>
        <v>5096</v>
      </c>
      <c r="L244" s="42">
        <f ca="1">IFERROR(__xludf.DUMMYFUNCTION("""COMPUTED_VALUE"""),0)</f>
        <v>0</v>
      </c>
      <c r="M244" s="42">
        <f ca="1">IFERROR(__xludf.DUMMYFUNCTION("""COMPUTED_VALUE"""),0)</f>
        <v>0</v>
      </c>
      <c r="N244" s="42">
        <f ca="1">IFERROR(__xludf.DUMMYFUNCTION("""COMPUTED_VALUE"""),0)</f>
        <v>0</v>
      </c>
      <c r="O244" s="42">
        <f ca="1">IFERROR(__xludf.DUMMYFUNCTION("""COMPUTED_VALUE"""),0)</f>
        <v>0</v>
      </c>
      <c r="P244" s="42">
        <f ca="1">IFERROR(__xludf.DUMMYFUNCTION("""COMPUTED_VALUE"""),0)</f>
        <v>0</v>
      </c>
      <c r="Q244" s="42">
        <f ca="1">IFERROR(__xludf.DUMMYFUNCTION("""COMPUTED_VALUE"""),672)</f>
        <v>672</v>
      </c>
      <c r="R244" s="42">
        <f ca="1">IFERROR(__xludf.DUMMYFUNCTION("""COMPUTED_VALUE"""),0)</f>
        <v>0</v>
      </c>
      <c r="S244" s="42">
        <f ca="1">IFERROR(__xludf.DUMMYFUNCTION("""COMPUTED_VALUE"""),0)</f>
        <v>0</v>
      </c>
      <c r="T244" s="42">
        <f ca="1">IFERROR(__xludf.DUMMYFUNCTION("""COMPUTED_VALUE"""),0)</f>
        <v>0</v>
      </c>
      <c r="U244" s="42">
        <f ca="1">IFERROR(__xludf.DUMMYFUNCTION("""COMPUTED_VALUE"""),0)</f>
        <v>0</v>
      </c>
      <c r="V244" s="42">
        <f ca="1">IFERROR(__xludf.DUMMYFUNCTION("""COMPUTED_VALUE"""),0)</f>
        <v>0</v>
      </c>
      <c r="W244" s="42">
        <f ca="1">IFERROR(__xludf.DUMMYFUNCTION("""COMPUTED_VALUE"""),0)</f>
        <v>0</v>
      </c>
      <c r="X244" s="42">
        <f ca="1">IFERROR(__xludf.DUMMYFUNCTION("""COMPUTED_VALUE"""),0)</f>
        <v>0</v>
      </c>
      <c r="Y244" s="42">
        <f ca="1">IFERROR(__xludf.DUMMYFUNCTION("""COMPUTED_VALUE"""),0)</f>
        <v>0</v>
      </c>
      <c r="Z244" s="42">
        <f ca="1">IFERROR(__xludf.DUMMYFUNCTION("""COMPUTED_VALUE"""),399.2)</f>
        <v>399.2</v>
      </c>
    </row>
    <row r="245" spans="1:26" ht="12.75">
      <c r="A245" s="33" t="str">
        <f ca="1">IFERROR(__xludf.DUMMYFUNCTION("""COMPUTED_VALUE"""),"Gurupi")</f>
        <v>Gurupi</v>
      </c>
      <c r="B245" s="33" t="str">
        <f ca="1">IFERROR(__xludf.DUMMYFUNCTION("""COMPUTED_VALUE"""),"Sao Valerio da Natividade")</f>
        <v>Sao Valerio da Natividade</v>
      </c>
      <c r="C245" s="34" t="str">
        <f ca="1">IFERROR(__xludf.DUMMYFUNCTION("""COMPUTED_VALUE"""),"A.P.M.E ALUNOS COL. EST. REGINA S. CAMPOS")</f>
        <v>A.P.M.E ALUNOS COL. EST. REGINA S. CAMPOS</v>
      </c>
      <c r="D245" s="35" t="str">
        <f ca="1">IFERROR(__xludf.DUMMYFUNCTION("""COMPUTED_VALUE"""),"01431377000168")</f>
        <v>01431377000168</v>
      </c>
      <c r="E245" s="36" t="str">
        <f ca="1">IFERROR(__xludf.DUMMYFUNCTION("""COMPUTED_VALUE"""),"001")</f>
        <v>001</v>
      </c>
      <c r="F245" s="37" t="str">
        <f ca="1">IFERROR(__xludf.DUMMYFUNCTION("""COMPUTED_VALUE"""),"0794")</f>
        <v>0794</v>
      </c>
      <c r="G245" s="37" t="str">
        <f ca="1">IFERROR(__xludf.DUMMYFUNCTION("""COMPUTED_VALUE"""),"52477")</f>
        <v>52477</v>
      </c>
      <c r="H245" s="37">
        <f ca="1">IFERROR(__xludf.DUMMYFUNCTION("""COMPUTED_VALUE"""),0)</f>
        <v>0</v>
      </c>
      <c r="I245" s="37">
        <f ca="1">IFERROR(__xludf.DUMMYFUNCTION("""COMPUTED_VALUE"""),0)</f>
        <v>0</v>
      </c>
      <c r="J245" s="37">
        <f ca="1">IFERROR(__xludf.DUMMYFUNCTION("""COMPUTED_VALUE"""),6216)</f>
        <v>6216</v>
      </c>
      <c r="K245" s="37">
        <f ca="1">IFERROR(__xludf.DUMMYFUNCTION("""COMPUTED_VALUE"""),0)</f>
        <v>0</v>
      </c>
      <c r="L245" s="37">
        <f ca="1">IFERROR(__xludf.DUMMYFUNCTION("""COMPUTED_VALUE"""),0)</f>
        <v>0</v>
      </c>
      <c r="M245" s="37">
        <f ca="1">IFERROR(__xludf.DUMMYFUNCTION("""COMPUTED_VALUE"""),0)</f>
        <v>0</v>
      </c>
      <c r="N245" s="37">
        <f ca="1">IFERROR(__xludf.DUMMYFUNCTION("""COMPUTED_VALUE"""),0)</f>
        <v>0</v>
      </c>
      <c r="O245" s="37">
        <f ca="1">IFERROR(__xludf.DUMMYFUNCTION("""COMPUTED_VALUE"""),0)</f>
        <v>0</v>
      </c>
      <c r="P245" s="37">
        <f ca="1">IFERROR(__xludf.DUMMYFUNCTION("""COMPUTED_VALUE"""),966)</f>
        <v>966</v>
      </c>
      <c r="Q245" s="37">
        <f ca="1">IFERROR(__xludf.DUMMYFUNCTION("""COMPUTED_VALUE"""),7728)</f>
        <v>7728</v>
      </c>
      <c r="R245" s="37">
        <f ca="1">IFERROR(__xludf.DUMMYFUNCTION("""COMPUTED_VALUE"""),0)</f>
        <v>0</v>
      </c>
      <c r="S245" s="37">
        <f ca="1">IFERROR(__xludf.DUMMYFUNCTION("""COMPUTED_VALUE"""),0)</f>
        <v>0</v>
      </c>
      <c r="T245" s="37">
        <f ca="1">IFERROR(__xludf.DUMMYFUNCTION("""COMPUTED_VALUE"""),0)</f>
        <v>0</v>
      </c>
      <c r="U245" s="37">
        <f ca="1">IFERROR(__xludf.DUMMYFUNCTION("""COMPUTED_VALUE"""),0)</f>
        <v>0</v>
      </c>
      <c r="V245" s="37">
        <f ca="1">IFERROR(__xludf.DUMMYFUNCTION("""COMPUTED_VALUE"""),0)</f>
        <v>0</v>
      </c>
      <c r="W245" s="37">
        <f ca="1">IFERROR(__xludf.DUMMYFUNCTION("""COMPUTED_VALUE"""),0)</f>
        <v>0</v>
      </c>
      <c r="X245" s="37">
        <f ca="1">IFERROR(__xludf.DUMMYFUNCTION("""COMPUTED_VALUE"""),0)</f>
        <v>0</v>
      </c>
      <c r="Y245" s="37">
        <f ca="1">IFERROR(__xludf.DUMMYFUNCTION("""COMPUTED_VALUE"""),0)</f>
        <v>0</v>
      </c>
      <c r="Z245" s="37">
        <f ca="1">IFERROR(__xludf.DUMMYFUNCTION("""COMPUTED_VALUE"""),0)</f>
        <v>0</v>
      </c>
    </row>
    <row r="246" spans="1:26" ht="12.75">
      <c r="A246" s="38" t="str">
        <f ca="1">IFERROR(__xludf.DUMMYFUNCTION("""COMPUTED_VALUE"""),"Gurupi")</f>
        <v>Gurupi</v>
      </c>
      <c r="B246" s="38" t="str">
        <f ca="1">IFERROR(__xludf.DUMMYFUNCTION("""COMPUTED_VALUE"""),"Sucupira")</f>
        <v>Sucupira</v>
      </c>
      <c r="C246" s="39" t="str">
        <f ca="1">IFERROR(__xludf.DUMMYFUNCTION("""COMPUTED_VALUE"""),"AS. APOIO ESCOLA ESTADUAL OLAVO BILAC")</f>
        <v>AS. APOIO ESCOLA ESTADUAL OLAVO BILAC</v>
      </c>
      <c r="D246" s="40" t="str">
        <f ca="1">IFERROR(__xludf.DUMMYFUNCTION("""COMPUTED_VALUE"""),"01268287000106")</f>
        <v>01268287000106</v>
      </c>
      <c r="E246" s="41" t="str">
        <f ca="1">IFERROR(__xludf.DUMMYFUNCTION("""COMPUTED_VALUE"""),"001")</f>
        <v>001</v>
      </c>
      <c r="F246" s="42" t="str">
        <f ca="1">IFERROR(__xludf.DUMMYFUNCTION("""COMPUTED_VALUE"""),"0794")</f>
        <v>0794</v>
      </c>
      <c r="G246" s="42" t="str">
        <f ca="1">IFERROR(__xludf.DUMMYFUNCTION("""COMPUTED_VALUE"""),"245852")</f>
        <v>245852</v>
      </c>
      <c r="H246" s="42">
        <f ca="1">IFERROR(__xludf.DUMMYFUNCTION("""COMPUTED_VALUE"""),0)</f>
        <v>0</v>
      </c>
      <c r="I246" s="42">
        <f ca="1">IFERROR(__xludf.DUMMYFUNCTION("""COMPUTED_VALUE"""),0)</f>
        <v>0</v>
      </c>
      <c r="J246" s="42">
        <f ca="1">IFERROR(__xludf.DUMMYFUNCTION("""COMPUTED_VALUE"""),2898)</f>
        <v>2898</v>
      </c>
      <c r="K246" s="42">
        <f ca="1">IFERROR(__xludf.DUMMYFUNCTION("""COMPUTED_VALUE"""),0)</f>
        <v>0</v>
      </c>
      <c r="L246" s="42">
        <f ca="1">IFERROR(__xludf.DUMMYFUNCTION("""COMPUTED_VALUE"""),0)</f>
        <v>0</v>
      </c>
      <c r="M246" s="42">
        <f ca="1">IFERROR(__xludf.DUMMYFUNCTION("""COMPUTED_VALUE"""),0)</f>
        <v>0</v>
      </c>
      <c r="N246" s="42">
        <f ca="1">IFERROR(__xludf.DUMMYFUNCTION("""COMPUTED_VALUE"""),0)</f>
        <v>0</v>
      </c>
      <c r="O246" s="42">
        <f ca="1">IFERROR(__xludf.DUMMYFUNCTION("""COMPUTED_VALUE"""),0)</f>
        <v>0</v>
      </c>
      <c r="P246" s="42">
        <f ca="1">IFERROR(__xludf.DUMMYFUNCTION("""COMPUTED_VALUE"""),0)</f>
        <v>0</v>
      </c>
      <c r="Q246" s="42">
        <f ca="1">IFERROR(__xludf.DUMMYFUNCTION("""COMPUTED_VALUE"""),1344)</f>
        <v>1344</v>
      </c>
      <c r="R246" s="42">
        <f ca="1">IFERROR(__xludf.DUMMYFUNCTION("""COMPUTED_VALUE"""),0)</f>
        <v>0</v>
      </c>
      <c r="S246" s="42">
        <f ca="1">IFERROR(__xludf.DUMMYFUNCTION("""COMPUTED_VALUE"""),0)</f>
        <v>0</v>
      </c>
      <c r="T246" s="42">
        <f ca="1">IFERROR(__xludf.DUMMYFUNCTION("""COMPUTED_VALUE"""),0)</f>
        <v>0</v>
      </c>
      <c r="U246" s="42">
        <f ca="1">IFERROR(__xludf.DUMMYFUNCTION("""COMPUTED_VALUE"""),0)</f>
        <v>0</v>
      </c>
      <c r="V246" s="42">
        <f ca="1">IFERROR(__xludf.DUMMYFUNCTION("""COMPUTED_VALUE"""),0)</f>
        <v>0</v>
      </c>
      <c r="W246" s="42">
        <f ca="1">IFERROR(__xludf.DUMMYFUNCTION("""COMPUTED_VALUE"""),0)</f>
        <v>0</v>
      </c>
      <c r="X246" s="42">
        <f ca="1">IFERROR(__xludf.DUMMYFUNCTION("""COMPUTED_VALUE"""),0)</f>
        <v>0</v>
      </c>
      <c r="Y246" s="42">
        <f ca="1">IFERROR(__xludf.DUMMYFUNCTION("""COMPUTED_VALUE"""),0)</f>
        <v>0</v>
      </c>
      <c r="Z246" s="42">
        <f ca="1">IFERROR(__xludf.DUMMYFUNCTION("""COMPUTED_VALUE"""),0)</f>
        <v>0</v>
      </c>
    </row>
    <row r="247" spans="1:26" ht="12.75">
      <c r="A247" s="33" t="str">
        <f ca="1">IFERROR(__xludf.DUMMYFUNCTION("""COMPUTED_VALUE"""),"Gurupi")</f>
        <v>Gurupi</v>
      </c>
      <c r="B247" s="33" t="str">
        <f ca="1">IFERROR(__xludf.DUMMYFUNCTION("""COMPUTED_VALUE"""),"Talisma")</f>
        <v>Talisma</v>
      </c>
      <c r="C247" s="34" t="str">
        <f ca="1">IFERROR(__xludf.DUMMYFUNCTION("""COMPUTED_VALUE"""),"A.A.  DO COLEGIO ESTADUAL DE TALISMA")</f>
        <v>A.A.  DO COLEGIO ESTADUAL DE TALISMA</v>
      </c>
      <c r="D247" s="35" t="str">
        <f ca="1">IFERROR(__xludf.DUMMYFUNCTION("""COMPUTED_VALUE"""),"07547605000146")</f>
        <v>07547605000146</v>
      </c>
      <c r="E247" s="36" t="str">
        <f ca="1">IFERROR(__xludf.DUMMYFUNCTION("""COMPUTED_VALUE"""),"001")</f>
        <v>001</v>
      </c>
      <c r="F247" s="37" t="str">
        <f ca="1">IFERROR(__xludf.DUMMYFUNCTION("""COMPUTED_VALUE"""),"1303")</f>
        <v>1303</v>
      </c>
      <c r="G247" s="37" t="str">
        <f ca="1">IFERROR(__xludf.DUMMYFUNCTION("""COMPUTED_VALUE"""),"155446")</f>
        <v>155446</v>
      </c>
      <c r="H247" s="37">
        <f ca="1">IFERROR(__xludf.DUMMYFUNCTION("""COMPUTED_VALUE"""),0)</f>
        <v>0</v>
      </c>
      <c r="I247" s="37">
        <f ca="1">IFERROR(__xludf.DUMMYFUNCTION("""COMPUTED_VALUE"""),0)</f>
        <v>0</v>
      </c>
      <c r="J247" s="37">
        <f ca="1">IFERROR(__xludf.DUMMYFUNCTION("""COMPUTED_VALUE"""),0)</f>
        <v>0</v>
      </c>
      <c r="K247" s="37">
        <f ca="1">IFERROR(__xludf.DUMMYFUNCTION("""COMPUTED_VALUE"""),0)</f>
        <v>0</v>
      </c>
      <c r="L247" s="37">
        <f ca="1">IFERROR(__xludf.DUMMYFUNCTION("""COMPUTED_VALUE"""),0)</f>
        <v>0</v>
      </c>
      <c r="M247" s="37">
        <f ca="1">IFERROR(__xludf.DUMMYFUNCTION("""COMPUTED_VALUE"""),0)</f>
        <v>0</v>
      </c>
      <c r="N247" s="37">
        <f ca="1">IFERROR(__xludf.DUMMYFUNCTION("""COMPUTED_VALUE"""),0)</f>
        <v>0</v>
      </c>
      <c r="O247" s="37">
        <f ca="1">IFERROR(__xludf.DUMMYFUNCTION("""COMPUTED_VALUE"""),0)</f>
        <v>0</v>
      </c>
      <c r="P247" s="37">
        <f ca="1">IFERROR(__xludf.DUMMYFUNCTION("""COMPUTED_VALUE"""),0)</f>
        <v>0</v>
      </c>
      <c r="Q247" s="37">
        <f ca="1">IFERROR(__xludf.DUMMYFUNCTION("""COMPUTED_VALUE"""),1806)</f>
        <v>1806</v>
      </c>
      <c r="R247" s="37">
        <f ca="1">IFERROR(__xludf.DUMMYFUNCTION("""COMPUTED_VALUE"""),0)</f>
        <v>0</v>
      </c>
      <c r="S247" s="37">
        <f ca="1">IFERROR(__xludf.DUMMYFUNCTION("""COMPUTED_VALUE"""),0)</f>
        <v>0</v>
      </c>
      <c r="T247" s="37">
        <f ca="1">IFERROR(__xludf.DUMMYFUNCTION("""COMPUTED_VALUE"""),168)</f>
        <v>168</v>
      </c>
      <c r="U247" s="37">
        <f ca="1">IFERROR(__xludf.DUMMYFUNCTION("""COMPUTED_VALUE"""),0)</f>
        <v>0</v>
      </c>
      <c r="V247" s="37">
        <f ca="1">IFERROR(__xludf.DUMMYFUNCTION("""COMPUTED_VALUE"""),0)</f>
        <v>0</v>
      </c>
      <c r="W247" s="37">
        <f ca="1">IFERROR(__xludf.DUMMYFUNCTION("""COMPUTED_VALUE"""),0)</f>
        <v>0</v>
      </c>
      <c r="X247" s="37">
        <f ca="1">IFERROR(__xludf.DUMMYFUNCTION("""COMPUTED_VALUE"""),0)</f>
        <v>0</v>
      </c>
      <c r="Y247" s="37">
        <f ca="1">IFERROR(__xludf.DUMMYFUNCTION("""COMPUTED_VALUE"""),0)</f>
        <v>0</v>
      </c>
      <c r="Z247" s="37">
        <f ca="1">IFERROR(__xludf.DUMMYFUNCTION("""COMPUTED_VALUE"""),0)</f>
        <v>0</v>
      </c>
    </row>
    <row r="248" spans="1:26" ht="12.75">
      <c r="A248" s="38" t="str">
        <f ca="1">IFERROR(__xludf.DUMMYFUNCTION("""COMPUTED_VALUE"""),"Miracema")</f>
        <v>Miracema</v>
      </c>
      <c r="B248" s="38" t="str">
        <f ca="1">IFERROR(__xludf.DUMMYFUNCTION("""COMPUTED_VALUE"""),"dois Irmaos do Tocantins")</f>
        <v>dois Irmaos do Tocantins</v>
      </c>
      <c r="C248" s="39" t="str">
        <f ca="1">IFERROR(__xludf.DUMMYFUNCTION("""COMPUTED_VALUE"""),"A.C.E. COL PRES. CASTELO BRANCO")</f>
        <v>A.C.E. COL PRES. CASTELO BRANCO</v>
      </c>
      <c r="D248" s="40" t="str">
        <f ca="1">IFERROR(__xludf.DUMMYFUNCTION("""COMPUTED_VALUE"""),"01034882000179")</f>
        <v>01034882000179</v>
      </c>
      <c r="E248" s="41" t="str">
        <f ca="1">IFERROR(__xludf.DUMMYFUNCTION("""COMPUTED_VALUE"""),"001")</f>
        <v>001</v>
      </c>
      <c r="F248" s="42" t="str">
        <f ca="1">IFERROR(__xludf.DUMMYFUNCTION("""COMPUTED_VALUE"""),"0862")</f>
        <v>0862</v>
      </c>
      <c r="G248" s="42" t="str">
        <f ca="1">IFERROR(__xludf.DUMMYFUNCTION("""COMPUTED_VALUE"""),"68950")</f>
        <v>68950</v>
      </c>
      <c r="H248" s="42">
        <f ca="1">IFERROR(__xludf.DUMMYFUNCTION("""COMPUTED_VALUE"""),0)</f>
        <v>0</v>
      </c>
      <c r="I248" s="42">
        <f ca="1">IFERROR(__xludf.DUMMYFUNCTION("""COMPUTED_VALUE"""),0)</f>
        <v>0</v>
      </c>
      <c r="J248" s="42">
        <f ca="1">IFERROR(__xludf.DUMMYFUNCTION("""COMPUTED_VALUE"""),7791)</f>
        <v>7791</v>
      </c>
      <c r="K248" s="42">
        <f ca="1">IFERROR(__xludf.DUMMYFUNCTION("""COMPUTED_VALUE"""),0)</f>
        <v>0</v>
      </c>
      <c r="L248" s="42">
        <f ca="1">IFERROR(__xludf.DUMMYFUNCTION("""COMPUTED_VALUE"""),0)</f>
        <v>0</v>
      </c>
      <c r="M248" s="42">
        <f ca="1">IFERROR(__xludf.DUMMYFUNCTION("""COMPUTED_VALUE"""),0)</f>
        <v>0</v>
      </c>
      <c r="N248" s="42">
        <f ca="1">IFERROR(__xludf.DUMMYFUNCTION("""COMPUTED_VALUE"""),0)</f>
        <v>0</v>
      </c>
      <c r="O248" s="42">
        <f ca="1">IFERROR(__xludf.DUMMYFUNCTION("""COMPUTED_VALUE"""),0)</f>
        <v>0</v>
      </c>
      <c r="P248" s="42">
        <f ca="1">IFERROR(__xludf.DUMMYFUNCTION("""COMPUTED_VALUE"""),273)</f>
        <v>273</v>
      </c>
      <c r="Q248" s="42">
        <f ca="1">IFERROR(__xludf.DUMMYFUNCTION("""COMPUTED_VALUE"""),4389)</f>
        <v>4389</v>
      </c>
      <c r="R248" s="42">
        <f ca="1">IFERROR(__xludf.DUMMYFUNCTION("""COMPUTED_VALUE"""),0)</f>
        <v>0</v>
      </c>
      <c r="S248" s="42">
        <f ca="1">IFERROR(__xludf.DUMMYFUNCTION("""COMPUTED_VALUE"""),0)</f>
        <v>0</v>
      </c>
      <c r="T248" s="42">
        <f ca="1">IFERROR(__xludf.DUMMYFUNCTION("""COMPUTED_VALUE"""),0)</f>
        <v>0</v>
      </c>
      <c r="U248" s="42">
        <f ca="1">IFERROR(__xludf.DUMMYFUNCTION("""COMPUTED_VALUE"""),0)</f>
        <v>0</v>
      </c>
      <c r="V248" s="42">
        <f ca="1">IFERROR(__xludf.DUMMYFUNCTION("""COMPUTED_VALUE"""),0)</f>
        <v>0</v>
      </c>
      <c r="W248" s="42">
        <f ca="1">IFERROR(__xludf.DUMMYFUNCTION("""COMPUTED_VALUE"""),0)</f>
        <v>0</v>
      </c>
      <c r="X248" s="42">
        <f ca="1">IFERROR(__xludf.DUMMYFUNCTION("""COMPUTED_VALUE"""),0)</f>
        <v>0</v>
      </c>
      <c r="Y248" s="42">
        <f ca="1">IFERROR(__xludf.DUMMYFUNCTION("""COMPUTED_VALUE"""),0)</f>
        <v>0</v>
      </c>
      <c r="Z248" s="42">
        <f ca="1">IFERROR(__xludf.DUMMYFUNCTION("""COMPUTED_VALUE"""),0)</f>
        <v>0</v>
      </c>
    </row>
    <row r="249" spans="1:26" ht="12.75">
      <c r="A249" s="33" t="str">
        <f ca="1">IFERROR(__xludf.DUMMYFUNCTION("""COMPUTED_VALUE"""),"Miracema")</f>
        <v>Miracema</v>
      </c>
      <c r="B249" s="33" t="str">
        <f ca="1">IFERROR(__xludf.DUMMYFUNCTION("""COMPUTED_VALUE"""),"dois Irmaos do Tocantins")</f>
        <v>dois Irmaos do Tocantins</v>
      </c>
      <c r="C249" s="34" t="str">
        <f ca="1">IFERROR(__xludf.DUMMYFUNCTION("""COMPUTED_VALUE"""),"ASSOC. DE APOIO A ESCOLA ESPECIAL CLOVIS DE ASSIS")</f>
        <v>ASSOC. DE APOIO A ESCOLA ESPECIAL CLOVIS DE ASSIS</v>
      </c>
      <c r="D249" s="35" t="str">
        <f ca="1">IFERROR(__xludf.DUMMYFUNCTION("""COMPUTED_VALUE"""),"09327390000183")</f>
        <v>09327390000183</v>
      </c>
      <c r="E249" s="36" t="str">
        <f ca="1">IFERROR(__xludf.DUMMYFUNCTION("""COMPUTED_VALUE"""),"001")</f>
        <v>001</v>
      </c>
      <c r="F249" s="37" t="str">
        <f ca="1">IFERROR(__xludf.DUMMYFUNCTION("""COMPUTED_VALUE"""),"0862")</f>
        <v>0862</v>
      </c>
      <c r="G249" s="37" t="str">
        <f ca="1">IFERROR(__xludf.DUMMYFUNCTION("""COMPUTED_VALUE"""),"211087")</f>
        <v>211087</v>
      </c>
      <c r="H249" s="37">
        <f ca="1">IFERROR(__xludf.DUMMYFUNCTION("""COMPUTED_VALUE"""),0)</f>
        <v>0</v>
      </c>
      <c r="I249" s="37">
        <f ca="1">IFERROR(__xludf.DUMMYFUNCTION("""COMPUTED_VALUE"""),0)</f>
        <v>0</v>
      </c>
      <c r="J249" s="37">
        <f ca="1">IFERROR(__xludf.DUMMYFUNCTION("""COMPUTED_VALUE"""),231)</f>
        <v>231</v>
      </c>
      <c r="K249" s="37">
        <f ca="1">IFERROR(__xludf.DUMMYFUNCTION("""COMPUTED_VALUE"""),0)</f>
        <v>0</v>
      </c>
      <c r="L249" s="37">
        <f ca="1">IFERROR(__xludf.DUMMYFUNCTION("""COMPUTED_VALUE"""),0)</f>
        <v>0</v>
      </c>
      <c r="M249" s="37">
        <f ca="1">IFERROR(__xludf.DUMMYFUNCTION("""COMPUTED_VALUE"""),0)</f>
        <v>0</v>
      </c>
      <c r="N249" s="37">
        <f ca="1">IFERROR(__xludf.DUMMYFUNCTION("""COMPUTED_VALUE"""),0)</f>
        <v>0</v>
      </c>
      <c r="O249" s="37">
        <f ca="1">IFERROR(__xludf.DUMMYFUNCTION("""COMPUTED_VALUE"""),0)</f>
        <v>0</v>
      </c>
      <c r="P249" s="37">
        <f ca="1">IFERROR(__xludf.DUMMYFUNCTION("""COMPUTED_VALUE"""),294)</f>
        <v>294</v>
      </c>
      <c r="Q249" s="37">
        <f ca="1">IFERROR(__xludf.DUMMYFUNCTION("""COMPUTED_VALUE"""),0)</f>
        <v>0</v>
      </c>
      <c r="R249" s="37">
        <f ca="1">IFERROR(__xludf.DUMMYFUNCTION("""COMPUTED_VALUE"""),0)</f>
        <v>0</v>
      </c>
      <c r="S249" s="37">
        <f ca="1">IFERROR(__xludf.DUMMYFUNCTION("""COMPUTED_VALUE"""),0)</f>
        <v>0</v>
      </c>
      <c r="T249" s="37">
        <f ca="1">IFERROR(__xludf.DUMMYFUNCTION("""COMPUTED_VALUE"""),945)</f>
        <v>945</v>
      </c>
      <c r="U249" s="37">
        <f ca="1">IFERROR(__xludf.DUMMYFUNCTION("""COMPUTED_VALUE"""),0)</f>
        <v>0</v>
      </c>
      <c r="V249" s="37">
        <f ca="1">IFERROR(__xludf.DUMMYFUNCTION("""COMPUTED_VALUE"""),0)</f>
        <v>0</v>
      </c>
      <c r="W249" s="37">
        <f ca="1">IFERROR(__xludf.DUMMYFUNCTION("""COMPUTED_VALUE"""),0)</f>
        <v>0</v>
      </c>
      <c r="X249" s="37">
        <f ca="1">IFERROR(__xludf.DUMMYFUNCTION("""COMPUTED_VALUE"""),0)</f>
        <v>0</v>
      </c>
      <c r="Y249" s="37">
        <f ca="1">IFERROR(__xludf.DUMMYFUNCTION("""COMPUTED_VALUE"""),0)</f>
        <v>0</v>
      </c>
      <c r="Z249" s="37">
        <f ca="1">IFERROR(__xludf.DUMMYFUNCTION("""COMPUTED_VALUE"""),0)</f>
        <v>0</v>
      </c>
    </row>
    <row r="250" spans="1:26" ht="12.75">
      <c r="A250" s="38" t="str">
        <f ca="1">IFERROR(__xludf.DUMMYFUNCTION("""COMPUTED_VALUE"""),"Miracema")</f>
        <v>Miracema</v>
      </c>
      <c r="B250" s="38" t="str">
        <f ca="1">IFERROR(__xludf.DUMMYFUNCTION("""COMPUTED_VALUE"""),"Lizarda")</f>
        <v>Lizarda</v>
      </c>
      <c r="C250" s="39" t="str">
        <f ca="1">IFERROR(__xludf.DUMMYFUNCTION("""COMPUTED_VALUE"""),"A. ESC. COMUN. DO COL. EST. 31 DE MARCO")</f>
        <v>A. ESC. COMUN. DO COL. EST. 31 DE MARCO</v>
      </c>
      <c r="D250" s="40" t="str">
        <f ca="1">IFERROR(__xludf.DUMMYFUNCTION("""COMPUTED_VALUE"""),"01232873000192")</f>
        <v>01232873000192</v>
      </c>
      <c r="E250" s="41" t="str">
        <f ca="1">IFERROR(__xludf.DUMMYFUNCTION("""COMPUTED_VALUE"""),"001")</f>
        <v>001</v>
      </c>
      <c r="F250" s="42" t="str">
        <f ca="1">IFERROR(__xludf.DUMMYFUNCTION("""COMPUTED_VALUE"""),"0862")</f>
        <v>0862</v>
      </c>
      <c r="G250" s="42" t="str">
        <f ca="1">IFERROR(__xludf.DUMMYFUNCTION("""COMPUTED_VALUE"""),"68969")</f>
        <v>68969</v>
      </c>
      <c r="H250" s="42">
        <f ca="1">IFERROR(__xludf.DUMMYFUNCTION("""COMPUTED_VALUE"""),0)</f>
        <v>0</v>
      </c>
      <c r="I250" s="42">
        <f ca="1">IFERROR(__xludf.DUMMYFUNCTION("""COMPUTED_VALUE"""),0)</f>
        <v>0</v>
      </c>
      <c r="J250" s="42">
        <f ca="1">IFERROR(__xludf.DUMMYFUNCTION("""COMPUTED_VALUE"""),3738)</f>
        <v>3738</v>
      </c>
      <c r="K250" s="42">
        <f ca="1">IFERROR(__xludf.DUMMYFUNCTION("""COMPUTED_VALUE"""),0)</f>
        <v>0</v>
      </c>
      <c r="L250" s="42">
        <f ca="1">IFERROR(__xludf.DUMMYFUNCTION("""COMPUTED_VALUE"""),0)</f>
        <v>0</v>
      </c>
      <c r="M250" s="42">
        <f ca="1">IFERROR(__xludf.DUMMYFUNCTION("""COMPUTED_VALUE"""),0)</f>
        <v>0</v>
      </c>
      <c r="N250" s="42">
        <f ca="1">IFERROR(__xludf.DUMMYFUNCTION("""COMPUTED_VALUE"""),0)</f>
        <v>0</v>
      </c>
      <c r="O250" s="42">
        <f ca="1">IFERROR(__xludf.DUMMYFUNCTION("""COMPUTED_VALUE"""),0)</f>
        <v>0</v>
      </c>
      <c r="P250" s="42">
        <f ca="1">IFERROR(__xludf.DUMMYFUNCTION("""COMPUTED_VALUE"""),231)</f>
        <v>231</v>
      </c>
      <c r="Q250" s="42">
        <f ca="1">IFERROR(__xludf.DUMMYFUNCTION("""COMPUTED_VALUE"""),3381)</f>
        <v>3381</v>
      </c>
      <c r="R250" s="42">
        <f ca="1">IFERROR(__xludf.DUMMYFUNCTION("""COMPUTED_VALUE"""),0)</f>
        <v>0</v>
      </c>
      <c r="S250" s="42">
        <f ca="1">IFERROR(__xludf.DUMMYFUNCTION("""COMPUTED_VALUE"""),0)</f>
        <v>0</v>
      </c>
      <c r="T250" s="42">
        <f ca="1">IFERROR(__xludf.DUMMYFUNCTION("""COMPUTED_VALUE"""),0)</f>
        <v>0</v>
      </c>
      <c r="U250" s="42">
        <f ca="1">IFERROR(__xludf.DUMMYFUNCTION("""COMPUTED_VALUE"""),0)</f>
        <v>0</v>
      </c>
      <c r="V250" s="42">
        <f ca="1">IFERROR(__xludf.DUMMYFUNCTION("""COMPUTED_VALUE"""),0)</f>
        <v>0</v>
      </c>
      <c r="W250" s="42">
        <f ca="1">IFERROR(__xludf.DUMMYFUNCTION("""COMPUTED_VALUE"""),0)</f>
        <v>0</v>
      </c>
      <c r="X250" s="42">
        <f ca="1">IFERROR(__xludf.DUMMYFUNCTION("""COMPUTED_VALUE"""),0)</f>
        <v>0</v>
      </c>
      <c r="Y250" s="42">
        <f ca="1">IFERROR(__xludf.DUMMYFUNCTION("""COMPUTED_VALUE"""),0)</f>
        <v>0</v>
      </c>
      <c r="Z250" s="42">
        <f ca="1">IFERROR(__xludf.DUMMYFUNCTION("""COMPUTED_VALUE"""),0)</f>
        <v>0</v>
      </c>
    </row>
    <row r="251" spans="1:26" ht="12.75">
      <c r="A251" s="33" t="str">
        <f ca="1">IFERROR(__xludf.DUMMYFUNCTION("""COMPUTED_VALUE"""),"Miracema")</f>
        <v>Miracema</v>
      </c>
      <c r="B251" s="33" t="str">
        <f ca="1">IFERROR(__xludf.DUMMYFUNCTION("""COMPUTED_VALUE"""),"Lizarda")</f>
        <v>Lizarda</v>
      </c>
      <c r="C251" s="34" t="str">
        <f ca="1">IFERROR(__xludf.DUMMYFUNCTION("""COMPUTED_VALUE"""),"ESCOLA ESTADUAL AYRTON SENNA")</f>
        <v>ESCOLA ESTADUAL AYRTON SENNA</v>
      </c>
      <c r="D251" s="35" t="str">
        <f ca="1">IFERROR(__xludf.DUMMYFUNCTION("""COMPUTED_VALUE"""),"11406586000105")</f>
        <v>11406586000105</v>
      </c>
      <c r="E251" s="36" t="str">
        <f ca="1">IFERROR(__xludf.DUMMYFUNCTION("""COMPUTED_VALUE"""),"001")</f>
        <v>001</v>
      </c>
      <c r="F251" s="37" t="str">
        <f ca="1">IFERROR(__xludf.DUMMYFUNCTION("""COMPUTED_VALUE"""),"0862")</f>
        <v>0862</v>
      </c>
      <c r="G251" s="37" t="str">
        <f ca="1">IFERROR(__xludf.DUMMYFUNCTION("""COMPUTED_VALUE"""),"270393")</f>
        <v>270393</v>
      </c>
      <c r="H251" s="37">
        <f ca="1">IFERROR(__xludf.DUMMYFUNCTION("""COMPUTED_VALUE"""),0)</f>
        <v>0</v>
      </c>
      <c r="I251" s="37">
        <f ca="1">IFERROR(__xludf.DUMMYFUNCTION("""COMPUTED_VALUE"""),0)</f>
        <v>0</v>
      </c>
      <c r="J251" s="37">
        <f ca="1">IFERROR(__xludf.DUMMYFUNCTION("""COMPUTED_VALUE"""),1428)</f>
        <v>1428</v>
      </c>
      <c r="K251" s="37">
        <f ca="1">IFERROR(__xludf.DUMMYFUNCTION("""COMPUTED_VALUE"""),0)</f>
        <v>0</v>
      </c>
      <c r="L251" s="37">
        <f ca="1">IFERROR(__xludf.DUMMYFUNCTION("""COMPUTED_VALUE"""),0)</f>
        <v>0</v>
      </c>
      <c r="M251" s="37">
        <f ca="1">IFERROR(__xludf.DUMMYFUNCTION("""COMPUTED_VALUE"""),0)</f>
        <v>0</v>
      </c>
      <c r="N251" s="37">
        <f ca="1">IFERROR(__xludf.DUMMYFUNCTION("""COMPUTED_VALUE"""),0)</f>
        <v>0</v>
      </c>
      <c r="O251" s="37">
        <f ca="1">IFERROR(__xludf.DUMMYFUNCTION("""COMPUTED_VALUE"""),0)</f>
        <v>0</v>
      </c>
      <c r="P251" s="37">
        <f ca="1">IFERROR(__xludf.DUMMYFUNCTION("""COMPUTED_VALUE"""),105)</f>
        <v>105</v>
      </c>
      <c r="Q251" s="37">
        <f ca="1">IFERROR(__xludf.DUMMYFUNCTION("""COMPUTED_VALUE"""),525)</f>
        <v>525</v>
      </c>
      <c r="R251" s="37">
        <f ca="1">IFERROR(__xludf.DUMMYFUNCTION("""COMPUTED_VALUE"""),0)</f>
        <v>0</v>
      </c>
      <c r="S251" s="37">
        <f ca="1">IFERROR(__xludf.DUMMYFUNCTION("""COMPUTED_VALUE"""),0)</f>
        <v>0</v>
      </c>
      <c r="T251" s="37">
        <f ca="1">IFERROR(__xludf.DUMMYFUNCTION("""COMPUTED_VALUE"""),0)</f>
        <v>0</v>
      </c>
      <c r="U251" s="37">
        <f ca="1">IFERROR(__xludf.DUMMYFUNCTION("""COMPUTED_VALUE"""),0)</f>
        <v>0</v>
      </c>
      <c r="V251" s="37">
        <f ca="1">IFERROR(__xludf.DUMMYFUNCTION("""COMPUTED_VALUE"""),0)</f>
        <v>0</v>
      </c>
      <c r="W251" s="37">
        <f ca="1">IFERROR(__xludf.DUMMYFUNCTION("""COMPUTED_VALUE"""),0)</f>
        <v>0</v>
      </c>
      <c r="X251" s="37">
        <f ca="1">IFERROR(__xludf.DUMMYFUNCTION("""COMPUTED_VALUE"""),0)</f>
        <v>0</v>
      </c>
      <c r="Y251" s="37">
        <f ca="1">IFERROR(__xludf.DUMMYFUNCTION("""COMPUTED_VALUE"""),0)</f>
        <v>0</v>
      </c>
      <c r="Z251" s="37">
        <f ca="1">IFERROR(__xludf.DUMMYFUNCTION("""COMPUTED_VALUE"""),0)</f>
        <v>0</v>
      </c>
    </row>
    <row r="252" spans="1:26" ht="12.75">
      <c r="A252" s="38" t="str">
        <f ca="1">IFERROR(__xludf.DUMMYFUNCTION("""COMPUTED_VALUE"""),"Miracema")</f>
        <v>Miracema</v>
      </c>
      <c r="B252" s="38" t="str">
        <f ca="1">IFERROR(__xludf.DUMMYFUNCTION("""COMPUTED_VALUE"""),"Miracema do Tocantins")</f>
        <v>Miracema do Tocantins</v>
      </c>
      <c r="C252" s="39" t="str">
        <f ca="1">IFERROR(__xludf.DUMMYFUNCTION("""COMPUTED_VALUE"""),"ASSOCIAÇÃO DE APOIO ÀS ESCOLAS INDIGENAS XERENTE")</f>
        <v>ASSOCIAÇÃO DE APOIO ÀS ESCOLAS INDIGENAS XERENTE</v>
      </c>
      <c r="D252" s="40" t="str">
        <f ca="1">IFERROR(__xludf.DUMMYFUNCTION("""COMPUTED_VALUE"""),"07671600000120")</f>
        <v>07671600000120</v>
      </c>
      <c r="E252" s="41" t="str">
        <f ca="1">IFERROR(__xludf.DUMMYFUNCTION("""COMPUTED_VALUE"""),"001")</f>
        <v>001</v>
      </c>
      <c r="F252" s="42" t="str">
        <f ca="1">IFERROR(__xludf.DUMMYFUNCTION("""COMPUTED_VALUE"""),"0862")</f>
        <v>0862</v>
      </c>
      <c r="G252" s="42" t="str">
        <f ca="1">IFERROR(__xludf.DUMMYFUNCTION("""COMPUTED_VALUE"""),"185884")</f>
        <v>185884</v>
      </c>
      <c r="H252" s="42">
        <f ca="1">IFERROR(__xludf.DUMMYFUNCTION("""COMPUTED_VALUE"""),0)</f>
        <v>0</v>
      </c>
      <c r="I252" s="42">
        <f ca="1">IFERROR(__xludf.DUMMYFUNCTION("""COMPUTED_VALUE"""),0)</f>
        <v>0</v>
      </c>
      <c r="J252" s="42">
        <f ca="1">IFERROR(__xludf.DUMMYFUNCTION("""COMPUTED_VALUE"""),0)</f>
        <v>0</v>
      </c>
      <c r="K252" s="42">
        <f ca="1">IFERROR(__xludf.DUMMYFUNCTION("""COMPUTED_VALUE"""),0)</f>
        <v>0</v>
      </c>
      <c r="L252" s="42">
        <f ca="1">IFERROR(__xludf.DUMMYFUNCTION("""COMPUTED_VALUE"""),0)</f>
        <v>0</v>
      </c>
      <c r="M252" s="42">
        <f ca="1">IFERROR(__xludf.DUMMYFUNCTION("""COMPUTED_VALUE"""),0)</f>
        <v>0</v>
      </c>
      <c r="N252" s="42">
        <f ca="1">IFERROR(__xludf.DUMMYFUNCTION("""COMPUTED_VALUE"""),0)</f>
        <v>0</v>
      </c>
      <c r="O252" s="42">
        <f ca="1">IFERROR(__xludf.DUMMYFUNCTION("""COMPUTED_VALUE"""),22974)</f>
        <v>22974</v>
      </c>
      <c r="P252" s="42">
        <f ca="1">IFERROR(__xludf.DUMMYFUNCTION("""COMPUTED_VALUE"""),0)</f>
        <v>0</v>
      </c>
      <c r="Q252" s="42">
        <f ca="1">IFERROR(__xludf.DUMMYFUNCTION("""COMPUTED_VALUE"""),0)</f>
        <v>0</v>
      </c>
      <c r="R252" s="42">
        <f ca="1">IFERROR(__xludf.DUMMYFUNCTION("""COMPUTED_VALUE"""),0)</f>
        <v>0</v>
      </c>
      <c r="S252" s="42">
        <f ca="1">IFERROR(__xludf.DUMMYFUNCTION("""COMPUTED_VALUE"""),0)</f>
        <v>0</v>
      </c>
      <c r="T252" s="42">
        <f ca="1">IFERROR(__xludf.DUMMYFUNCTION("""COMPUTED_VALUE"""),0)</f>
        <v>0</v>
      </c>
      <c r="U252" s="42">
        <f ca="1">IFERROR(__xludf.DUMMYFUNCTION("""COMPUTED_VALUE"""),0)</f>
        <v>0</v>
      </c>
      <c r="V252" s="42">
        <f ca="1">IFERROR(__xludf.DUMMYFUNCTION("""COMPUTED_VALUE"""),0)</f>
        <v>0</v>
      </c>
      <c r="W252" s="42">
        <f ca="1">IFERROR(__xludf.DUMMYFUNCTION("""COMPUTED_VALUE"""),0)</f>
        <v>0</v>
      </c>
      <c r="X252" s="42">
        <f ca="1">IFERROR(__xludf.DUMMYFUNCTION("""COMPUTED_VALUE"""),0)</f>
        <v>0</v>
      </c>
      <c r="Y252" s="42">
        <f ca="1">IFERROR(__xludf.DUMMYFUNCTION("""COMPUTED_VALUE"""),0)</f>
        <v>0</v>
      </c>
      <c r="Z252" s="42">
        <f ca="1">IFERROR(__xludf.DUMMYFUNCTION("""COMPUTED_VALUE"""),0)</f>
        <v>0</v>
      </c>
    </row>
    <row r="253" spans="1:26" ht="12.75">
      <c r="A253" s="33" t="str">
        <f ca="1">IFERROR(__xludf.DUMMYFUNCTION("""COMPUTED_VALUE"""),"Miracema")</f>
        <v>Miracema</v>
      </c>
      <c r="B253" s="33" t="str">
        <f ca="1">IFERROR(__xludf.DUMMYFUNCTION("""COMPUTED_VALUE"""),"Miracema do Tocantins")</f>
        <v>Miracema do Tocantins</v>
      </c>
      <c r="C253" s="34" t="str">
        <f ca="1">IFERROR(__xludf.DUMMYFUNCTION("""COMPUTED_VALUE"""),"ASSOC ESC COM COL EST FILOMENA MOREIRA DE PAULA")</f>
        <v>ASSOC ESC COM COL EST FILOMENA MOREIRA DE PAULA</v>
      </c>
      <c r="D253" s="35" t="str">
        <f ca="1">IFERROR(__xludf.DUMMYFUNCTION("""COMPUTED_VALUE"""),"00900200000109")</f>
        <v>00900200000109</v>
      </c>
      <c r="E253" s="36" t="str">
        <f ca="1">IFERROR(__xludf.DUMMYFUNCTION("""COMPUTED_VALUE"""),"001")</f>
        <v>001</v>
      </c>
      <c r="F253" s="37" t="str">
        <f ca="1">IFERROR(__xludf.DUMMYFUNCTION("""COMPUTED_VALUE"""),"0862")</f>
        <v>0862</v>
      </c>
      <c r="G253" s="37" t="str">
        <f ca="1">IFERROR(__xludf.DUMMYFUNCTION("""COMPUTED_VALUE"""),"97527")</f>
        <v>97527</v>
      </c>
      <c r="H253" s="37">
        <f ca="1">IFERROR(__xludf.DUMMYFUNCTION("""COMPUTED_VALUE"""),0)</f>
        <v>0</v>
      </c>
      <c r="I253" s="37">
        <f ca="1">IFERROR(__xludf.DUMMYFUNCTION("""COMPUTED_VALUE"""),0)</f>
        <v>0</v>
      </c>
      <c r="J253" s="37">
        <f ca="1">IFERROR(__xludf.DUMMYFUNCTION("""COMPUTED_VALUE"""),0)</f>
        <v>0</v>
      </c>
      <c r="K253" s="37">
        <f ca="1">IFERROR(__xludf.DUMMYFUNCTION("""COMPUTED_VALUE"""),0)</f>
        <v>0</v>
      </c>
      <c r="L253" s="37">
        <f ca="1">IFERROR(__xludf.DUMMYFUNCTION("""COMPUTED_VALUE"""),0)</f>
        <v>0</v>
      </c>
      <c r="M253" s="37">
        <f ca="1">IFERROR(__xludf.DUMMYFUNCTION("""COMPUTED_VALUE"""),0)</f>
        <v>0</v>
      </c>
      <c r="N253" s="37">
        <f ca="1">IFERROR(__xludf.DUMMYFUNCTION("""COMPUTED_VALUE"""),0)</f>
        <v>0</v>
      </c>
      <c r="O253" s="37">
        <f ca="1">IFERROR(__xludf.DUMMYFUNCTION("""COMPUTED_VALUE"""),0)</f>
        <v>0</v>
      </c>
      <c r="P253" s="37">
        <f ca="1">IFERROR(__xludf.DUMMYFUNCTION("""COMPUTED_VALUE"""),315)</f>
        <v>315</v>
      </c>
      <c r="Q253" s="37">
        <f ca="1">IFERROR(__xludf.DUMMYFUNCTION("""COMPUTED_VALUE"""),0)</f>
        <v>0</v>
      </c>
      <c r="R253" s="37">
        <f ca="1">IFERROR(__xludf.DUMMYFUNCTION("""COMPUTED_VALUE"""),0)</f>
        <v>0</v>
      </c>
      <c r="S253" s="37">
        <f ca="1">IFERROR(__xludf.DUMMYFUNCTION("""COMPUTED_VALUE"""),8785.4)</f>
        <v>8785.4</v>
      </c>
      <c r="T253" s="37">
        <f ca="1">IFERROR(__xludf.DUMMYFUNCTION("""COMPUTED_VALUE"""),0)</f>
        <v>0</v>
      </c>
      <c r="U253" s="37">
        <f ca="1">IFERROR(__xludf.DUMMYFUNCTION("""COMPUTED_VALUE"""),0)</f>
        <v>0</v>
      </c>
      <c r="V253" s="37">
        <f ca="1">IFERROR(__xludf.DUMMYFUNCTION("""COMPUTED_VALUE"""),0)</f>
        <v>0</v>
      </c>
      <c r="W253" s="37">
        <f ca="1">IFERROR(__xludf.DUMMYFUNCTION("""COMPUTED_VALUE"""),844.199999999999)</f>
        <v>844.19999999999902</v>
      </c>
      <c r="X253" s="37">
        <f ca="1">IFERROR(__xludf.DUMMYFUNCTION("""COMPUTED_VALUE"""),0)</f>
        <v>0</v>
      </c>
      <c r="Y253" s="37">
        <f ca="1">IFERROR(__xludf.DUMMYFUNCTION("""COMPUTED_VALUE"""),0)</f>
        <v>0</v>
      </c>
      <c r="Z253" s="37">
        <f ca="1">IFERROR(__xludf.DUMMYFUNCTION("""COMPUTED_VALUE"""),0)</f>
        <v>0</v>
      </c>
    </row>
    <row r="254" spans="1:26" ht="12.75">
      <c r="A254" s="38" t="str">
        <f ca="1">IFERROR(__xludf.DUMMYFUNCTION("""COMPUTED_VALUE"""),"Miracema")</f>
        <v>Miracema</v>
      </c>
      <c r="B254" s="38" t="str">
        <f ca="1">IFERROR(__xludf.DUMMYFUNCTION("""COMPUTED_VALUE"""),"Miracema do Tocantins")</f>
        <v>Miracema do Tocantins</v>
      </c>
      <c r="C254" s="39" t="str">
        <f ca="1">IFERROR(__xludf.DUMMYFUNCTION("""COMPUTED_VALUE"""),"ASS. DE APOIO AO CEM SANTA TEREZINHA")</f>
        <v>ASS. DE APOIO AO CEM SANTA TEREZINHA</v>
      </c>
      <c r="D254" s="40" t="str">
        <f ca="1">IFERROR(__xludf.DUMMYFUNCTION("""COMPUTED_VALUE"""),"01085211000137")</f>
        <v>01085211000137</v>
      </c>
      <c r="E254" s="41" t="str">
        <f ca="1">IFERROR(__xludf.DUMMYFUNCTION("""COMPUTED_VALUE"""),"001")</f>
        <v>001</v>
      </c>
      <c r="F254" s="42" t="str">
        <f ca="1">IFERROR(__xludf.DUMMYFUNCTION("""COMPUTED_VALUE"""),"0862")</f>
        <v>0862</v>
      </c>
      <c r="G254" s="42" t="str">
        <f ca="1">IFERROR(__xludf.DUMMYFUNCTION("""COMPUTED_VALUE"""),"244589")</f>
        <v>244589</v>
      </c>
      <c r="H254" s="42">
        <f ca="1">IFERROR(__xludf.DUMMYFUNCTION("""COMPUTED_VALUE"""),0)</f>
        <v>0</v>
      </c>
      <c r="I254" s="42">
        <f ca="1">IFERROR(__xludf.DUMMYFUNCTION("""COMPUTED_VALUE"""),0)</f>
        <v>0</v>
      </c>
      <c r="J254" s="42">
        <f ca="1">IFERROR(__xludf.DUMMYFUNCTION("""COMPUTED_VALUE"""),5901)</f>
        <v>5901</v>
      </c>
      <c r="K254" s="42">
        <f ca="1">IFERROR(__xludf.DUMMYFUNCTION("""COMPUTED_VALUE"""),0)</f>
        <v>0</v>
      </c>
      <c r="L254" s="42">
        <f ca="1">IFERROR(__xludf.DUMMYFUNCTION("""COMPUTED_VALUE"""),0)</f>
        <v>0</v>
      </c>
      <c r="M254" s="42">
        <f ca="1">IFERROR(__xludf.DUMMYFUNCTION("""COMPUTED_VALUE"""),0)</f>
        <v>0</v>
      </c>
      <c r="N254" s="42">
        <f ca="1">IFERROR(__xludf.DUMMYFUNCTION("""COMPUTED_VALUE"""),0)</f>
        <v>0</v>
      </c>
      <c r="O254" s="42">
        <f ca="1">IFERROR(__xludf.DUMMYFUNCTION("""COMPUTED_VALUE"""),0)</f>
        <v>0</v>
      </c>
      <c r="P254" s="42">
        <f ca="1">IFERROR(__xludf.DUMMYFUNCTION("""COMPUTED_VALUE"""),420)</f>
        <v>420</v>
      </c>
      <c r="Q254" s="42">
        <f ca="1">IFERROR(__xludf.DUMMYFUNCTION("""COMPUTED_VALUE"""),3570)</f>
        <v>3570</v>
      </c>
      <c r="R254" s="42">
        <f ca="1">IFERROR(__xludf.DUMMYFUNCTION("""COMPUTED_VALUE"""),0)</f>
        <v>0</v>
      </c>
      <c r="S254" s="42">
        <f ca="1">IFERROR(__xludf.DUMMYFUNCTION("""COMPUTED_VALUE"""),0)</f>
        <v>0</v>
      </c>
      <c r="T254" s="42">
        <f ca="1">IFERROR(__xludf.DUMMYFUNCTION("""COMPUTED_VALUE"""),0)</f>
        <v>0</v>
      </c>
      <c r="U254" s="42">
        <f ca="1">IFERROR(__xludf.DUMMYFUNCTION("""COMPUTED_VALUE"""),0)</f>
        <v>0</v>
      </c>
      <c r="V254" s="42">
        <f ca="1">IFERROR(__xludf.DUMMYFUNCTION("""COMPUTED_VALUE"""),0)</f>
        <v>0</v>
      </c>
      <c r="W254" s="42">
        <f ca="1">IFERROR(__xludf.DUMMYFUNCTION("""COMPUTED_VALUE"""),0)</f>
        <v>0</v>
      </c>
      <c r="X254" s="42">
        <f ca="1">IFERROR(__xludf.DUMMYFUNCTION("""COMPUTED_VALUE"""),0)</f>
        <v>0</v>
      </c>
      <c r="Y254" s="42">
        <f ca="1">IFERROR(__xludf.DUMMYFUNCTION("""COMPUTED_VALUE"""),0)</f>
        <v>0</v>
      </c>
      <c r="Z254" s="42">
        <f ca="1">IFERROR(__xludf.DUMMYFUNCTION("""COMPUTED_VALUE"""),0)</f>
        <v>0</v>
      </c>
    </row>
    <row r="255" spans="1:26" ht="12.75">
      <c r="A255" s="33" t="str">
        <f ca="1">IFERROR(__xludf.DUMMYFUNCTION("""COMPUTED_VALUE"""),"Miracema")</f>
        <v>Miracema</v>
      </c>
      <c r="B255" s="33" t="str">
        <f ca="1">IFERROR(__xludf.DUMMYFUNCTION("""COMPUTED_VALUE"""),"Miracema do Tocantins")</f>
        <v>Miracema do Tocantins</v>
      </c>
      <c r="C255" s="34" t="str">
        <f ca="1">IFERROR(__xludf.DUMMYFUNCTION("""COMPUTED_VALUE"""),"SOCIEDADE EDUCADORA FEMININA/COLÉGIO TOCANTINS")</f>
        <v>SOCIEDADE EDUCADORA FEMININA/COLÉGIO TOCANTINS</v>
      </c>
      <c r="D255" s="35" t="str">
        <f ca="1">IFERROR(__xludf.DUMMYFUNCTION("""COMPUTED_VALUE"""),"61373585000694")</f>
        <v>61373585000694</v>
      </c>
      <c r="E255" s="36" t="str">
        <f ca="1">IFERROR(__xludf.DUMMYFUNCTION("""COMPUTED_VALUE"""),"001")</f>
        <v>001</v>
      </c>
      <c r="F255" s="37" t="str">
        <f ca="1">IFERROR(__xludf.DUMMYFUNCTION("""COMPUTED_VALUE"""),"0862")</f>
        <v>0862</v>
      </c>
      <c r="G255" s="37" t="str">
        <f ca="1">IFERROR(__xludf.DUMMYFUNCTION("""COMPUTED_VALUE"""),"69086")</f>
        <v>69086</v>
      </c>
      <c r="H255" s="37">
        <f ca="1">IFERROR(__xludf.DUMMYFUNCTION("""COMPUTED_VALUE"""),0)</f>
        <v>0</v>
      </c>
      <c r="I255" s="37">
        <f ca="1">IFERROR(__xludf.DUMMYFUNCTION("""COMPUTED_VALUE"""),0)</f>
        <v>0</v>
      </c>
      <c r="J255" s="37">
        <f ca="1">IFERROR(__xludf.DUMMYFUNCTION("""COMPUTED_VALUE"""),4998)</f>
        <v>4998</v>
      </c>
      <c r="K255" s="37">
        <f ca="1">IFERROR(__xludf.DUMMYFUNCTION("""COMPUTED_VALUE"""),0)</f>
        <v>0</v>
      </c>
      <c r="L255" s="37">
        <f ca="1">IFERROR(__xludf.DUMMYFUNCTION("""COMPUTED_VALUE"""),0)</f>
        <v>0</v>
      </c>
      <c r="M255" s="37">
        <f ca="1">IFERROR(__xludf.DUMMYFUNCTION("""COMPUTED_VALUE"""),0)</f>
        <v>0</v>
      </c>
      <c r="N255" s="37">
        <f ca="1">IFERROR(__xludf.DUMMYFUNCTION("""COMPUTED_VALUE"""),0)</f>
        <v>0</v>
      </c>
      <c r="O255" s="37">
        <f ca="1">IFERROR(__xludf.DUMMYFUNCTION("""COMPUTED_VALUE"""),0)</f>
        <v>0</v>
      </c>
      <c r="P255" s="37">
        <f ca="1">IFERROR(__xludf.DUMMYFUNCTION("""COMPUTED_VALUE"""),273)</f>
        <v>273</v>
      </c>
      <c r="Q255" s="37">
        <f ca="1">IFERROR(__xludf.DUMMYFUNCTION("""COMPUTED_VALUE"""),4998)</f>
        <v>4998</v>
      </c>
      <c r="R255" s="37">
        <f ca="1">IFERROR(__xludf.DUMMYFUNCTION("""COMPUTED_VALUE"""),0)</f>
        <v>0</v>
      </c>
      <c r="S255" s="37">
        <f ca="1">IFERROR(__xludf.DUMMYFUNCTION("""COMPUTED_VALUE"""),0)</f>
        <v>0</v>
      </c>
      <c r="T255" s="37">
        <f ca="1">IFERROR(__xludf.DUMMYFUNCTION("""COMPUTED_VALUE"""),0)</f>
        <v>0</v>
      </c>
      <c r="U255" s="37">
        <f ca="1">IFERROR(__xludf.DUMMYFUNCTION("""COMPUTED_VALUE"""),0)</f>
        <v>0</v>
      </c>
      <c r="V255" s="37">
        <f ca="1">IFERROR(__xludf.DUMMYFUNCTION("""COMPUTED_VALUE"""),0)</f>
        <v>0</v>
      </c>
      <c r="W255" s="37">
        <f ca="1">IFERROR(__xludf.DUMMYFUNCTION("""COMPUTED_VALUE"""),0)</f>
        <v>0</v>
      </c>
      <c r="X255" s="37">
        <f ca="1">IFERROR(__xludf.DUMMYFUNCTION("""COMPUTED_VALUE"""),0)</f>
        <v>0</v>
      </c>
      <c r="Y255" s="37">
        <f ca="1">IFERROR(__xludf.DUMMYFUNCTION("""COMPUTED_VALUE"""),0)</f>
        <v>0</v>
      </c>
      <c r="Z255" s="37">
        <f ca="1">IFERROR(__xludf.DUMMYFUNCTION("""COMPUTED_VALUE"""),0)</f>
        <v>0</v>
      </c>
    </row>
    <row r="256" spans="1:26" ht="12.75">
      <c r="A256" s="38" t="str">
        <f ca="1">IFERROR(__xludf.DUMMYFUNCTION("""COMPUTED_VALUE"""),"Miracema")</f>
        <v>Miracema</v>
      </c>
      <c r="B256" s="38" t="str">
        <f ca="1">IFERROR(__xludf.DUMMYFUNCTION("""COMPUTED_VALUE"""),"Miracema do Tocantins")</f>
        <v>Miracema do Tocantins</v>
      </c>
      <c r="C256" s="39" t="str">
        <f ca="1">IFERROR(__xludf.DUMMYFUNCTION("""COMPUTED_VALUE"""),"A.P.A.DOS EXECEPCIONAIS DE MIRACEMA - APAE")</f>
        <v>A.P.A.DOS EXECEPCIONAIS DE MIRACEMA - APAE</v>
      </c>
      <c r="D256" s="40" t="str">
        <f ca="1">IFERROR(__xludf.DUMMYFUNCTION("""COMPUTED_VALUE"""),"38146965000160")</f>
        <v>38146965000160</v>
      </c>
      <c r="E256" s="41" t="str">
        <f ca="1">IFERROR(__xludf.DUMMYFUNCTION("""COMPUTED_VALUE"""),"001")</f>
        <v>001</v>
      </c>
      <c r="F256" s="42" t="str">
        <f ca="1">IFERROR(__xludf.DUMMYFUNCTION("""COMPUTED_VALUE"""),"0862")</f>
        <v>0862</v>
      </c>
      <c r="G256" s="42" t="str">
        <f ca="1">IFERROR(__xludf.DUMMYFUNCTION("""COMPUTED_VALUE"""),"93734")</f>
        <v>93734</v>
      </c>
      <c r="H256" s="42">
        <f ca="1">IFERROR(__xludf.DUMMYFUNCTION("""COMPUTED_VALUE"""),0)</f>
        <v>0</v>
      </c>
      <c r="I256" s="42">
        <f ca="1">IFERROR(__xludf.DUMMYFUNCTION("""COMPUTED_VALUE"""),357)</f>
        <v>357</v>
      </c>
      <c r="J256" s="42">
        <f ca="1">IFERROR(__xludf.DUMMYFUNCTION("""COMPUTED_VALUE"""),504)</f>
        <v>504</v>
      </c>
      <c r="K256" s="42">
        <f ca="1">IFERROR(__xludf.DUMMYFUNCTION("""COMPUTED_VALUE"""),0)</f>
        <v>0</v>
      </c>
      <c r="L256" s="42">
        <f ca="1">IFERROR(__xludf.DUMMYFUNCTION("""COMPUTED_VALUE"""),0)</f>
        <v>0</v>
      </c>
      <c r="M256" s="42">
        <f ca="1">IFERROR(__xludf.DUMMYFUNCTION("""COMPUTED_VALUE"""),0)</f>
        <v>0</v>
      </c>
      <c r="N256" s="42">
        <f ca="1">IFERROR(__xludf.DUMMYFUNCTION("""COMPUTED_VALUE"""),0)</f>
        <v>0</v>
      </c>
      <c r="O256" s="42">
        <f ca="1">IFERROR(__xludf.DUMMYFUNCTION("""COMPUTED_VALUE"""),0)</f>
        <v>0</v>
      </c>
      <c r="P256" s="42">
        <f ca="1">IFERROR(__xludf.DUMMYFUNCTION("""COMPUTED_VALUE"""),252)</f>
        <v>252</v>
      </c>
      <c r="Q256" s="42">
        <f ca="1">IFERROR(__xludf.DUMMYFUNCTION("""COMPUTED_VALUE"""),0)</f>
        <v>0</v>
      </c>
      <c r="R256" s="42">
        <f ca="1">IFERROR(__xludf.DUMMYFUNCTION("""COMPUTED_VALUE"""),0)</f>
        <v>0</v>
      </c>
      <c r="S256" s="42">
        <f ca="1">IFERROR(__xludf.DUMMYFUNCTION("""COMPUTED_VALUE"""),0)</f>
        <v>0</v>
      </c>
      <c r="T256" s="42">
        <f ca="1">IFERROR(__xludf.DUMMYFUNCTION("""COMPUTED_VALUE"""),1512)</f>
        <v>1512</v>
      </c>
      <c r="U256" s="42">
        <f ca="1">IFERROR(__xludf.DUMMYFUNCTION("""COMPUTED_VALUE"""),0)</f>
        <v>0</v>
      </c>
      <c r="V256" s="42">
        <f ca="1">IFERROR(__xludf.DUMMYFUNCTION("""COMPUTED_VALUE"""),0)</f>
        <v>0</v>
      </c>
      <c r="W256" s="42">
        <f ca="1">IFERROR(__xludf.DUMMYFUNCTION("""COMPUTED_VALUE"""),0)</f>
        <v>0</v>
      </c>
      <c r="X256" s="42">
        <f ca="1">IFERROR(__xludf.DUMMYFUNCTION("""COMPUTED_VALUE"""),0)</f>
        <v>0</v>
      </c>
      <c r="Y256" s="42">
        <f ca="1">IFERROR(__xludf.DUMMYFUNCTION("""COMPUTED_VALUE"""),0)</f>
        <v>0</v>
      </c>
      <c r="Z256" s="42">
        <f ca="1">IFERROR(__xludf.DUMMYFUNCTION("""COMPUTED_VALUE"""),0)</f>
        <v>0</v>
      </c>
    </row>
    <row r="257" spans="1:26" ht="12.75">
      <c r="A257" s="33" t="str">
        <f ca="1">IFERROR(__xludf.DUMMYFUNCTION("""COMPUTED_VALUE"""),"Miracema")</f>
        <v>Miracema</v>
      </c>
      <c r="B257" s="33" t="str">
        <f ca="1">IFERROR(__xludf.DUMMYFUNCTION("""COMPUTED_VALUE"""),"Miracema do Tocantins")</f>
        <v>Miracema do Tocantins</v>
      </c>
      <c r="C257" s="34" t="str">
        <f ca="1">IFERROR(__xludf.DUMMYFUNCTION("""COMPUTED_VALUE"""),"A.COM.DA ESC. EST. JOSE D. VASCONCELOS")</f>
        <v>A.COM.DA ESC. EST. JOSE D. VASCONCELOS</v>
      </c>
      <c r="D257" s="35" t="str">
        <f ca="1">IFERROR(__xludf.DUMMYFUNCTION("""COMPUTED_VALUE"""),"01068379000134")</f>
        <v>01068379000134</v>
      </c>
      <c r="E257" s="36" t="str">
        <f ca="1">IFERROR(__xludf.DUMMYFUNCTION("""COMPUTED_VALUE"""),"001")</f>
        <v>001</v>
      </c>
      <c r="F257" s="37" t="str">
        <f ca="1">IFERROR(__xludf.DUMMYFUNCTION("""COMPUTED_VALUE"""),"0862")</f>
        <v>0862</v>
      </c>
      <c r="G257" s="37" t="str">
        <f ca="1">IFERROR(__xludf.DUMMYFUNCTION("""COMPUTED_VALUE"""),"69035")</f>
        <v>69035</v>
      </c>
      <c r="H257" s="37">
        <f ca="1">IFERROR(__xludf.DUMMYFUNCTION("""COMPUTED_VALUE"""),0)</f>
        <v>0</v>
      </c>
      <c r="I257" s="37">
        <f ca="1">IFERROR(__xludf.DUMMYFUNCTION("""COMPUTED_VALUE"""),0)</f>
        <v>0</v>
      </c>
      <c r="J257" s="37">
        <f ca="1">IFERROR(__xludf.DUMMYFUNCTION("""COMPUTED_VALUE"""),3297)</f>
        <v>3297</v>
      </c>
      <c r="K257" s="37">
        <f ca="1">IFERROR(__xludf.DUMMYFUNCTION("""COMPUTED_VALUE"""),0)</f>
        <v>0</v>
      </c>
      <c r="L257" s="37">
        <f ca="1">IFERROR(__xludf.DUMMYFUNCTION("""COMPUTED_VALUE"""),0)</f>
        <v>0</v>
      </c>
      <c r="M257" s="37">
        <f ca="1">IFERROR(__xludf.DUMMYFUNCTION("""COMPUTED_VALUE"""),0)</f>
        <v>0</v>
      </c>
      <c r="N257" s="37">
        <f ca="1">IFERROR(__xludf.DUMMYFUNCTION("""COMPUTED_VALUE"""),0)</f>
        <v>0</v>
      </c>
      <c r="O257" s="37">
        <f ca="1">IFERROR(__xludf.DUMMYFUNCTION("""COMPUTED_VALUE"""),0)</f>
        <v>0</v>
      </c>
      <c r="P257" s="37">
        <f ca="1">IFERROR(__xludf.DUMMYFUNCTION("""COMPUTED_VALUE"""),378)</f>
        <v>378</v>
      </c>
      <c r="Q257" s="37">
        <f ca="1">IFERROR(__xludf.DUMMYFUNCTION("""COMPUTED_VALUE"""),4998)</f>
        <v>4998</v>
      </c>
      <c r="R257" s="37">
        <f ca="1">IFERROR(__xludf.DUMMYFUNCTION("""COMPUTED_VALUE"""),0)</f>
        <v>0</v>
      </c>
      <c r="S257" s="37">
        <f ca="1">IFERROR(__xludf.DUMMYFUNCTION("""COMPUTED_VALUE"""),0)</f>
        <v>0</v>
      </c>
      <c r="T257" s="37">
        <f ca="1">IFERROR(__xludf.DUMMYFUNCTION("""COMPUTED_VALUE"""),105)</f>
        <v>105</v>
      </c>
      <c r="U257" s="37">
        <f ca="1">IFERROR(__xludf.DUMMYFUNCTION("""COMPUTED_VALUE"""),0)</f>
        <v>0</v>
      </c>
      <c r="V257" s="37">
        <f ca="1">IFERROR(__xludf.DUMMYFUNCTION("""COMPUTED_VALUE"""),0)</f>
        <v>0</v>
      </c>
      <c r="W257" s="37">
        <f ca="1">IFERROR(__xludf.DUMMYFUNCTION("""COMPUTED_VALUE"""),0)</f>
        <v>0</v>
      </c>
      <c r="X257" s="37">
        <f ca="1">IFERROR(__xludf.DUMMYFUNCTION("""COMPUTED_VALUE"""),0)</f>
        <v>0</v>
      </c>
      <c r="Y257" s="37">
        <f ca="1">IFERROR(__xludf.DUMMYFUNCTION("""COMPUTED_VALUE"""),0)</f>
        <v>0</v>
      </c>
      <c r="Z257" s="37">
        <f ca="1">IFERROR(__xludf.DUMMYFUNCTION("""COMPUTED_VALUE"""),0)</f>
        <v>0</v>
      </c>
    </row>
    <row r="258" spans="1:26" ht="12.75">
      <c r="A258" s="38" t="str">
        <f ca="1">IFERROR(__xludf.DUMMYFUNCTION("""COMPUTED_VALUE"""),"Miracema")</f>
        <v>Miracema</v>
      </c>
      <c r="B258" s="38" t="str">
        <f ca="1">IFERROR(__xludf.DUMMYFUNCTION("""COMPUTED_VALUE"""),"Miracema do Tocantins")</f>
        <v>Miracema do Tocantins</v>
      </c>
      <c r="C258" s="39" t="str">
        <f ca="1">IFERROR(__xludf.DUMMYFUNCTION("""COMPUTED_VALUE"""),"A.P.M.A. ESC. CONV. ONESINA BANDEIRA")</f>
        <v>A.P.M.A. ESC. CONV. ONESINA BANDEIRA</v>
      </c>
      <c r="D258" s="40" t="str">
        <f ca="1">IFERROR(__xludf.DUMMYFUNCTION("""COMPUTED_VALUE"""),"01133700000117")</f>
        <v>01133700000117</v>
      </c>
      <c r="E258" s="41" t="str">
        <f ca="1">IFERROR(__xludf.DUMMYFUNCTION("""COMPUTED_VALUE"""),"001")</f>
        <v>001</v>
      </c>
      <c r="F258" s="42" t="str">
        <f ca="1">IFERROR(__xludf.DUMMYFUNCTION("""COMPUTED_VALUE"""),"0862")</f>
        <v>0862</v>
      </c>
      <c r="G258" s="42" t="str">
        <f ca="1">IFERROR(__xludf.DUMMYFUNCTION("""COMPUTED_VALUE"""),"69051")</f>
        <v>69051</v>
      </c>
      <c r="H258" s="42">
        <f ca="1">IFERROR(__xludf.DUMMYFUNCTION("""COMPUTED_VALUE"""),0)</f>
        <v>0</v>
      </c>
      <c r="I258" s="42">
        <f ca="1">IFERROR(__xludf.DUMMYFUNCTION("""COMPUTED_VALUE"""),0)</f>
        <v>0</v>
      </c>
      <c r="J258" s="42">
        <f ca="1">IFERROR(__xludf.DUMMYFUNCTION("""COMPUTED_VALUE"""),16296)</f>
        <v>16296</v>
      </c>
      <c r="K258" s="42">
        <f ca="1">IFERROR(__xludf.DUMMYFUNCTION("""COMPUTED_VALUE"""),0)</f>
        <v>0</v>
      </c>
      <c r="L258" s="42">
        <f ca="1">IFERROR(__xludf.DUMMYFUNCTION("""COMPUTED_VALUE"""),0)</f>
        <v>0</v>
      </c>
      <c r="M258" s="42">
        <f ca="1">IFERROR(__xludf.DUMMYFUNCTION("""COMPUTED_VALUE"""),0)</f>
        <v>0</v>
      </c>
      <c r="N258" s="42">
        <f ca="1">IFERROR(__xludf.DUMMYFUNCTION("""COMPUTED_VALUE"""),0)</f>
        <v>0</v>
      </c>
      <c r="O258" s="42">
        <f ca="1">IFERROR(__xludf.DUMMYFUNCTION("""COMPUTED_VALUE"""),0)</f>
        <v>0</v>
      </c>
      <c r="P258" s="42">
        <f ca="1">IFERROR(__xludf.DUMMYFUNCTION("""COMPUTED_VALUE"""),798)</f>
        <v>798</v>
      </c>
      <c r="Q258" s="42">
        <f ca="1">IFERROR(__xludf.DUMMYFUNCTION("""COMPUTED_VALUE"""),2100)</f>
        <v>2100</v>
      </c>
      <c r="R258" s="42">
        <f ca="1">IFERROR(__xludf.DUMMYFUNCTION("""COMPUTED_VALUE"""),0)</f>
        <v>0</v>
      </c>
      <c r="S258" s="42">
        <f ca="1">IFERROR(__xludf.DUMMYFUNCTION("""COMPUTED_VALUE"""),0)</f>
        <v>0</v>
      </c>
      <c r="T258" s="42">
        <f ca="1">IFERROR(__xludf.DUMMYFUNCTION("""COMPUTED_VALUE"""),7392)</f>
        <v>7392</v>
      </c>
      <c r="U258" s="42">
        <f ca="1">IFERROR(__xludf.DUMMYFUNCTION("""COMPUTED_VALUE"""),0)</f>
        <v>0</v>
      </c>
      <c r="V258" s="42">
        <f ca="1">IFERROR(__xludf.DUMMYFUNCTION("""COMPUTED_VALUE"""),0)</f>
        <v>0</v>
      </c>
      <c r="W258" s="42">
        <f ca="1">IFERROR(__xludf.DUMMYFUNCTION("""COMPUTED_VALUE"""),0)</f>
        <v>0</v>
      </c>
      <c r="X258" s="42">
        <f ca="1">IFERROR(__xludf.DUMMYFUNCTION("""COMPUTED_VALUE"""),0)</f>
        <v>0</v>
      </c>
      <c r="Y258" s="42">
        <f ca="1">IFERROR(__xludf.DUMMYFUNCTION("""COMPUTED_VALUE"""),0)</f>
        <v>0</v>
      </c>
      <c r="Z258" s="42">
        <f ca="1">IFERROR(__xludf.DUMMYFUNCTION("""COMPUTED_VALUE"""),0)</f>
        <v>0</v>
      </c>
    </row>
    <row r="259" spans="1:26" ht="12.75">
      <c r="A259" s="33" t="str">
        <f ca="1">IFERROR(__xludf.DUMMYFUNCTION("""COMPUTED_VALUE"""),"Miracema")</f>
        <v>Miracema</v>
      </c>
      <c r="B259" s="33" t="str">
        <f ca="1">IFERROR(__xludf.DUMMYFUNCTION("""COMPUTED_VALUE"""),"Miracema do Tocantins")</f>
        <v>Miracema do Tocantins</v>
      </c>
      <c r="C259" s="34" t="str">
        <f ca="1">IFERROR(__xludf.DUMMYFUNCTION("""COMPUTED_VALUE"""),"A.A.  DA ESCOLA ESTADUAL OSCAR SARDINHA")</f>
        <v>A.A.  DA ESCOLA ESTADUAL OSCAR SARDINHA</v>
      </c>
      <c r="D259" s="35" t="str">
        <f ca="1">IFERROR(__xludf.DUMMYFUNCTION("""COMPUTED_VALUE"""),"01197158000166")</f>
        <v>01197158000166</v>
      </c>
      <c r="E259" s="36" t="str">
        <f ca="1">IFERROR(__xludf.DUMMYFUNCTION("""COMPUTED_VALUE"""),"001")</f>
        <v>001</v>
      </c>
      <c r="F259" s="37" t="str">
        <f ca="1">IFERROR(__xludf.DUMMYFUNCTION("""COMPUTED_VALUE"""),"0862")</f>
        <v>0862</v>
      </c>
      <c r="G259" s="37" t="str">
        <f ca="1">IFERROR(__xludf.DUMMYFUNCTION("""COMPUTED_VALUE"""),"6906X")</f>
        <v>6906X</v>
      </c>
      <c r="H259" s="37">
        <f ca="1">IFERROR(__xludf.DUMMYFUNCTION("""COMPUTED_VALUE"""),0)</f>
        <v>0</v>
      </c>
      <c r="I259" s="37">
        <f ca="1">IFERROR(__xludf.DUMMYFUNCTION("""COMPUTED_VALUE"""),0)</f>
        <v>0</v>
      </c>
      <c r="J259" s="37">
        <f ca="1">IFERROR(__xludf.DUMMYFUNCTION("""COMPUTED_VALUE"""),1974)</f>
        <v>1974</v>
      </c>
      <c r="K259" s="37">
        <f ca="1">IFERROR(__xludf.DUMMYFUNCTION("""COMPUTED_VALUE"""),0)</f>
        <v>0</v>
      </c>
      <c r="L259" s="37">
        <f ca="1">IFERROR(__xludf.DUMMYFUNCTION("""COMPUTED_VALUE"""),0)</f>
        <v>0</v>
      </c>
      <c r="M259" s="37">
        <f ca="1">IFERROR(__xludf.DUMMYFUNCTION("""COMPUTED_VALUE"""),0)</f>
        <v>0</v>
      </c>
      <c r="N259" s="37">
        <f ca="1">IFERROR(__xludf.DUMMYFUNCTION("""COMPUTED_VALUE"""),0)</f>
        <v>0</v>
      </c>
      <c r="O259" s="37">
        <f ca="1">IFERROR(__xludf.DUMMYFUNCTION("""COMPUTED_VALUE"""),0)</f>
        <v>0</v>
      </c>
      <c r="P259" s="37">
        <f ca="1">IFERROR(__xludf.DUMMYFUNCTION("""COMPUTED_VALUE"""),210)</f>
        <v>210</v>
      </c>
      <c r="Q259" s="37">
        <f ca="1">IFERROR(__xludf.DUMMYFUNCTION("""COMPUTED_VALUE"""),0)</f>
        <v>0</v>
      </c>
      <c r="R259" s="37">
        <f ca="1">IFERROR(__xludf.DUMMYFUNCTION("""COMPUTED_VALUE"""),0)</f>
        <v>0</v>
      </c>
      <c r="S259" s="37">
        <f ca="1">IFERROR(__xludf.DUMMYFUNCTION("""COMPUTED_VALUE"""),0)</f>
        <v>0</v>
      </c>
      <c r="T259" s="37">
        <f ca="1">IFERROR(__xludf.DUMMYFUNCTION("""COMPUTED_VALUE"""),0)</f>
        <v>0</v>
      </c>
      <c r="U259" s="37">
        <f ca="1">IFERROR(__xludf.DUMMYFUNCTION("""COMPUTED_VALUE"""),0)</f>
        <v>0</v>
      </c>
      <c r="V259" s="37">
        <f ca="1">IFERROR(__xludf.DUMMYFUNCTION("""COMPUTED_VALUE"""),0)</f>
        <v>0</v>
      </c>
      <c r="W259" s="37">
        <f ca="1">IFERROR(__xludf.DUMMYFUNCTION("""COMPUTED_VALUE"""),0)</f>
        <v>0</v>
      </c>
      <c r="X259" s="37">
        <f ca="1">IFERROR(__xludf.DUMMYFUNCTION("""COMPUTED_VALUE"""),0)</f>
        <v>0</v>
      </c>
      <c r="Y259" s="37">
        <f ca="1">IFERROR(__xludf.DUMMYFUNCTION("""COMPUTED_VALUE"""),0)</f>
        <v>0</v>
      </c>
      <c r="Z259" s="37">
        <f ca="1">IFERROR(__xludf.DUMMYFUNCTION("""COMPUTED_VALUE"""),0)</f>
        <v>0</v>
      </c>
    </row>
    <row r="260" spans="1:26" ht="12.75">
      <c r="A260" s="38" t="str">
        <f ca="1">IFERROR(__xludf.DUMMYFUNCTION("""COMPUTED_VALUE"""),"Miracema")</f>
        <v>Miracema</v>
      </c>
      <c r="B260" s="38" t="str">
        <f ca="1">IFERROR(__xludf.DUMMYFUNCTION("""COMPUTED_VALUE"""),"Miranorte")</f>
        <v>Miranorte</v>
      </c>
      <c r="C260" s="39" t="str">
        <f ca="1">IFERROR(__xludf.DUMMYFUNCTION("""COMPUTED_VALUE"""),"ASSOC. COM. DO COL. RUI BRASIL CAVALCANTE")</f>
        <v>ASSOC. COM. DO COL. RUI BRASIL CAVALCANTE</v>
      </c>
      <c r="D260" s="40" t="str">
        <f ca="1">IFERROR(__xludf.DUMMYFUNCTION("""COMPUTED_VALUE"""),"01112765000186")</f>
        <v>01112765000186</v>
      </c>
      <c r="E260" s="41" t="str">
        <f ca="1">IFERROR(__xludf.DUMMYFUNCTION("""COMPUTED_VALUE"""),"001")</f>
        <v>001</v>
      </c>
      <c r="F260" s="42" t="str">
        <f ca="1">IFERROR(__xludf.DUMMYFUNCTION("""COMPUTED_VALUE"""),"4560")</f>
        <v>4560</v>
      </c>
      <c r="G260" s="42" t="str">
        <f ca="1">IFERROR(__xludf.DUMMYFUNCTION("""COMPUTED_VALUE"""),"78905")</f>
        <v>78905</v>
      </c>
      <c r="H260" s="42">
        <f ca="1">IFERROR(__xludf.DUMMYFUNCTION("""COMPUTED_VALUE"""),0)</f>
        <v>0</v>
      </c>
      <c r="I260" s="42">
        <f ca="1">IFERROR(__xludf.DUMMYFUNCTION("""COMPUTED_VALUE"""),0)</f>
        <v>0</v>
      </c>
      <c r="J260" s="42">
        <f ca="1">IFERROR(__xludf.DUMMYFUNCTION("""COMPUTED_VALUE"""),0)</f>
        <v>0</v>
      </c>
      <c r="K260" s="42">
        <f ca="1">IFERROR(__xludf.DUMMYFUNCTION("""COMPUTED_VALUE"""),0)</f>
        <v>0</v>
      </c>
      <c r="L260" s="42">
        <f ca="1">IFERROR(__xludf.DUMMYFUNCTION("""COMPUTED_VALUE"""),0)</f>
        <v>0</v>
      </c>
      <c r="M260" s="42">
        <f ca="1">IFERROR(__xludf.DUMMYFUNCTION("""COMPUTED_VALUE"""),0)</f>
        <v>0</v>
      </c>
      <c r="N260" s="42">
        <f ca="1">IFERROR(__xludf.DUMMYFUNCTION("""COMPUTED_VALUE"""),0)</f>
        <v>0</v>
      </c>
      <c r="O260" s="42">
        <f ca="1">IFERROR(__xludf.DUMMYFUNCTION("""COMPUTED_VALUE"""),0)</f>
        <v>0</v>
      </c>
      <c r="P260" s="42">
        <f ca="1">IFERROR(__xludf.DUMMYFUNCTION("""COMPUTED_VALUE"""),378)</f>
        <v>378</v>
      </c>
      <c r="Q260" s="42">
        <f ca="1">IFERROR(__xludf.DUMMYFUNCTION("""COMPUTED_VALUE"""),9996)</f>
        <v>9996</v>
      </c>
      <c r="R260" s="42">
        <f ca="1">IFERROR(__xludf.DUMMYFUNCTION("""COMPUTED_VALUE"""),0)</f>
        <v>0</v>
      </c>
      <c r="S260" s="42">
        <f ca="1">IFERROR(__xludf.DUMMYFUNCTION("""COMPUTED_VALUE"""),0)</f>
        <v>0</v>
      </c>
      <c r="T260" s="42">
        <f ca="1">IFERROR(__xludf.DUMMYFUNCTION("""COMPUTED_VALUE"""),1554)</f>
        <v>1554</v>
      </c>
      <c r="U260" s="42">
        <f ca="1">IFERROR(__xludf.DUMMYFUNCTION("""COMPUTED_VALUE"""),0)</f>
        <v>0</v>
      </c>
      <c r="V260" s="42">
        <f ca="1">IFERROR(__xludf.DUMMYFUNCTION("""COMPUTED_VALUE"""),0)</f>
        <v>0</v>
      </c>
      <c r="W260" s="42">
        <f ca="1">IFERROR(__xludf.DUMMYFUNCTION("""COMPUTED_VALUE"""),0)</f>
        <v>0</v>
      </c>
      <c r="X260" s="42">
        <f ca="1">IFERROR(__xludf.DUMMYFUNCTION("""COMPUTED_VALUE"""),0)</f>
        <v>0</v>
      </c>
      <c r="Y260" s="42">
        <f ca="1">IFERROR(__xludf.DUMMYFUNCTION("""COMPUTED_VALUE"""),0)</f>
        <v>0</v>
      </c>
      <c r="Z260" s="42">
        <f ca="1">IFERROR(__xludf.DUMMYFUNCTION("""COMPUTED_VALUE"""),0)</f>
        <v>0</v>
      </c>
    </row>
    <row r="261" spans="1:26" ht="12.75">
      <c r="A261" s="33" t="str">
        <f ca="1">IFERROR(__xludf.DUMMYFUNCTION("""COMPUTED_VALUE"""),"Miracema")</f>
        <v>Miracema</v>
      </c>
      <c r="B261" s="33" t="str">
        <f ca="1">IFERROR(__xludf.DUMMYFUNCTION("""COMPUTED_VALUE"""),"Miranorte")</f>
        <v>Miranorte</v>
      </c>
      <c r="C261" s="34" t="str">
        <f ca="1">IFERROR(__xludf.DUMMYFUNCTION("""COMPUTED_VALUE"""),"A.A. C.E.NOSSA SENHORA DA PROVIDENCIA")</f>
        <v>A.A. C.E.NOSSA SENHORA DA PROVIDENCIA</v>
      </c>
      <c r="D261" s="35" t="str">
        <f ca="1">IFERROR(__xludf.DUMMYFUNCTION("""COMPUTED_VALUE"""),"01190186000151")</f>
        <v>01190186000151</v>
      </c>
      <c r="E261" s="36" t="str">
        <f ca="1">IFERROR(__xludf.DUMMYFUNCTION("""COMPUTED_VALUE"""),"001")</f>
        <v>001</v>
      </c>
      <c r="F261" s="37" t="str">
        <f ca="1">IFERROR(__xludf.DUMMYFUNCTION("""COMPUTED_VALUE"""),"4560")</f>
        <v>4560</v>
      </c>
      <c r="G261" s="37" t="str">
        <f ca="1">IFERROR(__xludf.DUMMYFUNCTION("""COMPUTED_VALUE"""),"7778X")</f>
        <v>7778X</v>
      </c>
      <c r="H261" s="37">
        <f ca="1">IFERROR(__xludf.DUMMYFUNCTION("""COMPUTED_VALUE"""),0)</f>
        <v>0</v>
      </c>
      <c r="I261" s="37">
        <f ca="1">IFERROR(__xludf.DUMMYFUNCTION("""COMPUTED_VALUE"""),0)</f>
        <v>0</v>
      </c>
      <c r="J261" s="37">
        <f ca="1">IFERROR(__xludf.DUMMYFUNCTION("""COMPUTED_VALUE"""),32214)</f>
        <v>32214</v>
      </c>
      <c r="K261" s="37">
        <f ca="1">IFERROR(__xludf.DUMMYFUNCTION("""COMPUTED_VALUE"""),0)</f>
        <v>0</v>
      </c>
      <c r="L261" s="37">
        <f ca="1">IFERROR(__xludf.DUMMYFUNCTION("""COMPUTED_VALUE"""),0)</f>
        <v>0</v>
      </c>
      <c r="M261" s="37">
        <f ca="1">IFERROR(__xludf.DUMMYFUNCTION("""COMPUTED_VALUE"""),0)</f>
        <v>0</v>
      </c>
      <c r="N261" s="37">
        <f ca="1">IFERROR(__xludf.DUMMYFUNCTION("""COMPUTED_VALUE"""),0)</f>
        <v>0</v>
      </c>
      <c r="O261" s="37">
        <f ca="1">IFERROR(__xludf.DUMMYFUNCTION("""COMPUTED_VALUE"""),0)</f>
        <v>0</v>
      </c>
      <c r="P261" s="37">
        <f ca="1">IFERROR(__xludf.DUMMYFUNCTION("""COMPUTED_VALUE"""),546)</f>
        <v>546</v>
      </c>
      <c r="Q261" s="37">
        <f ca="1">IFERROR(__xludf.DUMMYFUNCTION("""COMPUTED_VALUE"""),0)</f>
        <v>0</v>
      </c>
      <c r="R261" s="37">
        <f ca="1">IFERROR(__xludf.DUMMYFUNCTION("""COMPUTED_VALUE"""),0)</f>
        <v>0</v>
      </c>
      <c r="S261" s="37">
        <f ca="1">IFERROR(__xludf.DUMMYFUNCTION("""COMPUTED_VALUE"""),0)</f>
        <v>0</v>
      </c>
      <c r="T261" s="37">
        <f ca="1">IFERROR(__xludf.DUMMYFUNCTION("""COMPUTED_VALUE"""),0)</f>
        <v>0</v>
      </c>
      <c r="U261" s="37">
        <f ca="1">IFERROR(__xludf.DUMMYFUNCTION("""COMPUTED_VALUE"""),0)</f>
        <v>0</v>
      </c>
      <c r="V261" s="37">
        <f ca="1">IFERROR(__xludf.DUMMYFUNCTION("""COMPUTED_VALUE"""),0)</f>
        <v>0</v>
      </c>
      <c r="W261" s="37">
        <f ca="1">IFERROR(__xludf.DUMMYFUNCTION("""COMPUTED_VALUE"""),0)</f>
        <v>0</v>
      </c>
      <c r="X261" s="37">
        <f ca="1">IFERROR(__xludf.DUMMYFUNCTION("""COMPUTED_VALUE"""),0)</f>
        <v>0</v>
      </c>
      <c r="Y261" s="37">
        <f ca="1">IFERROR(__xludf.DUMMYFUNCTION("""COMPUTED_VALUE"""),0)</f>
        <v>0</v>
      </c>
      <c r="Z261" s="37">
        <f ca="1">IFERROR(__xludf.DUMMYFUNCTION("""COMPUTED_VALUE"""),0)</f>
        <v>0</v>
      </c>
    </row>
    <row r="262" spans="1:26" ht="12.75">
      <c r="A262" s="38" t="str">
        <f ca="1">IFERROR(__xludf.DUMMYFUNCTION("""COMPUTED_VALUE"""),"Miracema")</f>
        <v>Miracema</v>
      </c>
      <c r="B262" s="38" t="str">
        <f ca="1">IFERROR(__xludf.DUMMYFUNCTION("""COMPUTED_VALUE"""),"Miranorte")</f>
        <v>Miranorte</v>
      </c>
      <c r="C262" s="39" t="str">
        <f ca="1">IFERROR(__xludf.DUMMYFUNCTION("""COMPUTED_VALUE"""),"A.A ESC. ESPECIAL CORAÇÃO DE MARIA")</f>
        <v>A.A ESC. ESPECIAL CORAÇÃO DE MARIA</v>
      </c>
      <c r="D262" s="40" t="str">
        <f ca="1">IFERROR(__xludf.DUMMYFUNCTION("""COMPUTED_VALUE"""),"07968866000130")</f>
        <v>07968866000130</v>
      </c>
      <c r="E262" s="41" t="str">
        <f ca="1">IFERROR(__xludf.DUMMYFUNCTION("""COMPUTED_VALUE"""),"001")</f>
        <v>001</v>
      </c>
      <c r="F262" s="42" t="str">
        <f ca="1">IFERROR(__xludf.DUMMYFUNCTION("""COMPUTED_VALUE"""),"0862")</f>
        <v>0862</v>
      </c>
      <c r="G262" s="42" t="str">
        <f ca="1">IFERROR(__xludf.DUMMYFUNCTION("""COMPUTED_VALUE"""),"265217")</f>
        <v>265217</v>
      </c>
      <c r="H262" s="42">
        <f ca="1">IFERROR(__xludf.DUMMYFUNCTION("""COMPUTED_VALUE"""),0)</f>
        <v>0</v>
      </c>
      <c r="I262" s="42">
        <f ca="1">IFERROR(__xludf.DUMMYFUNCTION("""COMPUTED_VALUE"""),252)</f>
        <v>252</v>
      </c>
      <c r="J262" s="42">
        <f ca="1">IFERROR(__xludf.DUMMYFUNCTION("""COMPUTED_VALUE"""),189)</f>
        <v>189</v>
      </c>
      <c r="K262" s="42">
        <f ca="1">IFERROR(__xludf.DUMMYFUNCTION("""COMPUTED_VALUE"""),0)</f>
        <v>0</v>
      </c>
      <c r="L262" s="42">
        <f ca="1">IFERROR(__xludf.DUMMYFUNCTION("""COMPUTED_VALUE"""),0)</f>
        <v>0</v>
      </c>
      <c r="M262" s="42">
        <f ca="1">IFERROR(__xludf.DUMMYFUNCTION("""COMPUTED_VALUE"""),0)</f>
        <v>0</v>
      </c>
      <c r="N262" s="42">
        <f ca="1">IFERROR(__xludf.DUMMYFUNCTION("""COMPUTED_VALUE"""),0)</f>
        <v>0</v>
      </c>
      <c r="O262" s="42">
        <f ca="1">IFERROR(__xludf.DUMMYFUNCTION("""COMPUTED_VALUE"""),0)</f>
        <v>0</v>
      </c>
      <c r="P262" s="42">
        <f ca="1">IFERROR(__xludf.DUMMYFUNCTION("""COMPUTED_VALUE"""),252)</f>
        <v>252</v>
      </c>
      <c r="Q262" s="42">
        <f ca="1">IFERROR(__xludf.DUMMYFUNCTION("""COMPUTED_VALUE"""),0)</f>
        <v>0</v>
      </c>
      <c r="R262" s="42">
        <f ca="1">IFERROR(__xludf.DUMMYFUNCTION("""COMPUTED_VALUE"""),0)</f>
        <v>0</v>
      </c>
      <c r="S262" s="42">
        <f ca="1">IFERROR(__xludf.DUMMYFUNCTION("""COMPUTED_VALUE"""),0)</f>
        <v>0</v>
      </c>
      <c r="T262" s="42">
        <f ca="1">IFERROR(__xludf.DUMMYFUNCTION("""COMPUTED_VALUE"""),1092)</f>
        <v>1092</v>
      </c>
      <c r="U262" s="42">
        <f ca="1">IFERROR(__xludf.DUMMYFUNCTION("""COMPUTED_VALUE"""),0)</f>
        <v>0</v>
      </c>
      <c r="V262" s="42">
        <f ca="1">IFERROR(__xludf.DUMMYFUNCTION("""COMPUTED_VALUE"""),0)</f>
        <v>0</v>
      </c>
      <c r="W262" s="42">
        <f ca="1">IFERROR(__xludf.DUMMYFUNCTION("""COMPUTED_VALUE"""),0)</f>
        <v>0</v>
      </c>
      <c r="X262" s="42">
        <f ca="1">IFERROR(__xludf.DUMMYFUNCTION("""COMPUTED_VALUE"""),0)</f>
        <v>0</v>
      </c>
      <c r="Y262" s="42">
        <f ca="1">IFERROR(__xludf.DUMMYFUNCTION("""COMPUTED_VALUE"""),0)</f>
        <v>0</v>
      </c>
      <c r="Z262" s="42">
        <f ca="1">IFERROR(__xludf.DUMMYFUNCTION("""COMPUTED_VALUE"""),0)</f>
        <v>0</v>
      </c>
    </row>
    <row r="263" spans="1:26" ht="12.75">
      <c r="A263" s="33" t="str">
        <f ca="1">IFERROR(__xludf.DUMMYFUNCTION("""COMPUTED_VALUE"""),"Miracema")</f>
        <v>Miracema</v>
      </c>
      <c r="B263" s="33" t="str">
        <f ca="1">IFERROR(__xludf.DUMMYFUNCTION("""COMPUTED_VALUE"""),"Rio dos Bois")</f>
        <v>Rio dos Bois</v>
      </c>
      <c r="C263" s="34" t="str">
        <f ca="1">IFERROR(__xludf.DUMMYFUNCTION("""COMPUTED_VALUE"""),"A.A. ESC EST DR. VALDECY PINHEIRO")</f>
        <v>A.A. ESC EST DR. VALDECY PINHEIRO</v>
      </c>
      <c r="D263" s="35" t="str">
        <f ca="1">IFERROR(__xludf.DUMMYFUNCTION("""COMPUTED_VALUE"""),"01079937000167")</f>
        <v>01079937000167</v>
      </c>
      <c r="E263" s="36" t="str">
        <f ca="1">IFERROR(__xludf.DUMMYFUNCTION("""COMPUTED_VALUE"""),"001")</f>
        <v>001</v>
      </c>
      <c r="F263" s="37" t="str">
        <f ca="1">IFERROR(__xludf.DUMMYFUNCTION("""COMPUTED_VALUE"""),"0862")</f>
        <v>0862</v>
      </c>
      <c r="G263" s="37" t="str">
        <f ca="1">IFERROR(__xludf.DUMMYFUNCTION("""COMPUTED_VALUE"""),"69116")</f>
        <v>69116</v>
      </c>
      <c r="H263" s="37">
        <f ca="1">IFERROR(__xludf.DUMMYFUNCTION("""COMPUTED_VALUE"""),0)</f>
        <v>0</v>
      </c>
      <c r="I263" s="37">
        <f ca="1">IFERROR(__xludf.DUMMYFUNCTION("""COMPUTED_VALUE"""),0)</f>
        <v>0</v>
      </c>
      <c r="J263" s="37">
        <f ca="1">IFERROR(__xludf.DUMMYFUNCTION("""COMPUTED_VALUE"""),4284)</f>
        <v>4284</v>
      </c>
      <c r="K263" s="37">
        <f ca="1">IFERROR(__xludf.DUMMYFUNCTION("""COMPUTED_VALUE"""),0)</f>
        <v>0</v>
      </c>
      <c r="L263" s="37">
        <f ca="1">IFERROR(__xludf.DUMMYFUNCTION("""COMPUTED_VALUE"""),0)</f>
        <v>0</v>
      </c>
      <c r="M263" s="37">
        <f ca="1">IFERROR(__xludf.DUMMYFUNCTION("""COMPUTED_VALUE"""),0)</f>
        <v>0</v>
      </c>
      <c r="N263" s="37">
        <f ca="1">IFERROR(__xludf.DUMMYFUNCTION("""COMPUTED_VALUE"""),0)</f>
        <v>0</v>
      </c>
      <c r="O263" s="37">
        <f ca="1">IFERROR(__xludf.DUMMYFUNCTION("""COMPUTED_VALUE"""),0)</f>
        <v>0</v>
      </c>
      <c r="P263" s="37">
        <f ca="1">IFERROR(__xludf.DUMMYFUNCTION("""COMPUTED_VALUE"""),273)</f>
        <v>273</v>
      </c>
      <c r="Q263" s="37">
        <f ca="1">IFERROR(__xludf.DUMMYFUNCTION("""COMPUTED_VALUE"""),2016)</f>
        <v>2016</v>
      </c>
      <c r="R263" s="37">
        <f ca="1">IFERROR(__xludf.DUMMYFUNCTION("""COMPUTED_VALUE"""),0)</f>
        <v>0</v>
      </c>
      <c r="S263" s="37">
        <f ca="1">IFERROR(__xludf.DUMMYFUNCTION("""COMPUTED_VALUE"""),0)</f>
        <v>0</v>
      </c>
      <c r="T263" s="37">
        <f ca="1">IFERROR(__xludf.DUMMYFUNCTION("""COMPUTED_VALUE"""),336)</f>
        <v>336</v>
      </c>
      <c r="U263" s="37">
        <f ca="1">IFERROR(__xludf.DUMMYFUNCTION("""COMPUTED_VALUE"""),0)</f>
        <v>0</v>
      </c>
      <c r="V263" s="37">
        <f ca="1">IFERROR(__xludf.DUMMYFUNCTION("""COMPUTED_VALUE"""),0)</f>
        <v>0</v>
      </c>
      <c r="W263" s="37">
        <f ca="1">IFERROR(__xludf.DUMMYFUNCTION("""COMPUTED_VALUE"""),0)</f>
        <v>0</v>
      </c>
      <c r="X263" s="37">
        <f ca="1">IFERROR(__xludf.DUMMYFUNCTION("""COMPUTED_VALUE"""),0)</f>
        <v>0</v>
      </c>
      <c r="Y263" s="37">
        <f ca="1">IFERROR(__xludf.DUMMYFUNCTION("""COMPUTED_VALUE"""),0)</f>
        <v>0</v>
      </c>
      <c r="Z263" s="37">
        <f ca="1">IFERROR(__xludf.DUMMYFUNCTION("""COMPUTED_VALUE"""),0)</f>
        <v>0</v>
      </c>
    </row>
    <row r="264" spans="1:26" ht="12.75">
      <c r="A264" s="38" t="str">
        <f ca="1">IFERROR(__xludf.DUMMYFUNCTION("""COMPUTED_VALUE"""),"Miracema")</f>
        <v>Miracema</v>
      </c>
      <c r="B264" s="38" t="str">
        <f ca="1">IFERROR(__xludf.DUMMYFUNCTION("""COMPUTED_VALUE"""),"Tocantinia")</f>
        <v>Tocantinia</v>
      </c>
      <c r="C264" s="39" t="str">
        <f ca="1">IFERROR(__xludf.DUMMYFUNCTION("""COMPUTED_VALUE"""),"ASS. APOIO AO CEM XERENTE WARA")</f>
        <v>ASS. APOIO AO CEM XERENTE WARA</v>
      </c>
      <c r="D264" s="40" t="str">
        <f ca="1">IFERROR(__xludf.DUMMYFUNCTION("""COMPUTED_VALUE"""),"07674098000101")</f>
        <v>07674098000101</v>
      </c>
      <c r="E264" s="41" t="str">
        <f ca="1">IFERROR(__xludf.DUMMYFUNCTION("""COMPUTED_VALUE"""),"001")</f>
        <v>001</v>
      </c>
      <c r="F264" s="42" t="str">
        <f ca="1">IFERROR(__xludf.DUMMYFUNCTION("""COMPUTED_VALUE"""),"0862")</f>
        <v>0862</v>
      </c>
      <c r="G264" s="42" t="str">
        <f ca="1">IFERROR(__xludf.DUMMYFUNCTION("""COMPUTED_VALUE"""),"183407")</f>
        <v>183407</v>
      </c>
      <c r="H264" s="42">
        <f ca="1">IFERROR(__xludf.DUMMYFUNCTION("""COMPUTED_VALUE"""),0)</f>
        <v>0</v>
      </c>
      <c r="I264" s="42">
        <f ca="1">IFERROR(__xludf.DUMMYFUNCTION("""COMPUTED_VALUE"""),0)</f>
        <v>0</v>
      </c>
      <c r="J264" s="42">
        <f ca="1">IFERROR(__xludf.DUMMYFUNCTION("""COMPUTED_VALUE"""),0)</f>
        <v>0</v>
      </c>
      <c r="K264" s="42">
        <f ca="1">IFERROR(__xludf.DUMMYFUNCTION("""COMPUTED_VALUE"""),10662.4)</f>
        <v>10662.4</v>
      </c>
      <c r="L264" s="42">
        <f ca="1">IFERROR(__xludf.DUMMYFUNCTION("""COMPUTED_VALUE"""),0)</f>
        <v>0</v>
      </c>
      <c r="M264" s="42">
        <f ca="1">IFERROR(__xludf.DUMMYFUNCTION("""COMPUTED_VALUE"""),0)</f>
        <v>0</v>
      </c>
      <c r="N264" s="42">
        <f ca="1">IFERROR(__xludf.DUMMYFUNCTION("""COMPUTED_VALUE"""),0)</f>
        <v>0</v>
      </c>
      <c r="O264" s="42">
        <f ca="1">IFERROR(__xludf.DUMMYFUNCTION("""COMPUTED_VALUE"""),0)</f>
        <v>0</v>
      </c>
      <c r="P264" s="42">
        <f ca="1">IFERROR(__xludf.DUMMYFUNCTION("""COMPUTED_VALUE"""),441)</f>
        <v>441</v>
      </c>
      <c r="Q264" s="42">
        <f ca="1">IFERROR(__xludf.DUMMYFUNCTION("""COMPUTED_VALUE"""),0)</f>
        <v>0</v>
      </c>
      <c r="R264" s="42">
        <f ca="1">IFERROR(__xludf.DUMMYFUNCTION("""COMPUTED_VALUE"""),0)</f>
        <v>0</v>
      </c>
      <c r="S264" s="42">
        <f ca="1">IFERROR(__xludf.DUMMYFUNCTION("""COMPUTED_VALUE"""),12090)</f>
        <v>12090</v>
      </c>
      <c r="T264" s="42">
        <f ca="1">IFERROR(__xludf.DUMMYFUNCTION("""COMPUTED_VALUE"""),0)</f>
        <v>0</v>
      </c>
      <c r="U264" s="42">
        <f ca="1">IFERROR(__xludf.DUMMYFUNCTION("""COMPUTED_VALUE"""),0)</f>
        <v>0</v>
      </c>
      <c r="V264" s="42">
        <f ca="1">IFERROR(__xludf.DUMMYFUNCTION("""COMPUTED_VALUE"""),0)</f>
        <v>0</v>
      </c>
      <c r="W264" s="42">
        <f ca="1">IFERROR(__xludf.DUMMYFUNCTION("""COMPUTED_VALUE"""),1206)</f>
        <v>1206</v>
      </c>
      <c r="X264" s="42">
        <f ca="1">IFERROR(__xludf.DUMMYFUNCTION("""COMPUTED_VALUE"""),0)</f>
        <v>0</v>
      </c>
      <c r="Y264" s="42">
        <f ca="1">IFERROR(__xludf.DUMMYFUNCTION("""COMPUTED_VALUE"""),0)</f>
        <v>0</v>
      </c>
      <c r="Z264" s="42">
        <f ca="1">IFERROR(__xludf.DUMMYFUNCTION("""COMPUTED_VALUE"""),898.199999999999)</f>
        <v>898.19999999999902</v>
      </c>
    </row>
    <row r="265" spans="1:26" ht="12.75">
      <c r="A265" s="33" t="str">
        <f ca="1">IFERROR(__xludf.DUMMYFUNCTION("""COMPUTED_VALUE"""),"Miracema")</f>
        <v>Miracema</v>
      </c>
      <c r="B265" s="33" t="str">
        <f ca="1">IFERROR(__xludf.DUMMYFUNCTION("""COMPUTED_VALUE"""),"Tocantinia")</f>
        <v>Tocantinia</v>
      </c>
      <c r="C265" s="34" t="str">
        <f ca="1">IFERROR(__xludf.DUMMYFUNCTION("""COMPUTED_VALUE"""),"A.COM.DO COLEGIO FREI ANTONIO CONVENIADO")</f>
        <v>A.COM.DO COLEGIO FREI ANTONIO CONVENIADO</v>
      </c>
      <c r="D265" s="35" t="str">
        <f ca="1">IFERROR(__xludf.DUMMYFUNCTION("""COMPUTED_VALUE"""),"01066427000155")</f>
        <v>01066427000155</v>
      </c>
      <c r="E265" s="36" t="str">
        <f ca="1">IFERROR(__xludf.DUMMYFUNCTION("""COMPUTED_VALUE"""),"001")</f>
        <v>001</v>
      </c>
      <c r="F265" s="37" t="str">
        <f ca="1">IFERROR(__xludf.DUMMYFUNCTION("""COMPUTED_VALUE"""),"0862")</f>
        <v>0862</v>
      </c>
      <c r="G265" s="37" t="str">
        <f ca="1">IFERROR(__xludf.DUMMYFUNCTION("""COMPUTED_VALUE"""),"68985")</f>
        <v>68985</v>
      </c>
      <c r="H265" s="37">
        <f ca="1">IFERROR(__xludf.DUMMYFUNCTION("""COMPUTED_VALUE"""),0)</f>
        <v>0</v>
      </c>
      <c r="I265" s="37">
        <f ca="1">IFERROR(__xludf.DUMMYFUNCTION("""COMPUTED_VALUE"""),0)</f>
        <v>0</v>
      </c>
      <c r="J265" s="37">
        <f ca="1">IFERROR(__xludf.DUMMYFUNCTION("""COMPUTED_VALUE"""),0)</f>
        <v>0</v>
      </c>
      <c r="K265" s="37">
        <f ca="1">IFERROR(__xludf.DUMMYFUNCTION("""COMPUTED_VALUE"""),23128)</f>
        <v>23128</v>
      </c>
      <c r="L265" s="37">
        <f ca="1">IFERROR(__xludf.DUMMYFUNCTION("""COMPUTED_VALUE"""),0)</f>
        <v>0</v>
      </c>
      <c r="M265" s="37">
        <f ca="1">IFERROR(__xludf.DUMMYFUNCTION("""COMPUTED_VALUE"""),0)</f>
        <v>0</v>
      </c>
      <c r="N265" s="37">
        <f ca="1">IFERROR(__xludf.DUMMYFUNCTION("""COMPUTED_VALUE"""),0)</f>
        <v>0</v>
      </c>
      <c r="O265" s="37">
        <f ca="1">IFERROR(__xludf.DUMMYFUNCTION("""COMPUTED_VALUE"""),0)</f>
        <v>0</v>
      </c>
      <c r="P265" s="37">
        <f ca="1">IFERROR(__xludf.DUMMYFUNCTION("""COMPUTED_VALUE"""),210)</f>
        <v>210</v>
      </c>
      <c r="Q265" s="37">
        <f ca="1">IFERROR(__xludf.DUMMYFUNCTION("""COMPUTED_VALUE"""),0)</f>
        <v>0</v>
      </c>
      <c r="R265" s="37">
        <f ca="1">IFERROR(__xludf.DUMMYFUNCTION("""COMPUTED_VALUE"""),0)</f>
        <v>0</v>
      </c>
      <c r="S265" s="37">
        <f ca="1">IFERROR(__xludf.DUMMYFUNCTION("""COMPUTED_VALUE"""),0)</f>
        <v>0</v>
      </c>
      <c r="T265" s="37">
        <f ca="1">IFERROR(__xludf.DUMMYFUNCTION("""COMPUTED_VALUE"""),0)</f>
        <v>0</v>
      </c>
      <c r="U265" s="37">
        <f ca="1">IFERROR(__xludf.DUMMYFUNCTION("""COMPUTED_VALUE"""),0)</f>
        <v>0</v>
      </c>
      <c r="V265" s="37">
        <f ca="1">IFERROR(__xludf.DUMMYFUNCTION("""COMPUTED_VALUE"""),0)</f>
        <v>0</v>
      </c>
      <c r="W265" s="37">
        <f ca="1">IFERROR(__xludf.DUMMYFUNCTION("""COMPUTED_VALUE"""),0)</f>
        <v>0</v>
      </c>
      <c r="X265" s="37">
        <f ca="1">IFERROR(__xludf.DUMMYFUNCTION("""COMPUTED_VALUE"""),0)</f>
        <v>0</v>
      </c>
      <c r="Y265" s="37">
        <f ca="1">IFERROR(__xludf.DUMMYFUNCTION("""COMPUTED_VALUE"""),0)</f>
        <v>0</v>
      </c>
      <c r="Z265" s="37">
        <f ca="1">IFERROR(__xludf.DUMMYFUNCTION("""COMPUTED_VALUE"""),1996)</f>
        <v>1996</v>
      </c>
    </row>
    <row r="266" spans="1:26" ht="12.75">
      <c r="A266" s="38" t="str">
        <f ca="1">IFERROR(__xludf.DUMMYFUNCTION("""COMPUTED_VALUE"""),"Miracema")</f>
        <v>Miracema</v>
      </c>
      <c r="B266" s="38" t="str">
        <f ca="1">IFERROR(__xludf.DUMMYFUNCTION("""COMPUTED_VALUE"""),"Tocantinia")</f>
        <v>Tocantinia</v>
      </c>
      <c r="C266" s="39" t="str">
        <f ca="1">IFERROR(__xludf.DUMMYFUNCTION("""COMPUTED_VALUE"""),"ASSOC. DE PAIS E MEST. DO COL. EST. BATISTA PROFª BEATRIZ R. DA SILVA")</f>
        <v>ASSOC. DE PAIS E MEST. DO COL. EST. BATISTA PROFª BEATRIZ R. DA SILVA</v>
      </c>
      <c r="D266" s="40" t="str">
        <f ca="1">IFERROR(__xludf.DUMMYFUNCTION("""COMPUTED_VALUE"""),"15132209000186")</f>
        <v>15132209000186</v>
      </c>
      <c r="E266" s="41" t="str">
        <f ca="1">IFERROR(__xludf.DUMMYFUNCTION("""COMPUTED_VALUE"""),"001")</f>
        <v>001</v>
      </c>
      <c r="F266" s="42" t="str">
        <f ca="1">IFERROR(__xludf.DUMMYFUNCTION("""COMPUTED_VALUE"""),"0862")</f>
        <v>0862</v>
      </c>
      <c r="G266" s="42" t="str">
        <f ca="1">IFERROR(__xludf.DUMMYFUNCTION("""COMPUTED_VALUE"""),"277037")</f>
        <v>277037</v>
      </c>
      <c r="H266" s="42">
        <f ca="1">IFERROR(__xludf.DUMMYFUNCTION("""COMPUTED_VALUE"""),0)</f>
        <v>0</v>
      </c>
      <c r="I266" s="42">
        <f ca="1">IFERROR(__xludf.DUMMYFUNCTION("""COMPUTED_VALUE"""),0)</f>
        <v>0</v>
      </c>
      <c r="J266" s="42">
        <f ca="1">IFERROR(__xludf.DUMMYFUNCTION("""COMPUTED_VALUE"""),0)</f>
        <v>0</v>
      </c>
      <c r="K266" s="42">
        <f ca="1">IFERROR(__xludf.DUMMYFUNCTION("""COMPUTED_VALUE"""),0)</f>
        <v>0</v>
      </c>
      <c r="L266" s="42">
        <f ca="1">IFERROR(__xludf.DUMMYFUNCTION("""COMPUTED_VALUE"""),0)</f>
        <v>0</v>
      </c>
      <c r="M266" s="42">
        <f ca="1">IFERROR(__xludf.DUMMYFUNCTION("""COMPUTED_VALUE"""),0)</f>
        <v>0</v>
      </c>
      <c r="N266" s="42">
        <f ca="1">IFERROR(__xludf.DUMMYFUNCTION("""COMPUTED_VALUE"""),0)</f>
        <v>0</v>
      </c>
      <c r="O266" s="42">
        <f ca="1">IFERROR(__xludf.DUMMYFUNCTION("""COMPUTED_VALUE"""),0)</f>
        <v>0</v>
      </c>
      <c r="P266" s="42">
        <f ca="1">IFERROR(__xludf.DUMMYFUNCTION("""COMPUTED_VALUE"""),0)</f>
        <v>0</v>
      </c>
      <c r="Q266" s="42">
        <f ca="1">IFERROR(__xludf.DUMMYFUNCTION("""COMPUTED_VALUE"""),3864)</f>
        <v>3864</v>
      </c>
      <c r="R266" s="42">
        <f ca="1">IFERROR(__xludf.DUMMYFUNCTION("""COMPUTED_VALUE"""),0)</f>
        <v>0</v>
      </c>
      <c r="S266" s="42">
        <f ca="1">IFERROR(__xludf.DUMMYFUNCTION("""COMPUTED_VALUE"""),0)</f>
        <v>0</v>
      </c>
      <c r="T266" s="42">
        <f ca="1">IFERROR(__xludf.DUMMYFUNCTION("""COMPUTED_VALUE"""),399)</f>
        <v>399</v>
      </c>
      <c r="U266" s="42">
        <f ca="1">IFERROR(__xludf.DUMMYFUNCTION("""COMPUTED_VALUE"""),0)</f>
        <v>0</v>
      </c>
      <c r="V266" s="42">
        <f ca="1">IFERROR(__xludf.DUMMYFUNCTION("""COMPUTED_VALUE"""),0)</f>
        <v>0</v>
      </c>
      <c r="W266" s="42">
        <f ca="1">IFERROR(__xludf.DUMMYFUNCTION("""COMPUTED_VALUE"""),0)</f>
        <v>0</v>
      </c>
      <c r="X266" s="42">
        <f ca="1">IFERROR(__xludf.DUMMYFUNCTION("""COMPUTED_VALUE"""),0)</f>
        <v>0</v>
      </c>
      <c r="Y266" s="42">
        <f ca="1">IFERROR(__xludf.DUMMYFUNCTION("""COMPUTED_VALUE"""),0)</f>
        <v>0</v>
      </c>
      <c r="Z266" s="42">
        <f ca="1">IFERROR(__xludf.DUMMYFUNCTION("""COMPUTED_VALUE"""),0)</f>
        <v>0</v>
      </c>
    </row>
    <row r="267" spans="1:26" ht="12.75">
      <c r="A267" s="33" t="str">
        <f ca="1">IFERROR(__xludf.DUMMYFUNCTION("""COMPUTED_VALUE"""),"Palmas")</f>
        <v>Palmas</v>
      </c>
      <c r="B267" s="33" t="str">
        <f ca="1">IFERROR(__xludf.DUMMYFUNCTION("""COMPUTED_VALUE"""),"Aparecida do Rio Negro")</f>
        <v>Aparecida do Rio Negro</v>
      </c>
      <c r="C267" s="34" t="str">
        <f ca="1">IFERROR(__xludf.DUMMYFUNCTION("""COMPUTED_VALUE"""),"ASS. DE AP. DO COL. EST. MEIRA MATOS")</f>
        <v>ASS. DE AP. DO COL. EST. MEIRA MATOS</v>
      </c>
      <c r="D267" s="35" t="str">
        <f ca="1">IFERROR(__xludf.DUMMYFUNCTION("""COMPUTED_VALUE"""),"01186452000172")</f>
        <v>01186452000172</v>
      </c>
      <c r="E267" s="36" t="str">
        <f ca="1">IFERROR(__xludf.DUMMYFUNCTION("""COMPUTED_VALUE"""),"001")</f>
        <v>001</v>
      </c>
      <c r="F267" s="37" t="str">
        <f ca="1">IFERROR(__xludf.DUMMYFUNCTION("""COMPUTED_VALUE"""),"1505")</f>
        <v>1505</v>
      </c>
      <c r="G267" s="37" t="str">
        <f ca="1">IFERROR(__xludf.DUMMYFUNCTION("""COMPUTED_VALUE"""),"327972")</f>
        <v>327972</v>
      </c>
      <c r="H267" s="37">
        <f ca="1">IFERROR(__xludf.DUMMYFUNCTION("""COMPUTED_VALUE"""),0)</f>
        <v>0</v>
      </c>
      <c r="I267" s="37">
        <f ca="1">IFERROR(__xludf.DUMMYFUNCTION("""COMPUTED_VALUE"""),0)</f>
        <v>0</v>
      </c>
      <c r="J267" s="37">
        <f ca="1">IFERROR(__xludf.DUMMYFUNCTION("""COMPUTED_VALUE"""),3108)</f>
        <v>3108</v>
      </c>
      <c r="K267" s="37">
        <f ca="1">IFERROR(__xludf.DUMMYFUNCTION("""COMPUTED_VALUE"""),0)</f>
        <v>0</v>
      </c>
      <c r="L267" s="37">
        <f ca="1">IFERROR(__xludf.DUMMYFUNCTION("""COMPUTED_VALUE"""),0)</f>
        <v>0</v>
      </c>
      <c r="M267" s="37">
        <f ca="1">IFERROR(__xludf.DUMMYFUNCTION("""COMPUTED_VALUE"""),0)</f>
        <v>0</v>
      </c>
      <c r="N267" s="37">
        <f ca="1">IFERROR(__xludf.DUMMYFUNCTION("""COMPUTED_VALUE"""),0)</f>
        <v>0</v>
      </c>
      <c r="O267" s="37">
        <f ca="1">IFERROR(__xludf.DUMMYFUNCTION("""COMPUTED_VALUE"""),0)</f>
        <v>0</v>
      </c>
      <c r="P267" s="37">
        <f ca="1">IFERROR(__xludf.DUMMYFUNCTION("""COMPUTED_VALUE"""),294)</f>
        <v>294</v>
      </c>
      <c r="Q267" s="37">
        <f ca="1">IFERROR(__xludf.DUMMYFUNCTION("""COMPUTED_VALUE"""),4725)</f>
        <v>4725</v>
      </c>
      <c r="R267" s="37">
        <f ca="1">IFERROR(__xludf.DUMMYFUNCTION("""COMPUTED_VALUE"""),0)</f>
        <v>0</v>
      </c>
      <c r="S267" s="37">
        <f ca="1">IFERROR(__xludf.DUMMYFUNCTION("""COMPUTED_VALUE"""),0)</f>
        <v>0</v>
      </c>
      <c r="T267" s="37">
        <f ca="1">IFERROR(__xludf.DUMMYFUNCTION("""COMPUTED_VALUE"""),0)</f>
        <v>0</v>
      </c>
      <c r="U267" s="37">
        <f ca="1">IFERROR(__xludf.DUMMYFUNCTION("""COMPUTED_VALUE"""),0)</f>
        <v>0</v>
      </c>
      <c r="V267" s="37">
        <f ca="1">IFERROR(__xludf.DUMMYFUNCTION("""COMPUTED_VALUE"""),0)</f>
        <v>0</v>
      </c>
      <c r="W267" s="37">
        <f ca="1">IFERROR(__xludf.DUMMYFUNCTION("""COMPUTED_VALUE"""),0)</f>
        <v>0</v>
      </c>
      <c r="X267" s="37">
        <f ca="1">IFERROR(__xludf.DUMMYFUNCTION("""COMPUTED_VALUE"""),0)</f>
        <v>0</v>
      </c>
      <c r="Y267" s="37">
        <f ca="1">IFERROR(__xludf.DUMMYFUNCTION("""COMPUTED_VALUE"""),0)</f>
        <v>0</v>
      </c>
      <c r="Z267" s="37">
        <f ca="1">IFERROR(__xludf.DUMMYFUNCTION("""COMPUTED_VALUE"""),0)</f>
        <v>0</v>
      </c>
    </row>
    <row r="268" spans="1:26" ht="12.75">
      <c r="A268" s="38" t="str">
        <f ca="1">IFERROR(__xludf.DUMMYFUNCTION("""COMPUTED_VALUE"""),"Palmas")</f>
        <v>Palmas</v>
      </c>
      <c r="B268" s="38" t="str">
        <f ca="1">IFERROR(__xludf.DUMMYFUNCTION("""COMPUTED_VALUE"""),"Lagoa do Tocantins")</f>
        <v>Lagoa do Tocantins</v>
      </c>
      <c r="C268" s="39" t="str">
        <f ca="1">IFERROR(__xludf.DUMMYFUNCTION("""COMPUTED_VALUE"""),"ASS. DE AP. DA ESC. EST. SALMON DO A.BRITO")</f>
        <v>ASS. DE AP. DA ESC. EST. SALMON DO A.BRITO</v>
      </c>
      <c r="D268" s="40" t="str">
        <f ca="1">IFERROR(__xludf.DUMMYFUNCTION("""COMPUTED_VALUE"""),"01440941000109")</f>
        <v>01440941000109</v>
      </c>
      <c r="E268" s="41" t="str">
        <f ca="1">IFERROR(__xludf.DUMMYFUNCTION("""COMPUTED_VALUE"""),"001")</f>
        <v>001</v>
      </c>
      <c r="F268" s="42" t="str">
        <f ca="1">IFERROR(__xludf.DUMMYFUNCTION("""COMPUTED_VALUE"""),"1505")</f>
        <v>1505</v>
      </c>
      <c r="G268" s="42" t="str">
        <f ca="1">IFERROR(__xludf.DUMMYFUNCTION("""COMPUTED_VALUE"""),"465410")</f>
        <v>465410</v>
      </c>
      <c r="H268" s="42">
        <f ca="1">IFERROR(__xludf.DUMMYFUNCTION("""COMPUTED_VALUE"""),0)</f>
        <v>0</v>
      </c>
      <c r="I268" s="42">
        <f ca="1">IFERROR(__xludf.DUMMYFUNCTION("""COMPUTED_VALUE"""),0)</f>
        <v>0</v>
      </c>
      <c r="J268" s="42">
        <f ca="1">IFERROR(__xludf.DUMMYFUNCTION("""COMPUTED_VALUE"""),5019)</f>
        <v>5019</v>
      </c>
      <c r="K268" s="42">
        <f ca="1">IFERROR(__xludf.DUMMYFUNCTION("""COMPUTED_VALUE"""),0)</f>
        <v>0</v>
      </c>
      <c r="L268" s="42">
        <f ca="1">IFERROR(__xludf.DUMMYFUNCTION("""COMPUTED_VALUE"""),0)</f>
        <v>0</v>
      </c>
      <c r="M268" s="42">
        <f ca="1">IFERROR(__xludf.DUMMYFUNCTION("""COMPUTED_VALUE"""),0)</f>
        <v>0</v>
      </c>
      <c r="N268" s="42">
        <f ca="1">IFERROR(__xludf.DUMMYFUNCTION("""COMPUTED_VALUE"""),0)</f>
        <v>0</v>
      </c>
      <c r="O268" s="42">
        <f ca="1">IFERROR(__xludf.DUMMYFUNCTION("""COMPUTED_VALUE"""),0)</f>
        <v>0</v>
      </c>
      <c r="P268" s="42">
        <f ca="1">IFERROR(__xludf.DUMMYFUNCTION("""COMPUTED_VALUE"""),0)</f>
        <v>0</v>
      </c>
      <c r="Q268" s="42">
        <f ca="1">IFERROR(__xludf.DUMMYFUNCTION("""COMPUTED_VALUE"""),4998)</f>
        <v>4998</v>
      </c>
      <c r="R268" s="42">
        <f ca="1">IFERROR(__xludf.DUMMYFUNCTION("""COMPUTED_VALUE"""),0)</f>
        <v>0</v>
      </c>
      <c r="S268" s="42">
        <f ca="1">IFERROR(__xludf.DUMMYFUNCTION("""COMPUTED_VALUE"""),0)</f>
        <v>0</v>
      </c>
      <c r="T268" s="42">
        <f ca="1">IFERROR(__xludf.DUMMYFUNCTION("""COMPUTED_VALUE"""),0)</f>
        <v>0</v>
      </c>
      <c r="U268" s="42">
        <f ca="1">IFERROR(__xludf.DUMMYFUNCTION("""COMPUTED_VALUE"""),0)</f>
        <v>0</v>
      </c>
      <c r="V268" s="42">
        <f ca="1">IFERROR(__xludf.DUMMYFUNCTION("""COMPUTED_VALUE"""),0)</f>
        <v>0</v>
      </c>
      <c r="W268" s="42">
        <f ca="1">IFERROR(__xludf.DUMMYFUNCTION("""COMPUTED_VALUE"""),0)</f>
        <v>0</v>
      </c>
      <c r="X268" s="42">
        <f ca="1">IFERROR(__xludf.DUMMYFUNCTION("""COMPUTED_VALUE"""),0)</f>
        <v>0</v>
      </c>
      <c r="Y268" s="42">
        <f ca="1">IFERROR(__xludf.DUMMYFUNCTION("""COMPUTED_VALUE"""),0)</f>
        <v>0</v>
      </c>
      <c r="Z268" s="42">
        <f ca="1">IFERROR(__xludf.DUMMYFUNCTION("""COMPUTED_VALUE"""),0)</f>
        <v>0</v>
      </c>
    </row>
    <row r="269" spans="1:26" ht="12.75">
      <c r="A269" s="33" t="str">
        <f ca="1">IFERROR(__xludf.DUMMYFUNCTION("""COMPUTED_VALUE"""),"Palmas")</f>
        <v>Palmas</v>
      </c>
      <c r="B269" s="33" t="str">
        <f ca="1">IFERROR(__xludf.DUMMYFUNCTION("""COMPUTED_VALUE"""),"Lajeado")</f>
        <v>Lajeado</v>
      </c>
      <c r="C269" s="34" t="str">
        <f ca="1">IFERROR(__xludf.DUMMYFUNCTION("""COMPUTED_VALUE"""),"A.A. COM. E. E.N.SRA.DA PROVIDENCIA")</f>
        <v>A.A. COM. E. E.N.SRA.DA PROVIDENCIA</v>
      </c>
      <c r="D269" s="35" t="str">
        <f ca="1">IFERROR(__xludf.DUMMYFUNCTION("""COMPUTED_VALUE"""),"01138324000153")</f>
        <v>01138324000153</v>
      </c>
      <c r="E269" s="36" t="str">
        <f ca="1">IFERROR(__xludf.DUMMYFUNCTION("""COMPUTED_VALUE"""),"001")</f>
        <v>001</v>
      </c>
      <c r="F269" s="37" t="str">
        <f ca="1">IFERROR(__xludf.DUMMYFUNCTION("""COMPUTED_VALUE"""),"0862")</f>
        <v>0862</v>
      </c>
      <c r="G269" s="37" t="str">
        <f ca="1">IFERROR(__xludf.DUMMYFUNCTION("""COMPUTED_VALUE"""),"69132")</f>
        <v>69132</v>
      </c>
      <c r="H269" s="37">
        <f ca="1">IFERROR(__xludf.DUMMYFUNCTION("""COMPUTED_VALUE"""),0)</f>
        <v>0</v>
      </c>
      <c r="I269" s="37">
        <f ca="1">IFERROR(__xludf.DUMMYFUNCTION("""COMPUTED_VALUE"""),0)</f>
        <v>0</v>
      </c>
      <c r="J269" s="37">
        <f ca="1">IFERROR(__xludf.DUMMYFUNCTION("""COMPUTED_VALUE"""),588)</f>
        <v>588</v>
      </c>
      <c r="K269" s="37">
        <f ca="1">IFERROR(__xludf.DUMMYFUNCTION("""COMPUTED_VALUE"""),0)</f>
        <v>0</v>
      </c>
      <c r="L269" s="37">
        <f ca="1">IFERROR(__xludf.DUMMYFUNCTION("""COMPUTED_VALUE"""),0)</f>
        <v>0</v>
      </c>
      <c r="M269" s="37">
        <f ca="1">IFERROR(__xludf.DUMMYFUNCTION("""COMPUTED_VALUE"""),0)</f>
        <v>0</v>
      </c>
      <c r="N269" s="37">
        <f ca="1">IFERROR(__xludf.DUMMYFUNCTION("""COMPUTED_VALUE"""),0)</f>
        <v>0</v>
      </c>
      <c r="O269" s="37">
        <f ca="1">IFERROR(__xludf.DUMMYFUNCTION("""COMPUTED_VALUE"""),0)</f>
        <v>0</v>
      </c>
      <c r="P269" s="37">
        <f ca="1">IFERROR(__xludf.DUMMYFUNCTION("""COMPUTED_VALUE"""),147)</f>
        <v>147</v>
      </c>
      <c r="Q269" s="37">
        <f ca="1">IFERROR(__xludf.DUMMYFUNCTION("""COMPUTED_VALUE"""),2520)</f>
        <v>2520</v>
      </c>
      <c r="R269" s="37">
        <f ca="1">IFERROR(__xludf.DUMMYFUNCTION("""COMPUTED_VALUE"""),0)</f>
        <v>0</v>
      </c>
      <c r="S269" s="37">
        <f ca="1">IFERROR(__xludf.DUMMYFUNCTION("""COMPUTED_VALUE"""),0)</f>
        <v>0</v>
      </c>
      <c r="T269" s="37">
        <f ca="1">IFERROR(__xludf.DUMMYFUNCTION("""COMPUTED_VALUE"""),294)</f>
        <v>294</v>
      </c>
      <c r="U269" s="37">
        <f ca="1">IFERROR(__xludf.DUMMYFUNCTION("""COMPUTED_VALUE"""),0)</f>
        <v>0</v>
      </c>
      <c r="V269" s="37">
        <f ca="1">IFERROR(__xludf.DUMMYFUNCTION("""COMPUTED_VALUE"""),0)</f>
        <v>0</v>
      </c>
      <c r="W269" s="37">
        <f ca="1">IFERROR(__xludf.DUMMYFUNCTION("""COMPUTED_VALUE"""),0)</f>
        <v>0</v>
      </c>
      <c r="X269" s="37">
        <f ca="1">IFERROR(__xludf.DUMMYFUNCTION("""COMPUTED_VALUE"""),0)</f>
        <v>0</v>
      </c>
      <c r="Y269" s="37">
        <f ca="1">IFERROR(__xludf.DUMMYFUNCTION("""COMPUTED_VALUE"""),0)</f>
        <v>0</v>
      </c>
      <c r="Z269" s="37">
        <f ca="1">IFERROR(__xludf.DUMMYFUNCTION("""COMPUTED_VALUE"""),0)</f>
        <v>0</v>
      </c>
    </row>
    <row r="270" spans="1:26" ht="12.75">
      <c r="A270" s="38" t="str">
        <f ca="1">IFERROR(__xludf.DUMMYFUNCTION("""COMPUTED_VALUE"""),"Palmas")</f>
        <v>Palmas</v>
      </c>
      <c r="B270" s="38" t="str">
        <f ca="1">IFERROR(__xludf.DUMMYFUNCTION("""COMPUTED_VALUE"""),"Mateiros")</f>
        <v>Mateiros</v>
      </c>
      <c r="C270" s="39" t="str">
        <f ca="1">IFERROR(__xludf.DUMMYFUNCTION("""COMPUTED_VALUE"""),"ASS. A. ESC. EST.ESTEFANIO TELES DAS CHAGAS")</f>
        <v>ASS. A. ESC. EST.ESTEFANIO TELES DAS CHAGAS</v>
      </c>
      <c r="D270" s="40" t="str">
        <f ca="1">IFERROR(__xludf.DUMMYFUNCTION("""COMPUTED_VALUE"""),"01206219000104")</f>
        <v>01206219000104</v>
      </c>
      <c r="E270" s="41" t="str">
        <f ca="1">IFERROR(__xludf.DUMMYFUNCTION("""COMPUTED_VALUE"""),"001")</f>
        <v>001</v>
      </c>
      <c r="F270" s="42" t="str">
        <f ca="1">IFERROR(__xludf.DUMMYFUNCTION("""COMPUTED_VALUE"""),"3962")</f>
        <v>3962</v>
      </c>
      <c r="G270" s="42" t="str">
        <f ca="1">IFERROR(__xludf.DUMMYFUNCTION("""COMPUTED_VALUE"""),"127795")</f>
        <v>127795</v>
      </c>
      <c r="H270" s="42">
        <f ca="1">IFERROR(__xludf.DUMMYFUNCTION("""COMPUTED_VALUE"""),0)</f>
        <v>0</v>
      </c>
      <c r="I270" s="42">
        <f ca="1">IFERROR(__xludf.DUMMYFUNCTION("""COMPUTED_VALUE"""),0)</f>
        <v>0</v>
      </c>
      <c r="J270" s="42">
        <f ca="1">IFERROR(__xludf.DUMMYFUNCTION("""COMPUTED_VALUE"""),3906)</f>
        <v>3906</v>
      </c>
      <c r="K270" s="42">
        <f ca="1">IFERROR(__xludf.DUMMYFUNCTION("""COMPUTED_VALUE"""),0)</f>
        <v>0</v>
      </c>
      <c r="L270" s="42">
        <f ca="1">IFERROR(__xludf.DUMMYFUNCTION("""COMPUTED_VALUE"""),0)</f>
        <v>0</v>
      </c>
      <c r="M270" s="42">
        <f ca="1">IFERROR(__xludf.DUMMYFUNCTION("""COMPUTED_VALUE"""),0)</f>
        <v>0</v>
      </c>
      <c r="N270" s="42">
        <f ca="1">IFERROR(__xludf.DUMMYFUNCTION("""COMPUTED_VALUE"""),0)</f>
        <v>0</v>
      </c>
      <c r="O270" s="42">
        <f ca="1">IFERROR(__xludf.DUMMYFUNCTION("""COMPUTED_VALUE"""),0)</f>
        <v>0</v>
      </c>
      <c r="P270" s="42">
        <f ca="1">IFERROR(__xludf.DUMMYFUNCTION("""COMPUTED_VALUE"""),0)</f>
        <v>0</v>
      </c>
      <c r="Q270" s="42">
        <f ca="1">IFERROR(__xludf.DUMMYFUNCTION("""COMPUTED_VALUE"""),2541)</f>
        <v>2541</v>
      </c>
      <c r="R270" s="42">
        <f ca="1">IFERROR(__xludf.DUMMYFUNCTION("""COMPUTED_VALUE"""),0)</f>
        <v>0</v>
      </c>
      <c r="S270" s="42">
        <f ca="1">IFERROR(__xludf.DUMMYFUNCTION("""COMPUTED_VALUE"""),0)</f>
        <v>0</v>
      </c>
      <c r="T270" s="42">
        <f ca="1">IFERROR(__xludf.DUMMYFUNCTION("""COMPUTED_VALUE"""),0)</f>
        <v>0</v>
      </c>
      <c r="U270" s="42">
        <f ca="1">IFERROR(__xludf.DUMMYFUNCTION("""COMPUTED_VALUE"""),0)</f>
        <v>0</v>
      </c>
      <c r="V270" s="42">
        <f ca="1">IFERROR(__xludf.DUMMYFUNCTION("""COMPUTED_VALUE"""),0)</f>
        <v>0</v>
      </c>
      <c r="W270" s="42">
        <f ca="1">IFERROR(__xludf.DUMMYFUNCTION("""COMPUTED_VALUE"""),0)</f>
        <v>0</v>
      </c>
      <c r="X270" s="42">
        <f ca="1">IFERROR(__xludf.DUMMYFUNCTION("""COMPUTED_VALUE"""),0)</f>
        <v>0</v>
      </c>
      <c r="Y270" s="42">
        <f ca="1">IFERROR(__xludf.DUMMYFUNCTION("""COMPUTED_VALUE"""),0)</f>
        <v>0</v>
      </c>
      <c r="Z270" s="42">
        <f ca="1">IFERROR(__xludf.DUMMYFUNCTION("""COMPUTED_VALUE"""),0)</f>
        <v>0</v>
      </c>
    </row>
    <row r="271" spans="1:26" ht="12.75">
      <c r="A271" s="33" t="str">
        <f ca="1">IFERROR(__xludf.DUMMYFUNCTION("""COMPUTED_VALUE"""),"Palmas")</f>
        <v>Palmas</v>
      </c>
      <c r="B271" s="33" t="str">
        <f ca="1">IFERROR(__xludf.DUMMYFUNCTION("""COMPUTED_VALUE"""),"Mateiros")</f>
        <v>Mateiros</v>
      </c>
      <c r="C271" s="34" t="str">
        <f ca="1">IFERROR(__xludf.DUMMYFUNCTION("""COMPUTED_VALUE"""),"ASSOC. DE APOIO A ESC. EST. SILVERIO RIBEIRO MATOS")</f>
        <v>ASSOC. DE APOIO A ESC. EST. SILVERIO RIBEIRO MATOS</v>
      </c>
      <c r="D271" s="35" t="str">
        <f ca="1">IFERROR(__xludf.DUMMYFUNCTION("""COMPUTED_VALUE"""),"13439520000147")</f>
        <v>13439520000147</v>
      </c>
      <c r="E271" s="36" t="str">
        <f ca="1">IFERROR(__xludf.DUMMYFUNCTION("""COMPUTED_VALUE"""),"001")</f>
        <v>001</v>
      </c>
      <c r="F271" s="37" t="str">
        <f ca="1">IFERROR(__xludf.DUMMYFUNCTION("""COMPUTED_VALUE"""),"3962")</f>
        <v>3962</v>
      </c>
      <c r="G271" s="37" t="str">
        <f ca="1">IFERROR(__xludf.DUMMYFUNCTION("""COMPUTED_VALUE"""),"261882")</f>
        <v>261882</v>
      </c>
      <c r="H271" s="37">
        <f ca="1">IFERROR(__xludf.DUMMYFUNCTION("""COMPUTED_VALUE"""),0)</f>
        <v>0</v>
      </c>
      <c r="I271" s="37">
        <f ca="1">IFERROR(__xludf.DUMMYFUNCTION("""COMPUTED_VALUE"""),0)</f>
        <v>0</v>
      </c>
      <c r="J271" s="37">
        <f ca="1">IFERROR(__xludf.DUMMYFUNCTION("""COMPUTED_VALUE"""),0)</f>
        <v>0</v>
      </c>
      <c r="K271" s="37">
        <f ca="1">IFERROR(__xludf.DUMMYFUNCTION("""COMPUTED_VALUE"""),0)</f>
        <v>0</v>
      </c>
      <c r="L271" s="37">
        <f ca="1">IFERROR(__xludf.DUMMYFUNCTION("""COMPUTED_VALUE"""),1554)</f>
        <v>1554</v>
      </c>
      <c r="M271" s="37">
        <f ca="1">IFERROR(__xludf.DUMMYFUNCTION("""COMPUTED_VALUE"""),0)</f>
        <v>0</v>
      </c>
      <c r="N271" s="37">
        <f ca="1">IFERROR(__xludf.DUMMYFUNCTION("""COMPUTED_VALUE"""),0)</f>
        <v>0</v>
      </c>
      <c r="O271" s="37">
        <f ca="1">IFERROR(__xludf.DUMMYFUNCTION("""COMPUTED_VALUE"""),0)</f>
        <v>0</v>
      </c>
      <c r="P271" s="37">
        <f ca="1">IFERROR(__xludf.DUMMYFUNCTION("""COMPUTED_VALUE"""),0)</f>
        <v>0</v>
      </c>
      <c r="Q271" s="37">
        <f ca="1">IFERROR(__xludf.DUMMYFUNCTION("""COMPUTED_VALUE"""),0)</f>
        <v>0</v>
      </c>
      <c r="R271" s="37">
        <f ca="1">IFERROR(__xludf.DUMMYFUNCTION("""COMPUTED_VALUE"""),0)</f>
        <v>0</v>
      </c>
      <c r="S271" s="37">
        <f ca="1">IFERROR(__xludf.DUMMYFUNCTION("""COMPUTED_VALUE"""),0)</f>
        <v>0</v>
      </c>
      <c r="T271" s="37">
        <f ca="1">IFERROR(__xludf.DUMMYFUNCTION("""COMPUTED_VALUE"""),0)</f>
        <v>0</v>
      </c>
      <c r="U271" s="37">
        <f ca="1">IFERROR(__xludf.DUMMYFUNCTION("""COMPUTED_VALUE"""),0)</f>
        <v>0</v>
      </c>
      <c r="V271" s="37">
        <f ca="1">IFERROR(__xludf.DUMMYFUNCTION("""COMPUTED_VALUE"""),0)</f>
        <v>0</v>
      </c>
      <c r="W271" s="37">
        <f ca="1">IFERROR(__xludf.DUMMYFUNCTION("""COMPUTED_VALUE"""),0)</f>
        <v>0</v>
      </c>
      <c r="X271" s="37">
        <f ca="1">IFERROR(__xludf.DUMMYFUNCTION("""COMPUTED_VALUE"""),0)</f>
        <v>0</v>
      </c>
      <c r="Y271" s="37">
        <f ca="1">IFERROR(__xludf.DUMMYFUNCTION("""COMPUTED_VALUE"""),0)</f>
        <v>0</v>
      </c>
      <c r="Z271" s="37">
        <f ca="1">IFERROR(__xludf.DUMMYFUNCTION("""COMPUTED_VALUE"""),0)</f>
        <v>0</v>
      </c>
    </row>
    <row r="272" spans="1:26" ht="12.75">
      <c r="A272" s="38" t="str">
        <f ca="1">IFERROR(__xludf.DUMMYFUNCTION("""COMPUTED_VALUE"""),"Palmas")</f>
        <v>Palmas</v>
      </c>
      <c r="B272" s="38" t="str">
        <f ca="1">IFERROR(__xludf.DUMMYFUNCTION("""COMPUTED_VALUE"""),"Novo Acordo")</f>
        <v>Novo Acordo</v>
      </c>
      <c r="C272" s="39" t="str">
        <f ca="1">IFERROR(__xludf.DUMMYFUNCTION("""COMPUTED_VALUE"""),"ASS. A. AO COL. EST. D. PEDRO I/N.ACORDO")</f>
        <v>ASS. A. AO COL. EST. D. PEDRO I/N.ACORDO</v>
      </c>
      <c r="D272" s="40" t="str">
        <f ca="1">IFERROR(__xludf.DUMMYFUNCTION("""COMPUTED_VALUE"""),"01133690000110")</f>
        <v>01133690000110</v>
      </c>
      <c r="E272" s="41" t="str">
        <f ca="1">IFERROR(__xludf.DUMMYFUNCTION("""COMPUTED_VALUE"""),"001")</f>
        <v>001</v>
      </c>
      <c r="F272" s="42" t="str">
        <f ca="1">IFERROR(__xludf.DUMMYFUNCTION("""COMPUTED_VALUE"""),"1505")</f>
        <v>1505</v>
      </c>
      <c r="G272" s="42" t="str">
        <f ca="1">IFERROR(__xludf.DUMMYFUNCTION("""COMPUTED_VALUE"""),"157856")</f>
        <v>157856</v>
      </c>
      <c r="H272" s="42">
        <f ca="1">IFERROR(__xludf.DUMMYFUNCTION("""COMPUTED_VALUE"""),0)</f>
        <v>0</v>
      </c>
      <c r="I272" s="42">
        <f ca="1">IFERROR(__xludf.DUMMYFUNCTION("""COMPUTED_VALUE"""),0)</f>
        <v>0</v>
      </c>
      <c r="J272" s="42">
        <f ca="1">IFERROR(__xludf.DUMMYFUNCTION("""COMPUTED_VALUE"""),9954)</f>
        <v>9954</v>
      </c>
      <c r="K272" s="42">
        <f ca="1">IFERROR(__xludf.DUMMYFUNCTION("""COMPUTED_VALUE"""),0)</f>
        <v>0</v>
      </c>
      <c r="L272" s="42">
        <f ca="1">IFERROR(__xludf.DUMMYFUNCTION("""COMPUTED_VALUE"""),0)</f>
        <v>0</v>
      </c>
      <c r="M272" s="42">
        <f ca="1">IFERROR(__xludf.DUMMYFUNCTION("""COMPUTED_VALUE"""),0)</f>
        <v>0</v>
      </c>
      <c r="N272" s="42">
        <f ca="1">IFERROR(__xludf.DUMMYFUNCTION("""COMPUTED_VALUE"""),0)</f>
        <v>0</v>
      </c>
      <c r="O272" s="42">
        <f ca="1">IFERROR(__xludf.DUMMYFUNCTION("""COMPUTED_VALUE"""),0)</f>
        <v>0</v>
      </c>
      <c r="P272" s="42">
        <f ca="1">IFERROR(__xludf.DUMMYFUNCTION("""COMPUTED_VALUE"""),1638)</f>
        <v>1638</v>
      </c>
      <c r="Q272" s="42">
        <f ca="1">IFERROR(__xludf.DUMMYFUNCTION("""COMPUTED_VALUE"""),8358)</f>
        <v>8358</v>
      </c>
      <c r="R272" s="42">
        <f ca="1">IFERROR(__xludf.DUMMYFUNCTION("""COMPUTED_VALUE"""),0)</f>
        <v>0</v>
      </c>
      <c r="S272" s="42">
        <f ca="1">IFERROR(__xludf.DUMMYFUNCTION("""COMPUTED_VALUE"""),0)</f>
        <v>0</v>
      </c>
      <c r="T272" s="42">
        <f ca="1">IFERROR(__xludf.DUMMYFUNCTION("""COMPUTED_VALUE"""),0)</f>
        <v>0</v>
      </c>
      <c r="U272" s="42">
        <f ca="1">IFERROR(__xludf.DUMMYFUNCTION("""COMPUTED_VALUE"""),0)</f>
        <v>0</v>
      </c>
      <c r="V272" s="42">
        <f ca="1">IFERROR(__xludf.DUMMYFUNCTION("""COMPUTED_VALUE"""),0)</f>
        <v>0</v>
      </c>
      <c r="W272" s="42">
        <f ca="1">IFERROR(__xludf.DUMMYFUNCTION("""COMPUTED_VALUE"""),0)</f>
        <v>0</v>
      </c>
      <c r="X272" s="42">
        <f ca="1">IFERROR(__xludf.DUMMYFUNCTION("""COMPUTED_VALUE"""),0)</f>
        <v>0</v>
      </c>
      <c r="Y272" s="42">
        <f ca="1">IFERROR(__xludf.DUMMYFUNCTION("""COMPUTED_VALUE"""),0)</f>
        <v>0</v>
      </c>
      <c r="Z272" s="42">
        <f ca="1">IFERROR(__xludf.DUMMYFUNCTION("""COMPUTED_VALUE"""),0)</f>
        <v>0</v>
      </c>
    </row>
    <row r="273" spans="1:26" ht="12.75">
      <c r="A273" s="33" t="str">
        <f ca="1">IFERROR(__xludf.DUMMYFUNCTION("""COMPUTED_VALUE"""),"Palmas")</f>
        <v>Palmas</v>
      </c>
      <c r="B273" s="33" t="str">
        <f ca="1">IFERROR(__xludf.DUMMYFUNCTION("""COMPUTED_VALUE"""),"Novo Acordo")</f>
        <v>Novo Acordo</v>
      </c>
      <c r="C273" s="34" t="str">
        <f ca="1">IFERROR(__xludf.DUMMYFUNCTION("""COMPUTED_VALUE"""),"A.A. DA ESC. EST.PEDRO MACEDO / N.ACORDO")</f>
        <v>A.A. DA ESC. EST.PEDRO MACEDO / N.ACORDO</v>
      </c>
      <c r="D273" s="35" t="str">
        <f ca="1">IFERROR(__xludf.DUMMYFUNCTION("""COMPUTED_VALUE"""),"01136004000164")</f>
        <v>01136004000164</v>
      </c>
      <c r="E273" s="36" t="str">
        <f ca="1">IFERROR(__xludf.DUMMYFUNCTION("""COMPUTED_VALUE"""),"001")</f>
        <v>001</v>
      </c>
      <c r="F273" s="37" t="str">
        <f ca="1">IFERROR(__xludf.DUMMYFUNCTION("""COMPUTED_VALUE"""),"1505")</f>
        <v>1505</v>
      </c>
      <c r="G273" s="37" t="str">
        <f ca="1">IFERROR(__xludf.DUMMYFUNCTION("""COMPUTED_VALUE"""),"171166")</f>
        <v>171166</v>
      </c>
      <c r="H273" s="37">
        <f ca="1">IFERROR(__xludf.DUMMYFUNCTION("""COMPUTED_VALUE"""),0)</f>
        <v>0</v>
      </c>
      <c r="I273" s="37">
        <f ca="1">IFERROR(__xludf.DUMMYFUNCTION("""COMPUTED_VALUE"""),0)</f>
        <v>0</v>
      </c>
      <c r="J273" s="37">
        <f ca="1">IFERROR(__xludf.DUMMYFUNCTION("""COMPUTED_VALUE"""),1659)</f>
        <v>1659</v>
      </c>
      <c r="K273" s="37">
        <f ca="1">IFERROR(__xludf.DUMMYFUNCTION("""COMPUTED_VALUE"""),0)</f>
        <v>0</v>
      </c>
      <c r="L273" s="37">
        <f ca="1">IFERROR(__xludf.DUMMYFUNCTION("""COMPUTED_VALUE"""),0)</f>
        <v>0</v>
      </c>
      <c r="M273" s="37">
        <f ca="1">IFERROR(__xludf.DUMMYFUNCTION("""COMPUTED_VALUE"""),0)</f>
        <v>0</v>
      </c>
      <c r="N273" s="37">
        <f ca="1">IFERROR(__xludf.DUMMYFUNCTION("""COMPUTED_VALUE"""),0)</f>
        <v>0</v>
      </c>
      <c r="O273" s="37">
        <f ca="1">IFERROR(__xludf.DUMMYFUNCTION("""COMPUTED_VALUE"""),0)</f>
        <v>0</v>
      </c>
      <c r="P273" s="37">
        <f ca="1">IFERROR(__xludf.DUMMYFUNCTION("""COMPUTED_VALUE"""),336)</f>
        <v>336</v>
      </c>
      <c r="Q273" s="37">
        <f ca="1">IFERROR(__xludf.DUMMYFUNCTION("""COMPUTED_VALUE"""),0)</f>
        <v>0</v>
      </c>
      <c r="R273" s="37">
        <f ca="1">IFERROR(__xludf.DUMMYFUNCTION("""COMPUTED_VALUE"""),0)</f>
        <v>0</v>
      </c>
      <c r="S273" s="37">
        <f ca="1">IFERROR(__xludf.DUMMYFUNCTION("""COMPUTED_VALUE"""),0)</f>
        <v>0</v>
      </c>
      <c r="T273" s="37">
        <f ca="1">IFERROR(__xludf.DUMMYFUNCTION("""COMPUTED_VALUE"""),0)</f>
        <v>0</v>
      </c>
      <c r="U273" s="37">
        <f ca="1">IFERROR(__xludf.DUMMYFUNCTION("""COMPUTED_VALUE"""),0)</f>
        <v>0</v>
      </c>
      <c r="V273" s="37">
        <f ca="1">IFERROR(__xludf.DUMMYFUNCTION("""COMPUTED_VALUE"""),0)</f>
        <v>0</v>
      </c>
      <c r="W273" s="37">
        <f ca="1">IFERROR(__xludf.DUMMYFUNCTION("""COMPUTED_VALUE"""),0)</f>
        <v>0</v>
      </c>
      <c r="X273" s="37">
        <f ca="1">IFERROR(__xludf.DUMMYFUNCTION("""COMPUTED_VALUE"""),0)</f>
        <v>0</v>
      </c>
      <c r="Y273" s="37">
        <f ca="1">IFERROR(__xludf.DUMMYFUNCTION("""COMPUTED_VALUE"""),0)</f>
        <v>0</v>
      </c>
      <c r="Z273" s="37">
        <f ca="1">IFERROR(__xludf.DUMMYFUNCTION("""COMPUTED_VALUE"""),0)</f>
        <v>0</v>
      </c>
    </row>
    <row r="274" spans="1:26" ht="12.75">
      <c r="A274" s="38" t="str">
        <f ca="1">IFERROR(__xludf.DUMMYFUNCTION("""COMPUTED_VALUE"""),"Palmas")</f>
        <v>Palmas</v>
      </c>
      <c r="B274" s="38" t="str">
        <f ca="1">IFERROR(__xludf.DUMMYFUNCTION("""COMPUTED_VALUE"""),"Palmas")</f>
        <v>Palmas</v>
      </c>
      <c r="C274" s="39" t="str">
        <f ca="1">IFERROR(__xludf.DUMMYFUNCTION("""COMPUTED_VALUE"""),"A. DE CONSELHO ESCOLAR DO CEM 305 NORTE")</f>
        <v>A. DE CONSELHO ESCOLAR DO CEM 305 NORTE</v>
      </c>
      <c r="D274" s="40" t="str">
        <f ca="1">IFERROR(__xludf.DUMMYFUNCTION("""COMPUTED_VALUE"""),"04701394000166")</f>
        <v>04701394000166</v>
      </c>
      <c r="E274" s="41" t="str">
        <f ca="1">IFERROR(__xludf.DUMMYFUNCTION("""COMPUTED_VALUE"""),"001")</f>
        <v>001</v>
      </c>
      <c r="F274" s="42" t="str">
        <f ca="1">IFERROR(__xludf.DUMMYFUNCTION("""COMPUTED_VALUE"""),"1505")</f>
        <v>1505</v>
      </c>
      <c r="G274" s="42" t="str">
        <f ca="1">IFERROR(__xludf.DUMMYFUNCTION("""COMPUTED_VALUE"""),"455261")</f>
        <v>455261</v>
      </c>
      <c r="H274" s="42">
        <f ca="1">IFERROR(__xludf.DUMMYFUNCTION("""COMPUTED_VALUE"""),0)</f>
        <v>0</v>
      </c>
      <c r="I274" s="42">
        <f ca="1">IFERROR(__xludf.DUMMYFUNCTION("""COMPUTED_VALUE"""),0)</f>
        <v>0</v>
      </c>
      <c r="J274" s="42">
        <f ca="1">IFERROR(__xludf.DUMMYFUNCTION("""COMPUTED_VALUE"""),0)</f>
        <v>0</v>
      </c>
      <c r="K274" s="42">
        <f ca="1">IFERROR(__xludf.DUMMYFUNCTION("""COMPUTED_VALUE"""),0)</f>
        <v>0</v>
      </c>
      <c r="L274" s="42">
        <f ca="1">IFERROR(__xludf.DUMMYFUNCTION("""COMPUTED_VALUE"""),0)</f>
        <v>0</v>
      </c>
      <c r="M274" s="42">
        <f ca="1">IFERROR(__xludf.DUMMYFUNCTION("""COMPUTED_VALUE"""),0)</f>
        <v>0</v>
      </c>
      <c r="N274" s="42">
        <f ca="1">IFERROR(__xludf.DUMMYFUNCTION("""COMPUTED_VALUE"""),0)</f>
        <v>0</v>
      </c>
      <c r="O274" s="42">
        <f ca="1">IFERROR(__xludf.DUMMYFUNCTION("""COMPUTED_VALUE"""),0)</f>
        <v>0</v>
      </c>
      <c r="P274" s="42">
        <f ca="1">IFERROR(__xludf.DUMMYFUNCTION("""COMPUTED_VALUE"""),252)</f>
        <v>252</v>
      </c>
      <c r="Q274" s="42">
        <f ca="1">IFERROR(__xludf.DUMMYFUNCTION("""COMPUTED_VALUE"""),24108)</f>
        <v>24108</v>
      </c>
      <c r="R274" s="42">
        <f ca="1">IFERROR(__xludf.DUMMYFUNCTION("""COMPUTED_VALUE"""),0)</f>
        <v>0</v>
      </c>
      <c r="S274" s="42">
        <f ca="1">IFERROR(__xludf.DUMMYFUNCTION("""COMPUTED_VALUE"""),0)</f>
        <v>0</v>
      </c>
      <c r="T274" s="42">
        <f ca="1">IFERROR(__xludf.DUMMYFUNCTION("""COMPUTED_VALUE"""),0)</f>
        <v>0</v>
      </c>
      <c r="U274" s="42">
        <f ca="1">IFERROR(__xludf.DUMMYFUNCTION("""COMPUTED_VALUE"""),0)</f>
        <v>0</v>
      </c>
      <c r="V274" s="42">
        <f ca="1">IFERROR(__xludf.DUMMYFUNCTION("""COMPUTED_VALUE"""),0)</f>
        <v>0</v>
      </c>
      <c r="W274" s="42">
        <f ca="1">IFERROR(__xludf.DUMMYFUNCTION("""COMPUTED_VALUE"""),0)</f>
        <v>0</v>
      </c>
      <c r="X274" s="42">
        <f ca="1">IFERROR(__xludf.DUMMYFUNCTION("""COMPUTED_VALUE"""),0)</f>
        <v>0</v>
      </c>
      <c r="Y274" s="42">
        <f ca="1">IFERROR(__xludf.DUMMYFUNCTION("""COMPUTED_VALUE"""),0)</f>
        <v>0</v>
      </c>
      <c r="Z274" s="42">
        <f ca="1">IFERROR(__xludf.DUMMYFUNCTION("""COMPUTED_VALUE"""),0)</f>
        <v>0</v>
      </c>
    </row>
    <row r="275" spans="1:26" ht="12.75">
      <c r="A275" s="33" t="str">
        <f ca="1">IFERROR(__xludf.DUMMYFUNCTION("""COMPUTED_VALUE"""),"Palmas")</f>
        <v>Palmas</v>
      </c>
      <c r="B275" s="33" t="str">
        <f ca="1">IFERROR(__xludf.DUMMYFUNCTION("""COMPUTED_VALUE"""),"Palmas")</f>
        <v>Palmas</v>
      </c>
      <c r="C275" s="34" t="str">
        <f ca="1">IFERROR(__xludf.DUMMYFUNCTION("""COMPUTED_VALUE"""),"ASSOC. DE APOIO COL. EST. DE TAQUARALTO")</f>
        <v>ASSOC. DE APOIO COL. EST. DE TAQUARALTO</v>
      </c>
      <c r="D275" s="35" t="str">
        <f ca="1">IFERROR(__xludf.DUMMYFUNCTION("""COMPUTED_VALUE"""),"03233677000168")</f>
        <v>03233677000168</v>
      </c>
      <c r="E275" s="36" t="str">
        <f ca="1">IFERROR(__xludf.DUMMYFUNCTION("""COMPUTED_VALUE"""),"001")</f>
        <v>001</v>
      </c>
      <c r="F275" s="37" t="str">
        <f ca="1">IFERROR(__xludf.DUMMYFUNCTION("""COMPUTED_VALUE"""),"1505")</f>
        <v>1505</v>
      </c>
      <c r="G275" s="37" t="str">
        <f ca="1">IFERROR(__xludf.DUMMYFUNCTION("""COMPUTED_VALUE"""),"455059")</f>
        <v>455059</v>
      </c>
      <c r="H275" s="37">
        <f ca="1">IFERROR(__xludf.DUMMYFUNCTION("""COMPUTED_VALUE"""),0)</f>
        <v>0</v>
      </c>
      <c r="I275" s="37">
        <f ca="1">IFERROR(__xludf.DUMMYFUNCTION("""COMPUTED_VALUE"""),0)</f>
        <v>0</v>
      </c>
      <c r="J275" s="37">
        <f ca="1">IFERROR(__xludf.DUMMYFUNCTION("""COMPUTED_VALUE"""),0)</f>
        <v>0</v>
      </c>
      <c r="K275" s="37">
        <f ca="1">IFERROR(__xludf.DUMMYFUNCTION("""COMPUTED_VALUE"""),0)</f>
        <v>0</v>
      </c>
      <c r="L275" s="37">
        <f ca="1">IFERROR(__xludf.DUMMYFUNCTION("""COMPUTED_VALUE"""),0)</f>
        <v>0</v>
      </c>
      <c r="M275" s="37">
        <f ca="1">IFERROR(__xludf.DUMMYFUNCTION("""COMPUTED_VALUE"""),0)</f>
        <v>0</v>
      </c>
      <c r="N275" s="37">
        <f ca="1">IFERROR(__xludf.DUMMYFUNCTION("""COMPUTED_VALUE"""),0)</f>
        <v>0</v>
      </c>
      <c r="O275" s="37">
        <f ca="1">IFERROR(__xludf.DUMMYFUNCTION("""COMPUTED_VALUE"""),0)</f>
        <v>0</v>
      </c>
      <c r="P275" s="37">
        <f ca="1">IFERROR(__xludf.DUMMYFUNCTION("""COMPUTED_VALUE"""),546)</f>
        <v>546</v>
      </c>
      <c r="Q275" s="37">
        <f ca="1">IFERROR(__xludf.DUMMYFUNCTION("""COMPUTED_VALUE"""),63252)</f>
        <v>63252</v>
      </c>
      <c r="R275" s="37">
        <f ca="1">IFERROR(__xludf.DUMMYFUNCTION("""COMPUTED_VALUE"""),0)</f>
        <v>0</v>
      </c>
      <c r="S275" s="37">
        <f ca="1">IFERROR(__xludf.DUMMYFUNCTION("""COMPUTED_VALUE"""),0)</f>
        <v>0</v>
      </c>
      <c r="T275" s="37">
        <f ca="1">IFERROR(__xludf.DUMMYFUNCTION("""COMPUTED_VALUE"""),4788)</f>
        <v>4788</v>
      </c>
      <c r="U275" s="37">
        <f ca="1">IFERROR(__xludf.DUMMYFUNCTION("""COMPUTED_VALUE"""),0)</f>
        <v>0</v>
      </c>
      <c r="V275" s="37">
        <f ca="1">IFERROR(__xludf.DUMMYFUNCTION("""COMPUTED_VALUE"""),0)</f>
        <v>0</v>
      </c>
      <c r="W275" s="37">
        <f ca="1">IFERROR(__xludf.DUMMYFUNCTION("""COMPUTED_VALUE"""),0)</f>
        <v>0</v>
      </c>
      <c r="X275" s="37">
        <f ca="1">IFERROR(__xludf.DUMMYFUNCTION("""COMPUTED_VALUE"""),0)</f>
        <v>0</v>
      </c>
      <c r="Y275" s="37">
        <f ca="1">IFERROR(__xludf.DUMMYFUNCTION("""COMPUTED_VALUE"""),0)</f>
        <v>0</v>
      </c>
      <c r="Z275" s="37">
        <f ca="1">IFERROR(__xludf.DUMMYFUNCTION("""COMPUTED_VALUE"""),0)</f>
        <v>0</v>
      </c>
    </row>
    <row r="276" spans="1:26" ht="12.75">
      <c r="A276" s="38" t="str">
        <f ca="1">IFERROR(__xludf.DUMMYFUNCTION("""COMPUTED_VALUE"""),"Palmas")</f>
        <v>Palmas</v>
      </c>
      <c r="B276" s="38" t="str">
        <f ca="1">IFERROR(__xludf.DUMMYFUNCTION("""COMPUTED_VALUE"""),"Palmas")</f>
        <v>Palmas</v>
      </c>
      <c r="C276" s="39" t="str">
        <f ca="1">IFERROR(__xludf.DUMMYFUNCTION("""COMPUTED_VALUE"""),"A.AP. DO COL. EST. SANTA RITA DE CASSIA")</f>
        <v>A.AP. DO COL. EST. SANTA RITA DE CASSIA</v>
      </c>
      <c r="D276" s="40" t="str">
        <f ca="1">IFERROR(__xludf.DUMMYFUNCTION("""COMPUTED_VALUE"""),"01955414000137")</f>
        <v>01955414000137</v>
      </c>
      <c r="E276" s="41" t="str">
        <f ca="1">IFERROR(__xludf.DUMMYFUNCTION("""COMPUTED_VALUE"""),"001")</f>
        <v>001</v>
      </c>
      <c r="F276" s="42" t="str">
        <f ca="1">IFERROR(__xludf.DUMMYFUNCTION("""COMPUTED_VALUE"""),"1505")</f>
        <v>1505</v>
      </c>
      <c r="G276" s="42" t="str">
        <f ca="1">IFERROR(__xludf.DUMMYFUNCTION("""COMPUTED_VALUE"""),"256579")</f>
        <v>256579</v>
      </c>
      <c r="H276" s="42">
        <f ca="1">IFERROR(__xludf.DUMMYFUNCTION("""COMPUTED_VALUE"""),0)</f>
        <v>0</v>
      </c>
      <c r="I276" s="42">
        <f ca="1">IFERROR(__xludf.DUMMYFUNCTION("""COMPUTED_VALUE"""),0)</f>
        <v>0</v>
      </c>
      <c r="J276" s="42">
        <f ca="1">IFERROR(__xludf.DUMMYFUNCTION("""COMPUTED_VALUE"""),0)</f>
        <v>0</v>
      </c>
      <c r="K276" s="42">
        <f ca="1">IFERROR(__xludf.DUMMYFUNCTION("""COMPUTED_VALUE"""),0)</f>
        <v>0</v>
      </c>
      <c r="L276" s="42">
        <f ca="1">IFERROR(__xludf.DUMMYFUNCTION("""COMPUTED_VALUE"""),0)</f>
        <v>0</v>
      </c>
      <c r="M276" s="42">
        <f ca="1">IFERROR(__xludf.DUMMYFUNCTION("""COMPUTED_VALUE"""),0)</f>
        <v>0</v>
      </c>
      <c r="N276" s="42">
        <f ca="1">IFERROR(__xludf.DUMMYFUNCTION("""COMPUTED_VALUE"""),0)</f>
        <v>0</v>
      </c>
      <c r="O276" s="42">
        <f ca="1">IFERROR(__xludf.DUMMYFUNCTION("""COMPUTED_VALUE"""),0)</f>
        <v>0</v>
      </c>
      <c r="P276" s="42">
        <f ca="1">IFERROR(__xludf.DUMMYFUNCTION("""COMPUTED_VALUE"""),189)</f>
        <v>189</v>
      </c>
      <c r="Q276" s="42">
        <f ca="1">IFERROR(__xludf.DUMMYFUNCTION("""COMPUTED_VALUE"""),0)</f>
        <v>0</v>
      </c>
      <c r="R276" s="42">
        <f ca="1">IFERROR(__xludf.DUMMYFUNCTION("""COMPUTED_VALUE"""),0)</f>
        <v>0</v>
      </c>
      <c r="S276" s="42">
        <f ca="1">IFERROR(__xludf.DUMMYFUNCTION("""COMPUTED_VALUE"""),17570.8)</f>
        <v>17570.8</v>
      </c>
      <c r="T276" s="42">
        <f ca="1">IFERROR(__xludf.DUMMYFUNCTION("""COMPUTED_VALUE"""),0)</f>
        <v>0</v>
      </c>
      <c r="U276" s="42">
        <f ca="1">IFERROR(__xludf.DUMMYFUNCTION("""COMPUTED_VALUE"""),0)</f>
        <v>0</v>
      </c>
      <c r="V276" s="42">
        <f ca="1">IFERROR(__xludf.DUMMYFUNCTION("""COMPUTED_VALUE"""),0)</f>
        <v>0</v>
      </c>
      <c r="W276" s="42">
        <f ca="1">IFERROR(__xludf.DUMMYFUNCTION("""COMPUTED_VALUE"""),1809)</f>
        <v>1809</v>
      </c>
      <c r="X276" s="42">
        <f ca="1">IFERROR(__xludf.DUMMYFUNCTION("""COMPUTED_VALUE"""),0)</f>
        <v>0</v>
      </c>
      <c r="Y276" s="42">
        <f ca="1">IFERROR(__xludf.DUMMYFUNCTION("""COMPUTED_VALUE"""),0)</f>
        <v>0</v>
      </c>
      <c r="Z276" s="42">
        <f ca="1">IFERROR(__xludf.DUMMYFUNCTION("""COMPUTED_VALUE"""),0)</f>
        <v>0</v>
      </c>
    </row>
    <row r="277" spans="1:26" ht="12.75">
      <c r="A277" s="33" t="str">
        <f ca="1">IFERROR(__xludf.DUMMYFUNCTION("""COMPUTED_VALUE"""),"Palmas")</f>
        <v>Palmas</v>
      </c>
      <c r="B277" s="33" t="str">
        <f ca="1">IFERROR(__xludf.DUMMYFUNCTION("""COMPUTED_VALUE"""),"Palmas")</f>
        <v>Palmas</v>
      </c>
      <c r="C277" s="34" t="str">
        <f ca="1">IFERROR(__xludf.DUMMYFUNCTION("""COMPUTED_VALUE"""),"ASSOC. COMUN.ESCOLAR DA ESC. EST. TIRADENTES")</f>
        <v>ASSOC. COMUN.ESCOLAR DA ESC. EST. TIRADENTES</v>
      </c>
      <c r="D277" s="35" t="str">
        <f ca="1">IFERROR(__xludf.DUMMYFUNCTION("""COMPUTED_VALUE"""),"00862122000197")</f>
        <v>00862122000197</v>
      </c>
      <c r="E277" s="36" t="str">
        <f ca="1">IFERROR(__xludf.DUMMYFUNCTION("""COMPUTED_VALUE"""),"001")</f>
        <v>001</v>
      </c>
      <c r="F277" s="37" t="str">
        <f ca="1">IFERROR(__xludf.DUMMYFUNCTION("""COMPUTED_VALUE"""),"1505")</f>
        <v>1505</v>
      </c>
      <c r="G277" s="37" t="str">
        <f ca="1">IFERROR(__xludf.DUMMYFUNCTION("""COMPUTED_VALUE"""),"250562")</f>
        <v>250562</v>
      </c>
      <c r="H277" s="37">
        <f ca="1">IFERROR(__xludf.DUMMYFUNCTION("""COMPUTED_VALUE"""),0)</f>
        <v>0</v>
      </c>
      <c r="I277" s="37">
        <f ca="1">IFERROR(__xludf.DUMMYFUNCTION("""COMPUTED_VALUE"""),0)</f>
        <v>0</v>
      </c>
      <c r="J277" s="37">
        <f ca="1">IFERROR(__xludf.DUMMYFUNCTION("""COMPUTED_VALUE"""),0)</f>
        <v>0</v>
      </c>
      <c r="K277" s="37">
        <f ca="1">IFERROR(__xludf.DUMMYFUNCTION("""COMPUTED_VALUE"""),0)</f>
        <v>0</v>
      </c>
      <c r="L277" s="37">
        <f ca="1">IFERROR(__xludf.DUMMYFUNCTION("""COMPUTED_VALUE"""),0)</f>
        <v>0</v>
      </c>
      <c r="M277" s="37">
        <f ca="1">IFERROR(__xludf.DUMMYFUNCTION("""COMPUTED_VALUE"""),0)</f>
        <v>0</v>
      </c>
      <c r="N277" s="37">
        <f ca="1">IFERROR(__xludf.DUMMYFUNCTION("""COMPUTED_VALUE"""),0)</f>
        <v>0</v>
      </c>
      <c r="O277" s="37">
        <f ca="1">IFERROR(__xludf.DUMMYFUNCTION("""COMPUTED_VALUE"""),0)</f>
        <v>0</v>
      </c>
      <c r="P277" s="37">
        <f ca="1">IFERROR(__xludf.DUMMYFUNCTION("""COMPUTED_VALUE"""),0)</f>
        <v>0</v>
      </c>
      <c r="Q277" s="37">
        <f ca="1">IFERROR(__xludf.DUMMYFUNCTION("""COMPUTED_VALUE"""),26817)</f>
        <v>26817</v>
      </c>
      <c r="R277" s="37">
        <f ca="1">IFERROR(__xludf.DUMMYFUNCTION("""COMPUTED_VALUE"""),0)</f>
        <v>0</v>
      </c>
      <c r="S277" s="37">
        <f ca="1">IFERROR(__xludf.DUMMYFUNCTION("""COMPUTED_VALUE"""),0)</f>
        <v>0</v>
      </c>
      <c r="T277" s="37">
        <f ca="1">IFERROR(__xludf.DUMMYFUNCTION("""COMPUTED_VALUE"""),0)</f>
        <v>0</v>
      </c>
      <c r="U277" s="37">
        <f ca="1">IFERROR(__xludf.DUMMYFUNCTION("""COMPUTED_VALUE"""),0)</f>
        <v>0</v>
      </c>
      <c r="V277" s="37">
        <f ca="1">IFERROR(__xludf.DUMMYFUNCTION("""COMPUTED_VALUE"""),0)</f>
        <v>0</v>
      </c>
      <c r="W277" s="37">
        <f ca="1">IFERROR(__xludf.DUMMYFUNCTION("""COMPUTED_VALUE"""),0)</f>
        <v>0</v>
      </c>
      <c r="X277" s="37">
        <f ca="1">IFERROR(__xludf.DUMMYFUNCTION("""COMPUTED_VALUE"""),0)</f>
        <v>0</v>
      </c>
      <c r="Y277" s="37">
        <f ca="1">IFERROR(__xludf.DUMMYFUNCTION("""COMPUTED_VALUE"""),0)</f>
        <v>0</v>
      </c>
      <c r="Z277" s="37">
        <f ca="1">IFERROR(__xludf.DUMMYFUNCTION("""COMPUTED_VALUE"""),0)</f>
        <v>0</v>
      </c>
    </row>
    <row r="278" spans="1:26" ht="12.75">
      <c r="A278" s="38" t="str">
        <f ca="1">IFERROR(__xludf.DUMMYFUNCTION("""COMPUTED_VALUE"""),"Palmas")</f>
        <v>Palmas</v>
      </c>
      <c r="B278" s="38" t="str">
        <f ca="1">IFERROR(__xludf.DUMMYFUNCTION("""COMPUTED_VALUE"""),"Palmas")</f>
        <v>Palmas</v>
      </c>
      <c r="C278" s="39" t="str">
        <f ca="1">IFERROR(__xludf.DUMMYFUNCTION("""COMPUTED_VALUE"""),"ASSOC. DE APOIO COL. DA POLICIA MILITAR DO TOCANTINS")</f>
        <v>ASSOC. DE APOIO COL. DA POLICIA MILITAR DO TOCANTINS</v>
      </c>
      <c r="D278" s="40" t="str">
        <f ca="1">IFERROR(__xludf.DUMMYFUNCTION("""COMPUTED_VALUE"""),"02050257000183")</f>
        <v>02050257000183</v>
      </c>
      <c r="E278" s="41" t="str">
        <f ca="1">IFERROR(__xludf.DUMMYFUNCTION("""COMPUTED_VALUE"""),"001")</f>
        <v>001</v>
      </c>
      <c r="F278" s="42" t="str">
        <f ca="1">IFERROR(__xludf.DUMMYFUNCTION("""COMPUTED_VALUE"""),"1505")</f>
        <v>1505</v>
      </c>
      <c r="G278" s="42" t="str">
        <f ca="1">IFERROR(__xludf.DUMMYFUNCTION("""COMPUTED_VALUE"""),"455466")</f>
        <v>455466</v>
      </c>
      <c r="H278" s="42">
        <f ca="1">IFERROR(__xludf.DUMMYFUNCTION("""COMPUTED_VALUE"""),0)</f>
        <v>0</v>
      </c>
      <c r="I278" s="42">
        <f ca="1">IFERROR(__xludf.DUMMYFUNCTION("""COMPUTED_VALUE"""),0)</f>
        <v>0</v>
      </c>
      <c r="J278" s="42">
        <f ca="1">IFERROR(__xludf.DUMMYFUNCTION("""COMPUTED_VALUE"""),0)</f>
        <v>0</v>
      </c>
      <c r="K278" s="42">
        <f ca="1">IFERROR(__xludf.DUMMYFUNCTION("""COMPUTED_VALUE"""),0)</f>
        <v>0</v>
      </c>
      <c r="L278" s="42">
        <f ca="1">IFERROR(__xludf.DUMMYFUNCTION("""COMPUTED_VALUE"""),0)</f>
        <v>0</v>
      </c>
      <c r="M278" s="42">
        <f ca="1">IFERROR(__xludf.DUMMYFUNCTION("""COMPUTED_VALUE"""),0)</f>
        <v>0</v>
      </c>
      <c r="N278" s="42">
        <f ca="1">IFERROR(__xludf.DUMMYFUNCTION("""COMPUTED_VALUE"""),0)</f>
        <v>0</v>
      </c>
      <c r="O278" s="42">
        <f ca="1">IFERROR(__xludf.DUMMYFUNCTION("""COMPUTED_VALUE"""),0)</f>
        <v>0</v>
      </c>
      <c r="P278" s="42">
        <f ca="1">IFERROR(__xludf.DUMMYFUNCTION("""COMPUTED_VALUE"""),0)</f>
        <v>0</v>
      </c>
      <c r="Q278" s="42">
        <f ca="1">IFERROR(__xludf.DUMMYFUNCTION("""COMPUTED_VALUE"""),0)</f>
        <v>0</v>
      </c>
      <c r="R278" s="42">
        <f ca="1">IFERROR(__xludf.DUMMYFUNCTION("""COMPUTED_VALUE"""),0)</f>
        <v>0</v>
      </c>
      <c r="S278" s="42">
        <f ca="1">IFERROR(__xludf.DUMMYFUNCTION("""COMPUTED_VALUE"""),56178.2)</f>
        <v>56178.2</v>
      </c>
      <c r="T278" s="42">
        <f ca="1">IFERROR(__xludf.DUMMYFUNCTION("""COMPUTED_VALUE"""),0)</f>
        <v>0</v>
      </c>
      <c r="U278" s="42">
        <f ca="1">IFERROR(__xludf.DUMMYFUNCTION("""COMPUTED_VALUE"""),0)</f>
        <v>0</v>
      </c>
      <c r="V278" s="42">
        <f ca="1">IFERROR(__xludf.DUMMYFUNCTION("""COMPUTED_VALUE"""),0)</f>
        <v>0</v>
      </c>
      <c r="W278" s="42">
        <f ca="1">IFERROR(__xludf.DUMMYFUNCTION("""COMPUTED_VALUE"""),5547.59999999999)</f>
        <v>5547.5999999999904</v>
      </c>
      <c r="X278" s="42">
        <f ca="1">IFERROR(__xludf.DUMMYFUNCTION("""COMPUTED_VALUE"""),0)</f>
        <v>0</v>
      </c>
      <c r="Y278" s="42">
        <f ca="1">IFERROR(__xludf.DUMMYFUNCTION("""COMPUTED_VALUE"""),0)</f>
        <v>0</v>
      </c>
      <c r="Z278" s="42">
        <f ca="1">IFERROR(__xludf.DUMMYFUNCTION("""COMPUTED_VALUE"""),0)</f>
        <v>0</v>
      </c>
    </row>
    <row r="279" spans="1:26" ht="12.75">
      <c r="A279" s="33" t="str">
        <f ca="1">IFERROR(__xludf.DUMMYFUNCTION("""COMPUTED_VALUE"""),"Palmas")</f>
        <v>Palmas</v>
      </c>
      <c r="B279" s="33" t="str">
        <f ca="1">IFERROR(__xludf.DUMMYFUNCTION("""COMPUTED_VALUE"""),"Palmas")</f>
        <v>Palmas</v>
      </c>
      <c r="C279" s="34" t="str">
        <f ca="1">IFERROR(__xludf.DUMMYFUNCTION("""COMPUTED_VALUE"""),"ASSOCIAÇÃO DE APOIO A ESC. ESTADUAL DA 403 SUL")</f>
        <v>ASSOCIAÇÃO DE APOIO A ESC. ESTADUAL DA 403 SUL</v>
      </c>
      <c r="D279" s="35" t="str">
        <f ca="1">IFERROR(__xludf.DUMMYFUNCTION("""COMPUTED_VALUE"""),"11332101000186")</f>
        <v>11332101000186</v>
      </c>
      <c r="E279" s="36" t="str">
        <f ca="1">IFERROR(__xludf.DUMMYFUNCTION("""COMPUTED_VALUE"""),"001")</f>
        <v>001</v>
      </c>
      <c r="F279" s="37" t="str">
        <f ca="1">IFERROR(__xludf.DUMMYFUNCTION("""COMPUTED_VALUE"""),"1505")</f>
        <v>1505</v>
      </c>
      <c r="G279" s="37" t="str">
        <f ca="1">IFERROR(__xludf.DUMMYFUNCTION("""COMPUTED_VALUE"""),"467588")</f>
        <v>467588</v>
      </c>
      <c r="H279" s="37">
        <f ca="1">IFERROR(__xludf.DUMMYFUNCTION("""COMPUTED_VALUE"""),0)</f>
        <v>0</v>
      </c>
      <c r="I279" s="37">
        <f ca="1">IFERROR(__xludf.DUMMYFUNCTION("""COMPUTED_VALUE"""),0)</f>
        <v>0</v>
      </c>
      <c r="J279" s="37">
        <f ca="1">IFERROR(__xludf.DUMMYFUNCTION("""COMPUTED_VALUE"""),0)</f>
        <v>0</v>
      </c>
      <c r="K279" s="37">
        <f ca="1">IFERROR(__xludf.DUMMYFUNCTION("""COMPUTED_VALUE"""),64288)</f>
        <v>64288</v>
      </c>
      <c r="L279" s="37">
        <f ca="1">IFERROR(__xludf.DUMMYFUNCTION("""COMPUTED_VALUE"""),0)</f>
        <v>0</v>
      </c>
      <c r="M279" s="37">
        <f ca="1">IFERROR(__xludf.DUMMYFUNCTION("""COMPUTED_VALUE"""),0)</f>
        <v>0</v>
      </c>
      <c r="N279" s="37">
        <f ca="1">IFERROR(__xludf.DUMMYFUNCTION("""COMPUTED_VALUE"""),0)</f>
        <v>0</v>
      </c>
      <c r="O279" s="37">
        <f ca="1">IFERROR(__xludf.DUMMYFUNCTION("""COMPUTED_VALUE"""),0)</f>
        <v>0</v>
      </c>
      <c r="P279" s="37">
        <f ca="1">IFERROR(__xludf.DUMMYFUNCTION("""COMPUTED_VALUE"""),0)</f>
        <v>0</v>
      </c>
      <c r="Q279" s="37">
        <f ca="1">IFERROR(__xludf.DUMMYFUNCTION("""COMPUTED_VALUE"""),0)</f>
        <v>0</v>
      </c>
      <c r="R279" s="37">
        <f ca="1">IFERROR(__xludf.DUMMYFUNCTION("""COMPUTED_VALUE"""),0)</f>
        <v>0</v>
      </c>
      <c r="S279" s="37">
        <f ca="1">IFERROR(__xludf.DUMMYFUNCTION("""COMPUTED_VALUE"""),0)</f>
        <v>0</v>
      </c>
      <c r="T279" s="37">
        <f ca="1">IFERROR(__xludf.DUMMYFUNCTION("""COMPUTED_VALUE"""),0)</f>
        <v>0</v>
      </c>
      <c r="U279" s="37">
        <f ca="1">IFERROR(__xludf.DUMMYFUNCTION("""COMPUTED_VALUE"""),0)</f>
        <v>0</v>
      </c>
      <c r="V279" s="37">
        <f ca="1">IFERROR(__xludf.DUMMYFUNCTION("""COMPUTED_VALUE"""),0)</f>
        <v>0</v>
      </c>
      <c r="W279" s="37">
        <f ca="1">IFERROR(__xludf.DUMMYFUNCTION("""COMPUTED_VALUE"""),0)</f>
        <v>0</v>
      </c>
      <c r="X279" s="37">
        <f ca="1">IFERROR(__xludf.DUMMYFUNCTION("""COMPUTED_VALUE"""),0)</f>
        <v>0</v>
      </c>
      <c r="Y279" s="37">
        <f ca="1">IFERROR(__xludf.DUMMYFUNCTION("""COMPUTED_VALUE"""),0)</f>
        <v>0</v>
      </c>
      <c r="Z279" s="37">
        <f ca="1">IFERROR(__xludf.DUMMYFUNCTION("""COMPUTED_VALUE"""),5489)</f>
        <v>5489</v>
      </c>
    </row>
    <row r="280" spans="1:26" ht="12.75">
      <c r="A280" s="38" t="str">
        <f ca="1">IFERROR(__xludf.DUMMYFUNCTION("""COMPUTED_VALUE"""),"Palmas")</f>
        <v>Palmas</v>
      </c>
      <c r="B280" s="38" t="str">
        <f ca="1">IFERROR(__xludf.DUMMYFUNCTION("""COMPUTED_VALUE"""),"Palmas")</f>
        <v>Palmas</v>
      </c>
      <c r="C280" s="39" t="str">
        <f ca="1">IFERROR(__xludf.DUMMYFUNCTION("""COMPUTED_VALUE"""),"A.C.ESC.M.FUT. C.E. CRIANCA ESPERANCA")</f>
        <v>A.C.ESC.M.FUT. C.E. CRIANCA ESPERANCA</v>
      </c>
      <c r="D280" s="40" t="str">
        <f ca="1">IFERROR(__xludf.DUMMYFUNCTION("""COMPUTED_VALUE"""),"01920781000103")</f>
        <v>01920781000103</v>
      </c>
      <c r="E280" s="41" t="str">
        <f ca="1">IFERROR(__xludf.DUMMYFUNCTION("""COMPUTED_VALUE"""),"001")</f>
        <v>001</v>
      </c>
      <c r="F280" s="42" t="str">
        <f ca="1">IFERROR(__xludf.DUMMYFUNCTION("""COMPUTED_VALUE"""),"1505")</f>
        <v>1505</v>
      </c>
      <c r="G280" s="42" t="str">
        <f ca="1">IFERROR(__xludf.DUMMYFUNCTION("""COMPUTED_VALUE"""),"455369")</f>
        <v>455369</v>
      </c>
      <c r="H280" s="42">
        <f ca="1">IFERROR(__xludf.DUMMYFUNCTION("""COMPUTED_VALUE"""),0)</f>
        <v>0</v>
      </c>
      <c r="I280" s="42">
        <f ca="1">IFERROR(__xludf.DUMMYFUNCTION("""COMPUTED_VALUE"""),0)</f>
        <v>0</v>
      </c>
      <c r="J280" s="42">
        <f ca="1">IFERROR(__xludf.DUMMYFUNCTION("""COMPUTED_VALUE"""),0)</f>
        <v>0</v>
      </c>
      <c r="K280" s="42">
        <f ca="1">IFERROR(__xludf.DUMMYFUNCTION("""COMPUTED_VALUE"""),0)</f>
        <v>0</v>
      </c>
      <c r="L280" s="42">
        <f ca="1">IFERROR(__xludf.DUMMYFUNCTION("""COMPUTED_VALUE"""),0)</f>
        <v>0</v>
      </c>
      <c r="M280" s="42">
        <f ca="1">IFERROR(__xludf.DUMMYFUNCTION("""COMPUTED_VALUE"""),0)</f>
        <v>0</v>
      </c>
      <c r="N280" s="42">
        <f ca="1">IFERROR(__xludf.DUMMYFUNCTION("""COMPUTED_VALUE"""),0)</f>
        <v>0</v>
      </c>
      <c r="O280" s="42">
        <f ca="1">IFERROR(__xludf.DUMMYFUNCTION("""COMPUTED_VALUE"""),0)</f>
        <v>0</v>
      </c>
      <c r="P280" s="42">
        <f ca="1">IFERROR(__xludf.DUMMYFUNCTION("""COMPUTED_VALUE"""),0)</f>
        <v>0</v>
      </c>
      <c r="Q280" s="42">
        <f ca="1">IFERROR(__xludf.DUMMYFUNCTION("""COMPUTED_VALUE"""),5607)</f>
        <v>5607</v>
      </c>
      <c r="R280" s="42">
        <f ca="1">IFERROR(__xludf.DUMMYFUNCTION("""COMPUTED_VALUE"""),0)</f>
        <v>0</v>
      </c>
      <c r="S280" s="42">
        <f ca="1">IFERROR(__xludf.DUMMYFUNCTION("""COMPUTED_VALUE"""),0)</f>
        <v>0</v>
      </c>
      <c r="T280" s="42">
        <f ca="1">IFERROR(__xludf.DUMMYFUNCTION("""COMPUTED_VALUE"""),1134)</f>
        <v>1134</v>
      </c>
      <c r="U280" s="42">
        <f ca="1">IFERROR(__xludf.DUMMYFUNCTION("""COMPUTED_VALUE"""),0)</f>
        <v>0</v>
      </c>
      <c r="V280" s="42">
        <f ca="1">IFERROR(__xludf.DUMMYFUNCTION("""COMPUTED_VALUE"""),0)</f>
        <v>0</v>
      </c>
      <c r="W280" s="42">
        <f ca="1">IFERROR(__xludf.DUMMYFUNCTION("""COMPUTED_VALUE"""),0)</f>
        <v>0</v>
      </c>
      <c r="X280" s="42">
        <f ca="1">IFERROR(__xludf.DUMMYFUNCTION("""COMPUTED_VALUE"""),0)</f>
        <v>0</v>
      </c>
      <c r="Y280" s="42">
        <f ca="1">IFERROR(__xludf.DUMMYFUNCTION("""COMPUTED_VALUE"""),0)</f>
        <v>0</v>
      </c>
      <c r="Z280" s="42">
        <f ca="1">IFERROR(__xludf.DUMMYFUNCTION("""COMPUTED_VALUE"""),0)</f>
        <v>0</v>
      </c>
    </row>
    <row r="281" spans="1:26" ht="12.75">
      <c r="A281" s="33" t="str">
        <f ca="1">IFERROR(__xludf.DUMMYFUNCTION("""COMPUTED_VALUE"""),"Palmas")</f>
        <v>Palmas</v>
      </c>
      <c r="B281" s="33" t="str">
        <f ca="1">IFERROR(__xludf.DUMMYFUNCTION("""COMPUTED_VALUE"""),"Palmas")</f>
        <v>Palmas</v>
      </c>
      <c r="C281" s="34" t="str">
        <f ca="1">IFERROR(__xludf.DUMMYFUNCTION("""COMPUTED_VALUE"""),"A. COM. E-E. E. DOM ALANO MARIE DU NODAY")</f>
        <v>A. COM. E-E. E. DOM ALANO MARIE DU NODAY</v>
      </c>
      <c r="D281" s="35" t="str">
        <f ca="1">IFERROR(__xludf.DUMMYFUNCTION("""COMPUTED_VALUE"""),"01343125000187")</f>
        <v>01343125000187</v>
      </c>
      <c r="E281" s="36" t="str">
        <f ca="1">IFERROR(__xludf.DUMMYFUNCTION("""COMPUTED_VALUE"""),"001")</f>
        <v>001</v>
      </c>
      <c r="F281" s="37" t="str">
        <f ca="1">IFERROR(__xludf.DUMMYFUNCTION("""COMPUTED_VALUE"""),"1505")</f>
        <v>1505</v>
      </c>
      <c r="G281" s="37" t="str">
        <f ca="1">IFERROR(__xludf.DUMMYFUNCTION("""COMPUTED_VALUE"""),"265810")</f>
        <v>265810</v>
      </c>
      <c r="H281" s="37">
        <f ca="1">IFERROR(__xludf.DUMMYFUNCTION("""COMPUTED_VALUE"""),0)</f>
        <v>0</v>
      </c>
      <c r="I281" s="37">
        <f ca="1">IFERROR(__xludf.DUMMYFUNCTION("""COMPUTED_VALUE"""),0)</f>
        <v>0</v>
      </c>
      <c r="J281" s="37">
        <f ca="1">IFERROR(__xludf.DUMMYFUNCTION("""COMPUTED_VALUE"""),3822)</f>
        <v>3822</v>
      </c>
      <c r="K281" s="37">
        <f ca="1">IFERROR(__xludf.DUMMYFUNCTION("""COMPUTED_VALUE"""),0)</f>
        <v>0</v>
      </c>
      <c r="L281" s="37">
        <f ca="1">IFERROR(__xludf.DUMMYFUNCTION("""COMPUTED_VALUE"""),0)</f>
        <v>0</v>
      </c>
      <c r="M281" s="37">
        <f ca="1">IFERROR(__xludf.DUMMYFUNCTION("""COMPUTED_VALUE"""),0)</f>
        <v>0</v>
      </c>
      <c r="N281" s="37">
        <f ca="1">IFERROR(__xludf.DUMMYFUNCTION("""COMPUTED_VALUE"""),0)</f>
        <v>0</v>
      </c>
      <c r="O281" s="37">
        <f ca="1">IFERROR(__xludf.DUMMYFUNCTION("""COMPUTED_VALUE"""),0)</f>
        <v>0</v>
      </c>
      <c r="P281" s="37">
        <f ca="1">IFERROR(__xludf.DUMMYFUNCTION("""COMPUTED_VALUE"""),0)</f>
        <v>0</v>
      </c>
      <c r="Q281" s="37">
        <f ca="1">IFERROR(__xludf.DUMMYFUNCTION("""COMPUTED_VALUE"""),36372)</f>
        <v>36372</v>
      </c>
      <c r="R281" s="37">
        <f ca="1">IFERROR(__xludf.DUMMYFUNCTION("""COMPUTED_VALUE"""),0)</f>
        <v>0</v>
      </c>
      <c r="S281" s="37">
        <f ca="1">IFERROR(__xludf.DUMMYFUNCTION("""COMPUTED_VALUE"""),0)</f>
        <v>0</v>
      </c>
      <c r="T281" s="37">
        <f ca="1">IFERROR(__xludf.DUMMYFUNCTION("""COMPUTED_VALUE"""),2898)</f>
        <v>2898</v>
      </c>
      <c r="U281" s="37">
        <f ca="1">IFERROR(__xludf.DUMMYFUNCTION("""COMPUTED_VALUE"""),0)</f>
        <v>0</v>
      </c>
      <c r="V281" s="37">
        <f ca="1">IFERROR(__xludf.DUMMYFUNCTION("""COMPUTED_VALUE"""),0)</f>
        <v>0</v>
      </c>
      <c r="W281" s="37">
        <f ca="1">IFERROR(__xludf.DUMMYFUNCTION("""COMPUTED_VALUE"""),0)</f>
        <v>0</v>
      </c>
      <c r="X281" s="37">
        <f ca="1">IFERROR(__xludf.DUMMYFUNCTION("""COMPUTED_VALUE"""),0)</f>
        <v>0</v>
      </c>
      <c r="Y281" s="37">
        <f ca="1">IFERROR(__xludf.DUMMYFUNCTION("""COMPUTED_VALUE"""),0)</f>
        <v>0</v>
      </c>
      <c r="Z281" s="37">
        <f ca="1">IFERROR(__xludf.DUMMYFUNCTION("""COMPUTED_VALUE"""),0)</f>
        <v>0</v>
      </c>
    </row>
    <row r="282" spans="1:26" ht="12.75">
      <c r="A282" s="38" t="str">
        <f ca="1">IFERROR(__xludf.DUMMYFUNCTION("""COMPUTED_VALUE"""),"Palmas")</f>
        <v>Palmas</v>
      </c>
      <c r="B282" s="38" t="str">
        <f ca="1">IFERROR(__xludf.DUMMYFUNCTION("""COMPUTED_VALUE"""),"Palmas")</f>
        <v>Palmas</v>
      </c>
      <c r="C282" s="39" t="str">
        <f ca="1">IFERROR(__xludf.DUMMYFUNCTION("""COMPUTED_VALUE"""),"ACE COL. EST. DUQUE DE CAXIAS")</f>
        <v>ACE COL. EST. DUQUE DE CAXIAS</v>
      </c>
      <c r="D282" s="40" t="str">
        <f ca="1">IFERROR(__xludf.DUMMYFUNCTION("""COMPUTED_VALUE"""),"01588669000109")</f>
        <v>01588669000109</v>
      </c>
      <c r="E282" s="41" t="str">
        <f ca="1">IFERROR(__xludf.DUMMYFUNCTION("""COMPUTED_VALUE"""),"001")</f>
        <v>001</v>
      </c>
      <c r="F282" s="42" t="str">
        <f ca="1">IFERROR(__xludf.DUMMYFUNCTION("""COMPUTED_VALUE"""),"1505")</f>
        <v>1505</v>
      </c>
      <c r="G282" s="42" t="str">
        <f ca="1">IFERROR(__xludf.DUMMYFUNCTION("""COMPUTED_VALUE"""),"254002")</f>
        <v>254002</v>
      </c>
      <c r="H282" s="42">
        <f ca="1">IFERROR(__xludf.DUMMYFUNCTION("""COMPUTED_VALUE"""),0)</f>
        <v>0</v>
      </c>
      <c r="I282" s="42">
        <f ca="1">IFERROR(__xludf.DUMMYFUNCTION("""COMPUTED_VALUE"""),0)</f>
        <v>0</v>
      </c>
      <c r="J282" s="42">
        <f ca="1">IFERROR(__xludf.DUMMYFUNCTION("""COMPUTED_VALUE"""),3927)</f>
        <v>3927</v>
      </c>
      <c r="K282" s="42">
        <f ca="1">IFERROR(__xludf.DUMMYFUNCTION("""COMPUTED_VALUE"""),0)</f>
        <v>0</v>
      </c>
      <c r="L282" s="42">
        <f ca="1">IFERROR(__xludf.DUMMYFUNCTION("""COMPUTED_VALUE"""),0)</f>
        <v>0</v>
      </c>
      <c r="M282" s="42">
        <f ca="1">IFERROR(__xludf.DUMMYFUNCTION("""COMPUTED_VALUE"""),0)</f>
        <v>0</v>
      </c>
      <c r="N282" s="42">
        <f ca="1">IFERROR(__xludf.DUMMYFUNCTION("""COMPUTED_VALUE"""),0)</f>
        <v>0</v>
      </c>
      <c r="O282" s="42">
        <f ca="1">IFERROR(__xludf.DUMMYFUNCTION("""COMPUTED_VALUE"""),0)</f>
        <v>0</v>
      </c>
      <c r="P282" s="42">
        <f ca="1">IFERROR(__xludf.DUMMYFUNCTION("""COMPUTED_VALUE"""),420)</f>
        <v>420</v>
      </c>
      <c r="Q282" s="42">
        <f ca="1">IFERROR(__xludf.DUMMYFUNCTION("""COMPUTED_VALUE"""),5628)</f>
        <v>5628</v>
      </c>
      <c r="R282" s="42">
        <f ca="1">IFERROR(__xludf.DUMMYFUNCTION("""COMPUTED_VALUE"""),0)</f>
        <v>0</v>
      </c>
      <c r="S282" s="42">
        <f ca="1">IFERROR(__xludf.DUMMYFUNCTION("""COMPUTED_VALUE"""),0)</f>
        <v>0</v>
      </c>
      <c r="T282" s="42">
        <f ca="1">IFERROR(__xludf.DUMMYFUNCTION("""COMPUTED_VALUE"""),0)</f>
        <v>0</v>
      </c>
      <c r="U282" s="42">
        <f ca="1">IFERROR(__xludf.DUMMYFUNCTION("""COMPUTED_VALUE"""),0)</f>
        <v>0</v>
      </c>
      <c r="V282" s="42">
        <f ca="1">IFERROR(__xludf.DUMMYFUNCTION("""COMPUTED_VALUE"""),0)</f>
        <v>0</v>
      </c>
      <c r="W282" s="42">
        <f ca="1">IFERROR(__xludf.DUMMYFUNCTION("""COMPUTED_VALUE"""),0)</f>
        <v>0</v>
      </c>
      <c r="X282" s="42">
        <f ca="1">IFERROR(__xludf.DUMMYFUNCTION("""COMPUTED_VALUE"""),0)</f>
        <v>0</v>
      </c>
      <c r="Y282" s="42">
        <f ca="1">IFERROR(__xludf.DUMMYFUNCTION("""COMPUTED_VALUE"""),0)</f>
        <v>0</v>
      </c>
      <c r="Z282" s="42">
        <f ca="1">IFERROR(__xludf.DUMMYFUNCTION("""COMPUTED_VALUE"""),0)</f>
        <v>0</v>
      </c>
    </row>
    <row r="283" spans="1:26" ht="12.75">
      <c r="A283" s="33" t="str">
        <f ca="1">IFERROR(__xludf.DUMMYFUNCTION("""COMPUTED_VALUE"""),"Palmas")</f>
        <v>Palmas</v>
      </c>
      <c r="B283" s="33" t="str">
        <f ca="1">IFERROR(__xludf.DUMMYFUNCTION("""COMPUTED_VALUE"""),"Palmas")</f>
        <v>Palmas</v>
      </c>
      <c r="C283" s="34" t="str">
        <f ca="1">IFERROR(__xludf.DUMMYFUNCTION("""COMPUTED_VALUE"""),"A.A. AO COLEGIO ESTADUAL SAO JOSE")</f>
        <v>A.A. AO COLEGIO ESTADUAL SAO JOSE</v>
      </c>
      <c r="D283" s="35" t="str">
        <f ca="1">IFERROR(__xludf.DUMMYFUNCTION("""COMPUTED_VALUE"""),"01913809000177")</f>
        <v>01913809000177</v>
      </c>
      <c r="E283" s="36" t="str">
        <f ca="1">IFERROR(__xludf.DUMMYFUNCTION("""COMPUTED_VALUE"""),"001")</f>
        <v>001</v>
      </c>
      <c r="F283" s="37" t="str">
        <f ca="1">IFERROR(__xludf.DUMMYFUNCTION("""COMPUTED_VALUE"""),"1886")</f>
        <v>1886</v>
      </c>
      <c r="G283" s="37" t="str">
        <f ca="1">IFERROR(__xludf.DUMMYFUNCTION("""COMPUTED_VALUE"""),"325252")</f>
        <v>325252</v>
      </c>
      <c r="H283" s="37">
        <f ca="1">IFERROR(__xludf.DUMMYFUNCTION("""COMPUTED_VALUE"""),0)</f>
        <v>0</v>
      </c>
      <c r="I283" s="37">
        <f ca="1">IFERROR(__xludf.DUMMYFUNCTION("""COMPUTED_VALUE"""),0)</f>
        <v>0</v>
      </c>
      <c r="J283" s="37">
        <f ca="1">IFERROR(__xludf.DUMMYFUNCTION("""COMPUTED_VALUE"""),0)</f>
        <v>0</v>
      </c>
      <c r="K283" s="37">
        <f ca="1">IFERROR(__xludf.DUMMYFUNCTION("""COMPUTED_VALUE"""),0)</f>
        <v>0</v>
      </c>
      <c r="L283" s="37">
        <f ca="1">IFERROR(__xludf.DUMMYFUNCTION("""COMPUTED_VALUE"""),0)</f>
        <v>0</v>
      </c>
      <c r="M283" s="37">
        <f ca="1">IFERROR(__xludf.DUMMYFUNCTION("""COMPUTED_VALUE"""),0)</f>
        <v>0</v>
      </c>
      <c r="N283" s="37">
        <f ca="1">IFERROR(__xludf.DUMMYFUNCTION("""COMPUTED_VALUE"""),0)</f>
        <v>0</v>
      </c>
      <c r="O283" s="37">
        <f ca="1">IFERROR(__xludf.DUMMYFUNCTION("""COMPUTED_VALUE"""),0)</f>
        <v>0</v>
      </c>
      <c r="P283" s="37">
        <f ca="1">IFERROR(__xludf.DUMMYFUNCTION("""COMPUTED_VALUE"""),504)</f>
        <v>504</v>
      </c>
      <c r="Q283" s="37">
        <f ca="1">IFERROR(__xludf.DUMMYFUNCTION("""COMPUTED_VALUE"""),0)</f>
        <v>0</v>
      </c>
      <c r="R283" s="37">
        <f ca="1">IFERROR(__xludf.DUMMYFUNCTION("""COMPUTED_VALUE"""),0)</f>
        <v>0</v>
      </c>
      <c r="S283" s="37">
        <f ca="1">IFERROR(__xludf.DUMMYFUNCTION("""COMPUTED_VALUE"""),14910.9999999999)</f>
        <v>14910.9999999999</v>
      </c>
      <c r="T283" s="37">
        <f ca="1">IFERROR(__xludf.DUMMYFUNCTION("""COMPUTED_VALUE"""),1869)</f>
        <v>1869</v>
      </c>
      <c r="U283" s="37">
        <f ca="1">IFERROR(__xludf.DUMMYFUNCTION("""COMPUTED_VALUE"""),0)</f>
        <v>0</v>
      </c>
      <c r="V283" s="37">
        <f ca="1">IFERROR(__xludf.DUMMYFUNCTION("""COMPUTED_VALUE"""),0)</f>
        <v>0</v>
      </c>
      <c r="W283" s="37">
        <f ca="1">IFERROR(__xludf.DUMMYFUNCTION("""COMPUTED_VALUE"""),1447.19999999999)</f>
        <v>1447.19999999999</v>
      </c>
      <c r="X283" s="37">
        <f ca="1">IFERROR(__xludf.DUMMYFUNCTION("""COMPUTED_VALUE"""),0)</f>
        <v>0</v>
      </c>
      <c r="Y283" s="37">
        <f ca="1">IFERROR(__xludf.DUMMYFUNCTION("""COMPUTED_VALUE"""),0)</f>
        <v>0</v>
      </c>
      <c r="Z283" s="37">
        <f ca="1">IFERROR(__xludf.DUMMYFUNCTION("""COMPUTED_VALUE"""),0)</f>
        <v>0</v>
      </c>
    </row>
    <row r="284" spans="1:26" ht="12.75">
      <c r="A284" s="38" t="str">
        <f ca="1">IFERROR(__xludf.DUMMYFUNCTION("""COMPUTED_VALUE"""),"Palmas")</f>
        <v>Palmas</v>
      </c>
      <c r="B284" s="38" t="str">
        <f ca="1">IFERROR(__xludf.DUMMYFUNCTION("""COMPUTED_VALUE"""),"Palmas")</f>
        <v>Palmas</v>
      </c>
      <c r="C284" s="39" t="str">
        <f ca="1">IFERROR(__xludf.DUMMYFUNCTION("""COMPUTED_VALUE"""),"A.A. COL GIRASSOL TEMPO INTEGRAL RAQUEL QUEIROZ")</f>
        <v>A.A. COL GIRASSOL TEMPO INTEGRAL RAQUEL QUEIROZ</v>
      </c>
      <c r="D284" s="40" t="str">
        <f ca="1">IFERROR(__xludf.DUMMYFUNCTION("""COMPUTED_VALUE"""),"13748657000183")</f>
        <v>13748657000183</v>
      </c>
      <c r="E284" s="41" t="str">
        <f ca="1">IFERROR(__xludf.DUMMYFUNCTION("""COMPUTED_VALUE"""),"001")</f>
        <v>001</v>
      </c>
      <c r="F284" s="42" t="str">
        <f ca="1">IFERROR(__xludf.DUMMYFUNCTION("""COMPUTED_VALUE"""),"1867")</f>
        <v>1867</v>
      </c>
      <c r="G284" s="42" t="str">
        <f ca="1">IFERROR(__xludf.DUMMYFUNCTION("""COMPUTED_VALUE"""),"856312")</f>
        <v>856312</v>
      </c>
      <c r="H284" s="42">
        <f ca="1">IFERROR(__xludf.DUMMYFUNCTION("""COMPUTED_VALUE"""),0)</f>
        <v>0</v>
      </c>
      <c r="I284" s="42">
        <f ca="1">IFERROR(__xludf.DUMMYFUNCTION("""COMPUTED_VALUE"""),0)</f>
        <v>0</v>
      </c>
      <c r="J284" s="42">
        <f ca="1">IFERROR(__xludf.DUMMYFUNCTION("""COMPUTED_VALUE"""),0)</f>
        <v>0</v>
      </c>
      <c r="K284" s="42">
        <f ca="1">IFERROR(__xludf.DUMMYFUNCTION("""COMPUTED_VALUE"""),0)</f>
        <v>0</v>
      </c>
      <c r="L284" s="42">
        <f ca="1">IFERROR(__xludf.DUMMYFUNCTION("""COMPUTED_VALUE"""),0)</f>
        <v>0</v>
      </c>
      <c r="M284" s="42">
        <f ca="1">IFERROR(__xludf.DUMMYFUNCTION("""COMPUTED_VALUE"""),0)</f>
        <v>0</v>
      </c>
      <c r="N284" s="42">
        <f ca="1">IFERROR(__xludf.DUMMYFUNCTION("""COMPUTED_VALUE"""),0)</f>
        <v>0</v>
      </c>
      <c r="O284" s="42">
        <f ca="1">IFERROR(__xludf.DUMMYFUNCTION("""COMPUTED_VALUE"""),0)</f>
        <v>0</v>
      </c>
      <c r="P284" s="42">
        <f ca="1">IFERROR(__xludf.DUMMYFUNCTION("""COMPUTED_VALUE"""),798)</f>
        <v>798</v>
      </c>
      <c r="Q284" s="42">
        <f ca="1">IFERROR(__xludf.DUMMYFUNCTION("""COMPUTED_VALUE"""),29736)</f>
        <v>29736</v>
      </c>
      <c r="R284" s="42">
        <f ca="1">IFERROR(__xludf.DUMMYFUNCTION("""COMPUTED_VALUE"""),0)</f>
        <v>0</v>
      </c>
      <c r="S284" s="42">
        <f ca="1">IFERROR(__xludf.DUMMYFUNCTION("""COMPUTED_VALUE"""),0)</f>
        <v>0</v>
      </c>
      <c r="T284" s="42">
        <f ca="1">IFERROR(__xludf.DUMMYFUNCTION("""COMPUTED_VALUE"""),0)</f>
        <v>0</v>
      </c>
      <c r="U284" s="42">
        <f ca="1">IFERROR(__xludf.DUMMYFUNCTION("""COMPUTED_VALUE"""),0)</f>
        <v>0</v>
      </c>
      <c r="V284" s="42">
        <f ca="1">IFERROR(__xludf.DUMMYFUNCTION("""COMPUTED_VALUE"""),0)</f>
        <v>0</v>
      </c>
      <c r="W284" s="42">
        <f ca="1">IFERROR(__xludf.DUMMYFUNCTION("""COMPUTED_VALUE"""),0)</f>
        <v>0</v>
      </c>
      <c r="X284" s="42">
        <f ca="1">IFERROR(__xludf.DUMMYFUNCTION("""COMPUTED_VALUE"""),0)</f>
        <v>0</v>
      </c>
      <c r="Y284" s="42">
        <f ca="1">IFERROR(__xludf.DUMMYFUNCTION("""COMPUTED_VALUE"""),0)</f>
        <v>0</v>
      </c>
      <c r="Z284" s="42">
        <f ca="1">IFERROR(__xludf.DUMMYFUNCTION("""COMPUTED_VALUE"""),0)</f>
        <v>0</v>
      </c>
    </row>
    <row r="285" spans="1:26" ht="12.75">
      <c r="A285" s="33" t="str">
        <f ca="1">IFERROR(__xludf.DUMMYFUNCTION("""COMPUTED_VALUE"""),"Palmas")</f>
        <v>Palmas</v>
      </c>
      <c r="B285" s="33" t="str">
        <f ca="1">IFERROR(__xludf.DUMMYFUNCTION("""COMPUTED_VALUE"""),"Palmas")</f>
        <v>Palmas</v>
      </c>
      <c r="C285" s="34" t="str">
        <f ca="1">IFERROR(__xludf.DUMMYFUNCTION("""COMPUTED_VALUE"""),"ASSOCIAÇÃO DE APOIO DA ESCOLA ESPECIAL INTEGRAÇÃO DE PALMAS")</f>
        <v>ASSOCIAÇÃO DE APOIO DA ESCOLA ESPECIAL INTEGRAÇÃO DE PALMAS</v>
      </c>
      <c r="D285" s="35" t="str">
        <f ca="1">IFERROR(__xludf.DUMMYFUNCTION("""COMPUTED_VALUE"""),"07958777000102")</f>
        <v>07958777000102</v>
      </c>
      <c r="E285" s="36" t="str">
        <f ca="1">IFERROR(__xludf.DUMMYFUNCTION("""COMPUTED_VALUE"""),"001")</f>
        <v>001</v>
      </c>
      <c r="F285" s="37" t="str">
        <f ca="1">IFERROR(__xludf.DUMMYFUNCTION("""COMPUTED_VALUE"""),"1505")</f>
        <v>1505</v>
      </c>
      <c r="G285" s="37" t="str">
        <f ca="1">IFERROR(__xludf.DUMMYFUNCTION("""COMPUTED_VALUE"""),"385328")</f>
        <v>385328</v>
      </c>
      <c r="H285" s="37">
        <f ca="1">IFERROR(__xludf.DUMMYFUNCTION("""COMPUTED_VALUE"""),0)</f>
        <v>0</v>
      </c>
      <c r="I285" s="37">
        <f ca="1">IFERROR(__xludf.DUMMYFUNCTION("""COMPUTED_VALUE"""),777)</f>
        <v>777</v>
      </c>
      <c r="J285" s="37">
        <f ca="1">IFERROR(__xludf.DUMMYFUNCTION("""COMPUTED_VALUE"""),1239)</f>
        <v>1239</v>
      </c>
      <c r="K285" s="37">
        <f ca="1">IFERROR(__xludf.DUMMYFUNCTION("""COMPUTED_VALUE"""),0)</f>
        <v>0</v>
      </c>
      <c r="L285" s="37">
        <f ca="1">IFERROR(__xludf.DUMMYFUNCTION("""COMPUTED_VALUE"""),0)</f>
        <v>0</v>
      </c>
      <c r="M285" s="37">
        <f ca="1">IFERROR(__xludf.DUMMYFUNCTION("""COMPUTED_VALUE"""),0)</f>
        <v>0</v>
      </c>
      <c r="N285" s="37">
        <f ca="1">IFERROR(__xludf.DUMMYFUNCTION("""COMPUTED_VALUE"""),0)</f>
        <v>0</v>
      </c>
      <c r="O285" s="37">
        <f ca="1">IFERROR(__xludf.DUMMYFUNCTION("""COMPUTED_VALUE"""),0)</f>
        <v>0</v>
      </c>
      <c r="P285" s="37">
        <f ca="1">IFERROR(__xludf.DUMMYFUNCTION("""COMPUTED_VALUE"""),504)</f>
        <v>504</v>
      </c>
      <c r="Q285" s="37">
        <f ca="1">IFERROR(__xludf.DUMMYFUNCTION("""COMPUTED_VALUE"""),0)</f>
        <v>0</v>
      </c>
      <c r="R285" s="37">
        <f ca="1">IFERROR(__xludf.DUMMYFUNCTION("""COMPUTED_VALUE"""),0)</f>
        <v>0</v>
      </c>
      <c r="S285" s="37">
        <f ca="1">IFERROR(__xludf.DUMMYFUNCTION("""COMPUTED_VALUE"""),0)</f>
        <v>0</v>
      </c>
      <c r="T285" s="37">
        <f ca="1">IFERROR(__xludf.DUMMYFUNCTION("""COMPUTED_VALUE"""),2247)</f>
        <v>2247</v>
      </c>
      <c r="U285" s="37">
        <f ca="1">IFERROR(__xludf.DUMMYFUNCTION("""COMPUTED_VALUE"""),0)</f>
        <v>0</v>
      </c>
      <c r="V285" s="37">
        <f ca="1">IFERROR(__xludf.DUMMYFUNCTION("""COMPUTED_VALUE"""),0)</f>
        <v>0</v>
      </c>
      <c r="W285" s="37">
        <f ca="1">IFERROR(__xludf.DUMMYFUNCTION("""COMPUTED_VALUE"""),0)</f>
        <v>0</v>
      </c>
      <c r="X285" s="37">
        <f ca="1">IFERROR(__xludf.DUMMYFUNCTION("""COMPUTED_VALUE"""),0)</f>
        <v>0</v>
      </c>
      <c r="Y285" s="37">
        <f ca="1">IFERROR(__xludf.DUMMYFUNCTION("""COMPUTED_VALUE"""),0)</f>
        <v>0</v>
      </c>
      <c r="Z285" s="37">
        <f ca="1">IFERROR(__xludf.DUMMYFUNCTION("""COMPUTED_VALUE"""),0)</f>
        <v>0</v>
      </c>
    </row>
    <row r="286" spans="1:26" ht="12.75">
      <c r="A286" s="38" t="str">
        <f ca="1">IFERROR(__xludf.DUMMYFUNCTION("""COMPUTED_VALUE"""),"Palmas")</f>
        <v>Palmas</v>
      </c>
      <c r="B286" s="38" t="str">
        <f ca="1">IFERROR(__xludf.DUMMYFUNCTION("""COMPUTED_VALUE"""),"Palmas")</f>
        <v>Palmas</v>
      </c>
      <c r="C286" s="39" t="str">
        <f ca="1">IFERROR(__xludf.DUMMYFUNCTION("""COMPUTED_VALUE"""),"A.COM. ESC. E. E.BEIRA RIO/PORTO NACIONAL")</f>
        <v>A.COM. ESC. E. E.BEIRA RIO/PORTO NACIONAL</v>
      </c>
      <c r="D286" s="40" t="str">
        <f ca="1">IFERROR(__xludf.DUMMYFUNCTION("""COMPUTED_VALUE"""),"01797298000175")</f>
        <v>01797298000175</v>
      </c>
      <c r="E286" s="41" t="str">
        <f ca="1">IFERROR(__xludf.DUMMYFUNCTION("""COMPUTED_VALUE"""),"001")</f>
        <v>001</v>
      </c>
      <c r="F286" s="42" t="str">
        <f ca="1">IFERROR(__xludf.DUMMYFUNCTION("""COMPUTED_VALUE"""),"1505")</f>
        <v>1505</v>
      </c>
      <c r="G286" s="42" t="str">
        <f ca="1">IFERROR(__xludf.DUMMYFUNCTION("""COMPUTED_VALUE"""),"209929")</f>
        <v>209929</v>
      </c>
      <c r="H286" s="42">
        <f ca="1">IFERROR(__xludf.DUMMYFUNCTION("""COMPUTED_VALUE"""),0)</f>
        <v>0</v>
      </c>
      <c r="I286" s="42">
        <f ca="1">IFERROR(__xludf.DUMMYFUNCTION("""COMPUTED_VALUE"""),0)</f>
        <v>0</v>
      </c>
      <c r="J286" s="42">
        <f ca="1">IFERROR(__xludf.DUMMYFUNCTION("""COMPUTED_VALUE"""),32592)</f>
        <v>32592</v>
      </c>
      <c r="K286" s="42">
        <f ca="1">IFERROR(__xludf.DUMMYFUNCTION("""COMPUTED_VALUE"""),0)</f>
        <v>0</v>
      </c>
      <c r="L286" s="42">
        <f ca="1">IFERROR(__xludf.DUMMYFUNCTION("""COMPUTED_VALUE"""),0)</f>
        <v>0</v>
      </c>
      <c r="M286" s="42">
        <f ca="1">IFERROR(__xludf.DUMMYFUNCTION("""COMPUTED_VALUE"""),0)</f>
        <v>0</v>
      </c>
      <c r="N286" s="42">
        <f ca="1">IFERROR(__xludf.DUMMYFUNCTION("""COMPUTED_VALUE"""),0)</f>
        <v>0</v>
      </c>
      <c r="O286" s="42">
        <f ca="1">IFERROR(__xludf.DUMMYFUNCTION("""COMPUTED_VALUE"""),0)</f>
        <v>0</v>
      </c>
      <c r="P286" s="42">
        <f ca="1">IFERROR(__xludf.DUMMYFUNCTION("""COMPUTED_VALUE"""),1134)</f>
        <v>1134</v>
      </c>
      <c r="Q286" s="42">
        <f ca="1">IFERROR(__xludf.DUMMYFUNCTION("""COMPUTED_VALUE"""),20286)</f>
        <v>20286</v>
      </c>
      <c r="R286" s="42">
        <f ca="1">IFERROR(__xludf.DUMMYFUNCTION("""COMPUTED_VALUE"""),0)</f>
        <v>0</v>
      </c>
      <c r="S286" s="42">
        <f ca="1">IFERROR(__xludf.DUMMYFUNCTION("""COMPUTED_VALUE"""),0)</f>
        <v>0</v>
      </c>
      <c r="T286" s="42">
        <f ca="1">IFERROR(__xludf.DUMMYFUNCTION("""COMPUTED_VALUE"""),3108)</f>
        <v>3108</v>
      </c>
      <c r="U286" s="42">
        <f ca="1">IFERROR(__xludf.DUMMYFUNCTION("""COMPUTED_VALUE"""),0)</f>
        <v>0</v>
      </c>
      <c r="V286" s="42">
        <f ca="1">IFERROR(__xludf.DUMMYFUNCTION("""COMPUTED_VALUE"""),0)</f>
        <v>0</v>
      </c>
      <c r="W286" s="42">
        <f ca="1">IFERROR(__xludf.DUMMYFUNCTION("""COMPUTED_VALUE"""),0)</f>
        <v>0</v>
      </c>
      <c r="X286" s="42">
        <f ca="1">IFERROR(__xludf.DUMMYFUNCTION("""COMPUTED_VALUE"""),0)</f>
        <v>0</v>
      </c>
      <c r="Y286" s="42">
        <f ca="1">IFERROR(__xludf.DUMMYFUNCTION("""COMPUTED_VALUE"""),0)</f>
        <v>0</v>
      </c>
      <c r="Z286" s="42">
        <f ca="1">IFERROR(__xludf.DUMMYFUNCTION("""COMPUTED_VALUE"""),0)</f>
        <v>0</v>
      </c>
    </row>
    <row r="287" spans="1:26" ht="12.75">
      <c r="A287" s="33" t="str">
        <f ca="1">IFERROR(__xludf.DUMMYFUNCTION("""COMPUTED_VALUE"""),"Palmas")</f>
        <v>Palmas</v>
      </c>
      <c r="B287" s="33" t="str">
        <f ca="1">IFERROR(__xludf.DUMMYFUNCTION("""COMPUTED_VALUE"""),"Palmas")</f>
        <v>Palmas</v>
      </c>
      <c r="C287" s="34" t="str">
        <f ca="1">IFERROR(__xludf.DUMMYFUNCTION("""COMPUTED_VALUE"""),"A.P.E M. DA ESC. EST. MADRE BELEM")</f>
        <v>A.P.E M. DA ESC. EST. MADRE BELEM</v>
      </c>
      <c r="D287" s="35" t="str">
        <f ca="1">IFERROR(__xludf.DUMMYFUNCTION("""COMPUTED_VALUE"""),"01034134000196")</f>
        <v>01034134000196</v>
      </c>
      <c r="E287" s="36" t="str">
        <f ca="1">IFERROR(__xludf.DUMMYFUNCTION("""COMPUTED_VALUE"""),"001")</f>
        <v>001</v>
      </c>
      <c r="F287" s="37" t="str">
        <f ca="1">IFERROR(__xludf.DUMMYFUNCTION("""COMPUTED_VALUE"""),"1886")</f>
        <v>1886</v>
      </c>
      <c r="G287" s="37" t="str">
        <f ca="1">IFERROR(__xludf.DUMMYFUNCTION("""COMPUTED_VALUE"""),"519855")</f>
        <v>519855</v>
      </c>
      <c r="H287" s="37">
        <f ca="1">IFERROR(__xludf.DUMMYFUNCTION("""COMPUTED_VALUE"""),0)</f>
        <v>0</v>
      </c>
      <c r="I287" s="37">
        <f ca="1">IFERROR(__xludf.DUMMYFUNCTION("""COMPUTED_VALUE"""),0)</f>
        <v>0</v>
      </c>
      <c r="J287" s="37">
        <f ca="1">IFERROR(__xludf.DUMMYFUNCTION("""COMPUTED_VALUE"""),0)</f>
        <v>0</v>
      </c>
      <c r="K287" s="37">
        <f ca="1">IFERROR(__xludf.DUMMYFUNCTION("""COMPUTED_VALUE"""),0)</f>
        <v>0</v>
      </c>
      <c r="L287" s="37">
        <f ca="1">IFERROR(__xludf.DUMMYFUNCTION("""COMPUTED_VALUE"""),0)</f>
        <v>0</v>
      </c>
      <c r="M287" s="37">
        <f ca="1">IFERROR(__xludf.DUMMYFUNCTION("""COMPUTED_VALUE"""),0)</f>
        <v>0</v>
      </c>
      <c r="N287" s="37">
        <f ca="1">IFERROR(__xludf.DUMMYFUNCTION("""COMPUTED_VALUE"""),0)</f>
        <v>0</v>
      </c>
      <c r="O287" s="37">
        <f ca="1">IFERROR(__xludf.DUMMYFUNCTION("""COMPUTED_VALUE"""),0)</f>
        <v>0</v>
      </c>
      <c r="P287" s="37">
        <f ca="1">IFERROR(__xludf.DUMMYFUNCTION("""COMPUTED_VALUE"""),252)</f>
        <v>252</v>
      </c>
      <c r="Q287" s="37">
        <f ca="1">IFERROR(__xludf.DUMMYFUNCTION("""COMPUTED_VALUE"""),0)</f>
        <v>0</v>
      </c>
      <c r="R287" s="37">
        <f ca="1">IFERROR(__xludf.DUMMYFUNCTION("""COMPUTED_VALUE"""),0)</f>
        <v>0</v>
      </c>
      <c r="S287" s="37">
        <f ca="1">IFERROR(__xludf.DUMMYFUNCTION("""COMPUTED_VALUE"""),60288.7999999999)</f>
        <v>60288.799999999901</v>
      </c>
      <c r="T287" s="37">
        <f ca="1">IFERROR(__xludf.DUMMYFUNCTION("""COMPUTED_VALUE"""),0)</f>
        <v>0</v>
      </c>
      <c r="U287" s="37">
        <f ca="1">IFERROR(__xludf.DUMMYFUNCTION("""COMPUTED_VALUE"""),0)</f>
        <v>0</v>
      </c>
      <c r="V287" s="37">
        <f ca="1">IFERROR(__xludf.DUMMYFUNCTION("""COMPUTED_VALUE"""),0)</f>
        <v>0</v>
      </c>
      <c r="W287" s="37">
        <f ca="1">IFERROR(__xludf.DUMMYFUNCTION("""COMPUTED_VALUE"""),6030)</f>
        <v>6030</v>
      </c>
      <c r="X287" s="37">
        <f ca="1">IFERROR(__xludf.DUMMYFUNCTION("""COMPUTED_VALUE"""),0)</f>
        <v>0</v>
      </c>
      <c r="Y287" s="37">
        <f ca="1">IFERROR(__xludf.DUMMYFUNCTION("""COMPUTED_VALUE"""),0)</f>
        <v>0</v>
      </c>
      <c r="Z287" s="37">
        <f ca="1">IFERROR(__xludf.DUMMYFUNCTION("""COMPUTED_VALUE"""),0)</f>
        <v>0</v>
      </c>
    </row>
    <row r="288" spans="1:26" ht="12.75">
      <c r="A288" s="38" t="str">
        <f ca="1">IFERROR(__xludf.DUMMYFUNCTION("""COMPUTED_VALUE"""),"Palmas")</f>
        <v>Palmas</v>
      </c>
      <c r="B288" s="38" t="str">
        <f ca="1">IFERROR(__xludf.DUMMYFUNCTION("""COMPUTED_VALUE"""),"Palmas")</f>
        <v>Palmas</v>
      </c>
      <c r="C288" s="39" t="str">
        <f ca="1">IFERROR(__xludf.DUMMYFUNCTION("""COMPUTED_VALUE"""),"ACE UN.ESC. FREDEDERICO J. PEDRERA NETO")</f>
        <v>ACE UN.ESC. FREDEDERICO J. PEDRERA NETO</v>
      </c>
      <c r="D288" s="40" t="str">
        <f ca="1">IFERROR(__xludf.DUMMYFUNCTION("""COMPUTED_VALUE"""),"01862534000190")</f>
        <v>01862534000190</v>
      </c>
      <c r="E288" s="41" t="str">
        <f ca="1">IFERROR(__xludf.DUMMYFUNCTION("""COMPUTED_VALUE"""),"001")</f>
        <v>001</v>
      </c>
      <c r="F288" s="42" t="str">
        <f ca="1">IFERROR(__xludf.DUMMYFUNCTION("""COMPUTED_VALUE"""),"1867")</f>
        <v>1867</v>
      </c>
      <c r="G288" s="42" t="str">
        <f ca="1">IFERROR(__xludf.DUMMYFUNCTION("""COMPUTED_VALUE"""),"1079972")</f>
        <v>1079972</v>
      </c>
      <c r="H288" s="42">
        <f ca="1">IFERROR(__xludf.DUMMYFUNCTION("""COMPUTED_VALUE"""),0)</f>
        <v>0</v>
      </c>
      <c r="I288" s="42">
        <f ca="1">IFERROR(__xludf.DUMMYFUNCTION("""COMPUTED_VALUE"""),0)</f>
        <v>0</v>
      </c>
      <c r="J288" s="42">
        <f ca="1">IFERROR(__xludf.DUMMYFUNCTION("""COMPUTED_VALUE"""),0)</f>
        <v>0</v>
      </c>
      <c r="K288" s="42">
        <f ca="1">IFERROR(__xludf.DUMMYFUNCTION("""COMPUTED_VALUE"""),0)</f>
        <v>0</v>
      </c>
      <c r="L288" s="42">
        <f ca="1">IFERROR(__xludf.DUMMYFUNCTION("""COMPUTED_VALUE"""),0)</f>
        <v>0</v>
      </c>
      <c r="M288" s="42">
        <f ca="1">IFERROR(__xludf.DUMMYFUNCTION("""COMPUTED_VALUE"""),0)</f>
        <v>0</v>
      </c>
      <c r="N288" s="42">
        <f ca="1">IFERROR(__xludf.DUMMYFUNCTION("""COMPUTED_VALUE"""),0)</f>
        <v>0</v>
      </c>
      <c r="O288" s="42">
        <f ca="1">IFERROR(__xludf.DUMMYFUNCTION("""COMPUTED_VALUE"""),0)</f>
        <v>0</v>
      </c>
      <c r="P288" s="42">
        <f ca="1">IFERROR(__xludf.DUMMYFUNCTION("""COMPUTED_VALUE"""),357)</f>
        <v>357</v>
      </c>
      <c r="Q288" s="42">
        <f ca="1">IFERROR(__xludf.DUMMYFUNCTION("""COMPUTED_VALUE"""),18123)</f>
        <v>18123</v>
      </c>
      <c r="R288" s="42">
        <f ca="1">IFERROR(__xludf.DUMMYFUNCTION("""COMPUTED_VALUE"""),0)</f>
        <v>0</v>
      </c>
      <c r="S288" s="42">
        <f ca="1">IFERROR(__xludf.DUMMYFUNCTION("""COMPUTED_VALUE"""),0)</f>
        <v>0</v>
      </c>
      <c r="T288" s="42">
        <f ca="1">IFERROR(__xludf.DUMMYFUNCTION("""COMPUTED_VALUE"""),2751)</f>
        <v>2751</v>
      </c>
      <c r="U288" s="42">
        <f ca="1">IFERROR(__xludf.DUMMYFUNCTION("""COMPUTED_VALUE"""),0)</f>
        <v>0</v>
      </c>
      <c r="V288" s="42">
        <f ca="1">IFERROR(__xludf.DUMMYFUNCTION("""COMPUTED_VALUE"""),0)</f>
        <v>0</v>
      </c>
      <c r="W288" s="42">
        <f ca="1">IFERROR(__xludf.DUMMYFUNCTION("""COMPUTED_VALUE"""),0)</f>
        <v>0</v>
      </c>
      <c r="X288" s="42">
        <f ca="1">IFERROR(__xludf.DUMMYFUNCTION("""COMPUTED_VALUE"""),0)</f>
        <v>0</v>
      </c>
      <c r="Y288" s="42">
        <f ca="1">IFERROR(__xludf.DUMMYFUNCTION("""COMPUTED_VALUE"""),0)</f>
        <v>0</v>
      </c>
      <c r="Z288" s="42">
        <f ca="1">IFERROR(__xludf.DUMMYFUNCTION("""COMPUTED_VALUE"""),0)</f>
        <v>0</v>
      </c>
    </row>
    <row r="289" spans="1:26" ht="12.75">
      <c r="A289" s="33" t="str">
        <f ca="1">IFERROR(__xludf.DUMMYFUNCTION("""COMPUTED_VALUE"""),"Palmas")</f>
        <v>Palmas</v>
      </c>
      <c r="B289" s="33" t="str">
        <f ca="1">IFERROR(__xludf.DUMMYFUNCTION("""COMPUTED_VALUE"""),"Palmas")</f>
        <v>Palmas</v>
      </c>
      <c r="C289" s="34" t="str">
        <f ca="1">IFERROR(__xludf.DUMMYFUNCTION("""COMPUTED_VALUE"""),"A.CONS.ESCOLAR E. EST.I GRAU LIBERDADE")</f>
        <v>A.CONS.ESCOLAR E. EST.I GRAU LIBERDADE</v>
      </c>
      <c r="D289" s="35" t="str">
        <f ca="1">IFERROR(__xludf.DUMMYFUNCTION("""COMPUTED_VALUE"""),"01936355000150")</f>
        <v>01936355000150</v>
      </c>
      <c r="E289" s="36" t="str">
        <f ca="1">IFERROR(__xludf.DUMMYFUNCTION("""COMPUTED_VALUE"""),"001")</f>
        <v>001</v>
      </c>
      <c r="F289" s="37" t="str">
        <f ca="1">IFERROR(__xludf.DUMMYFUNCTION("""COMPUTED_VALUE"""),"1505")</f>
        <v>1505</v>
      </c>
      <c r="G289" s="37" t="str">
        <f ca="1">IFERROR(__xludf.DUMMYFUNCTION("""COMPUTED_VALUE"""),"257028")</f>
        <v>257028</v>
      </c>
      <c r="H289" s="37">
        <f ca="1">IFERROR(__xludf.DUMMYFUNCTION("""COMPUTED_VALUE"""),0)</f>
        <v>0</v>
      </c>
      <c r="I289" s="37">
        <f ca="1">IFERROR(__xludf.DUMMYFUNCTION("""COMPUTED_VALUE"""),0)</f>
        <v>0</v>
      </c>
      <c r="J289" s="37">
        <f ca="1">IFERROR(__xludf.DUMMYFUNCTION("""COMPUTED_VALUE"""),11214)</f>
        <v>11214</v>
      </c>
      <c r="K289" s="37">
        <f ca="1">IFERROR(__xludf.DUMMYFUNCTION("""COMPUTED_VALUE"""),0)</f>
        <v>0</v>
      </c>
      <c r="L289" s="37">
        <f ca="1">IFERROR(__xludf.DUMMYFUNCTION("""COMPUTED_VALUE"""),0)</f>
        <v>0</v>
      </c>
      <c r="M289" s="37">
        <f ca="1">IFERROR(__xludf.DUMMYFUNCTION("""COMPUTED_VALUE"""),0)</f>
        <v>0</v>
      </c>
      <c r="N289" s="37">
        <f ca="1">IFERROR(__xludf.DUMMYFUNCTION("""COMPUTED_VALUE"""),0)</f>
        <v>0</v>
      </c>
      <c r="O289" s="37">
        <f ca="1">IFERROR(__xludf.DUMMYFUNCTION("""COMPUTED_VALUE"""),0)</f>
        <v>0</v>
      </c>
      <c r="P289" s="37">
        <f ca="1">IFERROR(__xludf.DUMMYFUNCTION("""COMPUTED_VALUE"""),882)</f>
        <v>882</v>
      </c>
      <c r="Q289" s="37">
        <f ca="1">IFERROR(__xludf.DUMMYFUNCTION("""COMPUTED_VALUE"""),19110)</f>
        <v>19110</v>
      </c>
      <c r="R289" s="37">
        <f ca="1">IFERROR(__xludf.DUMMYFUNCTION("""COMPUTED_VALUE"""),0)</f>
        <v>0</v>
      </c>
      <c r="S289" s="37">
        <f ca="1">IFERROR(__xludf.DUMMYFUNCTION("""COMPUTED_VALUE"""),0)</f>
        <v>0</v>
      </c>
      <c r="T289" s="37">
        <f ca="1">IFERROR(__xludf.DUMMYFUNCTION("""COMPUTED_VALUE"""),2520)</f>
        <v>2520</v>
      </c>
      <c r="U289" s="37">
        <f ca="1">IFERROR(__xludf.DUMMYFUNCTION("""COMPUTED_VALUE"""),0)</f>
        <v>0</v>
      </c>
      <c r="V289" s="37">
        <f ca="1">IFERROR(__xludf.DUMMYFUNCTION("""COMPUTED_VALUE"""),0)</f>
        <v>0</v>
      </c>
      <c r="W289" s="37">
        <f ca="1">IFERROR(__xludf.DUMMYFUNCTION("""COMPUTED_VALUE"""),0)</f>
        <v>0</v>
      </c>
      <c r="X289" s="37">
        <f ca="1">IFERROR(__xludf.DUMMYFUNCTION("""COMPUTED_VALUE"""),0)</f>
        <v>0</v>
      </c>
      <c r="Y289" s="37">
        <f ca="1">IFERROR(__xludf.DUMMYFUNCTION("""COMPUTED_VALUE"""),0)</f>
        <v>0</v>
      </c>
      <c r="Z289" s="37">
        <f ca="1">IFERROR(__xludf.DUMMYFUNCTION("""COMPUTED_VALUE"""),0)</f>
        <v>0</v>
      </c>
    </row>
    <row r="290" spans="1:26" ht="12.75">
      <c r="A290" s="38" t="str">
        <f ca="1">IFERROR(__xludf.DUMMYFUNCTION("""COMPUTED_VALUE"""),"Palmas")</f>
        <v>Palmas</v>
      </c>
      <c r="B290" s="38" t="str">
        <f ca="1">IFERROR(__xludf.DUMMYFUNCTION("""COMPUTED_VALUE"""),"Palmas")</f>
        <v>Palmas</v>
      </c>
      <c r="C290" s="39" t="str">
        <f ca="1">IFERROR(__xludf.DUMMYFUNCTION("""COMPUTED_VALUE"""),"ASSOC APOIO ESC EST MARIA DOS REIS ALVES BARROS")</f>
        <v>ASSOC APOIO ESC EST MARIA DOS REIS ALVES BARROS</v>
      </c>
      <c r="D290" s="40" t="str">
        <f ca="1">IFERROR(__xludf.DUMMYFUNCTION("""COMPUTED_VALUE"""),"08641263000191")</f>
        <v>08641263000191</v>
      </c>
      <c r="E290" s="41" t="str">
        <f ca="1">IFERROR(__xludf.DUMMYFUNCTION("""COMPUTED_VALUE"""),"001")</f>
        <v>001</v>
      </c>
      <c r="F290" s="42" t="str">
        <f ca="1">IFERROR(__xludf.DUMMYFUNCTION("""COMPUTED_VALUE"""),"1505")</f>
        <v>1505</v>
      </c>
      <c r="G290" s="42" t="str">
        <f ca="1">IFERROR(__xludf.DUMMYFUNCTION("""COMPUTED_VALUE"""),"413666")</f>
        <v>413666</v>
      </c>
      <c r="H290" s="42">
        <f ca="1">IFERROR(__xludf.DUMMYFUNCTION("""COMPUTED_VALUE"""),0)</f>
        <v>0</v>
      </c>
      <c r="I290" s="42">
        <f ca="1">IFERROR(__xludf.DUMMYFUNCTION("""COMPUTED_VALUE"""),0)</f>
        <v>0</v>
      </c>
      <c r="J290" s="42">
        <f ca="1">IFERROR(__xludf.DUMMYFUNCTION("""COMPUTED_VALUE"""),43554)</f>
        <v>43554</v>
      </c>
      <c r="K290" s="42">
        <f ca="1">IFERROR(__xludf.DUMMYFUNCTION("""COMPUTED_VALUE"""),0)</f>
        <v>0</v>
      </c>
      <c r="L290" s="42">
        <f ca="1">IFERROR(__xludf.DUMMYFUNCTION("""COMPUTED_VALUE"""),0)</f>
        <v>0</v>
      </c>
      <c r="M290" s="42">
        <f ca="1">IFERROR(__xludf.DUMMYFUNCTION("""COMPUTED_VALUE"""),0)</f>
        <v>0</v>
      </c>
      <c r="N290" s="42">
        <f ca="1">IFERROR(__xludf.DUMMYFUNCTION("""COMPUTED_VALUE"""),0)</f>
        <v>0</v>
      </c>
      <c r="O290" s="42">
        <f ca="1">IFERROR(__xludf.DUMMYFUNCTION("""COMPUTED_VALUE"""),0)</f>
        <v>0</v>
      </c>
      <c r="P290" s="42">
        <f ca="1">IFERROR(__xludf.DUMMYFUNCTION("""COMPUTED_VALUE"""),2100)</f>
        <v>2100</v>
      </c>
      <c r="Q290" s="42">
        <f ca="1">IFERROR(__xludf.DUMMYFUNCTION("""COMPUTED_VALUE"""),24570)</f>
        <v>24570</v>
      </c>
      <c r="R290" s="42">
        <f ca="1">IFERROR(__xludf.DUMMYFUNCTION("""COMPUTED_VALUE"""),0)</f>
        <v>0</v>
      </c>
      <c r="S290" s="42">
        <f ca="1">IFERROR(__xludf.DUMMYFUNCTION("""COMPUTED_VALUE"""),0)</f>
        <v>0</v>
      </c>
      <c r="T290" s="42">
        <f ca="1">IFERROR(__xludf.DUMMYFUNCTION("""COMPUTED_VALUE"""),4032)</f>
        <v>4032</v>
      </c>
      <c r="U290" s="42">
        <f ca="1">IFERROR(__xludf.DUMMYFUNCTION("""COMPUTED_VALUE"""),0)</f>
        <v>0</v>
      </c>
      <c r="V290" s="42">
        <f ca="1">IFERROR(__xludf.DUMMYFUNCTION("""COMPUTED_VALUE"""),0)</f>
        <v>0</v>
      </c>
      <c r="W290" s="42">
        <f ca="1">IFERROR(__xludf.DUMMYFUNCTION("""COMPUTED_VALUE"""),0)</f>
        <v>0</v>
      </c>
      <c r="X290" s="42">
        <f ca="1">IFERROR(__xludf.DUMMYFUNCTION("""COMPUTED_VALUE"""),0)</f>
        <v>0</v>
      </c>
      <c r="Y290" s="42">
        <f ca="1">IFERROR(__xludf.DUMMYFUNCTION("""COMPUTED_VALUE"""),0)</f>
        <v>0</v>
      </c>
      <c r="Z290" s="42">
        <f ca="1">IFERROR(__xludf.DUMMYFUNCTION("""COMPUTED_VALUE"""),0)</f>
        <v>0</v>
      </c>
    </row>
    <row r="291" spans="1:26" ht="12.75">
      <c r="A291" s="33" t="str">
        <f ca="1">IFERROR(__xludf.DUMMYFUNCTION("""COMPUTED_VALUE"""),"Palmas")</f>
        <v>Palmas</v>
      </c>
      <c r="B291" s="33" t="str">
        <f ca="1">IFERROR(__xludf.DUMMYFUNCTION("""COMPUTED_VALUE"""),"Palmas")</f>
        <v>Palmas</v>
      </c>
      <c r="C291" s="34" t="str">
        <f ca="1">IFERROR(__xludf.DUMMYFUNCTION("""COMPUTED_VALUE"""),"A.COM. DA ESC. EST. NOVO HORIZONTE")</f>
        <v>A.COM. DA ESC. EST. NOVO HORIZONTE</v>
      </c>
      <c r="D291" s="35" t="str">
        <f ca="1">IFERROR(__xludf.DUMMYFUNCTION("""COMPUTED_VALUE"""),"01221539000133")</f>
        <v>01221539000133</v>
      </c>
      <c r="E291" s="36" t="str">
        <f ca="1">IFERROR(__xludf.DUMMYFUNCTION("""COMPUTED_VALUE"""),"001")</f>
        <v>001</v>
      </c>
      <c r="F291" s="37" t="str">
        <f ca="1">IFERROR(__xludf.DUMMYFUNCTION("""COMPUTED_VALUE"""),"1505")</f>
        <v>1505</v>
      </c>
      <c r="G291" s="37" t="str">
        <f ca="1">IFERROR(__xludf.DUMMYFUNCTION("""COMPUTED_VALUE"""),"351687")</f>
        <v>351687</v>
      </c>
      <c r="H291" s="37">
        <f ca="1">IFERROR(__xludf.DUMMYFUNCTION("""COMPUTED_VALUE"""),0)</f>
        <v>0</v>
      </c>
      <c r="I291" s="37">
        <f ca="1">IFERROR(__xludf.DUMMYFUNCTION("""COMPUTED_VALUE"""),0)</f>
        <v>0</v>
      </c>
      <c r="J291" s="37">
        <f ca="1">IFERROR(__xludf.DUMMYFUNCTION("""COMPUTED_VALUE"""),13356)</f>
        <v>13356</v>
      </c>
      <c r="K291" s="37">
        <f ca="1">IFERROR(__xludf.DUMMYFUNCTION("""COMPUTED_VALUE"""),0)</f>
        <v>0</v>
      </c>
      <c r="L291" s="37">
        <f ca="1">IFERROR(__xludf.DUMMYFUNCTION("""COMPUTED_VALUE"""),0)</f>
        <v>0</v>
      </c>
      <c r="M291" s="37">
        <f ca="1">IFERROR(__xludf.DUMMYFUNCTION("""COMPUTED_VALUE"""),0)</f>
        <v>0</v>
      </c>
      <c r="N291" s="37">
        <f ca="1">IFERROR(__xludf.DUMMYFUNCTION("""COMPUTED_VALUE"""),0)</f>
        <v>0</v>
      </c>
      <c r="O291" s="37">
        <f ca="1">IFERROR(__xludf.DUMMYFUNCTION("""COMPUTED_VALUE"""),0)</f>
        <v>0</v>
      </c>
      <c r="P291" s="37">
        <f ca="1">IFERROR(__xludf.DUMMYFUNCTION("""COMPUTED_VALUE"""),1344)</f>
        <v>1344</v>
      </c>
      <c r="Q291" s="37">
        <f ca="1">IFERROR(__xludf.DUMMYFUNCTION("""COMPUTED_VALUE"""),16464)</f>
        <v>16464</v>
      </c>
      <c r="R291" s="37">
        <f ca="1">IFERROR(__xludf.DUMMYFUNCTION("""COMPUTED_VALUE"""),0)</f>
        <v>0</v>
      </c>
      <c r="S291" s="37">
        <f ca="1">IFERROR(__xludf.DUMMYFUNCTION("""COMPUTED_VALUE"""),0)</f>
        <v>0</v>
      </c>
      <c r="T291" s="37">
        <f ca="1">IFERROR(__xludf.DUMMYFUNCTION("""COMPUTED_VALUE"""),756)</f>
        <v>756</v>
      </c>
      <c r="U291" s="37">
        <f ca="1">IFERROR(__xludf.DUMMYFUNCTION("""COMPUTED_VALUE"""),0)</f>
        <v>0</v>
      </c>
      <c r="V291" s="37">
        <f ca="1">IFERROR(__xludf.DUMMYFUNCTION("""COMPUTED_VALUE"""),0)</f>
        <v>0</v>
      </c>
      <c r="W291" s="37">
        <f ca="1">IFERROR(__xludf.DUMMYFUNCTION("""COMPUTED_VALUE"""),0)</f>
        <v>0</v>
      </c>
      <c r="X291" s="37">
        <f ca="1">IFERROR(__xludf.DUMMYFUNCTION("""COMPUTED_VALUE"""),0)</f>
        <v>0</v>
      </c>
      <c r="Y291" s="37">
        <f ca="1">IFERROR(__xludf.DUMMYFUNCTION("""COMPUTED_VALUE"""),0)</f>
        <v>0</v>
      </c>
      <c r="Z291" s="37">
        <f ca="1">IFERROR(__xludf.DUMMYFUNCTION("""COMPUTED_VALUE"""),0)</f>
        <v>0</v>
      </c>
    </row>
    <row r="292" spans="1:26" ht="12.75">
      <c r="A292" s="38" t="str">
        <f ca="1">IFERROR(__xludf.DUMMYFUNCTION("""COMPUTED_VALUE"""),"Palmas")</f>
        <v>Palmas</v>
      </c>
      <c r="B292" s="38" t="str">
        <f ca="1">IFERROR(__xludf.DUMMYFUNCTION("""COMPUTED_VALUE"""),"Palmas")</f>
        <v>Palmas</v>
      </c>
      <c r="C292" s="39" t="str">
        <f ca="1">IFERROR(__xludf.DUMMYFUNCTION("""COMPUTED_VALUE"""),"ASSOC.COMUNIDADE ESC. ESTADUAL RURAL ENTRE RIOS")</f>
        <v>ASSOC.COMUNIDADE ESC. ESTADUAL RURAL ENTRE RIOS</v>
      </c>
      <c r="D292" s="40" t="str">
        <f ca="1">IFERROR(__xludf.DUMMYFUNCTION("""COMPUTED_VALUE"""),"11257180000108")</f>
        <v>11257180000108</v>
      </c>
      <c r="E292" s="41" t="str">
        <f ca="1">IFERROR(__xludf.DUMMYFUNCTION("""COMPUTED_VALUE"""),"001")</f>
        <v>001</v>
      </c>
      <c r="F292" s="42" t="str">
        <f ca="1">IFERROR(__xludf.DUMMYFUNCTION("""COMPUTED_VALUE"""),"1886")</f>
        <v>1886</v>
      </c>
      <c r="G292" s="42" t="str">
        <f ca="1">IFERROR(__xludf.DUMMYFUNCTION("""COMPUTED_VALUE"""),"1464884")</f>
        <v>1464884</v>
      </c>
      <c r="H292" s="42">
        <f ca="1">IFERROR(__xludf.DUMMYFUNCTION("""COMPUTED_VALUE"""),0)</f>
        <v>0</v>
      </c>
      <c r="I292" s="42">
        <f ca="1">IFERROR(__xludf.DUMMYFUNCTION("""COMPUTED_VALUE"""),0)</f>
        <v>0</v>
      </c>
      <c r="J292" s="42">
        <f ca="1">IFERROR(__xludf.DUMMYFUNCTION("""COMPUTED_VALUE"""),0)</f>
        <v>0</v>
      </c>
      <c r="K292" s="42">
        <f ca="1">IFERROR(__xludf.DUMMYFUNCTION("""COMPUTED_VALUE"""),0)</f>
        <v>0</v>
      </c>
      <c r="L292" s="42">
        <f ca="1">IFERROR(__xludf.DUMMYFUNCTION("""COMPUTED_VALUE"""),0)</f>
        <v>0</v>
      </c>
      <c r="M292" s="42">
        <f ca="1">IFERROR(__xludf.DUMMYFUNCTION("""COMPUTED_VALUE"""),0)</f>
        <v>0</v>
      </c>
      <c r="N292" s="42">
        <f ca="1">IFERROR(__xludf.DUMMYFUNCTION("""COMPUTED_VALUE"""),0)</f>
        <v>0</v>
      </c>
      <c r="O292" s="42">
        <f ca="1">IFERROR(__xludf.DUMMYFUNCTION("""COMPUTED_VALUE"""),0)</f>
        <v>0</v>
      </c>
      <c r="P292" s="42">
        <f ca="1">IFERROR(__xludf.DUMMYFUNCTION("""COMPUTED_VALUE"""),0)</f>
        <v>0</v>
      </c>
      <c r="Q292" s="42">
        <f ca="1">IFERROR(__xludf.DUMMYFUNCTION("""COMPUTED_VALUE"""),0)</f>
        <v>0</v>
      </c>
      <c r="R292" s="42">
        <f ca="1">IFERROR(__xludf.DUMMYFUNCTION("""COMPUTED_VALUE"""),0)</f>
        <v>0</v>
      </c>
      <c r="S292" s="42">
        <f ca="1">IFERROR(__xludf.DUMMYFUNCTION("""COMPUTED_VALUE"""),0)</f>
        <v>0</v>
      </c>
      <c r="T292" s="42">
        <f ca="1">IFERROR(__xludf.DUMMYFUNCTION("""COMPUTED_VALUE"""),0)</f>
        <v>0</v>
      </c>
      <c r="U292" s="42">
        <f ca="1">IFERROR(__xludf.DUMMYFUNCTION("""COMPUTED_VALUE"""),0)</f>
        <v>0</v>
      </c>
      <c r="V292" s="42">
        <f ca="1">IFERROR(__xludf.DUMMYFUNCTION("""COMPUTED_VALUE"""),5208)</f>
        <v>5208</v>
      </c>
      <c r="W292" s="42">
        <f ca="1">IFERROR(__xludf.DUMMYFUNCTION("""COMPUTED_VALUE"""),0)</f>
        <v>0</v>
      </c>
      <c r="X292" s="42">
        <f ca="1">IFERROR(__xludf.DUMMYFUNCTION("""COMPUTED_VALUE"""),0)</f>
        <v>0</v>
      </c>
      <c r="Y292" s="42">
        <f ca="1">IFERROR(__xludf.DUMMYFUNCTION("""COMPUTED_VALUE"""),340.4)</f>
        <v>340.4</v>
      </c>
      <c r="Z292" s="42">
        <f ca="1">IFERROR(__xludf.DUMMYFUNCTION("""COMPUTED_VALUE"""),0)</f>
        <v>0</v>
      </c>
    </row>
    <row r="293" spans="1:26" ht="12.75">
      <c r="A293" s="33" t="str">
        <f ca="1">IFERROR(__xludf.DUMMYFUNCTION("""COMPUTED_VALUE"""),"Palmas")</f>
        <v>Palmas</v>
      </c>
      <c r="B293" s="33" t="str">
        <f ca="1">IFERROR(__xludf.DUMMYFUNCTION("""COMPUTED_VALUE"""),"Palmas")</f>
        <v>Palmas</v>
      </c>
      <c r="C293" s="34" t="str">
        <f ca="1">IFERROR(__xludf.DUMMYFUNCTION("""COMPUTED_VALUE"""),"A.A. DA COM. ESCOLAR - ESC. EST. SANTA FE")</f>
        <v>A.A. DA COM. ESCOLAR - ESC. EST. SANTA FE</v>
      </c>
      <c r="D293" s="35" t="str">
        <f ca="1">IFERROR(__xludf.DUMMYFUNCTION("""COMPUTED_VALUE"""),"01932049000145")</f>
        <v>01932049000145</v>
      </c>
      <c r="E293" s="36" t="str">
        <f ca="1">IFERROR(__xludf.DUMMYFUNCTION("""COMPUTED_VALUE"""),"001")</f>
        <v>001</v>
      </c>
      <c r="F293" s="37" t="str">
        <f ca="1">IFERROR(__xludf.DUMMYFUNCTION("""COMPUTED_VALUE"""),"2781")</f>
        <v>2781</v>
      </c>
      <c r="G293" s="37" t="str">
        <f ca="1">IFERROR(__xludf.DUMMYFUNCTION("""COMPUTED_VALUE"""),"261904")</f>
        <v>261904</v>
      </c>
      <c r="H293" s="37">
        <f ca="1">IFERROR(__xludf.DUMMYFUNCTION("""COMPUTED_VALUE"""),0)</f>
        <v>0</v>
      </c>
      <c r="I293" s="37">
        <f ca="1">IFERROR(__xludf.DUMMYFUNCTION("""COMPUTED_VALUE"""),0)</f>
        <v>0</v>
      </c>
      <c r="J293" s="37">
        <f ca="1">IFERROR(__xludf.DUMMYFUNCTION("""COMPUTED_VALUE"""),609)</f>
        <v>609</v>
      </c>
      <c r="K293" s="37">
        <f ca="1">IFERROR(__xludf.DUMMYFUNCTION("""COMPUTED_VALUE"""),0)</f>
        <v>0</v>
      </c>
      <c r="L293" s="37">
        <f ca="1">IFERROR(__xludf.DUMMYFUNCTION("""COMPUTED_VALUE"""),0)</f>
        <v>0</v>
      </c>
      <c r="M293" s="37">
        <f ca="1">IFERROR(__xludf.DUMMYFUNCTION("""COMPUTED_VALUE"""),0)</f>
        <v>0</v>
      </c>
      <c r="N293" s="37">
        <f ca="1">IFERROR(__xludf.DUMMYFUNCTION("""COMPUTED_VALUE"""),0)</f>
        <v>0</v>
      </c>
      <c r="O293" s="37">
        <f ca="1">IFERROR(__xludf.DUMMYFUNCTION("""COMPUTED_VALUE"""),0)</f>
        <v>0</v>
      </c>
      <c r="P293" s="37">
        <f ca="1">IFERROR(__xludf.DUMMYFUNCTION("""COMPUTED_VALUE"""),0)</f>
        <v>0</v>
      </c>
      <c r="Q293" s="37">
        <f ca="1">IFERROR(__xludf.DUMMYFUNCTION("""COMPUTED_VALUE"""),3822)</f>
        <v>3822</v>
      </c>
      <c r="R293" s="37">
        <f ca="1">IFERROR(__xludf.DUMMYFUNCTION("""COMPUTED_VALUE"""),0)</f>
        <v>0</v>
      </c>
      <c r="S293" s="37">
        <f ca="1">IFERROR(__xludf.DUMMYFUNCTION("""COMPUTED_VALUE"""),0)</f>
        <v>0</v>
      </c>
      <c r="T293" s="37">
        <f ca="1">IFERROR(__xludf.DUMMYFUNCTION("""COMPUTED_VALUE"""),0)</f>
        <v>0</v>
      </c>
      <c r="U293" s="37">
        <f ca="1">IFERROR(__xludf.DUMMYFUNCTION("""COMPUTED_VALUE"""),0)</f>
        <v>0</v>
      </c>
      <c r="V293" s="37">
        <f ca="1">IFERROR(__xludf.DUMMYFUNCTION("""COMPUTED_VALUE"""),0)</f>
        <v>0</v>
      </c>
      <c r="W293" s="37">
        <f ca="1">IFERROR(__xludf.DUMMYFUNCTION("""COMPUTED_VALUE"""),0)</f>
        <v>0</v>
      </c>
      <c r="X293" s="37">
        <f ca="1">IFERROR(__xludf.DUMMYFUNCTION("""COMPUTED_VALUE"""),0)</f>
        <v>0</v>
      </c>
      <c r="Y293" s="37">
        <f ca="1">IFERROR(__xludf.DUMMYFUNCTION("""COMPUTED_VALUE"""),0)</f>
        <v>0</v>
      </c>
      <c r="Z293" s="37">
        <f ca="1">IFERROR(__xludf.DUMMYFUNCTION("""COMPUTED_VALUE"""),0)</f>
        <v>0</v>
      </c>
    </row>
    <row r="294" spans="1:26" ht="12.75">
      <c r="A294" s="38" t="str">
        <f ca="1">IFERROR(__xludf.DUMMYFUNCTION("""COMPUTED_VALUE"""),"Palmas")</f>
        <v>Palmas</v>
      </c>
      <c r="B294" s="38" t="str">
        <f ca="1">IFERROR(__xludf.DUMMYFUNCTION("""COMPUTED_VALUE"""),"Palmas")</f>
        <v>Palmas</v>
      </c>
      <c r="C294" s="39" t="str">
        <f ca="1">IFERROR(__xludf.DUMMYFUNCTION("""COMPUTED_VALUE"""),"A.COMUN.ESCOLA-DA ESC. EST. SETOR SUL")</f>
        <v>A.COMUN.ESCOLA-DA ESC. EST. SETOR SUL</v>
      </c>
      <c r="D294" s="40" t="str">
        <f ca="1">IFERROR(__xludf.DUMMYFUNCTION("""COMPUTED_VALUE"""),"01926545000196")</f>
        <v>01926545000196</v>
      </c>
      <c r="E294" s="41" t="str">
        <f ca="1">IFERROR(__xludf.DUMMYFUNCTION("""COMPUTED_VALUE"""),"001")</f>
        <v>001</v>
      </c>
      <c r="F294" s="42" t="str">
        <f ca="1">IFERROR(__xludf.DUMMYFUNCTION("""COMPUTED_VALUE"""),"1505")</f>
        <v>1505</v>
      </c>
      <c r="G294" s="42" t="str">
        <f ca="1">IFERROR(__xludf.DUMMYFUNCTION("""COMPUTED_VALUE"""),"258105")</f>
        <v>258105</v>
      </c>
      <c r="H294" s="42">
        <f ca="1">IFERROR(__xludf.DUMMYFUNCTION("""COMPUTED_VALUE"""),0)</f>
        <v>0</v>
      </c>
      <c r="I294" s="42">
        <f ca="1">IFERROR(__xludf.DUMMYFUNCTION("""COMPUTED_VALUE"""),0)</f>
        <v>0</v>
      </c>
      <c r="J294" s="42">
        <f ca="1">IFERROR(__xludf.DUMMYFUNCTION("""COMPUTED_VALUE"""),5418)</f>
        <v>5418</v>
      </c>
      <c r="K294" s="42">
        <f ca="1">IFERROR(__xludf.DUMMYFUNCTION("""COMPUTED_VALUE"""),0)</f>
        <v>0</v>
      </c>
      <c r="L294" s="42">
        <f ca="1">IFERROR(__xludf.DUMMYFUNCTION("""COMPUTED_VALUE"""),0)</f>
        <v>0</v>
      </c>
      <c r="M294" s="42">
        <f ca="1">IFERROR(__xludf.DUMMYFUNCTION("""COMPUTED_VALUE"""),0)</f>
        <v>0</v>
      </c>
      <c r="N294" s="42">
        <f ca="1">IFERROR(__xludf.DUMMYFUNCTION("""COMPUTED_VALUE"""),0)</f>
        <v>0</v>
      </c>
      <c r="O294" s="42">
        <f ca="1">IFERROR(__xludf.DUMMYFUNCTION("""COMPUTED_VALUE"""),0)</f>
        <v>0</v>
      </c>
      <c r="P294" s="42">
        <f ca="1">IFERROR(__xludf.DUMMYFUNCTION("""COMPUTED_VALUE"""),252)</f>
        <v>252</v>
      </c>
      <c r="Q294" s="42">
        <f ca="1">IFERROR(__xludf.DUMMYFUNCTION("""COMPUTED_VALUE"""),6111)</f>
        <v>6111</v>
      </c>
      <c r="R294" s="42">
        <f ca="1">IFERROR(__xludf.DUMMYFUNCTION("""COMPUTED_VALUE"""),0)</f>
        <v>0</v>
      </c>
      <c r="S294" s="42">
        <f ca="1">IFERROR(__xludf.DUMMYFUNCTION("""COMPUTED_VALUE"""),0)</f>
        <v>0</v>
      </c>
      <c r="T294" s="42">
        <f ca="1">IFERROR(__xludf.DUMMYFUNCTION("""COMPUTED_VALUE"""),189)</f>
        <v>189</v>
      </c>
      <c r="U294" s="42">
        <f ca="1">IFERROR(__xludf.DUMMYFUNCTION("""COMPUTED_VALUE"""),0)</f>
        <v>0</v>
      </c>
      <c r="V294" s="42">
        <f ca="1">IFERROR(__xludf.DUMMYFUNCTION("""COMPUTED_VALUE"""),0)</f>
        <v>0</v>
      </c>
      <c r="W294" s="42">
        <f ca="1">IFERROR(__xludf.DUMMYFUNCTION("""COMPUTED_VALUE"""),0)</f>
        <v>0</v>
      </c>
      <c r="X294" s="42">
        <f ca="1">IFERROR(__xludf.DUMMYFUNCTION("""COMPUTED_VALUE"""),0)</f>
        <v>0</v>
      </c>
      <c r="Y294" s="42">
        <f ca="1">IFERROR(__xludf.DUMMYFUNCTION("""COMPUTED_VALUE"""),0)</f>
        <v>0</v>
      </c>
      <c r="Z294" s="42">
        <f ca="1">IFERROR(__xludf.DUMMYFUNCTION("""COMPUTED_VALUE"""),0)</f>
        <v>0</v>
      </c>
    </row>
    <row r="295" spans="1:26" ht="12.75">
      <c r="A295" s="33" t="str">
        <f ca="1">IFERROR(__xludf.DUMMYFUNCTION("""COMPUTED_VALUE"""),"Palmas")</f>
        <v>Palmas</v>
      </c>
      <c r="B295" s="33" t="str">
        <f ca="1">IFERROR(__xludf.DUMMYFUNCTION("""COMPUTED_VALUE"""),"Palmas")</f>
        <v>Palmas</v>
      </c>
      <c r="C295" s="34" t="str">
        <f ca="1">IFERROR(__xludf.DUMMYFUNCTION("""COMPUTED_VALUE"""),"A.COMUNIDADE ESCOLA/E. EST. VALE DO SOL")</f>
        <v>A.COMUNIDADE ESCOLA/E. EST. VALE DO SOL</v>
      </c>
      <c r="D295" s="35" t="str">
        <f ca="1">IFERROR(__xludf.DUMMYFUNCTION("""COMPUTED_VALUE"""),"01873442000105")</f>
        <v>01873442000105</v>
      </c>
      <c r="E295" s="36" t="str">
        <f ca="1">IFERROR(__xludf.DUMMYFUNCTION("""COMPUTED_VALUE"""),"001")</f>
        <v>001</v>
      </c>
      <c r="F295" s="37" t="str">
        <f ca="1">IFERROR(__xludf.DUMMYFUNCTION("""COMPUTED_VALUE"""),"1505")</f>
        <v>1505</v>
      </c>
      <c r="G295" s="37" t="str">
        <f ca="1">IFERROR(__xludf.DUMMYFUNCTION("""COMPUTED_VALUE"""),"256404")</f>
        <v>256404</v>
      </c>
      <c r="H295" s="37">
        <f ca="1">IFERROR(__xludf.DUMMYFUNCTION("""COMPUTED_VALUE"""),0)</f>
        <v>0</v>
      </c>
      <c r="I295" s="37">
        <f ca="1">IFERROR(__xludf.DUMMYFUNCTION("""COMPUTED_VALUE"""),0)</f>
        <v>0</v>
      </c>
      <c r="J295" s="37">
        <f ca="1">IFERROR(__xludf.DUMMYFUNCTION("""COMPUTED_VALUE"""),3234)</f>
        <v>3234</v>
      </c>
      <c r="K295" s="37">
        <f ca="1">IFERROR(__xludf.DUMMYFUNCTION("""COMPUTED_VALUE"""),0)</f>
        <v>0</v>
      </c>
      <c r="L295" s="37">
        <f ca="1">IFERROR(__xludf.DUMMYFUNCTION("""COMPUTED_VALUE"""),0)</f>
        <v>0</v>
      </c>
      <c r="M295" s="37">
        <f ca="1">IFERROR(__xludf.DUMMYFUNCTION("""COMPUTED_VALUE"""),0)</f>
        <v>0</v>
      </c>
      <c r="N295" s="37">
        <f ca="1">IFERROR(__xludf.DUMMYFUNCTION("""COMPUTED_VALUE"""),0)</f>
        <v>0</v>
      </c>
      <c r="O295" s="37">
        <f ca="1">IFERROR(__xludf.DUMMYFUNCTION("""COMPUTED_VALUE"""),0)</f>
        <v>0</v>
      </c>
      <c r="P295" s="37">
        <f ca="1">IFERROR(__xludf.DUMMYFUNCTION("""COMPUTED_VALUE"""),210)</f>
        <v>210</v>
      </c>
      <c r="Q295" s="37">
        <f ca="1">IFERROR(__xludf.DUMMYFUNCTION("""COMPUTED_VALUE"""),7161)</f>
        <v>7161</v>
      </c>
      <c r="R295" s="37">
        <f ca="1">IFERROR(__xludf.DUMMYFUNCTION("""COMPUTED_VALUE"""),0)</f>
        <v>0</v>
      </c>
      <c r="S295" s="37">
        <f ca="1">IFERROR(__xludf.DUMMYFUNCTION("""COMPUTED_VALUE"""),0)</f>
        <v>0</v>
      </c>
      <c r="T295" s="37">
        <f ca="1">IFERROR(__xludf.DUMMYFUNCTION("""COMPUTED_VALUE"""),0)</f>
        <v>0</v>
      </c>
      <c r="U295" s="37">
        <f ca="1">IFERROR(__xludf.DUMMYFUNCTION("""COMPUTED_VALUE"""),0)</f>
        <v>0</v>
      </c>
      <c r="V295" s="37">
        <f ca="1">IFERROR(__xludf.DUMMYFUNCTION("""COMPUTED_VALUE"""),0)</f>
        <v>0</v>
      </c>
      <c r="W295" s="37">
        <f ca="1">IFERROR(__xludf.DUMMYFUNCTION("""COMPUTED_VALUE"""),0)</f>
        <v>0</v>
      </c>
      <c r="X295" s="37">
        <f ca="1">IFERROR(__xludf.DUMMYFUNCTION("""COMPUTED_VALUE"""),0)</f>
        <v>0</v>
      </c>
      <c r="Y295" s="37">
        <f ca="1">IFERROR(__xludf.DUMMYFUNCTION("""COMPUTED_VALUE"""),0)</f>
        <v>0</v>
      </c>
      <c r="Z295" s="37">
        <f ca="1">IFERROR(__xludf.DUMMYFUNCTION("""COMPUTED_VALUE"""),0)</f>
        <v>0</v>
      </c>
    </row>
    <row r="296" spans="1:26" ht="12.75">
      <c r="A296" s="38" t="str">
        <f ca="1">IFERROR(__xludf.DUMMYFUNCTION("""COMPUTED_VALUE"""),"Palmas")</f>
        <v>Palmas</v>
      </c>
      <c r="B296" s="38" t="str">
        <f ca="1">IFERROR(__xludf.DUMMYFUNCTION("""COMPUTED_VALUE"""),"Palmas")</f>
        <v>Palmas</v>
      </c>
      <c r="C296" s="39" t="str">
        <f ca="1">IFERROR(__xludf.DUMMYFUNCTION("""COMPUTED_VALUE"""),"A.P.M.DA ESC. EST. DE I GRAU VILA UNIAO")</f>
        <v>A.P.M.DA ESC. EST. DE I GRAU VILA UNIAO</v>
      </c>
      <c r="D296" s="40" t="str">
        <f ca="1">IFERROR(__xludf.DUMMYFUNCTION("""COMPUTED_VALUE"""),"01926551000143")</f>
        <v>01926551000143</v>
      </c>
      <c r="E296" s="41" t="str">
        <f ca="1">IFERROR(__xludf.DUMMYFUNCTION("""COMPUTED_VALUE"""),"001")</f>
        <v>001</v>
      </c>
      <c r="F296" s="42" t="str">
        <f ca="1">IFERROR(__xludf.DUMMYFUNCTION("""COMPUTED_VALUE"""),"1505")</f>
        <v>1505</v>
      </c>
      <c r="G296" s="42" t="str">
        <f ca="1">IFERROR(__xludf.DUMMYFUNCTION("""COMPUTED_VALUE"""),"255734")</f>
        <v>255734</v>
      </c>
      <c r="H296" s="42">
        <f ca="1">IFERROR(__xludf.DUMMYFUNCTION("""COMPUTED_VALUE"""),0)</f>
        <v>0</v>
      </c>
      <c r="I296" s="42">
        <f ca="1">IFERROR(__xludf.DUMMYFUNCTION("""COMPUTED_VALUE"""),0)</f>
        <v>0</v>
      </c>
      <c r="J296" s="42">
        <f ca="1">IFERROR(__xludf.DUMMYFUNCTION("""COMPUTED_VALUE"""),6909)</f>
        <v>6909</v>
      </c>
      <c r="K296" s="42">
        <f ca="1">IFERROR(__xludf.DUMMYFUNCTION("""COMPUTED_VALUE"""),0)</f>
        <v>0</v>
      </c>
      <c r="L296" s="42">
        <f ca="1">IFERROR(__xludf.DUMMYFUNCTION("""COMPUTED_VALUE"""),0)</f>
        <v>0</v>
      </c>
      <c r="M296" s="42">
        <f ca="1">IFERROR(__xludf.DUMMYFUNCTION("""COMPUTED_VALUE"""),0)</f>
        <v>0</v>
      </c>
      <c r="N296" s="42">
        <f ca="1">IFERROR(__xludf.DUMMYFUNCTION("""COMPUTED_VALUE"""),0)</f>
        <v>0</v>
      </c>
      <c r="O296" s="42">
        <f ca="1">IFERROR(__xludf.DUMMYFUNCTION("""COMPUTED_VALUE"""),0)</f>
        <v>0</v>
      </c>
      <c r="P296" s="42">
        <f ca="1">IFERROR(__xludf.DUMMYFUNCTION("""COMPUTED_VALUE"""),399)</f>
        <v>399</v>
      </c>
      <c r="Q296" s="42">
        <f ca="1">IFERROR(__xludf.DUMMYFUNCTION("""COMPUTED_VALUE"""),3213)</f>
        <v>3213</v>
      </c>
      <c r="R296" s="42">
        <f ca="1">IFERROR(__xludf.DUMMYFUNCTION("""COMPUTED_VALUE"""),0)</f>
        <v>0</v>
      </c>
      <c r="S296" s="42">
        <f ca="1">IFERROR(__xludf.DUMMYFUNCTION("""COMPUTED_VALUE"""),0)</f>
        <v>0</v>
      </c>
      <c r="T296" s="42">
        <f ca="1">IFERROR(__xludf.DUMMYFUNCTION("""COMPUTED_VALUE"""),0)</f>
        <v>0</v>
      </c>
      <c r="U296" s="42">
        <f ca="1">IFERROR(__xludf.DUMMYFUNCTION("""COMPUTED_VALUE"""),0)</f>
        <v>0</v>
      </c>
      <c r="V296" s="42">
        <f ca="1">IFERROR(__xludf.DUMMYFUNCTION("""COMPUTED_VALUE"""),0)</f>
        <v>0</v>
      </c>
      <c r="W296" s="42">
        <f ca="1">IFERROR(__xludf.DUMMYFUNCTION("""COMPUTED_VALUE"""),0)</f>
        <v>0</v>
      </c>
      <c r="X296" s="42">
        <f ca="1">IFERROR(__xludf.DUMMYFUNCTION("""COMPUTED_VALUE"""),0)</f>
        <v>0</v>
      </c>
      <c r="Y296" s="42">
        <f ca="1">IFERROR(__xludf.DUMMYFUNCTION("""COMPUTED_VALUE"""),0)</f>
        <v>0</v>
      </c>
      <c r="Z296" s="42">
        <f ca="1">IFERROR(__xludf.DUMMYFUNCTION("""COMPUTED_VALUE"""),0)</f>
        <v>0</v>
      </c>
    </row>
    <row r="297" spans="1:26" ht="12.75">
      <c r="A297" s="33" t="str">
        <f ca="1">IFERROR(__xludf.DUMMYFUNCTION("""COMPUTED_VALUE"""),"Palmas")</f>
        <v>Palmas</v>
      </c>
      <c r="B297" s="33" t="str">
        <f ca="1">IFERROR(__xludf.DUMMYFUNCTION("""COMPUTED_VALUE"""),"Palmas")</f>
        <v>Palmas</v>
      </c>
      <c r="C297" s="34" t="str">
        <f ca="1">IFERROR(__xludf.DUMMYFUNCTION("""COMPUTED_VALUE"""),"AÇÃO SOCIAL JESUS DE NAZARÉ/ESC JOÃO PAULO II")</f>
        <v>AÇÃO SOCIAL JESUS DE NAZARÉ/ESC JOÃO PAULO II</v>
      </c>
      <c r="D297" s="35" t="str">
        <f ca="1">IFERROR(__xludf.DUMMYFUNCTION("""COMPUTED_VALUE"""),"03005522000174")</f>
        <v>03005522000174</v>
      </c>
      <c r="E297" s="36" t="str">
        <f ca="1">IFERROR(__xludf.DUMMYFUNCTION("""COMPUTED_VALUE"""),"001")</f>
        <v>001</v>
      </c>
      <c r="F297" s="37" t="str">
        <f ca="1">IFERROR(__xludf.DUMMYFUNCTION("""COMPUTED_VALUE"""),"1505")</f>
        <v>1505</v>
      </c>
      <c r="G297" s="37" t="str">
        <f ca="1">IFERROR(__xludf.DUMMYFUNCTION("""COMPUTED_VALUE"""),"423475")</f>
        <v>423475</v>
      </c>
      <c r="H297" s="37">
        <f ca="1">IFERROR(__xludf.DUMMYFUNCTION("""COMPUTED_VALUE"""),0)</f>
        <v>0</v>
      </c>
      <c r="I297" s="37">
        <f ca="1">IFERROR(__xludf.DUMMYFUNCTION("""COMPUTED_VALUE"""),0)</f>
        <v>0</v>
      </c>
      <c r="J297" s="37">
        <f ca="1">IFERROR(__xludf.DUMMYFUNCTION("""COMPUTED_VALUE"""),2562)</f>
        <v>2562</v>
      </c>
      <c r="K297" s="37">
        <f ca="1">IFERROR(__xludf.DUMMYFUNCTION("""COMPUTED_VALUE"""),0)</f>
        <v>0</v>
      </c>
      <c r="L297" s="37">
        <f ca="1">IFERROR(__xludf.DUMMYFUNCTION("""COMPUTED_VALUE"""),0)</f>
        <v>0</v>
      </c>
      <c r="M297" s="37">
        <f ca="1">IFERROR(__xludf.DUMMYFUNCTION("""COMPUTED_VALUE"""),0)</f>
        <v>0</v>
      </c>
      <c r="N297" s="37">
        <f ca="1">IFERROR(__xludf.DUMMYFUNCTION("""COMPUTED_VALUE"""),0)</f>
        <v>0</v>
      </c>
      <c r="O297" s="37">
        <f ca="1">IFERROR(__xludf.DUMMYFUNCTION("""COMPUTED_VALUE"""),0)</f>
        <v>0</v>
      </c>
      <c r="P297" s="37">
        <f ca="1">IFERROR(__xludf.DUMMYFUNCTION("""COMPUTED_VALUE"""),0)</f>
        <v>0</v>
      </c>
      <c r="Q297" s="37">
        <f ca="1">IFERROR(__xludf.DUMMYFUNCTION("""COMPUTED_VALUE"""),0)</f>
        <v>0</v>
      </c>
      <c r="R297" s="37">
        <f ca="1">IFERROR(__xludf.DUMMYFUNCTION("""COMPUTED_VALUE"""),0)</f>
        <v>0</v>
      </c>
      <c r="S297" s="37">
        <f ca="1">IFERROR(__xludf.DUMMYFUNCTION("""COMPUTED_VALUE"""),0)</f>
        <v>0</v>
      </c>
      <c r="T297" s="37">
        <f ca="1">IFERROR(__xludf.DUMMYFUNCTION("""COMPUTED_VALUE"""),0)</f>
        <v>0</v>
      </c>
      <c r="U297" s="37">
        <f ca="1">IFERROR(__xludf.DUMMYFUNCTION("""COMPUTED_VALUE"""),0)</f>
        <v>0</v>
      </c>
      <c r="V297" s="37">
        <f ca="1">IFERROR(__xludf.DUMMYFUNCTION("""COMPUTED_VALUE"""),0)</f>
        <v>0</v>
      </c>
      <c r="W297" s="37">
        <f ca="1">IFERROR(__xludf.DUMMYFUNCTION("""COMPUTED_VALUE"""),0)</f>
        <v>0</v>
      </c>
      <c r="X297" s="37">
        <f ca="1">IFERROR(__xludf.DUMMYFUNCTION("""COMPUTED_VALUE"""),0)</f>
        <v>0</v>
      </c>
      <c r="Y297" s="37">
        <f ca="1">IFERROR(__xludf.DUMMYFUNCTION("""COMPUTED_VALUE"""),0)</f>
        <v>0</v>
      </c>
      <c r="Z297" s="37">
        <f ca="1">IFERROR(__xludf.DUMMYFUNCTION("""COMPUTED_VALUE"""),0)</f>
        <v>0</v>
      </c>
    </row>
    <row r="298" spans="1:26" ht="12.75">
      <c r="A298" s="38" t="str">
        <f ca="1">IFERROR(__xludf.DUMMYFUNCTION("""COMPUTED_VALUE"""),"Palmas")</f>
        <v>Palmas</v>
      </c>
      <c r="B298" s="38" t="str">
        <f ca="1">IFERROR(__xludf.DUMMYFUNCTION("""COMPUTED_VALUE"""),"Palmas")</f>
        <v>Palmas</v>
      </c>
      <c r="C298" s="39" t="str">
        <f ca="1">IFERROR(__xludf.DUMMYFUNCTION("""COMPUTED_VALUE"""),"A.A. DO INST.PRESB.EDUC.SOC.REV.ROBERT CA")</f>
        <v>A.A. DO INST.PRESB.EDUC.SOC.REV.ROBERT CA</v>
      </c>
      <c r="D298" s="40" t="str">
        <f ca="1">IFERROR(__xludf.DUMMYFUNCTION("""COMPUTED_VALUE"""),"05470057000178")</f>
        <v>05470057000178</v>
      </c>
      <c r="E298" s="41" t="str">
        <f ca="1">IFERROR(__xludf.DUMMYFUNCTION("""COMPUTED_VALUE"""),"001")</f>
        <v>001</v>
      </c>
      <c r="F298" s="42" t="str">
        <f ca="1">IFERROR(__xludf.DUMMYFUNCTION("""COMPUTED_VALUE"""),"1505")</f>
        <v>1505</v>
      </c>
      <c r="G298" s="42" t="str">
        <f ca="1">IFERROR(__xludf.DUMMYFUNCTION("""COMPUTED_VALUE"""),"45110X")</f>
        <v>45110X</v>
      </c>
      <c r="H298" s="42">
        <f ca="1">IFERROR(__xludf.DUMMYFUNCTION("""COMPUTED_VALUE"""),0)</f>
        <v>0</v>
      </c>
      <c r="I298" s="42">
        <f ca="1">IFERROR(__xludf.DUMMYFUNCTION("""COMPUTED_VALUE"""),0)</f>
        <v>0</v>
      </c>
      <c r="J298" s="42">
        <f ca="1">IFERROR(__xludf.DUMMYFUNCTION("""COMPUTED_VALUE"""),9849)</f>
        <v>9849</v>
      </c>
      <c r="K298" s="42">
        <f ca="1">IFERROR(__xludf.DUMMYFUNCTION("""COMPUTED_VALUE"""),0)</f>
        <v>0</v>
      </c>
      <c r="L298" s="42">
        <f ca="1">IFERROR(__xludf.DUMMYFUNCTION("""COMPUTED_VALUE"""),0)</f>
        <v>0</v>
      </c>
      <c r="M298" s="42">
        <f ca="1">IFERROR(__xludf.DUMMYFUNCTION("""COMPUTED_VALUE"""),0)</f>
        <v>0</v>
      </c>
      <c r="N298" s="42">
        <f ca="1">IFERROR(__xludf.DUMMYFUNCTION("""COMPUTED_VALUE"""),0)</f>
        <v>0</v>
      </c>
      <c r="O298" s="42">
        <f ca="1">IFERROR(__xludf.DUMMYFUNCTION("""COMPUTED_VALUE"""),0)</f>
        <v>0</v>
      </c>
      <c r="P298" s="42">
        <f ca="1">IFERROR(__xludf.DUMMYFUNCTION("""COMPUTED_VALUE"""),0)</f>
        <v>0</v>
      </c>
      <c r="Q298" s="42">
        <f ca="1">IFERROR(__xludf.DUMMYFUNCTION("""COMPUTED_VALUE"""),0)</f>
        <v>0</v>
      </c>
      <c r="R298" s="42">
        <f ca="1">IFERROR(__xludf.DUMMYFUNCTION("""COMPUTED_VALUE"""),0)</f>
        <v>0</v>
      </c>
      <c r="S298" s="42">
        <f ca="1">IFERROR(__xludf.DUMMYFUNCTION("""COMPUTED_VALUE"""),0)</f>
        <v>0</v>
      </c>
      <c r="T298" s="42">
        <f ca="1">IFERROR(__xludf.DUMMYFUNCTION("""COMPUTED_VALUE"""),0)</f>
        <v>0</v>
      </c>
      <c r="U298" s="42">
        <f ca="1">IFERROR(__xludf.DUMMYFUNCTION("""COMPUTED_VALUE"""),0)</f>
        <v>0</v>
      </c>
      <c r="V298" s="42">
        <f ca="1">IFERROR(__xludf.DUMMYFUNCTION("""COMPUTED_VALUE"""),0)</f>
        <v>0</v>
      </c>
      <c r="W298" s="42">
        <f ca="1">IFERROR(__xludf.DUMMYFUNCTION("""COMPUTED_VALUE"""),0)</f>
        <v>0</v>
      </c>
      <c r="X298" s="42">
        <f ca="1">IFERROR(__xludf.DUMMYFUNCTION("""COMPUTED_VALUE"""),0)</f>
        <v>0</v>
      </c>
      <c r="Y298" s="42">
        <f ca="1">IFERROR(__xludf.DUMMYFUNCTION("""COMPUTED_VALUE"""),0)</f>
        <v>0</v>
      </c>
      <c r="Z298" s="42">
        <f ca="1">IFERROR(__xludf.DUMMYFUNCTION("""COMPUTED_VALUE"""),0)</f>
        <v>0</v>
      </c>
    </row>
    <row r="299" spans="1:26" ht="12.75">
      <c r="A299" s="33" t="str">
        <f ca="1">IFERROR(__xludf.DUMMYFUNCTION("""COMPUTED_VALUE"""),"Palmas")</f>
        <v>Palmas</v>
      </c>
      <c r="B299" s="33" t="str">
        <f ca="1">IFERROR(__xludf.DUMMYFUNCTION("""COMPUTED_VALUE"""),"Rio Sono")</f>
        <v>Rio Sono</v>
      </c>
      <c r="C299" s="34" t="str">
        <f ca="1">IFERROR(__xludf.DUMMYFUNCTION("""COMPUTED_VALUE"""),"A. DE PAIS E MESTRES DO COL. EST.RIO SONO")</f>
        <v>A. DE PAIS E MESTRES DO COL. EST.RIO SONO</v>
      </c>
      <c r="D299" s="35" t="str">
        <f ca="1">IFERROR(__xludf.DUMMYFUNCTION("""COMPUTED_VALUE"""),"01184376000166")</f>
        <v>01184376000166</v>
      </c>
      <c r="E299" s="36" t="str">
        <f ca="1">IFERROR(__xludf.DUMMYFUNCTION("""COMPUTED_VALUE"""),"001")</f>
        <v>001</v>
      </c>
      <c r="F299" s="37" t="str">
        <f ca="1">IFERROR(__xludf.DUMMYFUNCTION("""COMPUTED_VALUE"""),"1505")</f>
        <v>1505</v>
      </c>
      <c r="G299" s="37" t="str">
        <f ca="1">IFERROR(__xludf.DUMMYFUNCTION("""COMPUTED_VALUE"""),"530042")</f>
        <v>530042</v>
      </c>
      <c r="H299" s="37">
        <f ca="1">IFERROR(__xludf.DUMMYFUNCTION("""COMPUTED_VALUE"""),0)</f>
        <v>0</v>
      </c>
      <c r="I299" s="37">
        <f ca="1">IFERROR(__xludf.DUMMYFUNCTION("""COMPUTED_VALUE"""),0)</f>
        <v>0</v>
      </c>
      <c r="J299" s="37">
        <f ca="1">IFERROR(__xludf.DUMMYFUNCTION("""COMPUTED_VALUE"""),3822)</f>
        <v>3822</v>
      </c>
      <c r="K299" s="37">
        <f ca="1">IFERROR(__xludf.DUMMYFUNCTION("""COMPUTED_VALUE"""),0)</f>
        <v>0</v>
      </c>
      <c r="L299" s="37">
        <f ca="1">IFERROR(__xludf.DUMMYFUNCTION("""COMPUTED_VALUE"""),0)</f>
        <v>0</v>
      </c>
      <c r="M299" s="37">
        <f ca="1">IFERROR(__xludf.DUMMYFUNCTION("""COMPUTED_VALUE"""),0)</f>
        <v>0</v>
      </c>
      <c r="N299" s="37">
        <f ca="1">IFERROR(__xludf.DUMMYFUNCTION("""COMPUTED_VALUE"""),0)</f>
        <v>0</v>
      </c>
      <c r="O299" s="37">
        <f ca="1">IFERROR(__xludf.DUMMYFUNCTION("""COMPUTED_VALUE"""),0)</f>
        <v>0</v>
      </c>
      <c r="P299" s="37">
        <f ca="1">IFERROR(__xludf.DUMMYFUNCTION("""COMPUTED_VALUE"""),1323)</f>
        <v>1323</v>
      </c>
      <c r="Q299" s="37">
        <f ca="1">IFERROR(__xludf.DUMMYFUNCTION("""COMPUTED_VALUE"""),3801)</f>
        <v>3801</v>
      </c>
      <c r="R299" s="37">
        <f ca="1">IFERROR(__xludf.DUMMYFUNCTION("""COMPUTED_VALUE"""),0)</f>
        <v>0</v>
      </c>
      <c r="S299" s="37">
        <f ca="1">IFERROR(__xludf.DUMMYFUNCTION("""COMPUTED_VALUE"""),0)</f>
        <v>0</v>
      </c>
      <c r="T299" s="37">
        <f ca="1">IFERROR(__xludf.DUMMYFUNCTION("""COMPUTED_VALUE"""),0)</f>
        <v>0</v>
      </c>
      <c r="U299" s="37">
        <f ca="1">IFERROR(__xludf.DUMMYFUNCTION("""COMPUTED_VALUE"""),0)</f>
        <v>0</v>
      </c>
      <c r="V299" s="37">
        <f ca="1">IFERROR(__xludf.DUMMYFUNCTION("""COMPUTED_VALUE"""),0)</f>
        <v>0</v>
      </c>
      <c r="W299" s="37">
        <f ca="1">IFERROR(__xludf.DUMMYFUNCTION("""COMPUTED_VALUE"""),0)</f>
        <v>0</v>
      </c>
      <c r="X299" s="37">
        <f ca="1">IFERROR(__xludf.DUMMYFUNCTION("""COMPUTED_VALUE"""),0)</f>
        <v>0</v>
      </c>
      <c r="Y299" s="37">
        <f ca="1">IFERROR(__xludf.DUMMYFUNCTION("""COMPUTED_VALUE"""),0)</f>
        <v>0</v>
      </c>
      <c r="Z299" s="37">
        <f ca="1">IFERROR(__xludf.DUMMYFUNCTION("""COMPUTED_VALUE"""),0)</f>
        <v>0</v>
      </c>
    </row>
    <row r="300" spans="1:26" ht="12.75">
      <c r="A300" s="38" t="str">
        <f ca="1">IFERROR(__xludf.DUMMYFUNCTION("""COMPUTED_VALUE"""),"Palmas")</f>
        <v>Palmas</v>
      </c>
      <c r="B300" s="38" t="str">
        <f ca="1">IFERROR(__xludf.DUMMYFUNCTION("""COMPUTED_VALUE"""),"Rio Sono")</f>
        <v>Rio Sono</v>
      </c>
      <c r="C300" s="39" t="str">
        <f ca="1">IFERROR(__xludf.DUMMYFUNCTION("""COMPUTED_VALUE"""),"A.A.  ESCOLA EST. IMACULADA CONCEICAO")</f>
        <v>A.A.  ESCOLA EST. IMACULADA CONCEICAO</v>
      </c>
      <c r="D300" s="40" t="str">
        <f ca="1">IFERROR(__xludf.DUMMYFUNCTION("""COMPUTED_VALUE"""),"01197175000101")</f>
        <v>01197175000101</v>
      </c>
      <c r="E300" s="41" t="str">
        <f ca="1">IFERROR(__xludf.DUMMYFUNCTION("""COMPUTED_VALUE"""),"001")</f>
        <v>001</v>
      </c>
      <c r="F300" s="42" t="str">
        <f ca="1">IFERROR(__xludf.DUMMYFUNCTION("""COMPUTED_VALUE"""),"0862")</f>
        <v>0862</v>
      </c>
      <c r="G300" s="42" t="str">
        <f ca="1">IFERROR(__xludf.DUMMYFUNCTION("""COMPUTED_VALUE"""),"161497")</f>
        <v>161497</v>
      </c>
      <c r="H300" s="42">
        <f ca="1">IFERROR(__xludf.DUMMYFUNCTION("""COMPUTED_VALUE"""),0)</f>
        <v>0</v>
      </c>
      <c r="I300" s="42">
        <f ca="1">IFERROR(__xludf.DUMMYFUNCTION("""COMPUTED_VALUE"""),0)</f>
        <v>0</v>
      </c>
      <c r="J300" s="42">
        <f ca="1">IFERROR(__xludf.DUMMYFUNCTION("""COMPUTED_VALUE"""),1239)</f>
        <v>1239</v>
      </c>
      <c r="K300" s="42">
        <f ca="1">IFERROR(__xludf.DUMMYFUNCTION("""COMPUTED_VALUE"""),0)</f>
        <v>0</v>
      </c>
      <c r="L300" s="42">
        <f ca="1">IFERROR(__xludf.DUMMYFUNCTION("""COMPUTED_VALUE"""),0)</f>
        <v>0</v>
      </c>
      <c r="M300" s="42">
        <f ca="1">IFERROR(__xludf.DUMMYFUNCTION("""COMPUTED_VALUE"""),0)</f>
        <v>0</v>
      </c>
      <c r="N300" s="42">
        <f ca="1">IFERROR(__xludf.DUMMYFUNCTION("""COMPUTED_VALUE"""),0)</f>
        <v>0</v>
      </c>
      <c r="O300" s="42">
        <f ca="1">IFERROR(__xludf.DUMMYFUNCTION("""COMPUTED_VALUE"""),0)</f>
        <v>0</v>
      </c>
      <c r="P300" s="42">
        <f ca="1">IFERROR(__xludf.DUMMYFUNCTION("""COMPUTED_VALUE"""),0)</f>
        <v>0</v>
      </c>
      <c r="Q300" s="42">
        <f ca="1">IFERROR(__xludf.DUMMYFUNCTION("""COMPUTED_VALUE"""),1029)</f>
        <v>1029</v>
      </c>
      <c r="R300" s="42">
        <f ca="1">IFERROR(__xludf.DUMMYFUNCTION("""COMPUTED_VALUE"""),0)</f>
        <v>0</v>
      </c>
      <c r="S300" s="42">
        <f ca="1">IFERROR(__xludf.DUMMYFUNCTION("""COMPUTED_VALUE"""),0)</f>
        <v>0</v>
      </c>
      <c r="T300" s="42">
        <f ca="1">IFERROR(__xludf.DUMMYFUNCTION("""COMPUTED_VALUE"""),0)</f>
        <v>0</v>
      </c>
      <c r="U300" s="42">
        <f ca="1">IFERROR(__xludf.DUMMYFUNCTION("""COMPUTED_VALUE"""),0)</f>
        <v>0</v>
      </c>
      <c r="V300" s="42">
        <f ca="1">IFERROR(__xludf.DUMMYFUNCTION("""COMPUTED_VALUE"""),0)</f>
        <v>0</v>
      </c>
      <c r="W300" s="42">
        <f ca="1">IFERROR(__xludf.DUMMYFUNCTION("""COMPUTED_VALUE"""),0)</f>
        <v>0</v>
      </c>
      <c r="X300" s="42">
        <f ca="1">IFERROR(__xludf.DUMMYFUNCTION("""COMPUTED_VALUE"""),0)</f>
        <v>0</v>
      </c>
      <c r="Y300" s="42">
        <f ca="1">IFERROR(__xludf.DUMMYFUNCTION("""COMPUTED_VALUE"""),0)</f>
        <v>0</v>
      </c>
      <c r="Z300" s="42">
        <f ca="1">IFERROR(__xludf.DUMMYFUNCTION("""COMPUTED_VALUE"""),0)</f>
        <v>0</v>
      </c>
    </row>
    <row r="301" spans="1:26" ht="12.75">
      <c r="A301" s="33" t="str">
        <f ca="1">IFERROR(__xludf.DUMMYFUNCTION("""COMPUTED_VALUE"""),"Palmas")</f>
        <v>Palmas</v>
      </c>
      <c r="B301" s="33" t="str">
        <f ca="1">IFERROR(__xludf.DUMMYFUNCTION("""COMPUTED_VALUE"""),"Santa Tereza do Tocantins")</f>
        <v>Santa Tereza do Tocantins</v>
      </c>
      <c r="C301" s="34" t="str">
        <f ca="1">IFERROR(__xludf.DUMMYFUNCTION("""COMPUTED_VALUE"""),"A.A. C.EST. MANOEL S.DOURADO")</f>
        <v>A.A. C.EST. MANOEL S.DOURADO</v>
      </c>
      <c r="D301" s="35" t="str">
        <f ca="1">IFERROR(__xludf.DUMMYFUNCTION("""COMPUTED_VALUE"""),"01136013000155")</f>
        <v>01136013000155</v>
      </c>
      <c r="E301" s="36" t="str">
        <f ca="1">IFERROR(__xludf.DUMMYFUNCTION("""COMPUTED_VALUE"""),"001")</f>
        <v>001</v>
      </c>
      <c r="F301" s="37" t="str">
        <f ca="1">IFERROR(__xludf.DUMMYFUNCTION("""COMPUTED_VALUE"""),"1117")</f>
        <v>1117</v>
      </c>
      <c r="G301" s="37" t="str">
        <f ca="1">IFERROR(__xludf.DUMMYFUNCTION("""COMPUTED_VALUE"""),"313033")</f>
        <v>313033</v>
      </c>
      <c r="H301" s="37">
        <f ca="1">IFERROR(__xludf.DUMMYFUNCTION("""COMPUTED_VALUE"""),0)</f>
        <v>0</v>
      </c>
      <c r="I301" s="37">
        <f ca="1">IFERROR(__xludf.DUMMYFUNCTION("""COMPUTED_VALUE"""),0)</f>
        <v>0</v>
      </c>
      <c r="J301" s="37">
        <f ca="1">IFERROR(__xludf.DUMMYFUNCTION("""COMPUTED_VALUE"""),2100)</f>
        <v>2100</v>
      </c>
      <c r="K301" s="37">
        <f ca="1">IFERROR(__xludf.DUMMYFUNCTION("""COMPUTED_VALUE"""),0)</f>
        <v>0</v>
      </c>
      <c r="L301" s="37">
        <f ca="1">IFERROR(__xludf.DUMMYFUNCTION("""COMPUTED_VALUE"""),0)</f>
        <v>0</v>
      </c>
      <c r="M301" s="37">
        <f ca="1">IFERROR(__xludf.DUMMYFUNCTION("""COMPUTED_VALUE"""),0)</f>
        <v>0</v>
      </c>
      <c r="N301" s="37">
        <f ca="1">IFERROR(__xludf.DUMMYFUNCTION("""COMPUTED_VALUE"""),0)</f>
        <v>0</v>
      </c>
      <c r="O301" s="37">
        <f ca="1">IFERROR(__xludf.DUMMYFUNCTION("""COMPUTED_VALUE"""),0)</f>
        <v>0</v>
      </c>
      <c r="P301" s="37">
        <f ca="1">IFERROR(__xludf.DUMMYFUNCTION("""COMPUTED_VALUE"""),252)</f>
        <v>252</v>
      </c>
      <c r="Q301" s="37">
        <f ca="1">IFERROR(__xludf.DUMMYFUNCTION("""COMPUTED_VALUE"""),2730)</f>
        <v>2730</v>
      </c>
      <c r="R301" s="37">
        <f ca="1">IFERROR(__xludf.DUMMYFUNCTION("""COMPUTED_VALUE"""),0)</f>
        <v>0</v>
      </c>
      <c r="S301" s="37">
        <f ca="1">IFERROR(__xludf.DUMMYFUNCTION("""COMPUTED_VALUE"""),0)</f>
        <v>0</v>
      </c>
      <c r="T301" s="37">
        <f ca="1">IFERROR(__xludf.DUMMYFUNCTION("""COMPUTED_VALUE"""),0)</f>
        <v>0</v>
      </c>
      <c r="U301" s="37">
        <f ca="1">IFERROR(__xludf.DUMMYFUNCTION("""COMPUTED_VALUE"""),0)</f>
        <v>0</v>
      </c>
      <c r="V301" s="37">
        <f ca="1">IFERROR(__xludf.DUMMYFUNCTION("""COMPUTED_VALUE"""),0)</f>
        <v>0</v>
      </c>
      <c r="W301" s="37">
        <f ca="1">IFERROR(__xludf.DUMMYFUNCTION("""COMPUTED_VALUE"""),0)</f>
        <v>0</v>
      </c>
      <c r="X301" s="37">
        <f ca="1">IFERROR(__xludf.DUMMYFUNCTION("""COMPUTED_VALUE"""),0)</f>
        <v>0</v>
      </c>
      <c r="Y301" s="37">
        <f ca="1">IFERROR(__xludf.DUMMYFUNCTION("""COMPUTED_VALUE"""),0)</f>
        <v>0</v>
      </c>
      <c r="Z301" s="37">
        <f ca="1">IFERROR(__xludf.DUMMYFUNCTION("""COMPUTED_VALUE"""),0)</f>
        <v>0</v>
      </c>
    </row>
    <row r="302" spans="1:26" ht="12.75">
      <c r="A302" s="38" t="str">
        <f ca="1">IFERROR(__xludf.DUMMYFUNCTION("""COMPUTED_VALUE"""),"Palmas")</f>
        <v>Palmas</v>
      </c>
      <c r="B302" s="38" t="str">
        <f ca="1">IFERROR(__xludf.DUMMYFUNCTION("""COMPUTED_VALUE"""),"Sao Felix do Tocantins")</f>
        <v>Sao Felix do Tocantins</v>
      </c>
      <c r="C302" s="39" t="str">
        <f ca="1">IFERROR(__xludf.DUMMYFUNCTION("""COMPUTED_VALUE"""),"A. DE AP.ESC. EST. SAGRADO CORACAO DE JESUS")</f>
        <v>A. DE AP.ESC. EST. SAGRADO CORACAO DE JESUS</v>
      </c>
      <c r="D302" s="40" t="str">
        <f ca="1">IFERROR(__xludf.DUMMYFUNCTION("""COMPUTED_VALUE"""),"01656550000126")</f>
        <v>01656550000126</v>
      </c>
      <c r="E302" s="41" t="str">
        <f ca="1">IFERROR(__xludf.DUMMYFUNCTION("""COMPUTED_VALUE"""),"001")</f>
        <v>001</v>
      </c>
      <c r="F302" s="42" t="str">
        <f ca="1">IFERROR(__xludf.DUMMYFUNCTION("""COMPUTED_VALUE"""),"3962")</f>
        <v>3962</v>
      </c>
      <c r="G302" s="42" t="str">
        <f ca="1">IFERROR(__xludf.DUMMYFUNCTION("""COMPUTED_VALUE"""),"147605")</f>
        <v>147605</v>
      </c>
      <c r="H302" s="42">
        <f ca="1">IFERROR(__xludf.DUMMYFUNCTION("""COMPUTED_VALUE"""),0)</f>
        <v>0</v>
      </c>
      <c r="I302" s="42">
        <f ca="1">IFERROR(__xludf.DUMMYFUNCTION("""COMPUTED_VALUE"""),0)</f>
        <v>0</v>
      </c>
      <c r="J302" s="42">
        <f ca="1">IFERROR(__xludf.DUMMYFUNCTION("""COMPUTED_VALUE"""),4431)</f>
        <v>4431</v>
      </c>
      <c r="K302" s="42">
        <f ca="1">IFERROR(__xludf.DUMMYFUNCTION("""COMPUTED_VALUE"""),0)</f>
        <v>0</v>
      </c>
      <c r="L302" s="42">
        <f ca="1">IFERROR(__xludf.DUMMYFUNCTION("""COMPUTED_VALUE"""),0)</f>
        <v>0</v>
      </c>
      <c r="M302" s="42">
        <f ca="1">IFERROR(__xludf.DUMMYFUNCTION("""COMPUTED_VALUE"""),0)</f>
        <v>0</v>
      </c>
      <c r="N302" s="42">
        <f ca="1">IFERROR(__xludf.DUMMYFUNCTION("""COMPUTED_VALUE"""),0)</f>
        <v>0</v>
      </c>
      <c r="O302" s="42">
        <f ca="1">IFERROR(__xludf.DUMMYFUNCTION("""COMPUTED_VALUE"""),0)</f>
        <v>0</v>
      </c>
      <c r="P302" s="42">
        <f ca="1">IFERROR(__xludf.DUMMYFUNCTION("""COMPUTED_VALUE"""),0)</f>
        <v>0</v>
      </c>
      <c r="Q302" s="42">
        <f ca="1">IFERROR(__xludf.DUMMYFUNCTION("""COMPUTED_VALUE"""),2289)</f>
        <v>2289</v>
      </c>
      <c r="R302" s="42">
        <f ca="1">IFERROR(__xludf.DUMMYFUNCTION("""COMPUTED_VALUE"""),0)</f>
        <v>0</v>
      </c>
      <c r="S302" s="42">
        <f ca="1">IFERROR(__xludf.DUMMYFUNCTION("""COMPUTED_VALUE"""),0)</f>
        <v>0</v>
      </c>
      <c r="T302" s="42">
        <f ca="1">IFERROR(__xludf.DUMMYFUNCTION("""COMPUTED_VALUE"""),0)</f>
        <v>0</v>
      </c>
      <c r="U302" s="42">
        <f ca="1">IFERROR(__xludf.DUMMYFUNCTION("""COMPUTED_VALUE"""),0)</f>
        <v>0</v>
      </c>
      <c r="V302" s="42">
        <f ca="1">IFERROR(__xludf.DUMMYFUNCTION("""COMPUTED_VALUE"""),0)</f>
        <v>0</v>
      </c>
      <c r="W302" s="42">
        <f ca="1">IFERROR(__xludf.DUMMYFUNCTION("""COMPUTED_VALUE"""),0)</f>
        <v>0</v>
      </c>
      <c r="X302" s="42">
        <f ca="1">IFERROR(__xludf.DUMMYFUNCTION("""COMPUTED_VALUE"""),0)</f>
        <v>0</v>
      </c>
      <c r="Y302" s="42">
        <f ca="1">IFERROR(__xludf.DUMMYFUNCTION("""COMPUTED_VALUE"""),0)</f>
        <v>0</v>
      </c>
      <c r="Z302" s="42">
        <f ca="1">IFERROR(__xludf.DUMMYFUNCTION("""COMPUTED_VALUE"""),0)</f>
        <v>0</v>
      </c>
    </row>
    <row r="303" spans="1:26" ht="12.75">
      <c r="A303" s="33" t="str">
        <f ca="1">IFERROR(__xludf.DUMMYFUNCTION("""COMPUTED_VALUE"""),"Paraíso")</f>
        <v>Paraíso</v>
      </c>
      <c r="B303" s="33" t="str">
        <f ca="1">IFERROR(__xludf.DUMMYFUNCTION("""COMPUTED_VALUE"""),"Abreulandia")</f>
        <v>Abreulandia</v>
      </c>
      <c r="C303" s="34" t="str">
        <f ca="1">IFERROR(__xludf.DUMMYFUNCTION("""COMPUTED_VALUE"""),"ASS. DE APOIO DA ESCOLA EST. SAO PEDRO")</f>
        <v>ASS. DE APOIO DA ESCOLA EST. SAO PEDRO</v>
      </c>
      <c r="D303" s="35" t="str">
        <f ca="1">IFERROR(__xludf.DUMMYFUNCTION("""COMPUTED_VALUE"""),"01071408000117")</f>
        <v>01071408000117</v>
      </c>
      <c r="E303" s="36" t="str">
        <f ca="1">IFERROR(__xludf.DUMMYFUNCTION("""COMPUTED_VALUE"""),"001")</f>
        <v>001</v>
      </c>
      <c r="F303" s="37" t="str">
        <f ca="1">IFERROR(__xludf.DUMMYFUNCTION("""COMPUTED_VALUE"""),"0804")</f>
        <v>0804</v>
      </c>
      <c r="G303" s="37" t="str">
        <f ca="1">IFERROR(__xludf.DUMMYFUNCTION("""COMPUTED_VALUE"""),"286893")</f>
        <v>286893</v>
      </c>
      <c r="H303" s="37">
        <f ca="1">IFERROR(__xludf.DUMMYFUNCTION("""COMPUTED_VALUE"""),0)</f>
        <v>0</v>
      </c>
      <c r="I303" s="37">
        <f ca="1">IFERROR(__xludf.DUMMYFUNCTION("""COMPUTED_VALUE"""),0)</f>
        <v>0</v>
      </c>
      <c r="J303" s="37">
        <f ca="1">IFERROR(__xludf.DUMMYFUNCTION("""COMPUTED_VALUE"""),2247)</f>
        <v>2247</v>
      </c>
      <c r="K303" s="37">
        <f ca="1">IFERROR(__xludf.DUMMYFUNCTION("""COMPUTED_VALUE"""),0)</f>
        <v>0</v>
      </c>
      <c r="L303" s="37">
        <f ca="1">IFERROR(__xludf.DUMMYFUNCTION("""COMPUTED_VALUE"""),0)</f>
        <v>0</v>
      </c>
      <c r="M303" s="37">
        <f ca="1">IFERROR(__xludf.DUMMYFUNCTION("""COMPUTED_VALUE"""),0)</f>
        <v>0</v>
      </c>
      <c r="N303" s="37">
        <f ca="1">IFERROR(__xludf.DUMMYFUNCTION("""COMPUTED_VALUE"""),0)</f>
        <v>0</v>
      </c>
      <c r="O303" s="37">
        <f ca="1">IFERROR(__xludf.DUMMYFUNCTION("""COMPUTED_VALUE"""),0)</f>
        <v>0</v>
      </c>
      <c r="P303" s="37">
        <f ca="1">IFERROR(__xludf.DUMMYFUNCTION("""COMPUTED_VALUE"""),0)</f>
        <v>0</v>
      </c>
      <c r="Q303" s="37">
        <f ca="1">IFERROR(__xludf.DUMMYFUNCTION("""COMPUTED_VALUE"""),2625)</f>
        <v>2625</v>
      </c>
      <c r="R303" s="37">
        <f ca="1">IFERROR(__xludf.DUMMYFUNCTION("""COMPUTED_VALUE"""),0)</f>
        <v>0</v>
      </c>
      <c r="S303" s="37">
        <f ca="1">IFERROR(__xludf.DUMMYFUNCTION("""COMPUTED_VALUE"""),0)</f>
        <v>0</v>
      </c>
      <c r="T303" s="37">
        <f ca="1">IFERROR(__xludf.DUMMYFUNCTION("""COMPUTED_VALUE"""),609)</f>
        <v>609</v>
      </c>
      <c r="U303" s="37">
        <f ca="1">IFERROR(__xludf.DUMMYFUNCTION("""COMPUTED_VALUE"""),0)</f>
        <v>0</v>
      </c>
      <c r="V303" s="37">
        <f ca="1">IFERROR(__xludf.DUMMYFUNCTION("""COMPUTED_VALUE"""),0)</f>
        <v>0</v>
      </c>
      <c r="W303" s="37">
        <f ca="1">IFERROR(__xludf.DUMMYFUNCTION("""COMPUTED_VALUE"""),0)</f>
        <v>0</v>
      </c>
      <c r="X303" s="37">
        <f ca="1">IFERROR(__xludf.DUMMYFUNCTION("""COMPUTED_VALUE"""),0)</f>
        <v>0</v>
      </c>
      <c r="Y303" s="37">
        <f ca="1">IFERROR(__xludf.DUMMYFUNCTION("""COMPUTED_VALUE"""),0)</f>
        <v>0</v>
      </c>
      <c r="Z303" s="37">
        <f ca="1">IFERROR(__xludf.DUMMYFUNCTION("""COMPUTED_VALUE"""),0)</f>
        <v>0</v>
      </c>
    </row>
    <row r="304" spans="1:26" ht="12.75">
      <c r="A304" s="38" t="str">
        <f ca="1">IFERROR(__xludf.DUMMYFUNCTION("""COMPUTED_VALUE"""),"Paraíso")</f>
        <v>Paraíso</v>
      </c>
      <c r="B304" s="38" t="str">
        <f ca="1">IFERROR(__xludf.DUMMYFUNCTION("""COMPUTED_VALUE"""),"Araguacema")</f>
        <v>Araguacema</v>
      </c>
      <c r="C304" s="39" t="str">
        <f ca="1">IFERROR(__xludf.DUMMYFUNCTION("""COMPUTED_VALUE"""),"ASSOC. DE APOIO AO COL. EST. DE ARAGUACEMA")</f>
        <v>ASSOC. DE APOIO AO COL. EST. DE ARAGUACEMA</v>
      </c>
      <c r="D304" s="40" t="str">
        <f ca="1">IFERROR(__xludf.DUMMYFUNCTION("""COMPUTED_VALUE"""),"01187107000153")</f>
        <v>01187107000153</v>
      </c>
      <c r="E304" s="41" t="str">
        <f ca="1">IFERROR(__xludf.DUMMYFUNCTION("""COMPUTED_VALUE"""),"001")</f>
        <v>001</v>
      </c>
      <c r="F304" s="42" t="str">
        <f ca="1">IFERROR(__xludf.DUMMYFUNCTION("""COMPUTED_VALUE"""),"0804")</f>
        <v>0804</v>
      </c>
      <c r="G304" s="42" t="str">
        <f ca="1">IFERROR(__xludf.DUMMYFUNCTION("""COMPUTED_VALUE"""),"286532")</f>
        <v>286532</v>
      </c>
      <c r="H304" s="42">
        <f ca="1">IFERROR(__xludf.DUMMYFUNCTION("""COMPUTED_VALUE"""),0)</f>
        <v>0</v>
      </c>
      <c r="I304" s="42">
        <f ca="1">IFERROR(__xludf.DUMMYFUNCTION("""COMPUTED_VALUE"""),0)</f>
        <v>0</v>
      </c>
      <c r="J304" s="42">
        <f ca="1">IFERROR(__xludf.DUMMYFUNCTION("""COMPUTED_VALUE"""),1995)</f>
        <v>1995</v>
      </c>
      <c r="K304" s="42">
        <f ca="1">IFERROR(__xludf.DUMMYFUNCTION("""COMPUTED_VALUE"""),0)</f>
        <v>0</v>
      </c>
      <c r="L304" s="42">
        <f ca="1">IFERROR(__xludf.DUMMYFUNCTION("""COMPUTED_VALUE"""),0)</f>
        <v>0</v>
      </c>
      <c r="M304" s="42">
        <f ca="1">IFERROR(__xludf.DUMMYFUNCTION("""COMPUTED_VALUE"""),0)</f>
        <v>0</v>
      </c>
      <c r="N304" s="42">
        <f ca="1">IFERROR(__xludf.DUMMYFUNCTION("""COMPUTED_VALUE"""),0)</f>
        <v>0</v>
      </c>
      <c r="O304" s="42">
        <f ca="1">IFERROR(__xludf.DUMMYFUNCTION("""COMPUTED_VALUE"""),0)</f>
        <v>0</v>
      </c>
      <c r="P304" s="42">
        <f ca="1">IFERROR(__xludf.DUMMYFUNCTION("""COMPUTED_VALUE"""),0)</f>
        <v>0</v>
      </c>
      <c r="Q304" s="42">
        <f ca="1">IFERROR(__xludf.DUMMYFUNCTION("""COMPUTED_VALUE"""),6426)</f>
        <v>6426</v>
      </c>
      <c r="R304" s="42">
        <f ca="1">IFERROR(__xludf.DUMMYFUNCTION("""COMPUTED_VALUE"""),0)</f>
        <v>0</v>
      </c>
      <c r="S304" s="42">
        <f ca="1">IFERROR(__xludf.DUMMYFUNCTION("""COMPUTED_VALUE"""),0)</f>
        <v>0</v>
      </c>
      <c r="T304" s="42">
        <f ca="1">IFERROR(__xludf.DUMMYFUNCTION("""COMPUTED_VALUE"""),0)</f>
        <v>0</v>
      </c>
      <c r="U304" s="42">
        <f ca="1">IFERROR(__xludf.DUMMYFUNCTION("""COMPUTED_VALUE"""),0)</f>
        <v>0</v>
      </c>
      <c r="V304" s="42">
        <f ca="1">IFERROR(__xludf.DUMMYFUNCTION("""COMPUTED_VALUE"""),0)</f>
        <v>0</v>
      </c>
      <c r="W304" s="42">
        <f ca="1">IFERROR(__xludf.DUMMYFUNCTION("""COMPUTED_VALUE"""),0)</f>
        <v>0</v>
      </c>
      <c r="X304" s="42">
        <f ca="1">IFERROR(__xludf.DUMMYFUNCTION("""COMPUTED_VALUE"""),0)</f>
        <v>0</v>
      </c>
      <c r="Y304" s="42">
        <f ca="1">IFERROR(__xludf.DUMMYFUNCTION("""COMPUTED_VALUE"""),0)</f>
        <v>0</v>
      </c>
      <c r="Z304" s="42">
        <f ca="1">IFERROR(__xludf.DUMMYFUNCTION("""COMPUTED_VALUE"""),0)</f>
        <v>0</v>
      </c>
    </row>
    <row r="305" spans="1:26" ht="12.75">
      <c r="A305" s="33" t="str">
        <f ca="1">IFERROR(__xludf.DUMMYFUNCTION("""COMPUTED_VALUE"""),"Paraíso")</f>
        <v>Paraíso</v>
      </c>
      <c r="B305" s="33" t="str">
        <f ca="1">IFERROR(__xludf.DUMMYFUNCTION("""COMPUTED_VALUE"""),"Araguacema")</f>
        <v>Araguacema</v>
      </c>
      <c r="C305" s="34" t="str">
        <f ca="1">IFERROR(__xludf.DUMMYFUNCTION("""COMPUTED_VALUE"""),"ASSOC. DE APOIO COLEGIO MENNO SIMONS")</f>
        <v>ASSOC. DE APOIO COLEGIO MENNO SIMONS</v>
      </c>
      <c r="D305" s="35" t="str">
        <f ca="1">IFERROR(__xludf.DUMMYFUNCTION("""COMPUTED_VALUE"""),"01138321000110")</f>
        <v>01138321000110</v>
      </c>
      <c r="E305" s="36" t="str">
        <f ca="1">IFERROR(__xludf.DUMMYFUNCTION("""COMPUTED_VALUE"""),"001")</f>
        <v>001</v>
      </c>
      <c r="F305" s="37" t="str">
        <f ca="1">IFERROR(__xludf.DUMMYFUNCTION("""COMPUTED_VALUE"""),"0804")</f>
        <v>0804</v>
      </c>
      <c r="G305" s="37" t="str">
        <f ca="1">IFERROR(__xludf.DUMMYFUNCTION("""COMPUTED_VALUE"""),"300764")</f>
        <v>300764</v>
      </c>
      <c r="H305" s="37">
        <f ca="1">IFERROR(__xludf.DUMMYFUNCTION("""COMPUTED_VALUE"""),0)</f>
        <v>0</v>
      </c>
      <c r="I305" s="37">
        <f ca="1">IFERROR(__xludf.DUMMYFUNCTION("""COMPUTED_VALUE"""),0)</f>
        <v>0</v>
      </c>
      <c r="J305" s="37">
        <f ca="1">IFERROR(__xludf.DUMMYFUNCTION("""COMPUTED_VALUE"""),3885)</f>
        <v>3885</v>
      </c>
      <c r="K305" s="37">
        <f ca="1">IFERROR(__xludf.DUMMYFUNCTION("""COMPUTED_VALUE"""),0)</f>
        <v>0</v>
      </c>
      <c r="L305" s="37">
        <f ca="1">IFERROR(__xludf.DUMMYFUNCTION("""COMPUTED_VALUE"""),0)</f>
        <v>0</v>
      </c>
      <c r="M305" s="37">
        <f ca="1">IFERROR(__xludf.DUMMYFUNCTION("""COMPUTED_VALUE"""),0)</f>
        <v>0</v>
      </c>
      <c r="N305" s="37">
        <f ca="1">IFERROR(__xludf.DUMMYFUNCTION("""COMPUTED_VALUE"""),0)</f>
        <v>0</v>
      </c>
      <c r="O305" s="37">
        <f ca="1">IFERROR(__xludf.DUMMYFUNCTION("""COMPUTED_VALUE"""),0)</f>
        <v>0</v>
      </c>
      <c r="P305" s="37">
        <f ca="1">IFERROR(__xludf.DUMMYFUNCTION("""COMPUTED_VALUE"""),0)</f>
        <v>0</v>
      </c>
      <c r="Q305" s="37">
        <f ca="1">IFERROR(__xludf.DUMMYFUNCTION("""COMPUTED_VALUE"""),0)</f>
        <v>0</v>
      </c>
      <c r="R305" s="37">
        <f ca="1">IFERROR(__xludf.DUMMYFUNCTION("""COMPUTED_VALUE"""),0)</f>
        <v>0</v>
      </c>
      <c r="S305" s="37">
        <f ca="1">IFERROR(__xludf.DUMMYFUNCTION("""COMPUTED_VALUE"""),0)</f>
        <v>0</v>
      </c>
      <c r="T305" s="37">
        <f ca="1">IFERROR(__xludf.DUMMYFUNCTION("""COMPUTED_VALUE"""),0)</f>
        <v>0</v>
      </c>
      <c r="U305" s="37">
        <f ca="1">IFERROR(__xludf.DUMMYFUNCTION("""COMPUTED_VALUE"""),0)</f>
        <v>0</v>
      </c>
      <c r="V305" s="37">
        <f ca="1">IFERROR(__xludf.DUMMYFUNCTION("""COMPUTED_VALUE"""),0)</f>
        <v>0</v>
      </c>
      <c r="W305" s="37">
        <f ca="1">IFERROR(__xludf.DUMMYFUNCTION("""COMPUTED_VALUE"""),0)</f>
        <v>0</v>
      </c>
      <c r="X305" s="37">
        <f ca="1">IFERROR(__xludf.DUMMYFUNCTION("""COMPUTED_VALUE"""),0)</f>
        <v>0</v>
      </c>
      <c r="Y305" s="37">
        <f ca="1">IFERROR(__xludf.DUMMYFUNCTION("""COMPUTED_VALUE"""),0)</f>
        <v>0</v>
      </c>
      <c r="Z305" s="37">
        <f ca="1">IFERROR(__xludf.DUMMYFUNCTION("""COMPUTED_VALUE"""),0)</f>
        <v>0</v>
      </c>
    </row>
    <row r="306" spans="1:26" ht="12.75">
      <c r="A306" s="38" t="str">
        <f ca="1">IFERROR(__xludf.DUMMYFUNCTION("""COMPUTED_VALUE"""),"Paraíso")</f>
        <v>Paraíso</v>
      </c>
      <c r="B306" s="38" t="str">
        <f ca="1">IFERROR(__xludf.DUMMYFUNCTION("""COMPUTED_VALUE"""),"Barrolandia")</f>
        <v>Barrolandia</v>
      </c>
      <c r="C306" s="39" t="str">
        <f ca="1">IFERROR(__xludf.DUMMYFUNCTION("""COMPUTED_VALUE"""),"ASSOC. DE A. DO COL. EST. PRES. TANCREDO NEVES")</f>
        <v>ASSOC. DE A. DO COL. EST. PRES. TANCREDO NEVES</v>
      </c>
      <c r="D306" s="40" t="str">
        <f ca="1">IFERROR(__xludf.DUMMYFUNCTION("""COMPUTED_VALUE"""),"01086975000147")</f>
        <v>01086975000147</v>
      </c>
      <c r="E306" s="41" t="str">
        <f ca="1">IFERROR(__xludf.DUMMYFUNCTION("""COMPUTED_VALUE"""),"001")</f>
        <v>001</v>
      </c>
      <c r="F306" s="42" t="str">
        <f ca="1">IFERROR(__xludf.DUMMYFUNCTION("""COMPUTED_VALUE"""),"0862")</f>
        <v>0862</v>
      </c>
      <c r="G306" s="42" t="str">
        <f ca="1">IFERROR(__xludf.DUMMYFUNCTION("""COMPUTED_VALUE"""),"244155")</f>
        <v>244155</v>
      </c>
      <c r="H306" s="42">
        <f ca="1">IFERROR(__xludf.DUMMYFUNCTION("""COMPUTED_VALUE"""),0)</f>
        <v>0</v>
      </c>
      <c r="I306" s="42">
        <f ca="1">IFERROR(__xludf.DUMMYFUNCTION("""COMPUTED_VALUE"""),0)</f>
        <v>0</v>
      </c>
      <c r="J306" s="42">
        <f ca="1">IFERROR(__xludf.DUMMYFUNCTION("""COMPUTED_VALUE"""),0)</f>
        <v>0</v>
      </c>
      <c r="K306" s="42">
        <f ca="1">IFERROR(__xludf.DUMMYFUNCTION("""COMPUTED_VALUE"""),0)</f>
        <v>0</v>
      </c>
      <c r="L306" s="42">
        <f ca="1">IFERROR(__xludf.DUMMYFUNCTION("""COMPUTED_VALUE"""),0)</f>
        <v>0</v>
      </c>
      <c r="M306" s="42">
        <f ca="1">IFERROR(__xludf.DUMMYFUNCTION("""COMPUTED_VALUE"""),0)</f>
        <v>0</v>
      </c>
      <c r="N306" s="42">
        <f ca="1">IFERROR(__xludf.DUMMYFUNCTION("""COMPUTED_VALUE"""),0)</f>
        <v>0</v>
      </c>
      <c r="O306" s="42">
        <f ca="1">IFERROR(__xludf.DUMMYFUNCTION("""COMPUTED_VALUE"""),0)</f>
        <v>0</v>
      </c>
      <c r="P306" s="42">
        <f ca="1">IFERROR(__xludf.DUMMYFUNCTION("""COMPUTED_VALUE"""),0)</f>
        <v>0</v>
      </c>
      <c r="Q306" s="42">
        <f ca="1">IFERROR(__xludf.DUMMYFUNCTION("""COMPUTED_VALUE"""),0)</f>
        <v>0</v>
      </c>
      <c r="R306" s="42">
        <f ca="1">IFERROR(__xludf.DUMMYFUNCTION("""COMPUTED_VALUE"""),0)</f>
        <v>0</v>
      </c>
      <c r="S306" s="42">
        <f ca="1">IFERROR(__xludf.DUMMYFUNCTION("""COMPUTED_VALUE"""),8382.4)</f>
        <v>8382.4</v>
      </c>
      <c r="T306" s="42">
        <f ca="1">IFERROR(__xludf.DUMMYFUNCTION("""COMPUTED_VALUE"""),0)</f>
        <v>0</v>
      </c>
      <c r="U306" s="42">
        <f ca="1">IFERROR(__xludf.DUMMYFUNCTION("""COMPUTED_VALUE"""),0)</f>
        <v>0</v>
      </c>
      <c r="V306" s="42">
        <f ca="1">IFERROR(__xludf.DUMMYFUNCTION("""COMPUTED_VALUE"""),0)</f>
        <v>0</v>
      </c>
      <c r="W306" s="42">
        <f ca="1">IFERROR(__xludf.DUMMYFUNCTION("""COMPUTED_VALUE"""),844.199999999999)</f>
        <v>844.19999999999902</v>
      </c>
      <c r="X306" s="42">
        <f ca="1">IFERROR(__xludf.DUMMYFUNCTION("""COMPUTED_VALUE"""),0)</f>
        <v>0</v>
      </c>
      <c r="Y306" s="42">
        <f ca="1">IFERROR(__xludf.DUMMYFUNCTION("""COMPUTED_VALUE"""),0)</f>
        <v>0</v>
      </c>
      <c r="Z306" s="42">
        <f ca="1">IFERROR(__xludf.DUMMYFUNCTION("""COMPUTED_VALUE"""),0)</f>
        <v>0</v>
      </c>
    </row>
    <row r="307" spans="1:26" ht="12.75">
      <c r="A307" s="33" t="str">
        <f ca="1">IFERROR(__xludf.DUMMYFUNCTION("""COMPUTED_VALUE"""),"Paraíso")</f>
        <v>Paraíso</v>
      </c>
      <c r="B307" s="33" t="str">
        <f ca="1">IFERROR(__xludf.DUMMYFUNCTION("""COMPUTED_VALUE"""),"Barrolandia")</f>
        <v>Barrolandia</v>
      </c>
      <c r="C307" s="34" t="str">
        <f ca="1">IFERROR(__xludf.DUMMYFUNCTION("""COMPUTED_VALUE"""),"A..A. ESC. ESPECIAL AMOR DE DEUS")</f>
        <v>A..A. ESC. ESPECIAL AMOR DE DEUS</v>
      </c>
      <c r="D307" s="35" t="str">
        <f ca="1">IFERROR(__xludf.DUMMYFUNCTION("""COMPUTED_VALUE"""),"07935641000187")</f>
        <v>07935641000187</v>
      </c>
      <c r="E307" s="36" t="str">
        <f ca="1">IFERROR(__xludf.DUMMYFUNCTION("""COMPUTED_VALUE"""),"001")</f>
        <v>001</v>
      </c>
      <c r="F307" s="37" t="str">
        <f ca="1">IFERROR(__xludf.DUMMYFUNCTION("""COMPUTED_VALUE"""),"0804")</f>
        <v>0804</v>
      </c>
      <c r="G307" s="37" t="str">
        <f ca="1">IFERROR(__xludf.DUMMYFUNCTION("""COMPUTED_VALUE"""),"279501")</f>
        <v>279501</v>
      </c>
      <c r="H307" s="37">
        <f ca="1">IFERROR(__xludf.DUMMYFUNCTION("""COMPUTED_VALUE"""),0)</f>
        <v>0</v>
      </c>
      <c r="I307" s="37">
        <f ca="1">IFERROR(__xludf.DUMMYFUNCTION("""COMPUTED_VALUE"""),273)</f>
        <v>273</v>
      </c>
      <c r="J307" s="37">
        <f ca="1">IFERROR(__xludf.DUMMYFUNCTION("""COMPUTED_VALUE"""),210)</f>
        <v>210</v>
      </c>
      <c r="K307" s="37">
        <f ca="1">IFERROR(__xludf.DUMMYFUNCTION("""COMPUTED_VALUE"""),0)</f>
        <v>0</v>
      </c>
      <c r="L307" s="37">
        <f ca="1">IFERROR(__xludf.DUMMYFUNCTION("""COMPUTED_VALUE"""),0)</f>
        <v>0</v>
      </c>
      <c r="M307" s="37">
        <f ca="1">IFERROR(__xludf.DUMMYFUNCTION("""COMPUTED_VALUE"""),0)</f>
        <v>0</v>
      </c>
      <c r="N307" s="37">
        <f ca="1">IFERROR(__xludf.DUMMYFUNCTION("""COMPUTED_VALUE"""),0)</f>
        <v>0</v>
      </c>
      <c r="O307" s="37">
        <f ca="1">IFERROR(__xludf.DUMMYFUNCTION("""COMPUTED_VALUE"""),0)</f>
        <v>0</v>
      </c>
      <c r="P307" s="37">
        <f ca="1">IFERROR(__xludf.DUMMYFUNCTION("""COMPUTED_VALUE"""),252)</f>
        <v>252</v>
      </c>
      <c r="Q307" s="37">
        <f ca="1">IFERROR(__xludf.DUMMYFUNCTION("""COMPUTED_VALUE"""),0)</f>
        <v>0</v>
      </c>
      <c r="R307" s="37">
        <f ca="1">IFERROR(__xludf.DUMMYFUNCTION("""COMPUTED_VALUE"""),0)</f>
        <v>0</v>
      </c>
      <c r="S307" s="37">
        <f ca="1">IFERROR(__xludf.DUMMYFUNCTION("""COMPUTED_VALUE"""),0)</f>
        <v>0</v>
      </c>
      <c r="T307" s="37">
        <f ca="1">IFERROR(__xludf.DUMMYFUNCTION("""COMPUTED_VALUE"""),588)</f>
        <v>588</v>
      </c>
      <c r="U307" s="37">
        <f ca="1">IFERROR(__xludf.DUMMYFUNCTION("""COMPUTED_VALUE"""),0)</f>
        <v>0</v>
      </c>
      <c r="V307" s="37">
        <f ca="1">IFERROR(__xludf.DUMMYFUNCTION("""COMPUTED_VALUE"""),0)</f>
        <v>0</v>
      </c>
      <c r="W307" s="37">
        <f ca="1">IFERROR(__xludf.DUMMYFUNCTION("""COMPUTED_VALUE"""),0)</f>
        <v>0</v>
      </c>
      <c r="X307" s="37">
        <f ca="1">IFERROR(__xludf.DUMMYFUNCTION("""COMPUTED_VALUE"""),0)</f>
        <v>0</v>
      </c>
      <c r="Y307" s="37">
        <f ca="1">IFERROR(__xludf.DUMMYFUNCTION("""COMPUTED_VALUE"""),0)</f>
        <v>0</v>
      </c>
      <c r="Z307" s="37">
        <f ca="1">IFERROR(__xludf.DUMMYFUNCTION("""COMPUTED_VALUE"""),0)</f>
        <v>0</v>
      </c>
    </row>
    <row r="308" spans="1:26" ht="12.75">
      <c r="A308" s="38" t="str">
        <f ca="1">IFERROR(__xludf.DUMMYFUNCTION("""COMPUTED_VALUE"""),"Paraíso")</f>
        <v>Paraíso</v>
      </c>
      <c r="B308" s="38" t="str">
        <f ca="1">IFERROR(__xludf.DUMMYFUNCTION("""COMPUTED_VALUE"""),"Barrolandia")</f>
        <v>Barrolandia</v>
      </c>
      <c r="C308" s="39" t="str">
        <f ca="1">IFERROR(__xludf.DUMMYFUNCTION("""COMPUTED_VALUE"""),"ASS. APOIO DA ESC EST PAULINA CAMARA")</f>
        <v>ASS. APOIO DA ESC EST PAULINA CAMARA</v>
      </c>
      <c r="D308" s="40" t="str">
        <f ca="1">IFERROR(__xludf.DUMMYFUNCTION("""COMPUTED_VALUE"""),"01071402000140")</f>
        <v>01071402000140</v>
      </c>
      <c r="E308" s="41" t="str">
        <f ca="1">IFERROR(__xludf.DUMMYFUNCTION("""COMPUTED_VALUE"""),"001")</f>
        <v>001</v>
      </c>
      <c r="F308" s="42" t="str">
        <f ca="1">IFERROR(__xludf.DUMMYFUNCTION("""COMPUTED_VALUE"""),"0862")</f>
        <v>0862</v>
      </c>
      <c r="G308" s="42" t="str">
        <f ca="1">IFERROR(__xludf.DUMMYFUNCTION("""COMPUTED_VALUE"""),"68926")</f>
        <v>68926</v>
      </c>
      <c r="H308" s="42">
        <f ca="1">IFERROR(__xludf.DUMMYFUNCTION("""COMPUTED_VALUE"""),0)</f>
        <v>0</v>
      </c>
      <c r="I308" s="42">
        <f ca="1">IFERROR(__xludf.DUMMYFUNCTION("""COMPUTED_VALUE"""),0)</f>
        <v>0</v>
      </c>
      <c r="J308" s="42">
        <f ca="1">IFERROR(__xludf.DUMMYFUNCTION("""COMPUTED_VALUE"""),5334)</f>
        <v>5334</v>
      </c>
      <c r="K308" s="42">
        <f ca="1">IFERROR(__xludf.DUMMYFUNCTION("""COMPUTED_VALUE"""),0)</f>
        <v>0</v>
      </c>
      <c r="L308" s="42">
        <f ca="1">IFERROR(__xludf.DUMMYFUNCTION("""COMPUTED_VALUE"""),0)</f>
        <v>0</v>
      </c>
      <c r="M308" s="42">
        <f ca="1">IFERROR(__xludf.DUMMYFUNCTION("""COMPUTED_VALUE"""),0)</f>
        <v>0</v>
      </c>
      <c r="N308" s="42">
        <f ca="1">IFERROR(__xludf.DUMMYFUNCTION("""COMPUTED_VALUE"""),0)</f>
        <v>0</v>
      </c>
      <c r="O308" s="42">
        <f ca="1">IFERROR(__xludf.DUMMYFUNCTION("""COMPUTED_VALUE"""),0)</f>
        <v>0</v>
      </c>
      <c r="P308" s="42">
        <f ca="1">IFERROR(__xludf.DUMMYFUNCTION("""COMPUTED_VALUE"""),252)</f>
        <v>252</v>
      </c>
      <c r="Q308" s="42">
        <f ca="1">IFERROR(__xludf.DUMMYFUNCTION("""COMPUTED_VALUE"""),0)</f>
        <v>0</v>
      </c>
      <c r="R308" s="42">
        <f ca="1">IFERROR(__xludf.DUMMYFUNCTION("""COMPUTED_VALUE"""),0)</f>
        <v>0</v>
      </c>
      <c r="S308" s="42">
        <f ca="1">IFERROR(__xludf.DUMMYFUNCTION("""COMPUTED_VALUE"""),0)</f>
        <v>0</v>
      </c>
      <c r="T308" s="42">
        <f ca="1">IFERROR(__xludf.DUMMYFUNCTION("""COMPUTED_VALUE"""),0)</f>
        <v>0</v>
      </c>
      <c r="U308" s="42">
        <f ca="1">IFERROR(__xludf.DUMMYFUNCTION("""COMPUTED_VALUE"""),0)</f>
        <v>0</v>
      </c>
      <c r="V308" s="42">
        <f ca="1">IFERROR(__xludf.DUMMYFUNCTION("""COMPUTED_VALUE"""),0)</f>
        <v>0</v>
      </c>
      <c r="W308" s="42">
        <f ca="1">IFERROR(__xludf.DUMMYFUNCTION("""COMPUTED_VALUE"""),0)</f>
        <v>0</v>
      </c>
      <c r="X308" s="42">
        <f ca="1">IFERROR(__xludf.DUMMYFUNCTION("""COMPUTED_VALUE"""),0)</f>
        <v>0</v>
      </c>
      <c r="Y308" s="42">
        <f ca="1">IFERROR(__xludf.DUMMYFUNCTION("""COMPUTED_VALUE"""),0)</f>
        <v>0</v>
      </c>
      <c r="Z308" s="42">
        <f ca="1">IFERROR(__xludf.DUMMYFUNCTION("""COMPUTED_VALUE"""),0)</f>
        <v>0</v>
      </c>
    </row>
    <row r="309" spans="1:26" ht="12.75">
      <c r="A309" s="33" t="str">
        <f ca="1">IFERROR(__xludf.DUMMYFUNCTION("""COMPUTED_VALUE"""),"Paraíso")</f>
        <v>Paraíso</v>
      </c>
      <c r="B309" s="33" t="str">
        <f ca="1">IFERROR(__xludf.DUMMYFUNCTION("""COMPUTED_VALUE"""),"Barrolandia")</f>
        <v>Barrolandia</v>
      </c>
      <c r="C309" s="34" t="str">
        <f ca="1">IFERROR(__xludf.DUMMYFUNCTION("""COMPUTED_VALUE"""),"A.A. COLEGIO ESTADUAL COSTA E SILVA")</f>
        <v>A.A. COLEGIO ESTADUAL COSTA E SILVA</v>
      </c>
      <c r="D309" s="35" t="str">
        <f ca="1">IFERROR(__xludf.DUMMYFUNCTION("""COMPUTED_VALUE"""),"01100434000126")</f>
        <v>01100434000126</v>
      </c>
      <c r="E309" s="36" t="str">
        <f ca="1">IFERROR(__xludf.DUMMYFUNCTION("""COMPUTED_VALUE"""),"001")</f>
        <v>001</v>
      </c>
      <c r="F309" s="37" t="str">
        <f ca="1">IFERROR(__xludf.DUMMYFUNCTION("""COMPUTED_VALUE"""),"0862")</f>
        <v>0862</v>
      </c>
      <c r="G309" s="37" t="str">
        <f ca="1">IFERROR(__xludf.DUMMYFUNCTION("""COMPUTED_VALUE"""),"68942")</f>
        <v>68942</v>
      </c>
      <c r="H309" s="37">
        <f ca="1">IFERROR(__xludf.DUMMYFUNCTION("""COMPUTED_VALUE"""),0)</f>
        <v>0</v>
      </c>
      <c r="I309" s="37">
        <f ca="1">IFERROR(__xludf.DUMMYFUNCTION("""COMPUTED_VALUE"""),0)</f>
        <v>0</v>
      </c>
      <c r="J309" s="37">
        <f ca="1">IFERROR(__xludf.DUMMYFUNCTION("""COMPUTED_VALUE"""),2310)</f>
        <v>2310</v>
      </c>
      <c r="K309" s="37">
        <f ca="1">IFERROR(__xludf.DUMMYFUNCTION("""COMPUTED_VALUE"""),0)</f>
        <v>0</v>
      </c>
      <c r="L309" s="37">
        <f ca="1">IFERROR(__xludf.DUMMYFUNCTION("""COMPUTED_VALUE"""),0)</f>
        <v>0</v>
      </c>
      <c r="M309" s="37">
        <f ca="1">IFERROR(__xludf.DUMMYFUNCTION("""COMPUTED_VALUE"""),0)</f>
        <v>0</v>
      </c>
      <c r="N309" s="37">
        <f ca="1">IFERROR(__xludf.DUMMYFUNCTION("""COMPUTED_VALUE"""),0)</f>
        <v>0</v>
      </c>
      <c r="O309" s="37">
        <f ca="1">IFERROR(__xludf.DUMMYFUNCTION("""COMPUTED_VALUE"""),0)</f>
        <v>0</v>
      </c>
      <c r="P309" s="37">
        <f ca="1">IFERROR(__xludf.DUMMYFUNCTION("""COMPUTED_VALUE"""),0)</f>
        <v>0</v>
      </c>
      <c r="Q309" s="37">
        <f ca="1">IFERROR(__xludf.DUMMYFUNCTION("""COMPUTED_VALUE"""),2247)</f>
        <v>2247</v>
      </c>
      <c r="R309" s="37">
        <f ca="1">IFERROR(__xludf.DUMMYFUNCTION("""COMPUTED_VALUE"""),0)</f>
        <v>0</v>
      </c>
      <c r="S309" s="37">
        <f ca="1">IFERROR(__xludf.DUMMYFUNCTION("""COMPUTED_VALUE"""),0)</f>
        <v>0</v>
      </c>
      <c r="T309" s="37">
        <f ca="1">IFERROR(__xludf.DUMMYFUNCTION("""COMPUTED_VALUE"""),0)</f>
        <v>0</v>
      </c>
      <c r="U309" s="37">
        <f ca="1">IFERROR(__xludf.DUMMYFUNCTION("""COMPUTED_VALUE"""),0)</f>
        <v>0</v>
      </c>
      <c r="V309" s="37">
        <f ca="1">IFERROR(__xludf.DUMMYFUNCTION("""COMPUTED_VALUE"""),0)</f>
        <v>0</v>
      </c>
      <c r="W309" s="37">
        <f ca="1">IFERROR(__xludf.DUMMYFUNCTION("""COMPUTED_VALUE"""),0)</f>
        <v>0</v>
      </c>
      <c r="X309" s="37">
        <f ca="1">IFERROR(__xludf.DUMMYFUNCTION("""COMPUTED_VALUE"""),0)</f>
        <v>0</v>
      </c>
      <c r="Y309" s="37">
        <f ca="1">IFERROR(__xludf.DUMMYFUNCTION("""COMPUTED_VALUE"""),0)</f>
        <v>0</v>
      </c>
      <c r="Z309" s="37">
        <f ca="1">IFERROR(__xludf.DUMMYFUNCTION("""COMPUTED_VALUE"""),0)</f>
        <v>0</v>
      </c>
    </row>
    <row r="310" spans="1:26" ht="12.75">
      <c r="A310" s="38" t="str">
        <f ca="1">IFERROR(__xludf.DUMMYFUNCTION("""COMPUTED_VALUE"""),"Paraíso")</f>
        <v>Paraíso</v>
      </c>
      <c r="B310" s="38" t="str">
        <f ca="1">IFERROR(__xludf.DUMMYFUNCTION("""COMPUTED_VALUE"""),"Caseara")</f>
        <v>Caseara</v>
      </c>
      <c r="C310" s="39" t="str">
        <f ca="1">IFERROR(__xludf.DUMMYFUNCTION("""COMPUTED_VALUE"""),"A.A. AO COLEGIO EST. TRAJANO DE ALMEIDA")</f>
        <v>A.A. AO COLEGIO EST. TRAJANO DE ALMEIDA</v>
      </c>
      <c r="D310" s="40" t="str">
        <f ca="1">IFERROR(__xludf.DUMMYFUNCTION("""COMPUTED_VALUE"""),"01136037000104")</f>
        <v>01136037000104</v>
      </c>
      <c r="E310" s="41" t="str">
        <f ca="1">IFERROR(__xludf.DUMMYFUNCTION("""COMPUTED_VALUE"""),"001")</f>
        <v>001</v>
      </c>
      <c r="F310" s="42" t="str">
        <f ca="1">IFERROR(__xludf.DUMMYFUNCTION("""COMPUTED_VALUE"""),"0804")</f>
        <v>0804</v>
      </c>
      <c r="G310" s="42" t="str">
        <f ca="1">IFERROR(__xludf.DUMMYFUNCTION("""COMPUTED_VALUE"""),"110558")</f>
        <v>110558</v>
      </c>
      <c r="H310" s="42">
        <f ca="1">IFERROR(__xludf.DUMMYFUNCTION("""COMPUTED_VALUE"""),0)</f>
        <v>0</v>
      </c>
      <c r="I310" s="42">
        <f ca="1">IFERROR(__xludf.DUMMYFUNCTION("""COMPUTED_VALUE"""),0)</f>
        <v>0</v>
      </c>
      <c r="J310" s="42">
        <f ca="1">IFERROR(__xludf.DUMMYFUNCTION("""COMPUTED_VALUE"""),0)</f>
        <v>0</v>
      </c>
      <c r="K310" s="42">
        <f ca="1">IFERROR(__xludf.DUMMYFUNCTION("""COMPUTED_VALUE"""),0)</f>
        <v>0</v>
      </c>
      <c r="L310" s="42">
        <f ca="1">IFERROR(__xludf.DUMMYFUNCTION("""COMPUTED_VALUE"""),0)</f>
        <v>0</v>
      </c>
      <c r="M310" s="42">
        <f ca="1">IFERROR(__xludf.DUMMYFUNCTION("""COMPUTED_VALUE"""),0)</f>
        <v>0</v>
      </c>
      <c r="N310" s="42">
        <f ca="1">IFERROR(__xludf.DUMMYFUNCTION("""COMPUTED_VALUE"""),0)</f>
        <v>0</v>
      </c>
      <c r="O310" s="42">
        <f ca="1">IFERROR(__xludf.DUMMYFUNCTION("""COMPUTED_VALUE"""),0)</f>
        <v>0</v>
      </c>
      <c r="P310" s="42">
        <f ca="1">IFERROR(__xludf.DUMMYFUNCTION("""COMPUTED_VALUE"""),0)</f>
        <v>0</v>
      </c>
      <c r="Q310" s="42">
        <f ca="1">IFERROR(__xludf.DUMMYFUNCTION("""COMPUTED_VALUE"""),4284)</f>
        <v>4284</v>
      </c>
      <c r="R310" s="42">
        <f ca="1">IFERROR(__xludf.DUMMYFUNCTION("""COMPUTED_VALUE"""),0)</f>
        <v>0</v>
      </c>
      <c r="S310" s="42">
        <f ca="1">IFERROR(__xludf.DUMMYFUNCTION("""COMPUTED_VALUE"""),0)</f>
        <v>0</v>
      </c>
      <c r="T310" s="42">
        <f ca="1">IFERROR(__xludf.DUMMYFUNCTION("""COMPUTED_VALUE"""),0)</f>
        <v>0</v>
      </c>
      <c r="U310" s="42">
        <f ca="1">IFERROR(__xludf.DUMMYFUNCTION("""COMPUTED_VALUE"""),0)</f>
        <v>0</v>
      </c>
      <c r="V310" s="42">
        <f ca="1">IFERROR(__xludf.DUMMYFUNCTION("""COMPUTED_VALUE"""),0)</f>
        <v>0</v>
      </c>
      <c r="W310" s="42">
        <f ca="1">IFERROR(__xludf.DUMMYFUNCTION("""COMPUTED_VALUE"""),0)</f>
        <v>0</v>
      </c>
      <c r="X310" s="42">
        <f ca="1">IFERROR(__xludf.DUMMYFUNCTION("""COMPUTED_VALUE"""),0)</f>
        <v>0</v>
      </c>
      <c r="Y310" s="42">
        <f ca="1">IFERROR(__xludf.DUMMYFUNCTION("""COMPUTED_VALUE"""),0)</f>
        <v>0</v>
      </c>
      <c r="Z310" s="42">
        <f ca="1">IFERROR(__xludf.DUMMYFUNCTION("""COMPUTED_VALUE"""),0)</f>
        <v>0</v>
      </c>
    </row>
    <row r="311" spans="1:26" ht="12.75">
      <c r="A311" s="33" t="str">
        <f ca="1">IFERROR(__xludf.DUMMYFUNCTION("""COMPUTED_VALUE"""),"Paraíso")</f>
        <v>Paraíso</v>
      </c>
      <c r="B311" s="33" t="str">
        <f ca="1">IFERROR(__xludf.DUMMYFUNCTION("""COMPUTED_VALUE"""),"Caseara")</f>
        <v>Caseara</v>
      </c>
      <c r="C311" s="34" t="str">
        <f ca="1">IFERROR(__xludf.DUMMYFUNCTION("""COMPUTED_VALUE"""),"A. DE APOIO A ESC. EST. JOSE ALVES DE ASSIS")</f>
        <v>A. DE APOIO A ESC. EST. JOSE ALVES DE ASSIS</v>
      </c>
      <c r="D311" s="35" t="str">
        <f ca="1">IFERROR(__xludf.DUMMYFUNCTION("""COMPUTED_VALUE"""),"01138318000104")</f>
        <v>01138318000104</v>
      </c>
      <c r="E311" s="36" t="str">
        <f ca="1">IFERROR(__xludf.DUMMYFUNCTION("""COMPUTED_VALUE"""),"104")</f>
        <v>104</v>
      </c>
      <c r="F311" s="37" t="str">
        <f ca="1">IFERROR(__xludf.DUMMYFUNCTION("""COMPUTED_VALUE"""),"1141")</f>
        <v>1141</v>
      </c>
      <c r="G311" s="37" t="str">
        <f ca="1">IFERROR(__xludf.DUMMYFUNCTION("""COMPUTED_VALUE"""),"307968")</f>
        <v>307968</v>
      </c>
      <c r="H311" s="37">
        <f ca="1">IFERROR(__xludf.DUMMYFUNCTION("""COMPUTED_VALUE"""),0)</f>
        <v>0</v>
      </c>
      <c r="I311" s="37">
        <f ca="1">IFERROR(__xludf.DUMMYFUNCTION("""COMPUTED_VALUE"""),0)</f>
        <v>0</v>
      </c>
      <c r="J311" s="37">
        <f ca="1">IFERROR(__xludf.DUMMYFUNCTION("""COMPUTED_VALUE"""),7245)</f>
        <v>7245</v>
      </c>
      <c r="K311" s="37">
        <f ca="1">IFERROR(__xludf.DUMMYFUNCTION("""COMPUTED_VALUE"""),0)</f>
        <v>0</v>
      </c>
      <c r="L311" s="37">
        <f ca="1">IFERROR(__xludf.DUMMYFUNCTION("""COMPUTED_VALUE"""),0)</f>
        <v>0</v>
      </c>
      <c r="M311" s="37">
        <f ca="1">IFERROR(__xludf.DUMMYFUNCTION("""COMPUTED_VALUE"""),0)</f>
        <v>0</v>
      </c>
      <c r="N311" s="37">
        <f ca="1">IFERROR(__xludf.DUMMYFUNCTION("""COMPUTED_VALUE"""),0)</f>
        <v>0</v>
      </c>
      <c r="O311" s="37">
        <f ca="1">IFERROR(__xludf.DUMMYFUNCTION("""COMPUTED_VALUE"""),0)</f>
        <v>0</v>
      </c>
      <c r="P311" s="37">
        <f ca="1">IFERROR(__xludf.DUMMYFUNCTION("""COMPUTED_VALUE"""),0)</f>
        <v>0</v>
      </c>
      <c r="Q311" s="37">
        <f ca="1">IFERROR(__xludf.DUMMYFUNCTION("""COMPUTED_VALUE"""),0)</f>
        <v>0</v>
      </c>
      <c r="R311" s="37">
        <f ca="1">IFERROR(__xludf.DUMMYFUNCTION("""COMPUTED_VALUE"""),0)</f>
        <v>0</v>
      </c>
      <c r="S311" s="37">
        <f ca="1">IFERROR(__xludf.DUMMYFUNCTION("""COMPUTED_VALUE"""),0)</f>
        <v>0</v>
      </c>
      <c r="T311" s="37">
        <f ca="1">IFERROR(__xludf.DUMMYFUNCTION("""COMPUTED_VALUE"""),0)</f>
        <v>0</v>
      </c>
      <c r="U311" s="37">
        <f ca="1">IFERROR(__xludf.DUMMYFUNCTION("""COMPUTED_VALUE"""),0)</f>
        <v>0</v>
      </c>
      <c r="V311" s="37">
        <f ca="1">IFERROR(__xludf.DUMMYFUNCTION("""COMPUTED_VALUE"""),0)</f>
        <v>0</v>
      </c>
      <c r="W311" s="37">
        <f ca="1">IFERROR(__xludf.DUMMYFUNCTION("""COMPUTED_VALUE"""),0)</f>
        <v>0</v>
      </c>
      <c r="X311" s="37">
        <f ca="1">IFERROR(__xludf.DUMMYFUNCTION("""COMPUTED_VALUE"""),0)</f>
        <v>0</v>
      </c>
      <c r="Y311" s="37">
        <f ca="1">IFERROR(__xludf.DUMMYFUNCTION("""COMPUTED_VALUE"""),0)</f>
        <v>0</v>
      </c>
      <c r="Z311" s="37">
        <f ca="1">IFERROR(__xludf.DUMMYFUNCTION("""COMPUTED_VALUE"""),0)</f>
        <v>0</v>
      </c>
    </row>
    <row r="312" spans="1:26" ht="12.75">
      <c r="A312" s="38" t="str">
        <f ca="1">IFERROR(__xludf.DUMMYFUNCTION("""COMPUTED_VALUE"""),"Paraíso")</f>
        <v>Paraíso</v>
      </c>
      <c r="B312" s="38" t="str">
        <f ca="1">IFERROR(__xludf.DUMMYFUNCTION("""COMPUTED_VALUE"""),"Cristalandia")</f>
        <v>Cristalandia</v>
      </c>
      <c r="C312" s="39" t="str">
        <f ca="1">IFERROR(__xludf.DUMMYFUNCTION("""COMPUTED_VALUE"""),"ASS. APOIO DO COL. EST. DE CRISTALANDIA")</f>
        <v>ASS. APOIO DO COL. EST. DE CRISTALANDIA</v>
      </c>
      <c r="D312" s="40" t="str">
        <f ca="1">IFERROR(__xludf.DUMMYFUNCTION("""COMPUTED_VALUE"""),"01186467000130")</f>
        <v>01186467000130</v>
      </c>
      <c r="E312" s="41" t="str">
        <f ca="1">IFERROR(__xludf.DUMMYFUNCTION("""COMPUTED_VALUE"""),"001")</f>
        <v>001</v>
      </c>
      <c r="F312" s="42" t="str">
        <f ca="1">IFERROR(__xludf.DUMMYFUNCTION("""COMPUTED_VALUE"""),"3638")</f>
        <v>3638</v>
      </c>
      <c r="G312" s="42" t="str">
        <f ca="1">IFERROR(__xludf.DUMMYFUNCTION("""COMPUTED_VALUE"""),"17469")</f>
        <v>17469</v>
      </c>
      <c r="H312" s="42">
        <f ca="1">IFERROR(__xludf.DUMMYFUNCTION("""COMPUTED_VALUE"""),0)</f>
        <v>0</v>
      </c>
      <c r="I312" s="42">
        <f ca="1">IFERROR(__xludf.DUMMYFUNCTION("""COMPUTED_VALUE"""),0)</f>
        <v>0</v>
      </c>
      <c r="J312" s="42">
        <f ca="1">IFERROR(__xludf.DUMMYFUNCTION("""COMPUTED_VALUE"""),4179)</f>
        <v>4179</v>
      </c>
      <c r="K312" s="42">
        <f ca="1">IFERROR(__xludf.DUMMYFUNCTION("""COMPUTED_VALUE"""),0)</f>
        <v>0</v>
      </c>
      <c r="L312" s="42">
        <f ca="1">IFERROR(__xludf.DUMMYFUNCTION("""COMPUTED_VALUE"""),0)</f>
        <v>0</v>
      </c>
      <c r="M312" s="42">
        <f ca="1">IFERROR(__xludf.DUMMYFUNCTION("""COMPUTED_VALUE"""),0)</f>
        <v>0</v>
      </c>
      <c r="N312" s="42">
        <f ca="1">IFERROR(__xludf.DUMMYFUNCTION("""COMPUTED_VALUE"""),0)</f>
        <v>0</v>
      </c>
      <c r="O312" s="42">
        <f ca="1">IFERROR(__xludf.DUMMYFUNCTION("""COMPUTED_VALUE"""),0)</f>
        <v>0</v>
      </c>
      <c r="P312" s="42">
        <f ca="1">IFERROR(__xludf.DUMMYFUNCTION("""COMPUTED_VALUE"""),0)</f>
        <v>0</v>
      </c>
      <c r="Q312" s="42">
        <f ca="1">IFERROR(__xludf.DUMMYFUNCTION("""COMPUTED_VALUE"""),3822)</f>
        <v>3822</v>
      </c>
      <c r="R312" s="42">
        <f ca="1">IFERROR(__xludf.DUMMYFUNCTION("""COMPUTED_VALUE"""),0)</f>
        <v>0</v>
      </c>
      <c r="S312" s="42">
        <f ca="1">IFERROR(__xludf.DUMMYFUNCTION("""COMPUTED_VALUE"""),0)</f>
        <v>0</v>
      </c>
      <c r="T312" s="42">
        <f ca="1">IFERROR(__xludf.DUMMYFUNCTION("""COMPUTED_VALUE"""),0)</f>
        <v>0</v>
      </c>
      <c r="U312" s="42">
        <f ca="1">IFERROR(__xludf.DUMMYFUNCTION("""COMPUTED_VALUE"""),0)</f>
        <v>0</v>
      </c>
      <c r="V312" s="42">
        <f ca="1">IFERROR(__xludf.DUMMYFUNCTION("""COMPUTED_VALUE"""),0)</f>
        <v>0</v>
      </c>
      <c r="W312" s="42">
        <f ca="1">IFERROR(__xludf.DUMMYFUNCTION("""COMPUTED_VALUE"""),0)</f>
        <v>0</v>
      </c>
      <c r="X312" s="42">
        <f ca="1">IFERROR(__xludf.DUMMYFUNCTION("""COMPUTED_VALUE"""),0)</f>
        <v>0</v>
      </c>
      <c r="Y312" s="42">
        <f ca="1">IFERROR(__xludf.DUMMYFUNCTION("""COMPUTED_VALUE"""),0)</f>
        <v>0</v>
      </c>
      <c r="Z312" s="42">
        <f ca="1">IFERROR(__xludf.DUMMYFUNCTION("""COMPUTED_VALUE"""),0)</f>
        <v>0</v>
      </c>
    </row>
    <row r="313" spans="1:26" ht="12.75">
      <c r="A313" s="33" t="str">
        <f ca="1">IFERROR(__xludf.DUMMYFUNCTION("""COMPUTED_VALUE"""),"Paraíso")</f>
        <v>Paraíso</v>
      </c>
      <c r="B313" s="33" t="str">
        <f ca="1">IFERROR(__xludf.DUMMYFUNCTION("""COMPUTED_VALUE"""),"Cristalandia")</f>
        <v>Cristalandia</v>
      </c>
      <c r="C313" s="34" t="str">
        <f ca="1">IFERROR(__xludf.DUMMYFUNCTION("""COMPUTED_VALUE"""),"APAE DE CRISTALÂNDIA")</f>
        <v>APAE DE CRISTALÂNDIA</v>
      </c>
      <c r="D313" s="35" t="str">
        <f ca="1">IFERROR(__xludf.DUMMYFUNCTION("""COMPUTED_VALUE"""),"01995319000167")</f>
        <v>01995319000167</v>
      </c>
      <c r="E313" s="36" t="str">
        <f ca="1">IFERROR(__xludf.DUMMYFUNCTION("""COMPUTED_VALUE"""),"001")</f>
        <v>001</v>
      </c>
      <c r="F313" s="37" t="str">
        <f ca="1">IFERROR(__xludf.DUMMYFUNCTION("""COMPUTED_VALUE"""),"3638")</f>
        <v>3638</v>
      </c>
      <c r="G313" s="37" t="str">
        <f ca="1">IFERROR(__xludf.DUMMYFUNCTION("""COMPUTED_VALUE"""),"71315")</f>
        <v>71315</v>
      </c>
      <c r="H313" s="37">
        <f ca="1">IFERROR(__xludf.DUMMYFUNCTION("""COMPUTED_VALUE"""),0)</f>
        <v>0</v>
      </c>
      <c r="I313" s="37">
        <f ca="1">IFERROR(__xludf.DUMMYFUNCTION("""COMPUTED_VALUE"""),105)</f>
        <v>105</v>
      </c>
      <c r="J313" s="37">
        <f ca="1">IFERROR(__xludf.DUMMYFUNCTION("""COMPUTED_VALUE"""),63)</f>
        <v>63</v>
      </c>
      <c r="K313" s="37">
        <f ca="1">IFERROR(__xludf.DUMMYFUNCTION("""COMPUTED_VALUE"""),0)</f>
        <v>0</v>
      </c>
      <c r="L313" s="37">
        <f ca="1">IFERROR(__xludf.DUMMYFUNCTION("""COMPUTED_VALUE"""),0)</f>
        <v>0</v>
      </c>
      <c r="M313" s="37">
        <f ca="1">IFERROR(__xludf.DUMMYFUNCTION("""COMPUTED_VALUE"""),0)</f>
        <v>0</v>
      </c>
      <c r="N313" s="37">
        <f ca="1">IFERROR(__xludf.DUMMYFUNCTION("""COMPUTED_VALUE"""),0)</f>
        <v>0</v>
      </c>
      <c r="O313" s="37">
        <f ca="1">IFERROR(__xludf.DUMMYFUNCTION("""COMPUTED_VALUE"""),0)</f>
        <v>0</v>
      </c>
      <c r="P313" s="37">
        <f ca="1">IFERROR(__xludf.DUMMYFUNCTION("""COMPUTED_VALUE"""),399)</f>
        <v>399</v>
      </c>
      <c r="Q313" s="37">
        <f ca="1">IFERROR(__xludf.DUMMYFUNCTION("""COMPUTED_VALUE"""),0)</f>
        <v>0</v>
      </c>
      <c r="R313" s="37">
        <f ca="1">IFERROR(__xludf.DUMMYFUNCTION("""COMPUTED_VALUE"""),0)</f>
        <v>0</v>
      </c>
      <c r="S313" s="37">
        <f ca="1">IFERROR(__xludf.DUMMYFUNCTION("""COMPUTED_VALUE"""),0)</f>
        <v>0</v>
      </c>
      <c r="T313" s="37">
        <f ca="1">IFERROR(__xludf.DUMMYFUNCTION("""COMPUTED_VALUE"""),651)</f>
        <v>651</v>
      </c>
      <c r="U313" s="37">
        <f ca="1">IFERROR(__xludf.DUMMYFUNCTION("""COMPUTED_VALUE"""),0)</f>
        <v>0</v>
      </c>
      <c r="V313" s="37">
        <f ca="1">IFERROR(__xludf.DUMMYFUNCTION("""COMPUTED_VALUE"""),0)</f>
        <v>0</v>
      </c>
      <c r="W313" s="37">
        <f ca="1">IFERROR(__xludf.DUMMYFUNCTION("""COMPUTED_VALUE"""),0)</f>
        <v>0</v>
      </c>
      <c r="X313" s="37">
        <f ca="1">IFERROR(__xludf.DUMMYFUNCTION("""COMPUTED_VALUE"""),0)</f>
        <v>0</v>
      </c>
      <c r="Y313" s="37">
        <f ca="1">IFERROR(__xludf.DUMMYFUNCTION("""COMPUTED_VALUE"""),0)</f>
        <v>0</v>
      </c>
      <c r="Z313" s="37">
        <f ca="1">IFERROR(__xludf.DUMMYFUNCTION("""COMPUTED_VALUE"""),0)</f>
        <v>0</v>
      </c>
    </row>
    <row r="314" spans="1:26" ht="12.75">
      <c r="A314" s="38" t="str">
        <f ca="1">IFERROR(__xludf.DUMMYFUNCTION("""COMPUTED_VALUE"""),"Paraíso")</f>
        <v>Paraíso</v>
      </c>
      <c r="B314" s="38" t="str">
        <f ca="1">IFERROR(__xludf.DUMMYFUNCTION("""COMPUTED_VALUE"""),"Cristalandia")</f>
        <v>Cristalandia</v>
      </c>
      <c r="C314" s="39" t="str">
        <f ca="1">IFERROR(__xludf.DUMMYFUNCTION("""COMPUTED_VALUE"""),"A.A. ESCOLA MUL.OTACILIO MARQUES ROSAL")</f>
        <v>A.A. ESCOLA MUL.OTACILIO MARQUES ROSAL</v>
      </c>
      <c r="D314" s="40" t="str">
        <f ca="1">IFERROR(__xludf.DUMMYFUNCTION("""COMPUTED_VALUE"""),"01071438000123")</f>
        <v>01071438000123</v>
      </c>
      <c r="E314" s="41" t="str">
        <f ca="1">IFERROR(__xludf.DUMMYFUNCTION("""COMPUTED_VALUE"""),"001")</f>
        <v>001</v>
      </c>
      <c r="F314" s="42" t="str">
        <f ca="1">IFERROR(__xludf.DUMMYFUNCTION("""COMPUTED_VALUE"""),"3638")</f>
        <v>3638</v>
      </c>
      <c r="G314" s="42" t="str">
        <f ca="1">IFERROR(__xludf.DUMMYFUNCTION("""COMPUTED_VALUE"""),"7120X")</f>
        <v>7120X</v>
      </c>
      <c r="H314" s="42">
        <f ca="1">IFERROR(__xludf.DUMMYFUNCTION("""COMPUTED_VALUE"""),0)</f>
        <v>0</v>
      </c>
      <c r="I314" s="42">
        <f ca="1">IFERROR(__xludf.DUMMYFUNCTION("""COMPUTED_VALUE"""),0)</f>
        <v>0</v>
      </c>
      <c r="J314" s="42">
        <f ca="1">IFERROR(__xludf.DUMMYFUNCTION("""COMPUTED_VALUE"""),5796)</f>
        <v>5796</v>
      </c>
      <c r="K314" s="42">
        <f ca="1">IFERROR(__xludf.DUMMYFUNCTION("""COMPUTED_VALUE"""),0)</f>
        <v>0</v>
      </c>
      <c r="L314" s="42">
        <f ca="1">IFERROR(__xludf.DUMMYFUNCTION("""COMPUTED_VALUE"""),0)</f>
        <v>0</v>
      </c>
      <c r="M314" s="42">
        <f ca="1">IFERROR(__xludf.DUMMYFUNCTION("""COMPUTED_VALUE"""),0)</f>
        <v>0</v>
      </c>
      <c r="N314" s="42">
        <f ca="1">IFERROR(__xludf.DUMMYFUNCTION("""COMPUTED_VALUE"""),0)</f>
        <v>0</v>
      </c>
      <c r="O314" s="42">
        <f ca="1">IFERROR(__xludf.DUMMYFUNCTION("""COMPUTED_VALUE"""),0)</f>
        <v>0</v>
      </c>
      <c r="P314" s="42">
        <f ca="1">IFERROR(__xludf.DUMMYFUNCTION("""COMPUTED_VALUE"""),210)</f>
        <v>210</v>
      </c>
      <c r="Q314" s="42">
        <f ca="1">IFERROR(__xludf.DUMMYFUNCTION("""COMPUTED_VALUE"""),3129)</f>
        <v>3129</v>
      </c>
      <c r="R314" s="42">
        <f ca="1">IFERROR(__xludf.DUMMYFUNCTION("""COMPUTED_VALUE"""),0)</f>
        <v>0</v>
      </c>
      <c r="S314" s="42">
        <f ca="1">IFERROR(__xludf.DUMMYFUNCTION("""COMPUTED_VALUE"""),0)</f>
        <v>0</v>
      </c>
      <c r="T314" s="42">
        <f ca="1">IFERROR(__xludf.DUMMYFUNCTION("""COMPUTED_VALUE"""),0)</f>
        <v>0</v>
      </c>
      <c r="U314" s="42">
        <f ca="1">IFERROR(__xludf.DUMMYFUNCTION("""COMPUTED_VALUE"""),0)</f>
        <v>0</v>
      </c>
      <c r="V314" s="42">
        <f ca="1">IFERROR(__xludf.DUMMYFUNCTION("""COMPUTED_VALUE"""),0)</f>
        <v>0</v>
      </c>
      <c r="W314" s="42">
        <f ca="1">IFERROR(__xludf.DUMMYFUNCTION("""COMPUTED_VALUE"""),0)</f>
        <v>0</v>
      </c>
      <c r="X314" s="42">
        <f ca="1">IFERROR(__xludf.DUMMYFUNCTION("""COMPUTED_VALUE"""),0)</f>
        <v>0</v>
      </c>
      <c r="Y314" s="42">
        <f ca="1">IFERROR(__xludf.DUMMYFUNCTION("""COMPUTED_VALUE"""),0)</f>
        <v>0</v>
      </c>
      <c r="Z314" s="42">
        <f ca="1">IFERROR(__xludf.DUMMYFUNCTION("""COMPUTED_VALUE"""),0)</f>
        <v>0</v>
      </c>
    </row>
    <row r="315" spans="1:26" ht="12.75">
      <c r="A315" s="33" t="str">
        <f ca="1">IFERROR(__xludf.DUMMYFUNCTION("""COMPUTED_VALUE"""),"Paraíso")</f>
        <v>Paraíso</v>
      </c>
      <c r="B315" s="33" t="str">
        <f ca="1">IFERROR(__xludf.DUMMYFUNCTION("""COMPUTED_VALUE"""),"Divinopolis do Tocantins")</f>
        <v>Divinopolis do Tocantins</v>
      </c>
      <c r="C315" s="34" t="str">
        <f ca="1">IFERROR(__xludf.DUMMYFUNCTION("""COMPUTED_VALUE"""),"A.A. DO COLEGIO MUL. JOAO DIAS SOBRINHO")</f>
        <v>A.A. DO COLEGIO MUL. JOAO DIAS SOBRINHO</v>
      </c>
      <c r="D315" s="35" t="str">
        <f ca="1">IFERROR(__xludf.DUMMYFUNCTION("""COMPUTED_VALUE"""),"01184383000168")</f>
        <v>01184383000168</v>
      </c>
      <c r="E315" s="36" t="str">
        <f ca="1">IFERROR(__xludf.DUMMYFUNCTION("""COMPUTED_VALUE"""),"001")</f>
        <v>001</v>
      </c>
      <c r="F315" s="37" t="str">
        <f ca="1">IFERROR(__xludf.DUMMYFUNCTION("""COMPUTED_VALUE"""),"3812")</f>
        <v>3812</v>
      </c>
      <c r="G315" s="37" t="str">
        <f ca="1">IFERROR(__xludf.DUMMYFUNCTION("""COMPUTED_VALUE"""),"275069")</f>
        <v>275069</v>
      </c>
      <c r="H315" s="37">
        <f ca="1">IFERROR(__xludf.DUMMYFUNCTION("""COMPUTED_VALUE"""),0)</f>
        <v>0</v>
      </c>
      <c r="I315" s="37">
        <f ca="1">IFERROR(__xludf.DUMMYFUNCTION("""COMPUTED_VALUE"""),0)</f>
        <v>0</v>
      </c>
      <c r="J315" s="37">
        <f ca="1">IFERROR(__xludf.DUMMYFUNCTION("""COMPUTED_VALUE"""),5754)</f>
        <v>5754</v>
      </c>
      <c r="K315" s="37">
        <f ca="1">IFERROR(__xludf.DUMMYFUNCTION("""COMPUTED_VALUE"""),0)</f>
        <v>0</v>
      </c>
      <c r="L315" s="37">
        <f ca="1">IFERROR(__xludf.DUMMYFUNCTION("""COMPUTED_VALUE"""),0)</f>
        <v>0</v>
      </c>
      <c r="M315" s="37">
        <f ca="1">IFERROR(__xludf.DUMMYFUNCTION("""COMPUTED_VALUE"""),0)</f>
        <v>0</v>
      </c>
      <c r="N315" s="37">
        <f ca="1">IFERROR(__xludf.DUMMYFUNCTION("""COMPUTED_VALUE"""),0)</f>
        <v>0</v>
      </c>
      <c r="O315" s="37">
        <f ca="1">IFERROR(__xludf.DUMMYFUNCTION("""COMPUTED_VALUE"""),0)</f>
        <v>0</v>
      </c>
      <c r="P315" s="37">
        <f ca="1">IFERROR(__xludf.DUMMYFUNCTION("""COMPUTED_VALUE"""),0)</f>
        <v>0</v>
      </c>
      <c r="Q315" s="37">
        <f ca="1">IFERROR(__xludf.DUMMYFUNCTION("""COMPUTED_VALUE"""),4935)</f>
        <v>4935</v>
      </c>
      <c r="R315" s="37">
        <f ca="1">IFERROR(__xludf.DUMMYFUNCTION("""COMPUTED_VALUE"""),0)</f>
        <v>0</v>
      </c>
      <c r="S315" s="37">
        <f ca="1">IFERROR(__xludf.DUMMYFUNCTION("""COMPUTED_VALUE"""),0)</f>
        <v>0</v>
      </c>
      <c r="T315" s="37">
        <f ca="1">IFERROR(__xludf.DUMMYFUNCTION("""COMPUTED_VALUE"""),315)</f>
        <v>315</v>
      </c>
      <c r="U315" s="37">
        <f ca="1">IFERROR(__xludf.DUMMYFUNCTION("""COMPUTED_VALUE"""),0)</f>
        <v>0</v>
      </c>
      <c r="V315" s="37">
        <f ca="1">IFERROR(__xludf.DUMMYFUNCTION("""COMPUTED_VALUE"""),0)</f>
        <v>0</v>
      </c>
      <c r="W315" s="37">
        <f ca="1">IFERROR(__xludf.DUMMYFUNCTION("""COMPUTED_VALUE"""),0)</f>
        <v>0</v>
      </c>
      <c r="X315" s="37">
        <f ca="1">IFERROR(__xludf.DUMMYFUNCTION("""COMPUTED_VALUE"""),0)</f>
        <v>0</v>
      </c>
      <c r="Y315" s="37">
        <f ca="1">IFERROR(__xludf.DUMMYFUNCTION("""COMPUTED_VALUE"""),0)</f>
        <v>0</v>
      </c>
      <c r="Z315" s="37">
        <f ca="1">IFERROR(__xludf.DUMMYFUNCTION("""COMPUTED_VALUE"""),0)</f>
        <v>0</v>
      </c>
    </row>
    <row r="316" spans="1:26" ht="12.75">
      <c r="A316" s="38" t="str">
        <f ca="1">IFERROR(__xludf.DUMMYFUNCTION("""COMPUTED_VALUE"""),"Paraíso")</f>
        <v>Paraíso</v>
      </c>
      <c r="B316" s="38" t="str">
        <f ca="1">IFERROR(__xludf.DUMMYFUNCTION("""COMPUTED_VALUE"""),"Divinopolis do Tocantins")</f>
        <v>Divinopolis do Tocantins</v>
      </c>
      <c r="C316" s="39" t="str">
        <f ca="1">IFERROR(__xludf.DUMMYFUNCTION("""COMPUTED_VALUE"""),"ASS. APOIO ESC. EST. D. CANDIDA DE FREITAS")</f>
        <v>ASS. APOIO ESC. EST. D. CANDIDA DE FREITAS</v>
      </c>
      <c r="D316" s="40" t="str">
        <f ca="1">IFERROR(__xludf.DUMMYFUNCTION("""COMPUTED_VALUE"""),"01296363000189")</f>
        <v>01296363000189</v>
      </c>
      <c r="E316" s="41" t="str">
        <f ca="1">IFERROR(__xludf.DUMMYFUNCTION("""COMPUTED_VALUE"""),"001")</f>
        <v>001</v>
      </c>
      <c r="F316" s="42" t="str">
        <f ca="1">IFERROR(__xludf.DUMMYFUNCTION("""COMPUTED_VALUE"""),"3812")</f>
        <v>3812</v>
      </c>
      <c r="G316" s="42" t="str">
        <f ca="1">IFERROR(__xludf.DUMMYFUNCTION("""COMPUTED_VALUE"""),"70629")</f>
        <v>70629</v>
      </c>
      <c r="H316" s="42">
        <f ca="1">IFERROR(__xludf.DUMMYFUNCTION("""COMPUTED_VALUE"""),0)</f>
        <v>0</v>
      </c>
      <c r="I316" s="42">
        <f ca="1">IFERROR(__xludf.DUMMYFUNCTION("""COMPUTED_VALUE"""),0)</f>
        <v>0</v>
      </c>
      <c r="J316" s="42">
        <f ca="1">IFERROR(__xludf.DUMMYFUNCTION("""COMPUTED_VALUE"""),4263)</f>
        <v>4263</v>
      </c>
      <c r="K316" s="42">
        <f ca="1">IFERROR(__xludf.DUMMYFUNCTION("""COMPUTED_VALUE"""),0)</f>
        <v>0</v>
      </c>
      <c r="L316" s="42">
        <f ca="1">IFERROR(__xludf.DUMMYFUNCTION("""COMPUTED_VALUE"""),0)</f>
        <v>0</v>
      </c>
      <c r="M316" s="42">
        <f ca="1">IFERROR(__xludf.DUMMYFUNCTION("""COMPUTED_VALUE"""),0)</f>
        <v>0</v>
      </c>
      <c r="N316" s="42">
        <f ca="1">IFERROR(__xludf.DUMMYFUNCTION("""COMPUTED_VALUE"""),0)</f>
        <v>0</v>
      </c>
      <c r="O316" s="42">
        <f ca="1">IFERROR(__xludf.DUMMYFUNCTION("""COMPUTED_VALUE"""),0)</f>
        <v>0</v>
      </c>
      <c r="P316" s="42">
        <f ca="1">IFERROR(__xludf.DUMMYFUNCTION("""COMPUTED_VALUE"""),0)</f>
        <v>0</v>
      </c>
      <c r="Q316" s="42">
        <f ca="1">IFERROR(__xludf.DUMMYFUNCTION("""COMPUTED_VALUE"""),0)</f>
        <v>0</v>
      </c>
      <c r="R316" s="42">
        <f ca="1">IFERROR(__xludf.DUMMYFUNCTION("""COMPUTED_VALUE"""),0)</f>
        <v>0</v>
      </c>
      <c r="S316" s="42">
        <f ca="1">IFERROR(__xludf.DUMMYFUNCTION("""COMPUTED_VALUE"""),0)</f>
        <v>0</v>
      </c>
      <c r="T316" s="42">
        <f ca="1">IFERROR(__xludf.DUMMYFUNCTION("""COMPUTED_VALUE"""),273)</f>
        <v>273</v>
      </c>
      <c r="U316" s="42">
        <f ca="1">IFERROR(__xludf.DUMMYFUNCTION("""COMPUTED_VALUE"""),0)</f>
        <v>0</v>
      </c>
      <c r="V316" s="42">
        <f ca="1">IFERROR(__xludf.DUMMYFUNCTION("""COMPUTED_VALUE"""),0)</f>
        <v>0</v>
      </c>
      <c r="W316" s="42">
        <f ca="1">IFERROR(__xludf.DUMMYFUNCTION("""COMPUTED_VALUE"""),0)</f>
        <v>0</v>
      </c>
      <c r="X316" s="42">
        <f ca="1">IFERROR(__xludf.DUMMYFUNCTION("""COMPUTED_VALUE"""),0)</f>
        <v>0</v>
      </c>
      <c r="Y316" s="42">
        <f ca="1">IFERROR(__xludf.DUMMYFUNCTION("""COMPUTED_VALUE"""),0)</f>
        <v>0</v>
      </c>
      <c r="Z316" s="42">
        <f ca="1">IFERROR(__xludf.DUMMYFUNCTION("""COMPUTED_VALUE"""),0)</f>
        <v>0</v>
      </c>
    </row>
    <row r="317" spans="1:26" ht="12.75">
      <c r="A317" s="33" t="str">
        <f ca="1">IFERROR(__xludf.DUMMYFUNCTION("""COMPUTED_VALUE"""),"Paraíso")</f>
        <v>Paraíso</v>
      </c>
      <c r="B317" s="33" t="str">
        <f ca="1">IFERROR(__xludf.DUMMYFUNCTION("""COMPUTED_VALUE"""),"Lagoa da Confusao")</f>
        <v>Lagoa da Confusao</v>
      </c>
      <c r="C317" s="34" t="str">
        <f ca="1">IFERROR(__xludf.DUMMYFUNCTION("""COMPUTED_VALUE"""),"A.A.  ESTUD COL. EST. LAGOA DA CONFUSAO")</f>
        <v>A.A.  ESTUD COL. EST. LAGOA DA CONFUSAO</v>
      </c>
      <c r="D317" s="35" t="str">
        <f ca="1">IFERROR(__xludf.DUMMYFUNCTION("""COMPUTED_VALUE"""),"01179116000100")</f>
        <v>01179116000100</v>
      </c>
      <c r="E317" s="36" t="str">
        <f ca="1">IFERROR(__xludf.DUMMYFUNCTION("""COMPUTED_VALUE"""),"001")</f>
        <v>001</v>
      </c>
      <c r="F317" s="37" t="str">
        <f ca="1">IFERROR(__xludf.DUMMYFUNCTION("""COMPUTED_VALUE"""),"3983")</f>
        <v>3983</v>
      </c>
      <c r="G317" s="37" t="str">
        <f ca="1">IFERROR(__xludf.DUMMYFUNCTION("""COMPUTED_VALUE"""),"84735")</f>
        <v>84735</v>
      </c>
      <c r="H317" s="37">
        <f ca="1">IFERROR(__xludf.DUMMYFUNCTION("""COMPUTED_VALUE"""),0)</f>
        <v>0</v>
      </c>
      <c r="I317" s="37">
        <f ca="1">IFERROR(__xludf.DUMMYFUNCTION("""COMPUTED_VALUE"""),0)</f>
        <v>0</v>
      </c>
      <c r="J317" s="37">
        <f ca="1">IFERROR(__xludf.DUMMYFUNCTION("""COMPUTED_VALUE"""),1806)</f>
        <v>1806</v>
      </c>
      <c r="K317" s="37">
        <f ca="1">IFERROR(__xludf.DUMMYFUNCTION("""COMPUTED_VALUE"""),0)</f>
        <v>0</v>
      </c>
      <c r="L317" s="37">
        <f ca="1">IFERROR(__xludf.DUMMYFUNCTION("""COMPUTED_VALUE"""),0)</f>
        <v>0</v>
      </c>
      <c r="M317" s="37">
        <f ca="1">IFERROR(__xludf.DUMMYFUNCTION("""COMPUTED_VALUE"""),0)</f>
        <v>0</v>
      </c>
      <c r="N317" s="37">
        <f ca="1">IFERROR(__xludf.DUMMYFUNCTION("""COMPUTED_VALUE"""),0)</f>
        <v>0</v>
      </c>
      <c r="O317" s="37">
        <f ca="1">IFERROR(__xludf.DUMMYFUNCTION("""COMPUTED_VALUE"""),0)</f>
        <v>0</v>
      </c>
      <c r="P317" s="37">
        <f ca="1">IFERROR(__xludf.DUMMYFUNCTION("""COMPUTED_VALUE"""),105)</f>
        <v>105</v>
      </c>
      <c r="Q317" s="37">
        <f ca="1">IFERROR(__xludf.DUMMYFUNCTION("""COMPUTED_VALUE"""),10374)</f>
        <v>10374</v>
      </c>
      <c r="R317" s="37">
        <f ca="1">IFERROR(__xludf.DUMMYFUNCTION("""COMPUTED_VALUE"""),0)</f>
        <v>0</v>
      </c>
      <c r="S317" s="37">
        <f ca="1">IFERROR(__xludf.DUMMYFUNCTION("""COMPUTED_VALUE"""),0)</f>
        <v>0</v>
      </c>
      <c r="T317" s="37">
        <f ca="1">IFERROR(__xludf.DUMMYFUNCTION("""COMPUTED_VALUE"""),168)</f>
        <v>168</v>
      </c>
      <c r="U317" s="37">
        <f ca="1">IFERROR(__xludf.DUMMYFUNCTION("""COMPUTED_VALUE"""),0)</f>
        <v>0</v>
      </c>
      <c r="V317" s="37">
        <f ca="1">IFERROR(__xludf.DUMMYFUNCTION("""COMPUTED_VALUE"""),0)</f>
        <v>0</v>
      </c>
      <c r="W317" s="37">
        <f ca="1">IFERROR(__xludf.DUMMYFUNCTION("""COMPUTED_VALUE"""),0)</f>
        <v>0</v>
      </c>
      <c r="X317" s="37">
        <f ca="1">IFERROR(__xludf.DUMMYFUNCTION("""COMPUTED_VALUE"""),0)</f>
        <v>0</v>
      </c>
      <c r="Y317" s="37">
        <f ca="1">IFERROR(__xludf.DUMMYFUNCTION("""COMPUTED_VALUE"""),0)</f>
        <v>0</v>
      </c>
      <c r="Z317" s="37">
        <f ca="1">IFERROR(__xludf.DUMMYFUNCTION("""COMPUTED_VALUE"""),0)</f>
        <v>0</v>
      </c>
    </row>
    <row r="318" spans="1:26" ht="12.75">
      <c r="A318" s="38" t="str">
        <f ca="1">IFERROR(__xludf.DUMMYFUNCTION("""COMPUTED_VALUE"""),"Paraíso")</f>
        <v>Paraíso</v>
      </c>
      <c r="B318" s="38" t="str">
        <f ca="1">IFERROR(__xludf.DUMMYFUNCTION("""COMPUTED_VALUE"""),"Lagoa da Confusao")</f>
        <v>Lagoa da Confusao</v>
      </c>
      <c r="C318" s="39" t="str">
        <f ca="1">IFERROR(__xludf.DUMMYFUNCTION("""COMPUTED_VALUE"""),"ASSOCIAÇÃO DA ESCOLA ESPECIAL LAGOA DA CONFUSÃO")</f>
        <v>ASSOCIAÇÃO DA ESCOLA ESPECIAL LAGOA DA CONFUSÃO</v>
      </c>
      <c r="D318" s="40" t="str">
        <f ca="1">IFERROR(__xludf.DUMMYFUNCTION("""COMPUTED_VALUE"""),"08755554000100")</f>
        <v>08755554000100</v>
      </c>
      <c r="E318" s="41" t="str">
        <f ca="1">IFERROR(__xludf.DUMMYFUNCTION("""COMPUTED_VALUE"""),"001")</f>
        <v>001</v>
      </c>
      <c r="F318" s="42" t="str">
        <f ca="1">IFERROR(__xludf.DUMMYFUNCTION("""COMPUTED_VALUE"""),"3983")</f>
        <v>3983</v>
      </c>
      <c r="G318" s="42" t="str">
        <f ca="1">IFERROR(__xludf.DUMMYFUNCTION("""COMPUTED_VALUE"""),"83712")</f>
        <v>83712</v>
      </c>
      <c r="H318" s="42">
        <f ca="1">IFERROR(__xludf.DUMMYFUNCTION("""COMPUTED_VALUE"""),0)</f>
        <v>0</v>
      </c>
      <c r="I318" s="42">
        <f ca="1">IFERROR(__xludf.DUMMYFUNCTION("""COMPUTED_VALUE"""),168)</f>
        <v>168</v>
      </c>
      <c r="J318" s="42">
        <f ca="1">IFERROR(__xludf.DUMMYFUNCTION("""COMPUTED_VALUE"""),210)</f>
        <v>210</v>
      </c>
      <c r="K318" s="42">
        <f ca="1">IFERROR(__xludf.DUMMYFUNCTION("""COMPUTED_VALUE"""),0)</f>
        <v>0</v>
      </c>
      <c r="L318" s="42">
        <f ca="1">IFERROR(__xludf.DUMMYFUNCTION("""COMPUTED_VALUE"""),0)</f>
        <v>0</v>
      </c>
      <c r="M318" s="42">
        <f ca="1">IFERROR(__xludf.DUMMYFUNCTION("""COMPUTED_VALUE"""),0)</f>
        <v>0</v>
      </c>
      <c r="N318" s="42">
        <f ca="1">IFERROR(__xludf.DUMMYFUNCTION("""COMPUTED_VALUE"""),0)</f>
        <v>0</v>
      </c>
      <c r="O318" s="42">
        <f ca="1">IFERROR(__xludf.DUMMYFUNCTION("""COMPUTED_VALUE"""),0)</f>
        <v>0</v>
      </c>
      <c r="P318" s="42">
        <f ca="1">IFERROR(__xludf.DUMMYFUNCTION("""COMPUTED_VALUE"""),378)</f>
        <v>378</v>
      </c>
      <c r="Q318" s="42">
        <f ca="1">IFERROR(__xludf.DUMMYFUNCTION("""COMPUTED_VALUE"""),0)</f>
        <v>0</v>
      </c>
      <c r="R318" s="42">
        <f ca="1">IFERROR(__xludf.DUMMYFUNCTION("""COMPUTED_VALUE"""),0)</f>
        <v>0</v>
      </c>
      <c r="S318" s="42">
        <f ca="1">IFERROR(__xludf.DUMMYFUNCTION("""COMPUTED_VALUE"""),0)</f>
        <v>0</v>
      </c>
      <c r="T318" s="42">
        <f ca="1">IFERROR(__xludf.DUMMYFUNCTION("""COMPUTED_VALUE"""),315)</f>
        <v>315</v>
      </c>
      <c r="U318" s="42">
        <f ca="1">IFERROR(__xludf.DUMMYFUNCTION("""COMPUTED_VALUE"""),0)</f>
        <v>0</v>
      </c>
      <c r="V318" s="42">
        <f ca="1">IFERROR(__xludf.DUMMYFUNCTION("""COMPUTED_VALUE"""),0)</f>
        <v>0</v>
      </c>
      <c r="W318" s="42">
        <f ca="1">IFERROR(__xludf.DUMMYFUNCTION("""COMPUTED_VALUE"""),0)</f>
        <v>0</v>
      </c>
      <c r="X318" s="42">
        <f ca="1">IFERROR(__xludf.DUMMYFUNCTION("""COMPUTED_VALUE"""),0)</f>
        <v>0</v>
      </c>
      <c r="Y318" s="42">
        <f ca="1">IFERROR(__xludf.DUMMYFUNCTION("""COMPUTED_VALUE"""),0)</f>
        <v>0</v>
      </c>
      <c r="Z318" s="42">
        <f ca="1">IFERROR(__xludf.DUMMYFUNCTION("""COMPUTED_VALUE"""),0)</f>
        <v>0</v>
      </c>
    </row>
    <row r="319" spans="1:26" ht="12.75">
      <c r="A319" s="33" t="str">
        <f ca="1">IFERROR(__xludf.DUMMYFUNCTION("""COMPUTED_VALUE"""),"Paraíso")</f>
        <v>Paraíso</v>
      </c>
      <c r="B319" s="33" t="str">
        <f ca="1">IFERROR(__xludf.DUMMYFUNCTION("""COMPUTED_VALUE"""),"Marianopolis do Tocantins")</f>
        <v>Marianopolis do Tocantins</v>
      </c>
      <c r="C319" s="34" t="str">
        <f ca="1">IFERROR(__xludf.DUMMYFUNCTION("""COMPUTED_VALUE"""),"A.A. DO COL. EST. DAVID BARBOSA ROLINS")</f>
        <v>A.A. DO COL. EST. DAVID BARBOSA ROLINS</v>
      </c>
      <c r="D319" s="35" t="str">
        <f ca="1">IFERROR(__xludf.DUMMYFUNCTION("""COMPUTED_VALUE"""),"01980050000145")</f>
        <v>01980050000145</v>
      </c>
      <c r="E319" s="36" t="str">
        <f ca="1">IFERROR(__xludf.DUMMYFUNCTION("""COMPUTED_VALUE"""),"001")</f>
        <v>001</v>
      </c>
      <c r="F319" s="37" t="str">
        <f ca="1">IFERROR(__xludf.DUMMYFUNCTION("""COMPUTED_VALUE"""),"0804")</f>
        <v>0804</v>
      </c>
      <c r="G319" s="37" t="str">
        <f ca="1">IFERROR(__xludf.DUMMYFUNCTION("""COMPUTED_VALUE"""),"219045")</f>
        <v>219045</v>
      </c>
      <c r="H319" s="37">
        <f ca="1">IFERROR(__xludf.DUMMYFUNCTION("""COMPUTED_VALUE"""),0)</f>
        <v>0</v>
      </c>
      <c r="I319" s="37">
        <f ca="1">IFERROR(__xludf.DUMMYFUNCTION("""COMPUTED_VALUE"""),0)</f>
        <v>0</v>
      </c>
      <c r="J319" s="37">
        <f ca="1">IFERROR(__xludf.DUMMYFUNCTION("""COMPUTED_VALUE"""),2352)</f>
        <v>2352</v>
      </c>
      <c r="K319" s="37">
        <f ca="1">IFERROR(__xludf.DUMMYFUNCTION("""COMPUTED_VALUE"""),0)</f>
        <v>0</v>
      </c>
      <c r="L319" s="37">
        <f ca="1">IFERROR(__xludf.DUMMYFUNCTION("""COMPUTED_VALUE"""),0)</f>
        <v>0</v>
      </c>
      <c r="M319" s="37">
        <f ca="1">IFERROR(__xludf.DUMMYFUNCTION("""COMPUTED_VALUE"""),0)</f>
        <v>0</v>
      </c>
      <c r="N319" s="37">
        <f ca="1">IFERROR(__xludf.DUMMYFUNCTION("""COMPUTED_VALUE"""),0)</f>
        <v>0</v>
      </c>
      <c r="O319" s="37">
        <f ca="1">IFERROR(__xludf.DUMMYFUNCTION("""COMPUTED_VALUE"""),0)</f>
        <v>0</v>
      </c>
      <c r="P319" s="37">
        <f ca="1">IFERROR(__xludf.DUMMYFUNCTION("""COMPUTED_VALUE"""),0)</f>
        <v>0</v>
      </c>
      <c r="Q319" s="37">
        <f ca="1">IFERROR(__xludf.DUMMYFUNCTION("""COMPUTED_VALUE"""),4011)</f>
        <v>4011</v>
      </c>
      <c r="R319" s="37">
        <f ca="1">IFERROR(__xludf.DUMMYFUNCTION("""COMPUTED_VALUE"""),0)</f>
        <v>0</v>
      </c>
      <c r="S319" s="37">
        <f ca="1">IFERROR(__xludf.DUMMYFUNCTION("""COMPUTED_VALUE"""),0)</f>
        <v>0</v>
      </c>
      <c r="T319" s="37">
        <f ca="1">IFERROR(__xludf.DUMMYFUNCTION("""COMPUTED_VALUE"""),0)</f>
        <v>0</v>
      </c>
      <c r="U319" s="37">
        <f ca="1">IFERROR(__xludf.DUMMYFUNCTION("""COMPUTED_VALUE"""),0)</f>
        <v>0</v>
      </c>
      <c r="V319" s="37">
        <f ca="1">IFERROR(__xludf.DUMMYFUNCTION("""COMPUTED_VALUE"""),0)</f>
        <v>0</v>
      </c>
      <c r="W319" s="37">
        <f ca="1">IFERROR(__xludf.DUMMYFUNCTION("""COMPUTED_VALUE"""),0)</f>
        <v>0</v>
      </c>
      <c r="X319" s="37">
        <f ca="1">IFERROR(__xludf.DUMMYFUNCTION("""COMPUTED_VALUE"""),0)</f>
        <v>0</v>
      </c>
      <c r="Y319" s="37">
        <f ca="1">IFERROR(__xludf.DUMMYFUNCTION("""COMPUTED_VALUE"""),0)</f>
        <v>0</v>
      </c>
      <c r="Z319" s="37">
        <f ca="1">IFERROR(__xludf.DUMMYFUNCTION("""COMPUTED_VALUE"""),0)</f>
        <v>0</v>
      </c>
    </row>
    <row r="320" spans="1:26" ht="12.75">
      <c r="A320" s="38" t="str">
        <f ca="1">IFERROR(__xludf.DUMMYFUNCTION("""COMPUTED_VALUE"""),"Paraíso")</f>
        <v>Paraíso</v>
      </c>
      <c r="B320" s="38" t="str">
        <f ca="1">IFERROR(__xludf.DUMMYFUNCTION("""COMPUTED_VALUE"""),"Nova Rosalandia")</f>
        <v>Nova Rosalandia</v>
      </c>
      <c r="C320" s="39" t="str">
        <f ca="1">IFERROR(__xludf.DUMMYFUNCTION("""COMPUTED_VALUE"""),"A. ESC. COM. ESC. EST.PEDRO XAVIER TEIXEIRA")</f>
        <v>A. ESC. COM. ESC. EST.PEDRO XAVIER TEIXEIRA</v>
      </c>
      <c r="D320" s="40" t="str">
        <f ca="1">IFERROR(__xludf.DUMMYFUNCTION("""COMPUTED_VALUE"""),"01068367000100")</f>
        <v>01068367000100</v>
      </c>
      <c r="E320" s="41" t="str">
        <f ca="1">IFERROR(__xludf.DUMMYFUNCTION("""COMPUTED_VALUE"""),"001")</f>
        <v>001</v>
      </c>
      <c r="F320" s="42" t="str">
        <f ca="1">IFERROR(__xludf.DUMMYFUNCTION("""COMPUTED_VALUE"""),"0804")</f>
        <v>0804</v>
      </c>
      <c r="G320" s="42" t="str">
        <f ca="1">IFERROR(__xludf.DUMMYFUNCTION("""COMPUTED_VALUE"""),"234265")</f>
        <v>234265</v>
      </c>
      <c r="H320" s="42">
        <f ca="1">IFERROR(__xludf.DUMMYFUNCTION("""COMPUTED_VALUE"""),0)</f>
        <v>0</v>
      </c>
      <c r="I320" s="42">
        <f ca="1">IFERROR(__xludf.DUMMYFUNCTION("""COMPUTED_VALUE"""),0)</f>
        <v>0</v>
      </c>
      <c r="J320" s="42">
        <f ca="1">IFERROR(__xludf.DUMMYFUNCTION("""COMPUTED_VALUE"""),1722)</f>
        <v>1722</v>
      </c>
      <c r="K320" s="42">
        <f ca="1">IFERROR(__xludf.DUMMYFUNCTION("""COMPUTED_VALUE"""),0)</f>
        <v>0</v>
      </c>
      <c r="L320" s="42">
        <f ca="1">IFERROR(__xludf.DUMMYFUNCTION("""COMPUTED_VALUE"""),0)</f>
        <v>0</v>
      </c>
      <c r="M320" s="42">
        <f ca="1">IFERROR(__xludf.DUMMYFUNCTION("""COMPUTED_VALUE"""),0)</f>
        <v>0</v>
      </c>
      <c r="N320" s="42">
        <f ca="1">IFERROR(__xludf.DUMMYFUNCTION("""COMPUTED_VALUE"""),0)</f>
        <v>0</v>
      </c>
      <c r="O320" s="42">
        <f ca="1">IFERROR(__xludf.DUMMYFUNCTION("""COMPUTED_VALUE"""),0)</f>
        <v>0</v>
      </c>
      <c r="P320" s="42">
        <f ca="1">IFERROR(__xludf.DUMMYFUNCTION("""COMPUTED_VALUE"""),0)</f>
        <v>0</v>
      </c>
      <c r="Q320" s="42">
        <f ca="1">IFERROR(__xludf.DUMMYFUNCTION("""COMPUTED_VALUE"""),1974)</f>
        <v>1974</v>
      </c>
      <c r="R320" s="42">
        <f ca="1">IFERROR(__xludf.DUMMYFUNCTION("""COMPUTED_VALUE"""),0)</f>
        <v>0</v>
      </c>
      <c r="S320" s="42">
        <f ca="1">IFERROR(__xludf.DUMMYFUNCTION("""COMPUTED_VALUE"""),0)</f>
        <v>0</v>
      </c>
      <c r="T320" s="42">
        <f ca="1">IFERROR(__xludf.DUMMYFUNCTION("""COMPUTED_VALUE"""),273)</f>
        <v>273</v>
      </c>
      <c r="U320" s="42">
        <f ca="1">IFERROR(__xludf.DUMMYFUNCTION("""COMPUTED_VALUE"""),0)</f>
        <v>0</v>
      </c>
      <c r="V320" s="42">
        <f ca="1">IFERROR(__xludf.DUMMYFUNCTION("""COMPUTED_VALUE"""),0)</f>
        <v>0</v>
      </c>
      <c r="W320" s="42">
        <f ca="1">IFERROR(__xludf.DUMMYFUNCTION("""COMPUTED_VALUE"""),0)</f>
        <v>0</v>
      </c>
      <c r="X320" s="42">
        <f ca="1">IFERROR(__xludf.DUMMYFUNCTION("""COMPUTED_VALUE"""),0)</f>
        <v>0</v>
      </c>
      <c r="Y320" s="42">
        <f ca="1">IFERROR(__xludf.DUMMYFUNCTION("""COMPUTED_VALUE"""),0)</f>
        <v>0</v>
      </c>
      <c r="Z320" s="42">
        <f ca="1">IFERROR(__xludf.DUMMYFUNCTION("""COMPUTED_VALUE"""),0)</f>
        <v>0</v>
      </c>
    </row>
    <row r="321" spans="1:26" ht="12.75">
      <c r="A321" s="33" t="str">
        <f ca="1">IFERROR(__xludf.DUMMYFUNCTION("""COMPUTED_VALUE"""),"Paraíso")</f>
        <v>Paraíso</v>
      </c>
      <c r="B321" s="33" t="str">
        <f ca="1">IFERROR(__xludf.DUMMYFUNCTION("""COMPUTED_VALUE"""),"Nova Rosalandia")</f>
        <v>Nova Rosalandia</v>
      </c>
      <c r="C321" s="34" t="str">
        <f ca="1">IFERROR(__xludf.DUMMYFUNCTION("""COMPUTED_VALUE"""),"A.A. A ESCOLA ESTADUAL CAMPO MAIOR")</f>
        <v>A.A. A ESCOLA ESTADUAL CAMPO MAIOR</v>
      </c>
      <c r="D321" s="35" t="str">
        <f ca="1">IFERROR(__xludf.DUMMYFUNCTION("""COMPUTED_VALUE"""),"01068373000167")</f>
        <v>01068373000167</v>
      </c>
      <c r="E321" s="36" t="str">
        <f ca="1">IFERROR(__xludf.DUMMYFUNCTION("""COMPUTED_VALUE"""),"001")</f>
        <v>001</v>
      </c>
      <c r="F321" s="37" t="str">
        <f ca="1">IFERROR(__xludf.DUMMYFUNCTION("""COMPUTED_VALUE"""),"0804")</f>
        <v>0804</v>
      </c>
      <c r="G321" s="37" t="str">
        <f ca="1">IFERROR(__xludf.DUMMYFUNCTION("""COMPUTED_VALUE"""),"341290")</f>
        <v>341290</v>
      </c>
      <c r="H321" s="37">
        <f ca="1">IFERROR(__xludf.DUMMYFUNCTION("""COMPUTED_VALUE"""),0)</f>
        <v>0</v>
      </c>
      <c r="I321" s="37">
        <f ca="1">IFERROR(__xludf.DUMMYFUNCTION("""COMPUTED_VALUE"""),0)</f>
        <v>0</v>
      </c>
      <c r="J321" s="37">
        <f ca="1">IFERROR(__xludf.DUMMYFUNCTION("""COMPUTED_VALUE"""),714)</f>
        <v>714</v>
      </c>
      <c r="K321" s="37">
        <f ca="1">IFERROR(__xludf.DUMMYFUNCTION("""COMPUTED_VALUE"""),0)</f>
        <v>0</v>
      </c>
      <c r="L321" s="37">
        <f ca="1">IFERROR(__xludf.DUMMYFUNCTION("""COMPUTED_VALUE"""),0)</f>
        <v>0</v>
      </c>
      <c r="M321" s="37">
        <f ca="1">IFERROR(__xludf.DUMMYFUNCTION("""COMPUTED_VALUE"""),0)</f>
        <v>0</v>
      </c>
      <c r="N321" s="37">
        <f ca="1">IFERROR(__xludf.DUMMYFUNCTION("""COMPUTED_VALUE"""),0)</f>
        <v>0</v>
      </c>
      <c r="O321" s="37">
        <f ca="1">IFERROR(__xludf.DUMMYFUNCTION("""COMPUTED_VALUE"""),0)</f>
        <v>0</v>
      </c>
      <c r="P321" s="37">
        <f ca="1">IFERROR(__xludf.DUMMYFUNCTION("""COMPUTED_VALUE"""),0)</f>
        <v>0</v>
      </c>
      <c r="Q321" s="37">
        <f ca="1">IFERROR(__xludf.DUMMYFUNCTION("""COMPUTED_VALUE"""),0)</f>
        <v>0</v>
      </c>
      <c r="R321" s="37">
        <f ca="1">IFERROR(__xludf.DUMMYFUNCTION("""COMPUTED_VALUE"""),0)</f>
        <v>0</v>
      </c>
      <c r="S321" s="37">
        <f ca="1">IFERROR(__xludf.DUMMYFUNCTION("""COMPUTED_VALUE"""),0)</f>
        <v>0</v>
      </c>
      <c r="T321" s="37">
        <f ca="1">IFERROR(__xludf.DUMMYFUNCTION("""COMPUTED_VALUE"""),0)</f>
        <v>0</v>
      </c>
      <c r="U321" s="37">
        <f ca="1">IFERROR(__xludf.DUMMYFUNCTION("""COMPUTED_VALUE"""),0)</f>
        <v>0</v>
      </c>
      <c r="V321" s="37">
        <f ca="1">IFERROR(__xludf.DUMMYFUNCTION("""COMPUTED_VALUE"""),0)</f>
        <v>0</v>
      </c>
      <c r="W321" s="37">
        <f ca="1">IFERROR(__xludf.DUMMYFUNCTION("""COMPUTED_VALUE"""),0)</f>
        <v>0</v>
      </c>
      <c r="X321" s="37">
        <f ca="1">IFERROR(__xludf.DUMMYFUNCTION("""COMPUTED_VALUE"""),0)</f>
        <v>0</v>
      </c>
      <c r="Y321" s="37">
        <f ca="1">IFERROR(__xludf.DUMMYFUNCTION("""COMPUTED_VALUE"""),0)</f>
        <v>0</v>
      </c>
      <c r="Z321" s="37">
        <f ca="1">IFERROR(__xludf.DUMMYFUNCTION("""COMPUTED_VALUE"""),0)</f>
        <v>0</v>
      </c>
    </row>
    <row r="322" spans="1:26" ht="12.75">
      <c r="A322" s="38" t="str">
        <f ca="1">IFERROR(__xludf.DUMMYFUNCTION("""COMPUTED_VALUE"""),"Paraíso")</f>
        <v>Paraíso</v>
      </c>
      <c r="B322" s="38" t="str">
        <f ca="1">IFERROR(__xludf.DUMMYFUNCTION("""COMPUTED_VALUE"""),"Nova Rosalandia")</f>
        <v>Nova Rosalandia</v>
      </c>
      <c r="C322" s="39" t="str">
        <f ca="1">IFERROR(__xludf.DUMMYFUNCTION("""COMPUTED_VALUE"""),"ASSOC.COM. ESC EST.REGINA SIQUEIRA CAMPOS")</f>
        <v>ASSOC.COM. ESC EST.REGINA SIQUEIRA CAMPOS</v>
      </c>
      <c r="D322" s="40" t="str">
        <f ca="1">IFERROR(__xludf.DUMMYFUNCTION("""COMPUTED_VALUE"""),"01181170000182")</f>
        <v>01181170000182</v>
      </c>
      <c r="E322" s="41" t="str">
        <f ca="1">IFERROR(__xludf.DUMMYFUNCTION("""COMPUTED_VALUE"""),"001")</f>
        <v>001</v>
      </c>
      <c r="F322" s="42" t="str">
        <f ca="1">IFERROR(__xludf.DUMMYFUNCTION("""COMPUTED_VALUE"""),"0804")</f>
        <v>0804</v>
      </c>
      <c r="G322" s="42" t="str">
        <f ca="1">IFERROR(__xludf.DUMMYFUNCTION("""COMPUTED_VALUE"""),"16383X")</f>
        <v>16383X</v>
      </c>
      <c r="H322" s="42">
        <f ca="1">IFERROR(__xludf.DUMMYFUNCTION("""COMPUTED_VALUE"""),0)</f>
        <v>0</v>
      </c>
      <c r="I322" s="42">
        <f ca="1">IFERROR(__xludf.DUMMYFUNCTION("""COMPUTED_VALUE"""),0)</f>
        <v>0</v>
      </c>
      <c r="J322" s="42">
        <f ca="1">IFERROR(__xludf.DUMMYFUNCTION("""COMPUTED_VALUE"""),0)</f>
        <v>0</v>
      </c>
      <c r="K322" s="42">
        <f ca="1">IFERROR(__xludf.DUMMYFUNCTION("""COMPUTED_VALUE"""),10819.2)</f>
        <v>10819.2</v>
      </c>
      <c r="L322" s="42">
        <f ca="1">IFERROR(__xludf.DUMMYFUNCTION("""COMPUTED_VALUE"""),0)</f>
        <v>0</v>
      </c>
      <c r="M322" s="42">
        <f ca="1">IFERROR(__xludf.DUMMYFUNCTION("""COMPUTED_VALUE"""),0)</f>
        <v>0</v>
      </c>
      <c r="N322" s="42">
        <f ca="1">IFERROR(__xludf.DUMMYFUNCTION("""COMPUTED_VALUE"""),0)</f>
        <v>0</v>
      </c>
      <c r="O322" s="42">
        <f ca="1">IFERROR(__xludf.DUMMYFUNCTION("""COMPUTED_VALUE"""),0)</f>
        <v>0</v>
      </c>
      <c r="P322" s="42">
        <f ca="1">IFERROR(__xludf.DUMMYFUNCTION("""COMPUTED_VALUE"""),0)</f>
        <v>0</v>
      </c>
      <c r="Q322" s="42">
        <f ca="1">IFERROR(__xludf.DUMMYFUNCTION("""COMPUTED_VALUE"""),0)</f>
        <v>0</v>
      </c>
      <c r="R322" s="42">
        <f ca="1">IFERROR(__xludf.DUMMYFUNCTION("""COMPUTED_VALUE"""),1646.4)</f>
        <v>1646.4</v>
      </c>
      <c r="S322" s="42">
        <f ca="1">IFERROR(__xludf.DUMMYFUNCTION("""COMPUTED_VALUE"""),0)</f>
        <v>0</v>
      </c>
      <c r="T322" s="42">
        <f ca="1">IFERROR(__xludf.DUMMYFUNCTION("""COMPUTED_VALUE"""),0)</f>
        <v>0</v>
      </c>
      <c r="U322" s="42">
        <f ca="1">IFERROR(__xludf.DUMMYFUNCTION("""COMPUTED_VALUE"""),0)</f>
        <v>0</v>
      </c>
      <c r="V322" s="42">
        <f ca="1">IFERROR(__xludf.DUMMYFUNCTION("""COMPUTED_VALUE"""),0)</f>
        <v>0</v>
      </c>
      <c r="W322" s="42">
        <f ca="1">IFERROR(__xludf.DUMMYFUNCTION("""COMPUTED_VALUE"""),0)</f>
        <v>0</v>
      </c>
      <c r="X322" s="42">
        <f ca="1">IFERROR(__xludf.DUMMYFUNCTION("""COMPUTED_VALUE"""),0)</f>
        <v>0</v>
      </c>
      <c r="Y322" s="42">
        <f ca="1">IFERROR(__xludf.DUMMYFUNCTION("""COMPUTED_VALUE"""),0)</f>
        <v>0</v>
      </c>
      <c r="Z322" s="42">
        <f ca="1">IFERROR(__xludf.DUMMYFUNCTION("""COMPUTED_VALUE"""),1097.8)</f>
        <v>1097.8</v>
      </c>
    </row>
    <row r="323" spans="1:26" ht="12.75">
      <c r="A323" s="33" t="str">
        <f ca="1">IFERROR(__xludf.DUMMYFUNCTION("""COMPUTED_VALUE"""),"Paraíso")</f>
        <v>Paraíso</v>
      </c>
      <c r="B323" s="33" t="str">
        <f ca="1">IFERROR(__xludf.DUMMYFUNCTION("""COMPUTED_VALUE"""),"Paraiso do Tocantins")</f>
        <v>Paraiso do Tocantins</v>
      </c>
      <c r="C323" s="34" t="str">
        <f ca="1">IFERROR(__xludf.DUMMYFUNCTION("""COMPUTED_VALUE"""),"A.A. ESC. EST.ISOL.INDIG REG PARAISO DO TO")</f>
        <v>A.A. ESC. EST.ISOL.INDIG REG PARAISO DO TO</v>
      </c>
      <c r="D323" s="35" t="str">
        <f ca="1">IFERROR(__xludf.DUMMYFUNCTION("""COMPUTED_VALUE"""),"05099542000187")</f>
        <v>05099542000187</v>
      </c>
      <c r="E323" s="36" t="str">
        <f ca="1">IFERROR(__xludf.DUMMYFUNCTION("""COMPUTED_VALUE"""),"001")</f>
        <v>001</v>
      </c>
      <c r="F323" s="37" t="str">
        <f ca="1">IFERROR(__xludf.DUMMYFUNCTION("""COMPUTED_VALUE"""),"0804")</f>
        <v>0804</v>
      </c>
      <c r="G323" s="37" t="str">
        <f ca="1">IFERROR(__xludf.DUMMYFUNCTION("""COMPUTED_VALUE"""),"111678")</f>
        <v>111678</v>
      </c>
      <c r="H323" s="37">
        <f ca="1">IFERROR(__xludf.DUMMYFUNCTION("""COMPUTED_VALUE"""),0)</f>
        <v>0</v>
      </c>
      <c r="I323" s="37">
        <f ca="1">IFERROR(__xludf.DUMMYFUNCTION("""COMPUTED_VALUE"""),0)</f>
        <v>0</v>
      </c>
      <c r="J323" s="37">
        <f ca="1">IFERROR(__xludf.DUMMYFUNCTION("""COMPUTED_VALUE"""),0)</f>
        <v>0</v>
      </c>
      <c r="K323" s="37">
        <f ca="1">IFERROR(__xludf.DUMMYFUNCTION("""COMPUTED_VALUE"""),0)</f>
        <v>0</v>
      </c>
      <c r="L323" s="37">
        <f ca="1">IFERROR(__xludf.DUMMYFUNCTION("""COMPUTED_VALUE"""),0)</f>
        <v>0</v>
      </c>
      <c r="M323" s="37">
        <f ca="1">IFERROR(__xludf.DUMMYFUNCTION("""COMPUTED_VALUE"""),0)</f>
        <v>0</v>
      </c>
      <c r="N323" s="37">
        <f ca="1">IFERROR(__xludf.DUMMYFUNCTION("""COMPUTED_VALUE"""),0)</f>
        <v>0</v>
      </c>
      <c r="O323" s="37">
        <f ca="1">IFERROR(__xludf.DUMMYFUNCTION("""COMPUTED_VALUE"""),21693)</f>
        <v>21693</v>
      </c>
      <c r="P323" s="37">
        <f ca="1">IFERROR(__xludf.DUMMYFUNCTION("""COMPUTED_VALUE"""),0)</f>
        <v>0</v>
      </c>
      <c r="Q323" s="37">
        <f ca="1">IFERROR(__xludf.DUMMYFUNCTION("""COMPUTED_VALUE"""),0)</f>
        <v>0</v>
      </c>
      <c r="R323" s="37">
        <f ca="1">IFERROR(__xludf.DUMMYFUNCTION("""COMPUTED_VALUE"""),0)</f>
        <v>0</v>
      </c>
      <c r="S323" s="37">
        <f ca="1">IFERROR(__xludf.DUMMYFUNCTION("""COMPUTED_VALUE"""),0)</f>
        <v>0</v>
      </c>
      <c r="T323" s="37">
        <f ca="1">IFERROR(__xludf.DUMMYFUNCTION("""COMPUTED_VALUE"""),0)</f>
        <v>0</v>
      </c>
      <c r="U323" s="37">
        <f ca="1">IFERROR(__xludf.DUMMYFUNCTION("""COMPUTED_VALUE"""),0)</f>
        <v>0</v>
      </c>
      <c r="V323" s="37">
        <f ca="1">IFERROR(__xludf.DUMMYFUNCTION("""COMPUTED_VALUE"""),0)</f>
        <v>0</v>
      </c>
      <c r="W323" s="37">
        <f ca="1">IFERROR(__xludf.DUMMYFUNCTION("""COMPUTED_VALUE"""),0)</f>
        <v>0</v>
      </c>
      <c r="X323" s="37">
        <f ca="1">IFERROR(__xludf.DUMMYFUNCTION("""COMPUTED_VALUE"""),0)</f>
        <v>0</v>
      </c>
      <c r="Y323" s="37">
        <f ca="1">IFERROR(__xludf.DUMMYFUNCTION("""COMPUTED_VALUE"""),0)</f>
        <v>0</v>
      </c>
      <c r="Z323" s="37">
        <f ca="1">IFERROR(__xludf.DUMMYFUNCTION("""COMPUTED_VALUE"""),0)</f>
        <v>0</v>
      </c>
    </row>
    <row r="324" spans="1:26" ht="12.75">
      <c r="A324" s="38" t="str">
        <f ca="1">IFERROR(__xludf.DUMMYFUNCTION("""COMPUTED_VALUE"""),"Paraíso")</f>
        <v>Paraíso</v>
      </c>
      <c r="B324" s="38" t="str">
        <f ca="1">IFERROR(__xludf.DUMMYFUNCTION("""COMPUTED_VALUE"""),"Paraiso do Tocantins")</f>
        <v>Paraiso do Tocantins</v>
      </c>
      <c r="C324" s="39" t="str">
        <f ca="1">IFERROR(__xludf.DUMMYFUNCTION("""COMPUTED_VALUE"""),"A.A. COLÉGIO MILITAR DIACONÍZIO BEZERRA DA SILVA")</f>
        <v>A.A. COLÉGIO MILITAR DIACONÍZIO BEZERRA DA SILVA</v>
      </c>
      <c r="D324" s="40" t="str">
        <f ca="1">IFERROR(__xludf.DUMMYFUNCTION("""COMPUTED_VALUE"""),"11675300000197")</f>
        <v>11675300000197</v>
      </c>
      <c r="E324" s="41" t="str">
        <f ca="1">IFERROR(__xludf.DUMMYFUNCTION("""COMPUTED_VALUE"""),"001")</f>
        <v>001</v>
      </c>
      <c r="F324" s="42" t="str">
        <f ca="1">IFERROR(__xludf.DUMMYFUNCTION("""COMPUTED_VALUE"""),"0804")</f>
        <v>0804</v>
      </c>
      <c r="G324" s="42" t="str">
        <f ca="1">IFERROR(__xludf.DUMMYFUNCTION("""COMPUTED_VALUE"""),"320781")</f>
        <v>320781</v>
      </c>
      <c r="H324" s="42">
        <f ca="1">IFERROR(__xludf.DUMMYFUNCTION("""COMPUTED_VALUE"""),0)</f>
        <v>0</v>
      </c>
      <c r="I324" s="42">
        <f ca="1">IFERROR(__xludf.DUMMYFUNCTION("""COMPUTED_VALUE"""),0)</f>
        <v>0</v>
      </c>
      <c r="J324" s="42">
        <f ca="1">IFERROR(__xludf.DUMMYFUNCTION("""COMPUTED_VALUE"""),12516)</f>
        <v>12516</v>
      </c>
      <c r="K324" s="42">
        <f ca="1">IFERROR(__xludf.DUMMYFUNCTION("""COMPUTED_VALUE"""),0)</f>
        <v>0</v>
      </c>
      <c r="L324" s="42">
        <f ca="1">IFERROR(__xludf.DUMMYFUNCTION("""COMPUTED_VALUE"""),0)</f>
        <v>0</v>
      </c>
      <c r="M324" s="42">
        <f ca="1">IFERROR(__xludf.DUMMYFUNCTION("""COMPUTED_VALUE"""),0)</f>
        <v>0</v>
      </c>
      <c r="N324" s="42">
        <f ca="1">IFERROR(__xludf.DUMMYFUNCTION("""COMPUTED_VALUE"""),0)</f>
        <v>0</v>
      </c>
      <c r="O324" s="42">
        <f ca="1">IFERROR(__xludf.DUMMYFUNCTION("""COMPUTED_VALUE"""),0)</f>
        <v>0</v>
      </c>
      <c r="P324" s="42">
        <f ca="1">IFERROR(__xludf.DUMMYFUNCTION("""COMPUTED_VALUE"""),0)</f>
        <v>0</v>
      </c>
      <c r="Q324" s="42">
        <f ca="1">IFERROR(__xludf.DUMMYFUNCTION("""COMPUTED_VALUE"""),6468)</f>
        <v>6468</v>
      </c>
      <c r="R324" s="42">
        <f ca="1">IFERROR(__xludf.DUMMYFUNCTION("""COMPUTED_VALUE"""),0)</f>
        <v>0</v>
      </c>
      <c r="S324" s="42">
        <f ca="1">IFERROR(__xludf.DUMMYFUNCTION("""COMPUTED_VALUE"""),0)</f>
        <v>0</v>
      </c>
      <c r="T324" s="42">
        <f ca="1">IFERROR(__xludf.DUMMYFUNCTION("""COMPUTED_VALUE"""),0)</f>
        <v>0</v>
      </c>
      <c r="U324" s="42">
        <f ca="1">IFERROR(__xludf.DUMMYFUNCTION("""COMPUTED_VALUE"""),0)</f>
        <v>0</v>
      </c>
      <c r="V324" s="42">
        <f ca="1">IFERROR(__xludf.DUMMYFUNCTION("""COMPUTED_VALUE"""),0)</f>
        <v>0</v>
      </c>
      <c r="W324" s="42">
        <f ca="1">IFERROR(__xludf.DUMMYFUNCTION("""COMPUTED_VALUE"""),0)</f>
        <v>0</v>
      </c>
      <c r="X324" s="42">
        <f ca="1">IFERROR(__xludf.DUMMYFUNCTION("""COMPUTED_VALUE"""),0)</f>
        <v>0</v>
      </c>
      <c r="Y324" s="42">
        <f ca="1">IFERROR(__xludf.DUMMYFUNCTION("""COMPUTED_VALUE"""),0)</f>
        <v>0</v>
      </c>
      <c r="Z324" s="42">
        <f ca="1">IFERROR(__xludf.DUMMYFUNCTION("""COMPUTED_VALUE"""),0)</f>
        <v>0</v>
      </c>
    </row>
    <row r="325" spans="1:26" ht="12.75">
      <c r="A325" s="33" t="str">
        <f ca="1">IFERROR(__xludf.DUMMYFUNCTION("""COMPUTED_VALUE"""),"Paraíso")</f>
        <v>Paraíso</v>
      </c>
      <c r="B325" s="33" t="str">
        <f ca="1">IFERROR(__xludf.DUMMYFUNCTION("""COMPUTED_VALUE"""),"Paraiso do Tocantins")</f>
        <v>Paraiso do Tocantins</v>
      </c>
      <c r="C325" s="34" t="str">
        <f ca="1">IFERROR(__xludf.DUMMYFUNCTION("""COMPUTED_VALUE"""),"ASSOC. APOIO AO CEM JOSE ALVES DE ASSIS")</f>
        <v>ASSOC. APOIO AO CEM JOSE ALVES DE ASSIS</v>
      </c>
      <c r="D325" s="35" t="str">
        <f ca="1">IFERROR(__xludf.DUMMYFUNCTION("""COMPUTED_VALUE"""),"01181169000158")</f>
        <v>01181169000158</v>
      </c>
      <c r="E325" s="36" t="str">
        <f ca="1">IFERROR(__xludf.DUMMYFUNCTION("""COMPUTED_VALUE"""),"001")</f>
        <v>001</v>
      </c>
      <c r="F325" s="37" t="str">
        <f ca="1">IFERROR(__xludf.DUMMYFUNCTION("""COMPUTED_VALUE"""),"0804")</f>
        <v>0804</v>
      </c>
      <c r="G325" s="37" t="str">
        <f ca="1">IFERROR(__xludf.DUMMYFUNCTION("""COMPUTED_VALUE"""),"286257")</f>
        <v>286257</v>
      </c>
      <c r="H325" s="37">
        <f ca="1">IFERROR(__xludf.DUMMYFUNCTION("""COMPUTED_VALUE"""),0)</f>
        <v>0</v>
      </c>
      <c r="I325" s="37">
        <f ca="1">IFERROR(__xludf.DUMMYFUNCTION("""COMPUTED_VALUE"""),0)</f>
        <v>0</v>
      </c>
      <c r="J325" s="37">
        <f ca="1">IFERROR(__xludf.DUMMYFUNCTION("""COMPUTED_VALUE"""),0)</f>
        <v>0</v>
      </c>
      <c r="K325" s="37">
        <f ca="1">IFERROR(__xludf.DUMMYFUNCTION("""COMPUTED_VALUE"""),0)</f>
        <v>0</v>
      </c>
      <c r="L325" s="37">
        <f ca="1">IFERROR(__xludf.DUMMYFUNCTION("""COMPUTED_VALUE"""),0)</f>
        <v>0</v>
      </c>
      <c r="M325" s="37">
        <f ca="1">IFERROR(__xludf.DUMMYFUNCTION("""COMPUTED_VALUE"""),0)</f>
        <v>0</v>
      </c>
      <c r="N325" s="37">
        <f ca="1">IFERROR(__xludf.DUMMYFUNCTION("""COMPUTED_VALUE"""),0)</f>
        <v>0</v>
      </c>
      <c r="O325" s="37">
        <f ca="1">IFERROR(__xludf.DUMMYFUNCTION("""COMPUTED_VALUE"""),0)</f>
        <v>0</v>
      </c>
      <c r="P325" s="37">
        <f ca="1">IFERROR(__xludf.DUMMYFUNCTION("""COMPUTED_VALUE"""),273)</f>
        <v>273</v>
      </c>
      <c r="Q325" s="37">
        <f ca="1">IFERROR(__xludf.DUMMYFUNCTION("""COMPUTED_VALUE"""),11025)</f>
        <v>11025</v>
      </c>
      <c r="R325" s="37">
        <f ca="1">IFERROR(__xludf.DUMMYFUNCTION("""COMPUTED_VALUE"""),0)</f>
        <v>0</v>
      </c>
      <c r="S325" s="37">
        <f ca="1">IFERROR(__xludf.DUMMYFUNCTION("""COMPUTED_VALUE"""),0)</f>
        <v>0</v>
      </c>
      <c r="T325" s="37">
        <f ca="1">IFERROR(__xludf.DUMMYFUNCTION("""COMPUTED_VALUE"""),1638)</f>
        <v>1638</v>
      </c>
      <c r="U325" s="37">
        <f ca="1">IFERROR(__xludf.DUMMYFUNCTION("""COMPUTED_VALUE"""),0)</f>
        <v>0</v>
      </c>
      <c r="V325" s="37">
        <f ca="1">IFERROR(__xludf.DUMMYFUNCTION("""COMPUTED_VALUE"""),0)</f>
        <v>0</v>
      </c>
      <c r="W325" s="37">
        <f ca="1">IFERROR(__xludf.DUMMYFUNCTION("""COMPUTED_VALUE"""),0)</f>
        <v>0</v>
      </c>
      <c r="X325" s="37">
        <f ca="1">IFERROR(__xludf.DUMMYFUNCTION("""COMPUTED_VALUE"""),0)</f>
        <v>0</v>
      </c>
      <c r="Y325" s="37">
        <f ca="1">IFERROR(__xludf.DUMMYFUNCTION("""COMPUTED_VALUE"""),0)</f>
        <v>0</v>
      </c>
      <c r="Z325" s="37">
        <f ca="1">IFERROR(__xludf.DUMMYFUNCTION("""COMPUTED_VALUE"""),0)</f>
        <v>0</v>
      </c>
    </row>
    <row r="326" spans="1:26" ht="12.75">
      <c r="A326" s="38" t="str">
        <f ca="1">IFERROR(__xludf.DUMMYFUNCTION("""COMPUTED_VALUE"""),"Paraíso")</f>
        <v>Paraíso</v>
      </c>
      <c r="B326" s="38" t="str">
        <f ca="1">IFERROR(__xludf.DUMMYFUNCTION("""COMPUTED_VALUE"""),"Paraiso do Tocantins")</f>
        <v>Paraiso do Tocantins</v>
      </c>
      <c r="C326" s="39" t="str">
        <f ca="1">IFERROR(__xludf.DUMMYFUNCTION("""COMPUTED_VALUE"""),"ASSOC. DE APOIO ESC. EST.IDALINA DE PAULA")</f>
        <v>ASSOC. DE APOIO ESC. EST.IDALINA DE PAULA</v>
      </c>
      <c r="D326" s="40" t="str">
        <f ca="1">IFERROR(__xludf.DUMMYFUNCTION("""COMPUTED_VALUE"""),"01066419000109")</f>
        <v>01066419000109</v>
      </c>
      <c r="E326" s="41" t="str">
        <f ca="1">IFERROR(__xludf.DUMMYFUNCTION("""COMPUTED_VALUE"""),"001")</f>
        <v>001</v>
      </c>
      <c r="F326" s="42" t="str">
        <f ca="1">IFERROR(__xludf.DUMMYFUNCTION("""COMPUTED_VALUE"""),"0804")</f>
        <v>0804</v>
      </c>
      <c r="G326" s="42" t="str">
        <f ca="1">IFERROR(__xludf.DUMMYFUNCTION("""COMPUTED_VALUE"""),"115797")</f>
        <v>115797</v>
      </c>
      <c r="H326" s="42">
        <f ca="1">IFERROR(__xludf.DUMMYFUNCTION("""COMPUTED_VALUE"""),0)</f>
        <v>0</v>
      </c>
      <c r="I326" s="42">
        <f ca="1">IFERROR(__xludf.DUMMYFUNCTION("""COMPUTED_VALUE"""),0)</f>
        <v>0</v>
      </c>
      <c r="J326" s="42">
        <f ca="1">IFERROR(__xludf.DUMMYFUNCTION("""COMPUTED_VALUE"""),7119)</f>
        <v>7119</v>
      </c>
      <c r="K326" s="42">
        <f ca="1">IFERROR(__xludf.DUMMYFUNCTION("""COMPUTED_VALUE"""),0)</f>
        <v>0</v>
      </c>
      <c r="L326" s="42">
        <f ca="1">IFERROR(__xludf.DUMMYFUNCTION("""COMPUTED_VALUE"""),0)</f>
        <v>0</v>
      </c>
      <c r="M326" s="42">
        <f ca="1">IFERROR(__xludf.DUMMYFUNCTION("""COMPUTED_VALUE"""),0)</f>
        <v>0</v>
      </c>
      <c r="N326" s="42">
        <f ca="1">IFERROR(__xludf.DUMMYFUNCTION("""COMPUTED_VALUE"""),0)</f>
        <v>0</v>
      </c>
      <c r="O326" s="42">
        <f ca="1">IFERROR(__xludf.DUMMYFUNCTION("""COMPUTED_VALUE"""),0)</f>
        <v>0</v>
      </c>
      <c r="P326" s="42">
        <f ca="1">IFERROR(__xludf.DUMMYFUNCTION("""COMPUTED_VALUE"""),0)</f>
        <v>0</v>
      </c>
      <c r="Q326" s="42">
        <f ca="1">IFERROR(__xludf.DUMMYFUNCTION("""COMPUTED_VALUE"""),3906)</f>
        <v>3906</v>
      </c>
      <c r="R326" s="42">
        <f ca="1">IFERROR(__xludf.DUMMYFUNCTION("""COMPUTED_VALUE"""),0)</f>
        <v>0</v>
      </c>
      <c r="S326" s="42">
        <f ca="1">IFERROR(__xludf.DUMMYFUNCTION("""COMPUTED_VALUE"""),0)</f>
        <v>0</v>
      </c>
      <c r="T326" s="42">
        <f ca="1">IFERROR(__xludf.DUMMYFUNCTION("""COMPUTED_VALUE"""),0)</f>
        <v>0</v>
      </c>
      <c r="U326" s="42">
        <f ca="1">IFERROR(__xludf.DUMMYFUNCTION("""COMPUTED_VALUE"""),0)</f>
        <v>0</v>
      </c>
      <c r="V326" s="42">
        <f ca="1">IFERROR(__xludf.DUMMYFUNCTION("""COMPUTED_VALUE"""),0)</f>
        <v>0</v>
      </c>
      <c r="W326" s="42">
        <f ca="1">IFERROR(__xludf.DUMMYFUNCTION("""COMPUTED_VALUE"""),0)</f>
        <v>0</v>
      </c>
      <c r="X326" s="42">
        <f ca="1">IFERROR(__xludf.DUMMYFUNCTION("""COMPUTED_VALUE"""),0)</f>
        <v>0</v>
      </c>
      <c r="Y326" s="42">
        <f ca="1">IFERROR(__xludf.DUMMYFUNCTION("""COMPUTED_VALUE"""),0)</f>
        <v>0</v>
      </c>
      <c r="Z326" s="42">
        <f ca="1">IFERROR(__xludf.DUMMYFUNCTION("""COMPUTED_VALUE"""),0)</f>
        <v>0</v>
      </c>
    </row>
    <row r="327" spans="1:26" ht="12.75">
      <c r="A327" s="33" t="str">
        <f ca="1">IFERROR(__xludf.DUMMYFUNCTION("""COMPUTED_VALUE"""),"Paraíso")</f>
        <v>Paraíso</v>
      </c>
      <c r="B327" s="33" t="str">
        <f ca="1">IFERROR(__xludf.DUMMYFUNCTION("""COMPUTED_VALUE"""),"Paraiso do Tocantins")</f>
        <v>Paraiso do Tocantins</v>
      </c>
      <c r="C327" s="34" t="str">
        <f ca="1">IFERROR(__xludf.DUMMYFUNCTION("""COMPUTED_VALUE"""),"ASS. APOIO ESC. EST.PROF. JOSE NEZIO RAMOS")</f>
        <v>ASS. APOIO ESC. EST.PROF. JOSE NEZIO RAMOS</v>
      </c>
      <c r="D327" s="35" t="str">
        <f ca="1">IFERROR(__xludf.DUMMYFUNCTION("""COMPUTED_VALUE"""),"01233716000100")</f>
        <v>01233716000100</v>
      </c>
      <c r="E327" s="36" t="str">
        <f ca="1">IFERROR(__xludf.DUMMYFUNCTION("""COMPUTED_VALUE"""),"001")</f>
        <v>001</v>
      </c>
      <c r="F327" s="37" t="str">
        <f ca="1">IFERROR(__xludf.DUMMYFUNCTION("""COMPUTED_VALUE"""),"0804")</f>
        <v>0804</v>
      </c>
      <c r="G327" s="37" t="str">
        <f ca="1">IFERROR(__xludf.DUMMYFUNCTION("""COMPUTED_VALUE"""),"0263656")</f>
        <v>0263656</v>
      </c>
      <c r="H327" s="37">
        <f ca="1">IFERROR(__xludf.DUMMYFUNCTION("""COMPUTED_VALUE"""),0)</f>
        <v>0</v>
      </c>
      <c r="I327" s="37">
        <f ca="1">IFERROR(__xludf.DUMMYFUNCTION("""COMPUTED_VALUE"""),0)</f>
        <v>0</v>
      </c>
      <c r="J327" s="37">
        <f ca="1">IFERROR(__xludf.DUMMYFUNCTION("""COMPUTED_VALUE"""),0)</f>
        <v>0</v>
      </c>
      <c r="K327" s="37">
        <f ca="1">IFERROR(__xludf.DUMMYFUNCTION("""COMPUTED_VALUE"""),0)</f>
        <v>0</v>
      </c>
      <c r="L327" s="37">
        <f ca="1">IFERROR(__xludf.DUMMYFUNCTION("""COMPUTED_VALUE"""),0)</f>
        <v>0</v>
      </c>
      <c r="M327" s="37">
        <f ca="1">IFERROR(__xludf.DUMMYFUNCTION("""COMPUTED_VALUE"""),0)</f>
        <v>0</v>
      </c>
      <c r="N327" s="37">
        <f ca="1">IFERROR(__xludf.DUMMYFUNCTION("""COMPUTED_VALUE"""),0)</f>
        <v>0</v>
      </c>
      <c r="O327" s="37">
        <f ca="1">IFERROR(__xludf.DUMMYFUNCTION("""COMPUTED_VALUE"""),0)</f>
        <v>0</v>
      </c>
      <c r="P327" s="37">
        <f ca="1">IFERROR(__xludf.DUMMYFUNCTION("""COMPUTED_VALUE"""),0)</f>
        <v>0</v>
      </c>
      <c r="Q327" s="37">
        <f ca="1">IFERROR(__xludf.DUMMYFUNCTION("""COMPUTED_VALUE"""),7077)</f>
        <v>7077</v>
      </c>
      <c r="R327" s="37">
        <f ca="1">IFERROR(__xludf.DUMMYFUNCTION("""COMPUTED_VALUE"""),0)</f>
        <v>0</v>
      </c>
      <c r="S327" s="37">
        <f ca="1">IFERROR(__xludf.DUMMYFUNCTION("""COMPUTED_VALUE"""),0)</f>
        <v>0</v>
      </c>
      <c r="T327" s="37">
        <f ca="1">IFERROR(__xludf.DUMMYFUNCTION("""COMPUTED_VALUE"""),0)</f>
        <v>0</v>
      </c>
      <c r="U327" s="37">
        <f ca="1">IFERROR(__xludf.DUMMYFUNCTION("""COMPUTED_VALUE"""),0)</f>
        <v>0</v>
      </c>
      <c r="V327" s="37">
        <f ca="1">IFERROR(__xludf.DUMMYFUNCTION("""COMPUTED_VALUE"""),0)</f>
        <v>0</v>
      </c>
      <c r="W327" s="37">
        <f ca="1">IFERROR(__xludf.DUMMYFUNCTION("""COMPUTED_VALUE"""),0)</f>
        <v>0</v>
      </c>
      <c r="X327" s="37">
        <f ca="1">IFERROR(__xludf.DUMMYFUNCTION("""COMPUTED_VALUE"""),0)</f>
        <v>0</v>
      </c>
      <c r="Y327" s="37">
        <f ca="1">IFERROR(__xludf.DUMMYFUNCTION("""COMPUTED_VALUE"""),0)</f>
        <v>0</v>
      </c>
      <c r="Z327" s="37">
        <f ca="1">IFERROR(__xludf.DUMMYFUNCTION("""COMPUTED_VALUE"""),0)</f>
        <v>0</v>
      </c>
    </row>
    <row r="328" spans="1:26" ht="12.75">
      <c r="A328" s="38" t="str">
        <f ca="1">IFERROR(__xludf.DUMMYFUNCTION("""COMPUTED_VALUE"""),"Paraíso")</f>
        <v>Paraíso</v>
      </c>
      <c r="B328" s="38" t="str">
        <f ca="1">IFERROR(__xludf.DUMMYFUNCTION("""COMPUTED_VALUE"""),"Paraiso do Tocantins")</f>
        <v>Paraiso do Tocantins</v>
      </c>
      <c r="C328" s="39" t="str">
        <f ca="1">IFERROR(__xludf.DUMMYFUNCTION("""COMPUTED_VALUE"""),"AAE. ESPECIAL LUZ DA VIDA")</f>
        <v>AAE. ESPECIAL LUZ DA VIDA</v>
      </c>
      <c r="D328" s="40" t="str">
        <f ca="1">IFERROR(__xludf.DUMMYFUNCTION("""COMPUTED_VALUE"""),"07905330000175")</f>
        <v>07905330000175</v>
      </c>
      <c r="E328" s="41" t="str">
        <f ca="1">IFERROR(__xludf.DUMMYFUNCTION("""COMPUTED_VALUE"""),"001")</f>
        <v>001</v>
      </c>
      <c r="F328" s="42" t="str">
        <f ca="1">IFERROR(__xludf.DUMMYFUNCTION("""COMPUTED_VALUE"""),"0804")</f>
        <v>0804</v>
      </c>
      <c r="G328" s="42" t="str">
        <f ca="1">IFERROR(__xludf.DUMMYFUNCTION("""COMPUTED_VALUE"""),"331724")</f>
        <v>331724</v>
      </c>
      <c r="H328" s="42">
        <f ca="1">IFERROR(__xludf.DUMMYFUNCTION("""COMPUTED_VALUE"""),0)</f>
        <v>0</v>
      </c>
      <c r="I328" s="42">
        <f ca="1">IFERROR(__xludf.DUMMYFUNCTION("""COMPUTED_VALUE"""),420)</f>
        <v>420</v>
      </c>
      <c r="J328" s="42">
        <f ca="1">IFERROR(__xludf.DUMMYFUNCTION("""COMPUTED_VALUE"""),525)</f>
        <v>525</v>
      </c>
      <c r="K328" s="42">
        <f ca="1">IFERROR(__xludf.DUMMYFUNCTION("""COMPUTED_VALUE"""),0)</f>
        <v>0</v>
      </c>
      <c r="L328" s="42">
        <f ca="1">IFERROR(__xludf.DUMMYFUNCTION("""COMPUTED_VALUE"""),0)</f>
        <v>0</v>
      </c>
      <c r="M328" s="42">
        <f ca="1">IFERROR(__xludf.DUMMYFUNCTION("""COMPUTED_VALUE"""),0)</f>
        <v>0</v>
      </c>
      <c r="N328" s="42">
        <f ca="1">IFERROR(__xludf.DUMMYFUNCTION("""COMPUTED_VALUE"""),0)</f>
        <v>0</v>
      </c>
      <c r="O328" s="42">
        <f ca="1">IFERROR(__xludf.DUMMYFUNCTION("""COMPUTED_VALUE"""),0)</f>
        <v>0</v>
      </c>
      <c r="P328" s="42">
        <f ca="1">IFERROR(__xludf.DUMMYFUNCTION("""COMPUTED_VALUE"""),525)</f>
        <v>525</v>
      </c>
      <c r="Q328" s="42">
        <f ca="1">IFERROR(__xludf.DUMMYFUNCTION("""COMPUTED_VALUE"""),0)</f>
        <v>0</v>
      </c>
      <c r="R328" s="42">
        <f ca="1">IFERROR(__xludf.DUMMYFUNCTION("""COMPUTED_VALUE"""),0)</f>
        <v>0</v>
      </c>
      <c r="S328" s="42">
        <f ca="1">IFERROR(__xludf.DUMMYFUNCTION("""COMPUTED_VALUE"""),0)</f>
        <v>0</v>
      </c>
      <c r="T328" s="42">
        <f ca="1">IFERROR(__xludf.DUMMYFUNCTION("""COMPUTED_VALUE"""),1407)</f>
        <v>1407</v>
      </c>
      <c r="U328" s="42">
        <f ca="1">IFERROR(__xludf.DUMMYFUNCTION("""COMPUTED_VALUE"""),0)</f>
        <v>0</v>
      </c>
      <c r="V328" s="42">
        <f ca="1">IFERROR(__xludf.DUMMYFUNCTION("""COMPUTED_VALUE"""),0)</f>
        <v>0</v>
      </c>
      <c r="W328" s="42">
        <f ca="1">IFERROR(__xludf.DUMMYFUNCTION("""COMPUTED_VALUE"""),0)</f>
        <v>0</v>
      </c>
      <c r="X328" s="42">
        <f ca="1">IFERROR(__xludf.DUMMYFUNCTION("""COMPUTED_VALUE"""),0)</f>
        <v>0</v>
      </c>
      <c r="Y328" s="42">
        <f ca="1">IFERROR(__xludf.DUMMYFUNCTION("""COMPUTED_VALUE"""),0)</f>
        <v>0</v>
      </c>
      <c r="Z328" s="42">
        <f ca="1">IFERROR(__xludf.DUMMYFUNCTION("""COMPUTED_VALUE"""),0)</f>
        <v>0</v>
      </c>
    </row>
    <row r="329" spans="1:26" ht="12.75">
      <c r="A329" s="33" t="str">
        <f ca="1">IFERROR(__xludf.DUMMYFUNCTION("""COMPUTED_VALUE"""),"Paraíso")</f>
        <v>Paraíso</v>
      </c>
      <c r="B329" s="33" t="str">
        <f ca="1">IFERROR(__xludf.DUMMYFUNCTION("""COMPUTED_VALUE"""),"Paraiso do Tocantins")</f>
        <v>Paraiso do Tocantins</v>
      </c>
      <c r="C329" s="34" t="str">
        <f ca="1">IFERROR(__xludf.DUMMYFUNCTION("""COMPUTED_VALUE"""),"ASS. DE APOIO ESC. EST. AMANCIO DE MORAES")</f>
        <v>ASS. DE APOIO ESC. EST. AMANCIO DE MORAES</v>
      </c>
      <c r="D329" s="35" t="str">
        <f ca="1">IFERROR(__xludf.DUMMYFUNCTION("""COMPUTED_VALUE"""),"01068375000156")</f>
        <v>01068375000156</v>
      </c>
      <c r="E329" s="36" t="str">
        <f ca="1">IFERROR(__xludf.DUMMYFUNCTION("""COMPUTED_VALUE"""),"104")</f>
        <v>104</v>
      </c>
      <c r="F329" s="37" t="str">
        <f ca="1">IFERROR(__xludf.DUMMYFUNCTION("""COMPUTED_VALUE"""),"1141")</f>
        <v>1141</v>
      </c>
      <c r="G329" s="37" t="str">
        <f ca="1">IFERROR(__xludf.DUMMYFUNCTION("""COMPUTED_VALUE"""),"308140")</f>
        <v>308140</v>
      </c>
      <c r="H329" s="37">
        <f ca="1">IFERROR(__xludf.DUMMYFUNCTION("""COMPUTED_VALUE"""),0)</f>
        <v>0</v>
      </c>
      <c r="I329" s="37">
        <f ca="1">IFERROR(__xludf.DUMMYFUNCTION("""COMPUTED_VALUE"""),0)</f>
        <v>0</v>
      </c>
      <c r="J329" s="37">
        <f ca="1">IFERROR(__xludf.DUMMYFUNCTION("""COMPUTED_VALUE"""),5250)</f>
        <v>5250</v>
      </c>
      <c r="K329" s="37">
        <f ca="1">IFERROR(__xludf.DUMMYFUNCTION("""COMPUTED_VALUE"""),0)</f>
        <v>0</v>
      </c>
      <c r="L329" s="37">
        <f ca="1">IFERROR(__xludf.DUMMYFUNCTION("""COMPUTED_VALUE"""),0)</f>
        <v>0</v>
      </c>
      <c r="M329" s="37">
        <f ca="1">IFERROR(__xludf.DUMMYFUNCTION("""COMPUTED_VALUE"""),0)</f>
        <v>0</v>
      </c>
      <c r="N329" s="37">
        <f ca="1">IFERROR(__xludf.DUMMYFUNCTION("""COMPUTED_VALUE"""),0)</f>
        <v>0</v>
      </c>
      <c r="O329" s="37">
        <f ca="1">IFERROR(__xludf.DUMMYFUNCTION("""COMPUTED_VALUE"""),0)</f>
        <v>0</v>
      </c>
      <c r="P329" s="37">
        <f ca="1">IFERROR(__xludf.DUMMYFUNCTION("""COMPUTED_VALUE"""),273)</f>
        <v>273</v>
      </c>
      <c r="Q329" s="37">
        <f ca="1">IFERROR(__xludf.DUMMYFUNCTION("""COMPUTED_VALUE"""),0)</f>
        <v>0</v>
      </c>
      <c r="R329" s="37">
        <f ca="1">IFERROR(__xludf.DUMMYFUNCTION("""COMPUTED_VALUE"""),0)</f>
        <v>0</v>
      </c>
      <c r="S329" s="37">
        <f ca="1">IFERROR(__xludf.DUMMYFUNCTION("""COMPUTED_VALUE"""),0)</f>
        <v>0</v>
      </c>
      <c r="T329" s="37">
        <f ca="1">IFERROR(__xludf.DUMMYFUNCTION("""COMPUTED_VALUE"""),0)</f>
        <v>0</v>
      </c>
      <c r="U329" s="37">
        <f ca="1">IFERROR(__xludf.DUMMYFUNCTION("""COMPUTED_VALUE"""),0)</f>
        <v>0</v>
      </c>
      <c r="V329" s="37">
        <f ca="1">IFERROR(__xludf.DUMMYFUNCTION("""COMPUTED_VALUE"""),0)</f>
        <v>0</v>
      </c>
      <c r="W329" s="37">
        <f ca="1">IFERROR(__xludf.DUMMYFUNCTION("""COMPUTED_VALUE"""),0)</f>
        <v>0</v>
      </c>
      <c r="X329" s="37">
        <f ca="1">IFERROR(__xludf.DUMMYFUNCTION("""COMPUTED_VALUE"""),0)</f>
        <v>0</v>
      </c>
      <c r="Y329" s="37">
        <f ca="1">IFERROR(__xludf.DUMMYFUNCTION("""COMPUTED_VALUE"""),0)</f>
        <v>0</v>
      </c>
      <c r="Z329" s="37">
        <f ca="1">IFERROR(__xludf.DUMMYFUNCTION("""COMPUTED_VALUE"""),0)</f>
        <v>0</v>
      </c>
    </row>
    <row r="330" spans="1:26" ht="12.75">
      <c r="A330" s="38" t="str">
        <f ca="1">IFERROR(__xludf.DUMMYFUNCTION("""COMPUTED_VALUE"""),"Paraíso")</f>
        <v>Paraíso</v>
      </c>
      <c r="B330" s="38" t="str">
        <f ca="1">IFERROR(__xludf.DUMMYFUNCTION("""COMPUTED_VALUE"""),"Paraiso do Tocantins")</f>
        <v>Paraiso do Tocantins</v>
      </c>
      <c r="C330" s="39" t="str">
        <f ca="1">IFERROR(__xludf.DUMMYFUNCTION("""COMPUTED_VALUE"""),"A.A. ESCOLA ESTADUAL DEUSA DE MORAES")</f>
        <v>A.A. ESCOLA ESTADUAL DEUSA DE MORAES</v>
      </c>
      <c r="D330" s="40" t="str">
        <f ca="1">IFERROR(__xludf.DUMMYFUNCTION("""COMPUTED_VALUE"""),"01068362000187")</f>
        <v>01068362000187</v>
      </c>
      <c r="E330" s="41" t="str">
        <f ca="1">IFERROR(__xludf.DUMMYFUNCTION("""COMPUTED_VALUE"""),"001")</f>
        <v>001</v>
      </c>
      <c r="F330" s="42" t="str">
        <f ca="1">IFERROR(__xludf.DUMMYFUNCTION("""COMPUTED_VALUE"""),"0804")</f>
        <v>0804</v>
      </c>
      <c r="G330" s="42" t="str">
        <f ca="1">IFERROR(__xludf.DUMMYFUNCTION("""COMPUTED_VALUE"""),"304549")</f>
        <v>304549</v>
      </c>
      <c r="H330" s="42">
        <f ca="1">IFERROR(__xludf.DUMMYFUNCTION("""COMPUTED_VALUE"""),0)</f>
        <v>0</v>
      </c>
      <c r="I330" s="42">
        <f ca="1">IFERROR(__xludf.DUMMYFUNCTION("""COMPUTED_VALUE"""),0)</f>
        <v>0</v>
      </c>
      <c r="J330" s="42">
        <f ca="1">IFERROR(__xludf.DUMMYFUNCTION("""COMPUTED_VALUE"""),7686)</f>
        <v>7686</v>
      </c>
      <c r="K330" s="42">
        <f ca="1">IFERROR(__xludf.DUMMYFUNCTION("""COMPUTED_VALUE"""),0)</f>
        <v>0</v>
      </c>
      <c r="L330" s="42">
        <f ca="1">IFERROR(__xludf.DUMMYFUNCTION("""COMPUTED_VALUE"""),0)</f>
        <v>0</v>
      </c>
      <c r="M330" s="42">
        <f ca="1">IFERROR(__xludf.DUMMYFUNCTION("""COMPUTED_VALUE"""),0)</f>
        <v>0</v>
      </c>
      <c r="N330" s="42">
        <f ca="1">IFERROR(__xludf.DUMMYFUNCTION("""COMPUTED_VALUE"""),0)</f>
        <v>0</v>
      </c>
      <c r="O330" s="42">
        <f ca="1">IFERROR(__xludf.DUMMYFUNCTION("""COMPUTED_VALUE"""),0)</f>
        <v>0</v>
      </c>
      <c r="P330" s="42">
        <f ca="1">IFERROR(__xludf.DUMMYFUNCTION("""COMPUTED_VALUE"""),0)</f>
        <v>0</v>
      </c>
      <c r="Q330" s="42">
        <f ca="1">IFERROR(__xludf.DUMMYFUNCTION("""COMPUTED_VALUE"""),0)</f>
        <v>0</v>
      </c>
      <c r="R330" s="42">
        <f ca="1">IFERROR(__xludf.DUMMYFUNCTION("""COMPUTED_VALUE"""),0)</f>
        <v>0</v>
      </c>
      <c r="S330" s="42">
        <f ca="1">IFERROR(__xludf.DUMMYFUNCTION("""COMPUTED_VALUE"""),0)</f>
        <v>0</v>
      </c>
      <c r="T330" s="42">
        <f ca="1">IFERROR(__xludf.DUMMYFUNCTION("""COMPUTED_VALUE"""),0)</f>
        <v>0</v>
      </c>
      <c r="U330" s="42">
        <f ca="1">IFERROR(__xludf.DUMMYFUNCTION("""COMPUTED_VALUE"""),0)</f>
        <v>0</v>
      </c>
      <c r="V330" s="42">
        <f ca="1">IFERROR(__xludf.DUMMYFUNCTION("""COMPUTED_VALUE"""),0)</f>
        <v>0</v>
      </c>
      <c r="W330" s="42">
        <f ca="1">IFERROR(__xludf.DUMMYFUNCTION("""COMPUTED_VALUE"""),0)</f>
        <v>0</v>
      </c>
      <c r="X330" s="42">
        <f ca="1">IFERROR(__xludf.DUMMYFUNCTION("""COMPUTED_VALUE"""),0)</f>
        <v>0</v>
      </c>
      <c r="Y330" s="42">
        <f ca="1">IFERROR(__xludf.DUMMYFUNCTION("""COMPUTED_VALUE"""),0)</f>
        <v>0</v>
      </c>
      <c r="Z330" s="42">
        <f ca="1">IFERROR(__xludf.DUMMYFUNCTION("""COMPUTED_VALUE"""),0)</f>
        <v>0</v>
      </c>
    </row>
    <row r="331" spans="1:26" ht="12.75">
      <c r="A331" s="33" t="str">
        <f ca="1">IFERROR(__xludf.DUMMYFUNCTION("""COMPUTED_VALUE"""),"Paraíso")</f>
        <v>Paraíso</v>
      </c>
      <c r="B331" s="33" t="str">
        <f ca="1">IFERROR(__xludf.DUMMYFUNCTION("""COMPUTED_VALUE"""),"Paraiso do Tocantins")</f>
        <v>Paraiso do Tocantins</v>
      </c>
      <c r="C331" s="34" t="str">
        <f ca="1">IFERROR(__xludf.DUMMYFUNCTION("""COMPUTED_VALUE"""),"A. ESC COM. DA ESC EST J.K. DE OLIVEIRA")</f>
        <v>A. ESC COM. DA ESC EST J.K. DE OLIVEIRA</v>
      </c>
      <c r="D331" s="35" t="str">
        <f ca="1">IFERROR(__xludf.DUMMYFUNCTION("""COMPUTED_VALUE"""),"00921537000194")</f>
        <v>00921537000194</v>
      </c>
      <c r="E331" s="36" t="str">
        <f ca="1">IFERROR(__xludf.DUMMYFUNCTION("""COMPUTED_VALUE"""),"001")</f>
        <v>001</v>
      </c>
      <c r="F331" s="37" t="str">
        <f ca="1">IFERROR(__xludf.DUMMYFUNCTION("""COMPUTED_VALUE"""),"0804")</f>
        <v>0804</v>
      </c>
      <c r="G331" s="37" t="str">
        <f ca="1">IFERROR(__xludf.DUMMYFUNCTION("""COMPUTED_VALUE"""),"163821")</f>
        <v>163821</v>
      </c>
      <c r="H331" s="37">
        <f ca="1">IFERROR(__xludf.DUMMYFUNCTION("""COMPUTED_VALUE"""),0)</f>
        <v>0</v>
      </c>
      <c r="I331" s="37">
        <f ca="1">IFERROR(__xludf.DUMMYFUNCTION("""COMPUTED_VALUE"""),0)</f>
        <v>0</v>
      </c>
      <c r="J331" s="37">
        <f ca="1">IFERROR(__xludf.DUMMYFUNCTION("""COMPUTED_VALUE"""),5586)</f>
        <v>5586</v>
      </c>
      <c r="K331" s="37">
        <f ca="1">IFERROR(__xludf.DUMMYFUNCTION("""COMPUTED_VALUE"""),0)</f>
        <v>0</v>
      </c>
      <c r="L331" s="37">
        <f ca="1">IFERROR(__xludf.DUMMYFUNCTION("""COMPUTED_VALUE"""),0)</f>
        <v>0</v>
      </c>
      <c r="M331" s="37">
        <f ca="1">IFERROR(__xludf.DUMMYFUNCTION("""COMPUTED_VALUE"""),0)</f>
        <v>0</v>
      </c>
      <c r="N331" s="37">
        <f ca="1">IFERROR(__xludf.DUMMYFUNCTION("""COMPUTED_VALUE"""),0)</f>
        <v>0</v>
      </c>
      <c r="O331" s="37">
        <f ca="1">IFERROR(__xludf.DUMMYFUNCTION("""COMPUTED_VALUE"""),0)</f>
        <v>0</v>
      </c>
      <c r="P331" s="37">
        <f ca="1">IFERROR(__xludf.DUMMYFUNCTION("""COMPUTED_VALUE"""),0)</f>
        <v>0</v>
      </c>
      <c r="Q331" s="37">
        <f ca="1">IFERROR(__xludf.DUMMYFUNCTION("""COMPUTED_VALUE"""),441)</f>
        <v>441</v>
      </c>
      <c r="R331" s="37">
        <f ca="1">IFERROR(__xludf.DUMMYFUNCTION("""COMPUTED_VALUE"""),0)</f>
        <v>0</v>
      </c>
      <c r="S331" s="37">
        <f ca="1">IFERROR(__xludf.DUMMYFUNCTION("""COMPUTED_VALUE"""),0)</f>
        <v>0</v>
      </c>
      <c r="T331" s="37">
        <f ca="1">IFERROR(__xludf.DUMMYFUNCTION("""COMPUTED_VALUE"""),0)</f>
        <v>0</v>
      </c>
      <c r="U331" s="37">
        <f ca="1">IFERROR(__xludf.DUMMYFUNCTION("""COMPUTED_VALUE"""),0)</f>
        <v>0</v>
      </c>
      <c r="V331" s="37">
        <f ca="1">IFERROR(__xludf.DUMMYFUNCTION("""COMPUTED_VALUE"""),0)</f>
        <v>0</v>
      </c>
      <c r="W331" s="37">
        <f ca="1">IFERROR(__xludf.DUMMYFUNCTION("""COMPUTED_VALUE"""),0)</f>
        <v>0</v>
      </c>
      <c r="X331" s="37">
        <f ca="1">IFERROR(__xludf.DUMMYFUNCTION("""COMPUTED_VALUE"""),0)</f>
        <v>0</v>
      </c>
      <c r="Y331" s="37">
        <f ca="1">IFERROR(__xludf.DUMMYFUNCTION("""COMPUTED_VALUE"""),0)</f>
        <v>0</v>
      </c>
      <c r="Z331" s="37">
        <f ca="1">IFERROR(__xludf.DUMMYFUNCTION("""COMPUTED_VALUE"""),0)</f>
        <v>0</v>
      </c>
    </row>
    <row r="332" spans="1:26" ht="12.75">
      <c r="A332" s="38" t="str">
        <f ca="1">IFERROR(__xludf.DUMMYFUNCTION("""COMPUTED_VALUE"""),"Paraíso")</f>
        <v>Paraíso</v>
      </c>
      <c r="B332" s="38" t="str">
        <f ca="1">IFERROR(__xludf.DUMMYFUNCTION("""COMPUTED_VALUE"""),"Paraiso do Tocantins")</f>
        <v>Paraiso do Tocantins</v>
      </c>
      <c r="C332" s="39" t="str">
        <f ca="1">IFERROR(__xludf.DUMMYFUNCTION("""COMPUTED_VALUE"""),"A.A.  ESCOLA EST. SAO JOSE OPERARIO")</f>
        <v>A.A.  ESCOLA EST. SAO JOSE OPERARIO</v>
      </c>
      <c r="D332" s="40" t="str">
        <f ca="1">IFERROR(__xludf.DUMMYFUNCTION("""COMPUTED_VALUE"""),"01186454000161")</f>
        <v>01186454000161</v>
      </c>
      <c r="E332" s="41" t="str">
        <f ca="1">IFERROR(__xludf.DUMMYFUNCTION("""COMPUTED_VALUE"""),"001")</f>
        <v>001</v>
      </c>
      <c r="F332" s="42" t="str">
        <f ca="1">IFERROR(__xludf.DUMMYFUNCTION("""COMPUTED_VALUE"""),"0804")</f>
        <v>0804</v>
      </c>
      <c r="G332" s="42" t="str">
        <f ca="1">IFERROR(__xludf.DUMMYFUNCTION("""COMPUTED_VALUE"""),"285986")</f>
        <v>285986</v>
      </c>
      <c r="H332" s="42">
        <f ca="1">IFERROR(__xludf.DUMMYFUNCTION("""COMPUTED_VALUE"""),0)</f>
        <v>0</v>
      </c>
      <c r="I332" s="42">
        <f ca="1">IFERROR(__xludf.DUMMYFUNCTION("""COMPUTED_VALUE"""),0)</f>
        <v>0</v>
      </c>
      <c r="J332" s="42">
        <f ca="1">IFERROR(__xludf.DUMMYFUNCTION("""COMPUTED_VALUE"""),8967)</f>
        <v>8967</v>
      </c>
      <c r="K332" s="42">
        <f ca="1">IFERROR(__xludf.DUMMYFUNCTION("""COMPUTED_VALUE"""),0)</f>
        <v>0</v>
      </c>
      <c r="L332" s="42">
        <f ca="1">IFERROR(__xludf.DUMMYFUNCTION("""COMPUTED_VALUE"""),0)</f>
        <v>0</v>
      </c>
      <c r="M332" s="42">
        <f ca="1">IFERROR(__xludf.DUMMYFUNCTION("""COMPUTED_VALUE"""),0)</f>
        <v>0</v>
      </c>
      <c r="N332" s="42">
        <f ca="1">IFERROR(__xludf.DUMMYFUNCTION("""COMPUTED_VALUE"""),0)</f>
        <v>0</v>
      </c>
      <c r="O332" s="42">
        <f ca="1">IFERROR(__xludf.DUMMYFUNCTION("""COMPUTED_VALUE"""),0)</f>
        <v>0</v>
      </c>
      <c r="P332" s="42">
        <f ca="1">IFERROR(__xludf.DUMMYFUNCTION("""COMPUTED_VALUE"""),0)</f>
        <v>0</v>
      </c>
      <c r="Q332" s="42">
        <f ca="1">IFERROR(__xludf.DUMMYFUNCTION("""COMPUTED_VALUE"""),2268)</f>
        <v>2268</v>
      </c>
      <c r="R332" s="42">
        <f ca="1">IFERROR(__xludf.DUMMYFUNCTION("""COMPUTED_VALUE"""),0)</f>
        <v>0</v>
      </c>
      <c r="S332" s="42">
        <f ca="1">IFERROR(__xludf.DUMMYFUNCTION("""COMPUTED_VALUE"""),0)</f>
        <v>0</v>
      </c>
      <c r="T332" s="42">
        <f ca="1">IFERROR(__xludf.DUMMYFUNCTION("""COMPUTED_VALUE"""),0)</f>
        <v>0</v>
      </c>
      <c r="U332" s="42">
        <f ca="1">IFERROR(__xludf.DUMMYFUNCTION("""COMPUTED_VALUE"""),0)</f>
        <v>0</v>
      </c>
      <c r="V332" s="42">
        <f ca="1">IFERROR(__xludf.DUMMYFUNCTION("""COMPUTED_VALUE"""),0)</f>
        <v>0</v>
      </c>
      <c r="W332" s="42">
        <f ca="1">IFERROR(__xludf.DUMMYFUNCTION("""COMPUTED_VALUE"""),0)</f>
        <v>0</v>
      </c>
      <c r="X332" s="42">
        <f ca="1">IFERROR(__xludf.DUMMYFUNCTION("""COMPUTED_VALUE"""),0)</f>
        <v>0</v>
      </c>
      <c r="Y332" s="42">
        <f ca="1">IFERROR(__xludf.DUMMYFUNCTION("""COMPUTED_VALUE"""),0)</f>
        <v>0</v>
      </c>
      <c r="Z332" s="42">
        <f ca="1">IFERROR(__xludf.DUMMYFUNCTION("""COMPUTED_VALUE"""),0)</f>
        <v>0</v>
      </c>
    </row>
    <row r="333" spans="1:26" ht="12.75">
      <c r="A333" s="33" t="str">
        <f ca="1">IFERROR(__xludf.DUMMYFUNCTION("""COMPUTED_VALUE"""),"Paraíso")</f>
        <v>Paraíso</v>
      </c>
      <c r="B333" s="33" t="str">
        <f ca="1">IFERROR(__xludf.DUMMYFUNCTION("""COMPUTED_VALUE"""),"Paraiso do Tocantins")</f>
        <v>Paraiso do Tocantins</v>
      </c>
      <c r="C333" s="34" t="str">
        <f ca="1">IFERROR(__xludf.DUMMYFUNCTION("""COMPUTED_VALUE"""),"A.A. DO COL. PRESB. VALE DO TOCANTINS")</f>
        <v>A.A. DO COL. PRESB. VALE DO TOCANTINS</v>
      </c>
      <c r="D333" s="35" t="str">
        <f ca="1">IFERROR(__xludf.DUMMYFUNCTION("""COMPUTED_VALUE"""),"01071426000107")</f>
        <v>01071426000107</v>
      </c>
      <c r="E333" s="36" t="str">
        <f ca="1">IFERROR(__xludf.DUMMYFUNCTION("""COMPUTED_VALUE"""),"001")</f>
        <v>001</v>
      </c>
      <c r="F333" s="37" t="str">
        <f ca="1">IFERROR(__xludf.DUMMYFUNCTION("""COMPUTED_VALUE"""),"0804")</f>
        <v>0804</v>
      </c>
      <c r="G333" s="37" t="str">
        <f ca="1">IFERROR(__xludf.DUMMYFUNCTION("""COMPUTED_VALUE"""),"311618")</f>
        <v>311618</v>
      </c>
      <c r="H333" s="37">
        <f ca="1">IFERROR(__xludf.DUMMYFUNCTION("""COMPUTED_VALUE"""),0)</f>
        <v>0</v>
      </c>
      <c r="I333" s="37">
        <f ca="1">IFERROR(__xludf.DUMMYFUNCTION("""COMPUTED_VALUE"""),0)</f>
        <v>0</v>
      </c>
      <c r="J333" s="37">
        <f ca="1">IFERROR(__xludf.DUMMYFUNCTION("""COMPUTED_VALUE"""),10353)</f>
        <v>10353</v>
      </c>
      <c r="K333" s="37">
        <f ca="1">IFERROR(__xludf.DUMMYFUNCTION("""COMPUTED_VALUE"""),0)</f>
        <v>0</v>
      </c>
      <c r="L333" s="37">
        <f ca="1">IFERROR(__xludf.DUMMYFUNCTION("""COMPUTED_VALUE"""),0)</f>
        <v>0</v>
      </c>
      <c r="M333" s="37">
        <f ca="1">IFERROR(__xludf.DUMMYFUNCTION("""COMPUTED_VALUE"""),0)</f>
        <v>0</v>
      </c>
      <c r="N333" s="37">
        <f ca="1">IFERROR(__xludf.DUMMYFUNCTION("""COMPUTED_VALUE"""),0)</f>
        <v>0</v>
      </c>
      <c r="O333" s="37">
        <f ca="1">IFERROR(__xludf.DUMMYFUNCTION("""COMPUTED_VALUE"""),0)</f>
        <v>0</v>
      </c>
      <c r="P333" s="37">
        <f ca="1">IFERROR(__xludf.DUMMYFUNCTION("""COMPUTED_VALUE"""),0)</f>
        <v>0</v>
      </c>
      <c r="Q333" s="37">
        <f ca="1">IFERROR(__xludf.DUMMYFUNCTION("""COMPUTED_VALUE"""),7938)</f>
        <v>7938</v>
      </c>
      <c r="R333" s="37">
        <f ca="1">IFERROR(__xludf.DUMMYFUNCTION("""COMPUTED_VALUE"""),0)</f>
        <v>0</v>
      </c>
      <c r="S333" s="37">
        <f ca="1">IFERROR(__xludf.DUMMYFUNCTION("""COMPUTED_VALUE"""),0)</f>
        <v>0</v>
      </c>
      <c r="T333" s="37">
        <f ca="1">IFERROR(__xludf.DUMMYFUNCTION("""COMPUTED_VALUE"""),0)</f>
        <v>0</v>
      </c>
      <c r="U333" s="37">
        <f ca="1">IFERROR(__xludf.DUMMYFUNCTION("""COMPUTED_VALUE"""),0)</f>
        <v>0</v>
      </c>
      <c r="V333" s="37">
        <f ca="1">IFERROR(__xludf.DUMMYFUNCTION("""COMPUTED_VALUE"""),0)</f>
        <v>0</v>
      </c>
      <c r="W333" s="37">
        <f ca="1">IFERROR(__xludf.DUMMYFUNCTION("""COMPUTED_VALUE"""),0)</f>
        <v>0</v>
      </c>
      <c r="X333" s="37">
        <f ca="1">IFERROR(__xludf.DUMMYFUNCTION("""COMPUTED_VALUE"""),0)</f>
        <v>0</v>
      </c>
      <c r="Y333" s="37">
        <f ca="1">IFERROR(__xludf.DUMMYFUNCTION("""COMPUTED_VALUE"""),0)</f>
        <v>0</v>
      </c>
      <c r="Z333" s="37">
        <f ca="1">IFERROR(__xludf.DUMMYFUNCTION("""COMPUTED_VALUE"""),0)</f>
        <v>0</v>
      </c>
    </row>
    <row r="334" spans="1:26" ht="12.75">
      <c r="A334" s="38" t="str">
        <f ca="1">IFERROR(__xludf.DUMMYFUNCTION("""COMPUTED_VALUE"""),"Paraíso")</f>
        <v>Paraíso</v>
      </c>
      <c r="B334" s="38" t="str">
        <f ca="1">IFERROR(__xludf.DUMMYFUNCTION("""COMPUTED_VALUE"""),"Paraiso do Tocantins")</f>
        <v>Paraiso do Tocantins</v>
      </c>
      <c r="C334" s="39" t="str">
        <f ca="1">IFERROR(__xludf.DUMMYFUNCTION("""COMPUTED_VALUE"""),"ASS. A. ESCOLA EST. DE TEMPO INTEGRAL PROFESSORA RITA ANDRADE SANTOS")</f>
        <v>ASS. A. ESCOLA EST. DE TEMPO INTEGRAL PROFESSORA RITA ANDRADE SANTOS</v>
      </c>
      <c r="D334" s="40" t="str">
        <f ca="1">IFERROR(__xludf.DUMMYFUNCTION("""COMPUTED_VALUE"""),"48740961000169")</f>
        <v>48740961000169</v>
      </c>
      <c r="E334" s="41" t="str">
        <f ca="1">IFERROR(__xludf.DUMMYFUNCTION("""COMPUTED_VALUE"""),"001")</f>
        <v>001</v>
      </c>
      <c r="F334" s="42" t="str">
        <f ca="1">IFERROR(__xludf.DUMMYFUNCTION("""COMPUTED_VALUE"""),"0804")</f>
        <v>0804</v>
      </c>
      <c r="G334" s="42" t="str">
        <f ca="1">IFERROR(__xludf.DUMMYFUNCTION("""COMPUTED_VALUE"""),"58858X")</f>
        <v>58858X</v>
      </c>
      <c r="H334" s="42">
        <f ca="1">IFERROR(__xludf.DUMMYFUNCTION("""COMPUTED_VALUE"""),0)</f>
        <v>0</v>
      </c>
      <c r="I334" s="42">
        <f ca="1">IFERROR(__xludf.DUMMYFUNCTION("""COMPUTED_VALUE"""),0)</f>
        <v>0</v>
      </c>
      <c r="J334" s="42">
        <f ca="1">IFERROR(__xludf.DUMMYFUNCTION("""COMPUTED_VALUE"""),0)</f>
        <v>0</v>
      </c>
      <c r="K334" s="42">
        <f ca="1">IFERROR(__xludf.DUMMYFUNCTION("""COMPUTED_VALUE"""),38337.6)</f>
        <v>38337.599999999999</v>
      </c>
      <c r="L334" s="42">
        <f ca="1">IFERROR(__xludf.DUMMYFUNCTION("""COMPUTED_VALUE"""),0)</f>
        <v>0</v>
      </c>
      <c r="M334" s="42">
        <f ca="1">IFERROR(__xludf.DUMMYFUNCTION("""COMPUTED_VALUE"""),0)</f>
        <v>0</v>
      </c>
      <c r="N334" s="42">
        <f ca="1">IFERROR(__xludf.DUMMYFUNCTION("""COMPUTED_VALUE"""),0)</f>
        <v>0</v>
      </c>
      <c r="O334" s="42">
        <f ca="1">IFERROR(__xludf.DUMMYFUNCTION("""COMPUTED_VALUE"""),0)</f>
        <v>0</v>
      </c>
      <c r="P334" s="42">
        <f ca="1">IFERROR(__xludf.DUMMYFUNCTION("""COMPUTED_VALUE"""),0)</f>
        <v>0</v>
      </c>
      <c r="Q334" s="42">
        <f ca="1">IFERROR(__xludf.DUMMYFUNCTION("""COMPUTED_VALUE"""),0)</f>
        <v>0</v>
      </c>
      <c r="R334" s="42">
        <f ca="1">IFERROR(__xludf.DUMMYFUNCTION("""COMPUTED_VALUE"""),2195.2)</f>
        <v>2195.1999999999998</v>
      </c>
      <c r="S334" s="42">
        <f ca="1">IFERROR(__xludf.DUMMYFUNCTION("""COMPUTED_VALUE"""),0)</f>
        <v>0</v>
      </c>
      <c r="T334" s="42">
        <f ca="1">IFERROR(__xludf.DUMMYFUNCTION("""COMPUTED_VALUE"""),0)</f>
        <v>0</v>
      </c>
      <c r="U334" s="42">
        <f ca="1">IFERROR(__xludf.DUMMYFUNCTION("""COMPUTED_VALUE"""),0)</f>
        <v>0</v>
      </c>
      <c r="V334" s="42">
        <f ca="1">IFERROR(__xludf.DUMMYFUNCTION("""COMPUTED_VALUE"""),0)</f>
        <v>0</v>
      </c>
      <c r="W334" s="42">
        <f ca="1">IFERROR(__xludf.DUMMYFUNCTION("""COMPUTED_VALUE"""),0)</f>
        <v>0</v>
      </c>
      <c r="X334" s="42">
        <f ca="1">IFERROR(__xludf.DUMMYFUNCTION("""COMPUTED_VALUE"""),0)</f>
        <v>0</v>
      </c>
      <c r="Y334" s="42">
        <f ca="1">IFERROR(__xludf.DUMMYFUNCTION("""COMPUTED_VALUE"""),0)</f>
        <v>0</v>
      </c>
      <c r="Z334" s="42">
        <f ca="1">IFERROR(__xludf.DUMMYFUNCTION("""COMPUTED_VALUE"""),3393.2)</f>
        <v>3393.2</v>
      </c>
    </row>
    <row r="335" spans="1:26" ht="12.75">
      <c r="A335" s="33" t="str">
        <f ca="1">IFERROR(__xludf.DUMMYFUNCTION("""COMPUTED_VALUE"""),"Paraíso")</f>
        <v>Paraíso</v>
      </c>
      <c r="B335" s="33" t="str">
        <f ca="1">IFERROR(__xludf.DUMMYFUNCTION("""COMPUTED_VALUE"""),"Pium")</f>
        <v>Pium</v>
      </c>
      <c r="C335" s="34" t="str">
        <f ca="1">IFERROR(__xludf.DUMMYFUNCTION("""COMPUTED_VALUE"""),"A.A. COLEGIO ESTADUAL BARTOLOMEU BUENO")</f>
        <v>A.A. COLEGIO ESTADUAL BARTOLOMEU BUENO</v>
      </c>
      <c r="D335" s="35" t="str">
        <f ca="1">IFERROR(__xludf.DUMMYFUNCTION("""COMPUTED_VALUE"""),"01071436000134")</f>
        <v>01071436000134</v>
      </c>
      <c r="E335" s="36" t="str">
        <f ca="1">IFERROR(__xludf.DUMMYFUNCTION("""COMPUTED_VALUE"""),"001")</f>
        <v>001</v>
      </c>
      <c r="F335" s="37" t="str">
        <f ca="1">IFERROR(__xludf.DUMMYFUNCTION("""COMPUTED_VALUE"""),"0804")</f>
        <v>0804</v>
      </c>
      <c r="G335" s="37" t="str">
        <f ca="1">IFERROR(__xludf.DUMMYFUNCTION("""COMPUTED_VALUE"""),"286206")</f>
        <v>286206</v>
      </c>
      <c r="H335" s="37">
        <f ca="1">IFERROR(__xludf.DUMMYFUNCTION("""COMPUTED_VALUE"""),0)</f>
        <v>0</v>
      </c>
      <c r="I335" s="37">
        <f ca="1">IFERROR(__xludf.DUMMYFUNCTION("""COMPUTED_VALUE"""),0)</f>
        <v>0</v>
      </c>
      <c r="J335" s="37">
        <f ca="1">IFERROR(__xludf.DUMMYFUNCTION("""COMPUTED_VALUE"""),1239)</f>
        <v>1239</v>
      </c>
      <c r="K335" s="37">
        <f ca="1">IFERROR(__xludf.DUMMYFUNCTION("""COMPUTED_VALUE"""),0)</f>
        <v>0</v>
      </c>
      <c r="L335" s="37">
        <f ca="1">IFERROR(__xludf.DUMMYFUNCTION("""COMPUTED_VALUE"""),0)</f>
        <v>0</v>
      </c>
      <c r="M335" s="37">
        <f ca="1">IFERROR(__xludf.DUMMYFUNCTION("""COMPUTED_VALUE"""),0)</f>
        <v>0</v>
      </c>
      <c r="N335" s="37">
        <f ca="1">IFERROR(__xludf.DUMMYFUNCTION("""COMPUTED_VALUE"""),0)</f>
        <v>0</v>
      </c>
      <c r="O335" s="37">
        <f ca="1">IFERROR(__xludf.DUMMYFUNCTION("""COMPUTED_VALUE"""),0)</f>
        <v>0</v>
      </c>
      <c r="P335" s="37">
        <f ca="1">IFERROR(__xludf.DUMMYFUNCTION("""COMPUTED_VALUE"""),252)</f>
        <v>252</v>
      </c>
      <c r="Q335" s="37">
        <f ca="1">IFERROR(__xludf.DUMMYFUNCTION("""COMPUTED_VALUE"""),6069)</f>
        <v>6069</v>
      </c>
      <c r="R335" s="37">
        <f ca="1">IFERROR(__xludf.DUMMYFUNCTION("""COMPUTED_VALUE"""),0)</f>
        <v>0</v>
      </c>
      <c r="S335" s="37">
        <f ca="1">IFERROR(__xludf.DUMMYFUNCTION("""COMPUTED_VALUE"""),0)</f>
        <v>0</v>
      </c>
      <c r="T335" s="37">
        <f ca="1">IFERROR(__xludf.DUMMYFUNCTION("""COMPUTED_VALUE"""),0)</f>
        <v>0</v>
      </c>
      <c r="U335" s="37">
        <f ca="1">IFERROR(__xludf.DUMMYFUNCTION("""COMPUTED_VALUE"""),0)</f>
        <v>0</v>
      </c>
      <c r="V335" s="37">
        <f ca="1">IFERROR(__xludf.DUMMYFUNCTION("""COMPUTED_VALUE"""),0)</f>
        <v>0</v>
      </c>
      <c r="W335" s="37">
        <f ca="1">IFERROR(__xludf.DUMMYFUNCTION("""COMPUTED_VALUE"""),0)</f>
        <v>0</v>
      </c>
      <c r="X335" s="37">
        <f ca="1">IFERROR(__xludf.DUMMYFUNCTION("""COMPUTED_VALUE"""),0)</f>
        <v>0</v>
      </c>
      <c r="Y335" s="37">
        <f ca="1">IFERROR(__xludf.DUMMYFUNCTION("""COMPUTED_VALUE"""),0)</f>
        <v>0</v>
      </c>
      <c r="Z335" s="37">
        <f ca="1">IFERROR(__xludf.DUMMYFUNCTION("""COMPUTED_VALUE"""),0)</f>
        <v>0</v>
      </c>
    </row>
    <row r="336" spans="1:26" ht="12.75">
      <c r="A336" s="38" t="str">
        <f ca="1">IFERROR(__xludf.DUMMYFUNCTION("""COMPUTED_VALUE"""),"Paraíso")</f>
        <v>Paraíso</v>
      </c>
      <c r="B336" s="38" t="str">
        <f ca="1">IFERROR(__xludf.DUMMYFUNCTION("""COMPUTED_VALUE"""),"Pugmil")</f>
        <v>Pugmil</v>
      </c>
      <c r="C336" s="39" t="str">
        <f ca="1">IFERROR(__xludf.DUMMYFUNCTION("""COMPUTED_VALUE"""),"A.A. DA ESC. EST. DARCY RIBEIRO")</f>
        <v>A.A. DA ESC. EST. DARCY RIBEIRO</v>
      </c>
      <c r="D336" s="40" t="str">
        <f ca="1">IFERROR(__xludf.DUMMYFUNCTION("""COMPUTED_VALUE"""),"02382845000114")</f>
        <v>02382845000114</v>
      </c>
      <c r="E336" s="41" t="str">
        <f ca="1">IFERROR(__xludf.DUMMYFUNCTION("""COMPUTED_VALUE"""),"001")</f>
        <v>001</v>
      </c>
      <c r="F336" s="42" t="str">
        <f ca="1">IFERROR(__xludf.DUMMYFUNCTION("""COMPUTED_VALUE"""),"0804")</f>
        <v>0804</v>
      </c>
      <c r="G336" s="42" t="str">
        <f ca="1">IFERROR(__xludf.DUMMYFUNCTION("""COMPUTED_VALUE"""),"286648")</f>
        <v>286648</v>
      </c>
      <c r="H336" s="42">
        <f ca="1">IFERROR(__xludf.DUMMYFUNCTION("""COMPUTED_VALUE"""),0)</f>
        <v>0</v>
      </c>
      <c r="I336" s="42">
        <f ca="1">IFERROR(__xludf.DUMMYFUNCTION("""COMPUTED_VALUE"""),0)</f>
        <v>0</v>
      </c>
      <c r="J336" s="42">
        <f ca="1">IFERROR(__xludf.DUMMYFUNCTION("""COMPUTED_VALUE"""),1281)</f>
        <v>1281</v>
      </c>
      <c r="K336" s="42">
        <f ca="1">IFERROR(__xludf.DUMMYFUNCTION("""COMPUTED_VALUE"""),0)</f>
        <v>0</v>
      </c>
      <c r="L336" s="42">
        <f ca="1">IFERROR(__xludf.DUMMYFUNCTION("""COMPUTED_VALUE"""),0)</f>
        <v>0</v>
      </c>
      <c r="M336" s="42">
        <f ca="1">IFERROR(__xludf.DUMMYFUNCTION("""COMPUTED_VALUE"""),0)</f>
        <v>0</v>
      </c>
      <c r="N336" s="42">
        <f ca="1">IFERROR(__xludf.DUMMYFUNCTION("""COMPUTED_VALUE"""),0)</f>
        <v>0</v>
      </c>
      <c r="O336" s="42">
        <f ca="1">IFERROR(__xludf.DUMMYFUNCTION("""COMPUTED_VALUE"""),0)</f>
        <v>0</v>
      </c>
      <c r="P336" s="42">
        <f ca="1">IFERROR(__xludf.DUMMYFUNCTION("""COMPUTED_VALUE"""),0)</f>
        <v>0</v>
      </c>
      <c r="Q336" s="42">
        <f ca="1">IFERROR(__xludf.DUMMYFUNCTION("""COMPUTED_VALUE"""),1890)</f>
        <v>1890</v>
      </c>
      <c r="R336" s="42">
        <f ca="1">IFERROR(__xludf.DUMMYFUNCTION("""COMPUTED_VALUE"""),0)</f>
        <v>0</v>
      </c>
      <c r="S336" s="42">
        <f ca="1">IFERROR(__xludf.DUMMYFUNCTION("""COMPUTED_VALUE"""),0)</f>
        <v>0</v>
      </c>
      <c r="T336" s="42">
        <f ca="1">IFERROR(__xludf.DUMMYFUNCTION("""COMPUTED_VALUE"""),273)</f>
        <v>273</v>
      </c>
      <c r="U336" s="42">
        <f ca="1">IFERROR(__xludf.DUMMYFUNCTION("""COMPUTED_VALUE"""),0)</f>
        <v>0</v>
      </c>
      <c r="V336" s="42">
        <f ca="1">IFERROR(__xludf.DUMMYFUNCTION("""COMPUTED_VALUE"""),0)</f>
        <v>0</v>
      </c>
      <c r="W336" s="42">
        <f ca="1">IFERROR(__xludf.DUMMYFUNCTION("""COMPUTED_VALUE"""),0)</f>
        <v>0</v>
      </c>
      <c r="X336" s="42">
        <f ca="1">IFERROR(__xludf.DUMMYFUNCTION("""COMPUTED_VALUE"""),0)</f>
        <v>0</v>
      </c>
      <c r="Y336" s="42">
        <f ca="1">IFERROR(__xludf.DUMMYFUNCTION("""COMPUTED_VALUE"""),0)</f>
        <v>0</v>
      </c>
      <c r="Z336" s="42">
        <f ca="1">IFERROR(__xludf.DUMMYFUNCTION("""COMPUTED_VALUE"""),0)</f>
        <v>0</v>
      </c>
    </row>
    <row r="337" spans="1:26" ht="12.75">
      <c r="A337" s="33" t="str">
        <f ca="1">IFERROR(__xludf.DUMMYFUNCTION("""COMPUTED_VALUE"""),"Pedro Afonso")</f>
        <v>Pedro Afonso</v>
      </c>
      <c r="B337" s="33" t="str">
        <f ca="1">IFERROR(__xludf.DUMMYFUNCTION("""COMPUTED_VALUE"""),"Bom Jesus do Tocantins")</f>
        <v>Bom Jesus do Tocantins</v>
      </c>
      <c r="C337" s="34" t="str">
        <f ca="1">IFERROR(__xludf.DUMMYFUNCTION("""COMPUTED_VALUE"""),"ASSOC. DE AP.A ESC. EST. ALFREDO NASSER")</f>
        <v>ASSOC. DE AP.A ESC. EST. ALFREDO NASSER</v>
      </c>
      <c r="D337" s="35" t="str">
        <f ca="1">IFERROR(__xludf.DUMMYFUNCTION("""COMPUTED_VALUE"""),"01138329000186")</f>
        <v>01138329000186</v>
      </c>
      <c r="E337" s="36" t="str">
        <f ca="1">IFERROR(__xludf.DUMMYFUNCTION("""COMPUTED_VALUE"""),"001")</f>
        <v>001</v>
      </c>
      <c r="F337" s="37" t="str">
        <f ca="1">IFERROR(__xludf.DUMMYFUNCTION("""COMPUTED_VALUE"""),"1595")</f>
        <v>1595</v>
      </c>
      <c r="G337" s="37" t="str">
        <f ca="1">IFERROR(__xludf.DUMMYFUNCTION("""COMPUTED_VALUE"""),"59277")</f>
        <v>59277</v>
      </c>
      <c r="H337" s="37">
        <f ca="1">IFERROR(__xludf.DUMMYFUNCTION("""COMPUTED_VALUE"""),0)</f>
        <v>0</v>
      </c>
      <c r="I337" s="37">
        <f ca="1">IFERROR(__xludf.DUMMYFUNCTION("""COMPUTED_VALUE"""),0)</f>
        <v>0</v>
      </c>
      <c r="J337" s="37">
        <f ca="1">IFERROR(__xludf.DUMMYFUNCTION("""COMPUTED_VALUE"""),5460)</f>
        <v>5460</v>
      </c>
      <c r="K337" s="37">
        <f ca="1">IFERROR(__xludf.DUMMYFUNCTION("""COMPUTED_VALUE"""),0)</f>
        <v>0</v>
      </c>
      <c r="L337" s="37">
        <f ca="1">IFERROR(__xludf.DUMMYFUNCTION("""COMPUTED_VALUE"""),0)</f>
        <v>0</v>
      </c>
      <c r="M337" s="37">
        <f ca="1">IFERROR(__xludf.DUMMYFUNCTION("""COMPUTED_VALUE"""),0)</f>
        <v>0</v>
      </c>
      <c r="N337" s="37">
        <f ca="1">IFERROR(__xludf.DUMMYFUNCTION("""COMPUTED_VALUE"""),0)</f>
        <v>0</v>
      </c>
      <c r="O337" s="37">
        <f ca="1">IFERROR(__xludf.DUMMYFUNCTION("""COMPUTED_VALUE"""),0)</f>
        <v>0</v>
      </c>
      <c r="P337" s="37">
        <f ca="1">IFERROR(__xludf.DUMMYFUNCTION("""COMPUTED_VALUE"""),0)</f>
        <v>0</v>
      </c>
      <c r="Q337" s="37">
        <f ca="1">IFERROR(__xludf.DUMMYFUNCTION("""COMPUTED_VALUE"""),4221)</f>
        <v>4221</v>
      </c>
      <c r="R337" s="37">
        <f ca="1">IFERROR(__xludf.DUMMYFUNCTION("""COMPUTED_VALUE"""),0)</f>
        <v>0</v>
      </c>
      <c r="S337" s="37">
        <f ca="1">IFERROR(__xludf.DUMMYFUNCTION("""COMPUTED_VALUE"""),0)</f>
        <v>0</v>
      </c>
      <c r="T337" s="37">
        <f ca="1">IFERROR(__xludf.DUMMYFUNCTION("""COMPUTED_VALUE"""),0)</f>
        <v>0</v>
      </c>
      <c r="U337" s="37">
        <f ca="1">IFERROR(__xludf.DUMMYFUNCTION("""COMPUTED_VALUE"""),0)</f>
        <v>0</v>
      </c>
      <c r="V337" s="37">
        <f ca="1">IFERROR(__xludf.DUMMYFUNCTION("""COMPUTED_VALUE"""),0)</f>
        <v>0</v>
      </c>
      <c r="W337" s="37">
        <f ca="1">IFERROR(__xludf.DUMMYFUNCTION("""COMPUTED_VALUE"""),0)</f>
        <v>0</v>
      </c>
      <c r="X337" s="37">
        <f ca="1">IFERROR(__xludf.DUMMYFUNCTION("""COMPUTED_VALUE"""),0)</f>
        <v>0</v>
      </c>
      <c r="Y337" s="37">
        <f ca="1">IFERROR(__xludf.DUMMYFUNCTION("""COMPUTED_VALUE"""),0)</f>
        <v>0</v>
      </c>
      <c r="Z337" s="37">
        <f ca="1">IFERROR(__xludf.DUMMYFUNCTION("""COMPUTED_VALUE"""),0)</f>
        <v>0</v>
      </c>
    </row>
    <row r="338" spans="1:26" ht="12.75">
      <c r="A338" s="38" t="str">
        <f ca="1">IFERROR(__xludf.DUMMYFUNCTION("""COMPUTED_VALUE"""),"Pedro Afonso")</f>
        <v>Pedro Afonso</v>
      </c>
      <c r="B338" s="38" t="str">
        <f ca="1">IFERROR(__xludf.DUMMYFUNCTION("""COMPUTED_VALUE"""),"Centenario")</f>
        <v>Centenario</v>
      </c>
      <c r="C338" s="39" t="str">
        <f ca="1">IFERROR(__xludf.DUMMYFUNCTION("""COMPUTED_VALUE"""),"A. ESC. COM. DO COL. EST. OTONIEL C.DE JESUS")</f>
        <v>A. ESC. COM. DO COL. EST. OTONIEL C.DE JESUS</v>
      </c>
      <c r="D338" s="40" t="str">
        <f ca="1">IFERROR(__xludf.DUMMYFUNCTION("""COMPUTED_VALUE"""),"02008180000183")</f>
        <v>02008180000183</v>
      </c>
      <c r="E338" s="41" t="str">
        <f ca="1">IFERROR(__xludf.DUMMYFUNCTION("""COMPUTED_VALUE"""),"001")</f>
        <v>001</v>
      </c>
      <c r="F338" s="42" t="str">
        <f ca="1">IFERROR(__xludf.DUMMYFUNCTION("""COMPUTED_VALUE"""),"1595")</f>
        <v>1595</v>
      </c>
      <c r="G338" s="42" t="str">
        <f ca="1">IFERROR(__xludf.DUMMYFUNCTION("""COMPUTED_VALUE"""),"10081")</f>
        <v>10081</v>
      </c>
      <c r="H338" s="42">
        <f ca="1">IFERROR(__xludf.DUMMYFUNCTION("""COMPUTED_VALUE"""),0)</f>
        <v>0</v>
      </c>
      <c r="I338" s="42">
        <f ca="1">IFERROR(__xludf.DUMMYFUNCTION("""COMPUTED_VALUE"""),0)</f>
        <v>0</v>
      </c>
      <c r="J338" s="42">
        <f ca="1">IFERROR(__xludf.DUMMYFUNCTION("""COMPUTED_VALUE"""),672)</f>
        <v>672</v>
      </c>
      <c r="K338" s="42">
        <f ca="1">IFERROR(__xludf.DUMMYFUNCTION("""COMPUTED_VALUE"""),0)</f>
        <v>0</v>
      </c>
      <c r="L338" s="42">
        <f ca="1">IFERROR(__xludf.DUMMYFUNCTION("""COMPUTED_VALUE"""),0)</f>
        <v>0</v>
      </c>
      <c r="M338" s="42">
        <f ca="1">IFERROR(__xludf.DUMMYFUNCTION("""COMPUTED_VALUE"""),0)</f>
        <v>0</v>
      </c>
      <c r="N338" s="42">
        <f ca="1">IFERROR(__xludf.DUMMYFUNCTION("""COMPUTED_VALUE"""),0)</f>
        <v>0</v>
      </c>
      <c r="O338" s="42">
        <f ca="1">IFERROR(__xludf.DUMMYFUNCTION("""COMPUTED_VALUE"""),0)</f>
        <v>0</v>
      </c>
      <c r="P338" s="42">
        <f ca="1">IFERROR(__xludf.DUMMYFUNCTION("""COMPUTED_VALUE"""),0)</f>
        <v>0</v>
      </c>
      <c r="Q338" s="42">
        <f ca="1">IFERROR(__xludf.DUMMYFUNCTION("""COMPUTED_VALUE"""),2310)</f>
        <v>2310</v>
      </c>
      <c r="R338" s="42">
        <f ca="1">IFERROR(__xludf.DUMMYFUNCTION("""COMPUTED_VALUE"""),0)</f>
        <v>0</v>
      </c>
      <c r="S338" s="42">
        <f ca="1">IFERROR(__xludf.DUMMYFUNCTION("""COMPUTED_VALUE"""),0)</f>
        <v>0</v>
      </c>
      <c r="T338" s="42">
        <f ca="1">IFERROR(__xludf.DUMMYFUNCTION("""COMPUTED_VALUE"""),0)</f>
        <v>0</v>
      </c>
      <c r="U338" s="42">
        <f ca="1">IFERROR(__xludf.DUMMYFUNCTION("""COMPUTED_VALUE"""),0)</f>
        <v>0</v>
      </c>
      <c r="V338" s="42">
        <f ca="1">IFERROR(__xludf.DUMMYFUNCTION("""COMPUTED_VALUE"""),0)</f>
        <v>0</v>
      </c>
      <c r="W338" s="42">
        <f ca="1">IFERROR(__xludf.DUMMYFUNCTION("""COMPUTED_VALUE"""),0)</f>
        <v>0</v>
      </c>
      <c r="X338" s="42">
        <f ca="1">IFERROR(__xludf.DUMMYFUNCTION("""COMPUTED_VALUE"""),0)</f>
        <v>0</v>
      </c>
      <c r="Y338" s="42">
        <f ca="1">IFERROR(__xludf.DUMMYFUNCTION("""COMPUTED_VALUE"""),0)</f>
        <v>0</v>
      </c>
      <c r="Z338" s="42">
        <f ca="1">IFERROR(__xludf.DUMMYFUNCTION("""COMPUTED_VALUE"""),0)</f>
        <v>0</v>
      </c>
    </row>
    <row r="339" spans="1:26" ht="12.75">
      <c r="A339" s="33" t="str">
        <f ca="1">IFERROR(__xludf.DUMMYFUNCTION("""COMPUTED_VALUE"""),"Pedro Afonso")</f>
        <v>Pedro Afonso</v>
      </c>
      <c r="B339" s="33" t="str">
        <f ca="1">IFERROR(__xludf.DUMMYFUNCTION("""COMPUTED_VALUE"""),"Itacaja")</f>
        <v>Itacaja</v>
      </c>
      <c r="C339" s="34" t="str">
        <f ca="1">IFERROR(__xludf.DUMMYFUNCTION("""COMPUTED_VALUE"""),"A.A. COLEGIO ESTADUAL DE ITACAJA")</f>
        <v>A.A. COLEGIO ESTADUAL DE ITACAJA</v>
      </c>
      <c r="D339" s="35" t="str">
        <f ca="1">IFERROR(__xludf.DUMMYFUNCTION("""COMPUTED_VALUE"""),"01138428000168")</f>
        <v>01138428000168</v>
      </c>
      <c r="E339" s="36" t="str">
        <f ca="1">IFERROR(__xludf.DUMMYFUNCTION("""COMPUTED_VALUE"""),"001")</f>
        <v>001</v>
      </c>
      <c r="F339" s="37" t="str">
        <f ca="1">IFERROR(__xludf.DUMMYFUNCTION("""COMPUTED_VALUE"""),"1595")</f>
        <v>1595</v>
      </c>
      <c r="G339" s="37" t="str">
        <f ca="1">IFERROR(__xludf.DUMMYFUNCTION("""COMPUTED_VALUE"""),"59773")</f>
        <v>59773</v>
      </c>
      <c r="H339" s="37">
        <f ca="1">IFERROR(__xludf.DUMMYFUNCTION("""COMPUTED_VALUE"""),0)</f>
        <v>0</v>
      </c>
      <c r="I339" s="37">
        <f ca="1">IFERROR(__xludf.DUMMYFUNCTION("""COMPUTED_VALUE"""),0)</f>
        <v>0</v>
      </c>
      <c r="J339" s="37">
        <f ca="1">IFERROR(__xludf.DUMMYFUNCTION("""COMPUTED_VALUE"""),6468)</f>
        <v>6468</v>
      </c>
      <c r="K339" s="37">
        <f ca="1">IFERROR(__xludf.DUMMYFUNCTION("""COMPUTED_VALUE"""),0)</f>
        <v>0</v>
      </c>
      <c r="L339" s="37">
        <f ca="1">IFERROR(__xludf.DUMMYFUNCTION("""COMPUTED_VALUE"""),0)</f>
        <v>0</v>
      </c>
      <c r="M339" s="37">
        <f ca="1">IFERROR(__xludf.DUMMYFUNCTION("""COMPUTED_VALUE"""),0)</f>
        <v>0</v>
      </c>
      <c r="N339" s="37">
        <f ca="1">IFERROR(__xludf.DUMMYFUNCTION("""COMPUTED_VALUE"""),0)</f>
        <v>0</v>
      </c>
      <c r="O339" s="37">
        <f ca="1">IFERROR(__xludf.DUMMYFUNCTION("""COMPUTED_VALUE"""),0)</f>
        <v>0</v>
      </c>
      <c r="P339" s="37">
        <f ca="1">IFERROR(__xludf.DUMMYFUNCTION("""COMPUTED_VALUE"""),0)</f>
        <v>0</v>
      </c>
      <c r="Q339" s="37">
        <f ca="1">IFERROR(__xludf.DUMMYFUNCTION("""COMPUTED_VALUE"""),4473)</f>
        <v>4473</v>
      </c>
      <c r="R339" s="37">
        <f ca="1">IFERROR(__xludf.DUMMYFUNCTION("""COMPUTED_VALUE"""),0)</f>
        <v>0</v>
      </c>
      <c r="S339" s="37">
        <f ca="1">IFERROR(__xludf.DUMMYFUNCTION("""COMPUTED_VALUE"""),0)</f>
        <v>0</v>
      </c>
      <c r="T339" s="37">
        <f ca="1">IFERROR(__xludf.DUMMYFUNCTION("""COMPUTED_VALUE"""),0)</f>
        <v>0</v>
      </c>
      <c r="U339" s="37">
        <f ca="1">IFERROR(__xludf.DUMMYFUNCTION("""COMPUTED_VALUE"""),0)</f>
        <v>0</v>
      </c>
      <c r="V339" s="37">
        <f ca="1">IFERROR(__xludf.DUMMYFUNCTION("""COMPUTED_VALUE"""),0)</f>
        <v>0</v>
      </c>
      <c r="W339" s="37">
        <f ca="1">IFERROR(__xludf.DUMMYFUNCTION("""COMPUTED_VALUE"""),0)</f>
        <v>0</v>
      </c>
      <c r="X339" s="37">
        <f ca="1">IFERROR(__xludf.DUMMYFUNCTION("""COMPUTED_VALUE"""),0)</f>
        <v>0</v>
      </c>
      <c r="Y339" s="37">
        <f ca="1">IFERROR(__xludf.DUMMYFUNCTION("""COMPUTED_VALUE"""),0)</f>
        <v>0</v>
      </c>
      <c r="Z339" s="37">
        <f ca="1">IFERROR(__xludf.DUMMYFUNCTION("""COMPUTED_VALUE"""),0)</f>
        <v>0</v>
      </c>
    </row>
    <row r="340" spans="1:26" ht="12.75">
      <c r="A340" s="38" t="str">
        <f ca="1">IFERROR(__xludf.DUMMYFUNCTION("""COMPUTED_VALUE"""),"Pedro Afonso")</f>
        <v>Pedro Afonso</v>
      </c>
      <c r="B340" s="38" t="str">
        <f ca="1">IFERROR(__xludf.DUMMYFUNCTION("""COMPUTED_VALUE"""),"Itacaja")</f>
        <v>Itacaja</v>
      </c>
      <c r="C340" s="39" t="str">
        <f ca="1">IFERROR(__xludf.DUMMYFUNCTION("""COMPUTED_VALUE"""),"ASSOC. APOIO ESC. EST. ALMEIDA SARDINHA")</f>
        <v>ASSOC. APOIO ESC. EST. ALMEIDA SARDINHA</v>
      </c>
      <c r="D340" s="40" t="str">
        <f ca="1">IFERROR(__xludf.DUMMYFUNCTION("""COMPUTED_VALUE"""),"01138335000133")</f>
        <v>01138335000133</v>
      </c>
      <c r="E340" s="41" t="str">
        <f ca="1">IFERROR(__xludf.DUMMYFUNCTION("""COMPUTED_VALUE"""),"001")</f>
        <v>001</v>
      </c>
      <c r="F340" s="42" t="str">
        <f ca="1">IFERROR(__xludf.DUMMYFUNCTION("""COMPUTED_VALUE"""),"2094")</f>
        <v>2094</v>
      </c>
      <c r="G340" s="42" t="str">
        <f ca="1">IFERROR(__xludf.DUMMYFUNCTION("""COMPUTED_VALUE"""),"466484")</f>
        <v>466484</v>
      </c>
      <c r="H340" s="42">
        <f ca="1">IFERROR(__xludf.DUMMYFUNCTION("""COMPUTED_VALUE"""),0)</f>
        <v>0</v>
      </c>
      <c r="I340" s="42">
        <f ca="1">IFERROR(__xludf.DUMMYFUNCTION("""COMPUTED_VALUE"""),0)</f>
        <v>0</v>
      </c>
      <c r="J340" s="42">
        <f ca="1">IFERROR(__xludf.DUMMYFUNCTION("""COMPUTED_VALUE"""),1932)</f>
        <v>1932</v>
      </c>
      <c r="K340" s="42">
        <f ca="1">IFERROR(__xludf.DUMMYFUNCTION("""COMPUTED_VALUE"""),0)</f>
        <v>0</v>
      </c>
      <c r="L340" s="42">
        <f ca="1">IFERROR(__xludf.DUMMYFUNCTION("""COMPUTED_VALUE"""),0)</f>
        <v>0</v>
      </c>
      <c r="M340" s="42">
        <f ca="1">IFERROR(__xludf.DUMMYFUNCTION("""COMPUTED_VALUE"""),0)</f>
        <v>0</v>
      </c>
      <c r="N340" s="42">
        <f ca="1">IFERROR(__xludf.DUMMYFUNCTION("""COMPUTED_VALUE"""),0)</f>
        <v>0</v>
      </c>
      <c r="O340" s="42">
        <f ca="1">IFERROR(__xludf.DUMMYFUNCTION("""COMPUTED_VALUE"""),0)</f>
        <v>0</v>
      </c>
      <c r="P340" s="42">
        <f ca="1">IFERROR(__xludf.DUMMYFUNCTION("""COMPUTED_VALUE"""),168)</f>
        <v>168</v>
      </c>
      <c r="Q340" s="42">
        <f ca="1">IFERROR(__xludf.DUMMYFUNCTION("""COMPUTED_VALUE"""),1050)</f>
        <v>1050</v>
      </c>
      <c r="R340" s="42">
        <f ca="1">IFERROR(__xludf.DUMMYFUNCTION("""COMPUTED_VALUE"""),0)</f>
        <v>0</v>
      </c>
      <c r="S340" s="42">
        <f ca="1">IFERROR(__xludf.DUMMYFUNCTION("""COMPUTED_VALUE"""),0)</f>
        <v>0</v>
      </c>
      <c r="T340" s="42">
        <f ca="1">IFERROR(__xludf.DUMMYFUNCTION("""COMPUTED_VALUE"""),840)</f>
        <v>840</v>
      </c>
      <c r="U340" s="42">
        <f ca="1">IFERROR(__xludf.DUMMYFUNCTION("""COMPUTED_VALUE"""),0)</f>
        <v>0</v>
      </c>
      <c r="V340" s="42">
        <f ca="1">IFERROR(__xludf.DUMMYFUNCTION("""COMPUTED_VALUE"""),0)</f>
        <v>0</v>
      </c>
      <c r="W340" s="42">
        <f ca="1">IFERROR(__xludf.DUMMYFUNCTION("""COMPUTED_VALUE"""),0)</f>
        <v>0</v>
      </c>
      <c r="X340" s="42">
        <f ca="1">IFERROR(__xludf.DUMMYFUNCTION("""COMPUTED_VALUE"""),0)</f>
        <v>0</v>
      </c>
      <c r="Y340" s="42">
        <f ca="1">IFERROR(__xludf.DUMMYFUNCTION("""COMPUTED_VALUE"""),0)</f>
        <v>0</v>
      </c>
      <c r="Z340" s="42">
        <f ca="1">IFERROR(__xludf.DUMMYFUNCTION("""COMPUTED_VALUE"""),0)</f>
        <v>0</v>
      </c>
    </row>
    <row r="341" spans="1:26" ht="12.75">
      <c r="A341" s="33" t="str">
        <f ca="1">IFERROR(__xludf.DUMMYFUNCTION("""COMPUTED_VALUE"""),"Pedro Afonso")</f>
        <v>Pedro Afonso</v>
      </c>
      <c r="B341" s="33" t="str">
        <f ca="1">IFERROR(__xludf.DUMMYFUNCTION("""COMPUTED_VALUE"""),"Itacajá")</f>
        <v>Itacajá</v>
      </c>
      <c r="C341" s="34" t="str">
        <f ca="1">IFERROR(__xludf.DUMMYFUNCTION("""COMPUTED_VALUE"""),"A.A. ESCOLAS ESTADUAIS INDIGENAS DE ITACAJA II")</f>
        <v>A.A. ESCOLAS ESTADUAIS INDIGENAS DE ITACAJA II</v>
      </c>
      <c r="D341" s="35" t="str">
        <f ca="1">IFERROR(__xludf.DUMMYFUNCTION("""COMPUTED_VALUE"""),"43551682000133")</f>
        <v>43551682000133</v>
      </c>
      <c r="E341" s="36" t="str">
        <f ca="1">IFERROR(__xludf.DUMMYFUNCTION("""COMPUTED_VALUE"""),"001")</f>
        <v>001</v>
      </c>
      <c r="F341" s="37" t="str">
        <f ca="1">IFERROR(__xludf.DUMMYFUNCTION("""COMPUTED_VALUE"""),"1595")</f>
        <v>1595</v>
      </c>
      <c r="G341" s="37" t="str">
        <f ca="1">IFERROR(__xludf.DUMMYFUNCTION("""COMPUTED_VALUE"""),"327905")</f>
        <v>327905</v>
      </c>
      <c r="H341" s="37">
        <f ca="1">IFERROR(__xludf.DUMMYFUNCTION("""COMPUTED_VALUE"""),0)</f>
        <v>0</v>
      </c>
      <c r="I341" s="37">
        <f ca="1">IFERROR(__xludf.DUMMYFUNCTION("""COMPUTED_VALUE"""),0)</f>
        <v>0</v>
      </c>
      <c r="J341" s="37">
        <f ca="1">IFERROR(__xludf.DUMMYFUNCTION("""COMPUTED_VALUE"""),0)</f>
        <v>0</v>
      </c>
      <c r="K341" s="37">
        <f ca="1">IFERROR(__xludf.DUMMYFUNCTION("""COMPUTED_VALUE"""),0)</f>
        <v>0</v>
      </c>
      <c r="L341" s="37">
        <f ca="1">IFERROR(__xludf.DUMMYFUNCTION("""COMPUTED_VALUE"""),0)</f>
        <v>0</v>
      </c>
      <c r="M341" s="37">
        <f ca="1">IFERROR(__xludf.DUMMYFUNCTION("""COMPUTED_VALUE"""),0)</f>
        <v>0</v>
      </c>
      <c r="N341" s="37">
        <f ca="1">IFERROR(__xludf.DUMMYFUNCTION("""COMPUTED_VALUE"""),0)</f>
        <v>0</v>
      </c>
      <c r="O341" s="37">
        <f ca="1">IFERROR(__xludf.DUMMYFUNCTION("""COMPUTED_VALUE"""),3423)</f>
        <v>3423</v>
      </c>
      <c r="P341" s="37">
        <f ca="1">IFERROR(__xludf.DUMMYFUNCTION("""COMPUTED_VALUE"""),0)</f>
        <v>0</v>
      </c>
      <c r="Q341" s="37">
        <f ca="1">IFERROR(__xludf.DUMMYFUNCTION("""COMPUTED_VALUE"""),0)</f>
        <v>0</v>
      </c>
      <c r="R341" s="37">
        <f ca="1">IFERROR(__xludf.DUMMYFUNCTION("""COMPUTED_VALUE"""),0)</f>
        <v>0</v>
      </c>
      <c r="S341" s="37">
        <f ca="1">IFERROR(__xludf.DUMMYFUNCTION("""COMPUTED_VALUE"""),0)</f>
        <v>0</v>
      </c>
      <c r="T341" s="37">
        <f ca="1">IFERROR(__xludf.DUMMYFUNCTION("""COMPUTED_VALUE"""),0)</f>
        <v>0</v>
      </c>
      <c r="U341" s="37">
        <f ca="1">IFERROR(__xludf.DUMMYFUNCTION("""COMPUTED_VALUE"""),0)</f>
        <v>0</v>
      </c>
      <c r="V341" s="37">
        <f ca="1">IFERROR(__xludf.DUMMYFUNCTION("""COMPUTED_VALUE"""),0)</f>
        <v>0</v>
      </c>
      <c r="W341" s="37">
        <f ca="1">IFERROR(__xludf.DUMMYFUNCTION("""COMPUTED_VALUE"""),0)</f>
        <v>0</v>
      </c>
      <c r="X341" s="37">
        <f ca="1">IFERROR(__xludf.DUMMYFUNCTION("""COMPUTED_VALUE"""),0)</f>
        <v>0</v>
      </c>
      <c r="Y341" s="37">
        <f ca="1">IFERROR(__xludf.DUMMYFUNCTION("""COMPUTED_VALUE"""),0)</f>
        <v>0</v>
      </c>
      <c r="Z341" s="37">
        <f ca="1">IFERROR(__xludf.DUMMYFUNCTION("""COMPUTED_VALUE"""),0)</f>
        <v>0</v>
      </c>
    </row>
    <row r="342" spans="1:26" ht="12.75">
      <c r="A342" s="38" t="str">
        <f ca="1">IFERROR(__xludf.DUMMYFUNCTION("""COMPUTED_VALUE"""),"Pedro Afonso")</f>
        <v>Pedro Afonso</v>
      </c>
      <c r="B342" s="38" t="str">
        <f ca="1">IFERROR(__xludf.DUMMYFUNCTION("""COMPUTED_VALUE"""),"Pedro Afonso")</f>
        <v>Pedro Afonso</v>
      </c>
      <c r="C342" s="39" t="str">
        <f ca="1">IFERROR(__xludf.DUMMYFUNCTION("""COMPUTED_VALUE"""),"A.A. EC.INDIGENAS")</f>
        <v>A.A. EC.INDIGENAS</v>
      </c>
      <c r="D342" s="40" t="str">
        <f ca="1">IFERROR(__xludf.DUMMYFUNCTION("""COMPUTED_VALUE"""),"06135108000178")</f>
        <v>06135108000178</v>
      </c>
      <c r="E342" s="41" t="str">
        <f ca="1">IFERROR(__xludf.DUMMYFUNCTION("""COMPUTED_VALUE"""),"001")</f>
        <v>001</v>
      </c>
      <c r="F342" s="42" t="str">
        <f ca="1">IFERROR(__xludf.DUMMYFUNCTION("""COMPUTED_VALUE"""),"1595")</f>
        <v>1595</v>
      </c>
      <c r="G342" s="42" t="str">
        <f ca="1">IFERROR(__xludf.DUMMYFUNCTION("""COMPUTED_VALUE"""),"114499")</f>
        <v>114499</v>
      </c>
      <c r="H342" s="42">
        <f ca="1">IFERROR(__xludf.DUMMYFUNCTION("""COMPUTED_VALUE"""),0)</f>
        <v>0</v>
      </c>
      <c r="I342" s="42">
        <f ca="1">IFERROR(__xludf.DUMMYFUNCTION("""COMPUTED_VALUE"""),0)</f>
        <v>0</v>
      </c>
      <c r="J342" s="42">
        <f ca="1">IFERROR(__xludf.DUMMYFUNCTION("""COMPUTED_VALUE"""),0)</f>
        <v>0</v>
      </c>
      <c r="K342" s="42">
        <f ca="1">IFERROR(__xludf.DUMMYFUNCTION("""COMPUTED_VALUE"""),0)</f>
        <v>0</v>
      </c>
      <c r="L342" s="42">
        <f ca="1">IFERROR(__xludf.DUMMYFUNCTION("""COMPUTED_VALUE"""),0)</f>
        <v>0</v>
      </c>
      <c r="M342" s="42">
        <f ca="1">IFERROR(__xludf.DUMMYFUNCTION("""COMPUTED_VALUE"""),0)</f>
        <v>0</v>
      </c>
      <c r="N342" s="42">
        <f ca="1">IFERROR(__xludf.DUMMYFUNCTION("""COMPUTED_VALUE"""),0)</f>
        <v>0</v>
      </c>
      <c r="O342" s="42">
        <f ca="1">IFERROR(__xludf.DUMMYFUNCTION("""COMPUTED_VALUE"""),23037)</f>
        <v>23037</v>
      </c>
      <c r="P342" s="42">
        <f ca="1">IFERROR(__xludf.DUMMYFUNCTION("""COMPUTED_VALUE"""),0)</f>
        <v>0</v>
      </c>
      <c r="Q342" s="42">
        <f ca="1">IFERROR(__xludf.DUMMYFUNCTION("""COMPUTED_VALUE"""),0)</f>
        <v>0</v>
      </c>
      <c r="R342" s="42">
        <f ca="1">IFERROR(__xludf.DUMMYFUNCTION("""COMPUTED_VALUE"""),0)</f>
        <v>0</v>
      </c>
      <c r="S342" s="42">
        <f ca="1">IFERROR(__xludf.DUMMYFUNCTION("""COMPUTED_VALUE"""),0)</f>
        <v>0</v>
      </c>
      <c r="T342" s="42">
        <f ca="1">IFERROR(__xludf.DUMMYFUNCTION("""COMPUTED_VALUE"""),0)</f>
        <v>0</v>
      </c>
      <c r="U342" s="42">
        <f ca="1">IFERROR(__xludf.DUMMYFUNCTION("""COMPUTED_VALUE"""),0)</f>
        <v>0</v>
      </c>
      <c r="V342" s="42">
        <f ca="1">IFERROR(__xludf.DUMMYFUNCTION("""COMPUTED_VALUE"""),0)</f>
        <v>0</v>
      </c>
      <c r="W342" s="42">
        <f ca="1">IFERROR(__xludf.DUMMYFUNCTION("""COMPUTED_VALUE"""),0)</f>
        <v>0</v>
      </c>
      <c r="X342" s="42">
        <f ca="1">IFERROR(__xludf.DUMMYFUNCTION("""COMPUTED_VALUE"""),0)</f>
        <v>0</v>
      </c>
      <c r="Y342" s="42">
        <f ca="1">IFERROR(__xludf.DUMMYFUNCTION("""COMPUTED_VALUE"""),0)</f>
        <v>0</v>
      </c>
      <c r="Z342" s="42">
        <f ca="1">IFERROR(__xludf.DUMMYFUNCTION("""COMPUTED_VALUE"""),0)</f>
        <v>0</v>
      </c>
    </row>
    <row r="343" spans="1:26" ht="12.75">
      <c r="A343" s="33" t="str">
        <f ca="1">IFERROR(__xludf.DUMMYFUNCTION("""COMPUTED_VALUE"""),"Pedro Afonso")</f>
        <v>Pedro Afonso</v>
      </c>
      <c r="B343" s="33" t="str">
        <f ca="1">IFERROR(__xludf.DUMMYFUNCTION("""COMPUTED_VALUE"""),"Pedro Afonso")</f>
        <v>Pedro Afonso</v>
      </c>
      <c r="C343" s="34" t="str">
        <f ca="1">IFERROR(__xludf.DUMMYFUNCTION("""COMPUTED_VALUE"""),"A.A. E. EST.IS.DA REG.DE ENS.DE GUARAI")</f>
        <v>A.A. E. EST.IS.DA REG.DE ENS.DE GUARAI</v>
      </c>
      <c r="D343" s="35" t="str">
        <f ca="1">IFERROR(__xludf.DUMMYFUNCTION("""COMPUTED_VALUE"""),"02508361000179")</f>
        <v>02508361000179</v>
      </c>
      <c r="E343" s="36" t="str">
        <f ca="1">IFERROR(__xludf.DUMMYFUNCTION("""COMPUTED_VALUE"""),"001")</f>
        <v>001</v>
      </c>
      <c r="F343" s="37" t="str">
        <f ca="1">IFERROR(__xludf.DUMMYFUNCTION("""COMPUTED_VALUE"""),"1595")</f>
        <v>1595</v>
      </c>
      <c r="G343" s="37" t="str">
        <f ca="1">IFERROR(__xludf.DUMMYFUNCTION("""COMPUTED_VALUE"""),"110663")</f>
        <v>110663</v>
      </c>
      <c r="H343" s="37">
        <f ca="1">IFERROR(__xludf.DUMMYFUNCTION("""COMPUTED_VALUE"""),0)</f>
        <v>0</v>
      </c>
      <c r="I343" s="37">
        <f ca="1">IFERROR(__xludf.DUMMYFUNCTION("""COMPUTED_VALUE"""),0)</f>
        <v>0</v>
      </c>
      <c r="J343" s="37">
        <f ca="1">IFERROR(__xludf.DUMMYFUNCTION("""COMPUTED_VALUE"""),1512)</f>
        <v>1512</v>
      </c>
      <c r="K343" s="37">
        <f ca="1">IFERROR(__xludf.DUMMYFUNCTION("""COMPUTED_VALUE"""),0)</f>
        <v>0</v>
      </c>
      <c r="L343" s="37">
        <f ca="1">IFERROR(__xludf.DUMMYFUNCTION("""COMPUTED_VALUE"""),0)</f>
        <v>0</v>
      </c>
      <c r="M343" s="37">
        <f ca="1">IFERROR(__xludf.DUMMYFUNCTION("""COMPUTED_VALUE"""),0)</f>
        <v>0</v>
      </c>
      <c r="N343" s="37">
        <f ca="1">IFERROR(__xludf.DUMMYFUNCTION("""COMPUTED_VALUE"""),0)</f>
        <v>0</v>
      </c>
      <c r="O343" s="37">
        <f ca="1">IFERROR(__xludf.DUMMYFUNCTION("""COMPUTED_VALUE"""),0)</f>
        <v>0</v>
      </c>
      <c r="P343" s="37">
        <f ca="1">IFERROR(__xludf.DUMMYFUNCTION("""COMPUTED_VALUE"""),63)</f>
        <v>63</v>
      </c>
      <c r="Q343" s="37">
        <f ca="1">IFERROR(__xludf.DUMMYFUNCTION("""COMPUTED_VALUE"""),735)</f>
        <v>735</v>
      </c>
      <c r="R343" s="37">
        <f ca="1">IFERROR(__xludf.DUMMYFUNCTION("""COMPUTED_VALUE"""),0)</f>
        <v>0</v>
      </c>
      <c r="S343" s="37">
        <f ca="1">IFERROR(__xludf.DUMMYFUNCTION("""COMPUTED_VALUE"""),0)</f>
        <v>0</v>
      </c>
      <c r="T343" s="37">
        <f ca="1">IFERROR(__xludf.DUMMYFUNCTION("""COMPUTED_VALUE"""),0)</f>
        <v>0</v>
      </c>
      <c r="U343" s="37">
        <f ca="1">IFERROR(__xludf.DUMMYFUNCTION("""COMPUTED_VALUE"""),0)</f>
        <v>0</v>
      </c>
      <c r="V343" s="37">
        <f ca="1">IFERROR(__xludf.DUMMYFUNCTION("""COMPUTED_VALUE"""),0)</f>
        <v>0</v>
      </c>
      <c r="W343" s="37">
        <f ca="1">IFERROR(__xludf.DUMMYFUNCTION("""COMPUTED_VALUE"""),0)</f>
        <v>0</v>
      </c>
      <c r="X343" s="37">
        <f ca="1">IFERROR(__xludf.DUMMYFUNCTION("""COMPUTED_VALUE"""),0)</f>
        <v>0</v>
      </c>
      <c r="Y343" s="37">
        <f ca="1">IFERROR(__xludf.DUMMYFUNCTION("""COMPUTED_VALUE"""),0)</f>
        <v>0</v>
      </c>
      <c r="Z343" s="37">
        <f ca="1">IFERROR(__xludf.DUMMYFUNCTION("""COMPUTED_VALUE"""),0)</f>
        <v>0</v>
      </c>
    </row>
    <row r="344" spans="1:26" ht="12.75">
      <c r="A344" s="38" t="str">
        <f ca="1">IFERROR(__xludf.DUMMYFUNCTION("""COMPUTED_VALUE"""),"Pedro Afonso")</f>
        <v>Pedro Afonso</v>
      </c>
      <c r="B344" s="38" t="str">
        <f ca="1">IFERROR(__xludf.DUMMYFUNCTION("""COMPUTED_VALUE"""),"Pedro Afonso")</f>
        <v>Pedro Afonso</v>
      </c>
      <c r="C344" s="39" t="str">
        <f ca="1">IFERROR(__xludf.DUMMYFUNCTION("""COMPUTED_VALUE"""),"A.A. ESCOLAR DO COLEGIO EST.CRISTO REI")</f>
        <v>A.A. ESCOLAR DO COLEGIO EST.CRISTO REI</v>
      </c>
      <c r="D344" s="40" t="str">
        <f ca="1">IFERROR(__xludf.DUMMYFUNCTION("""COMPUTED_VALUE"""),"02250658000187")</f>
        <v>02250658000187</v>
      </c>
      <c r="E344" s="41" t="str">
        <f ca="1">IFERROR(__xludf.DUMMYFUNCTION("""COMPUTED_VALUE"""),"001")</f>
        <v>001</v>
      </c>
      <c r="F344" s="42" t="str">
        <f ca="1">IFERROR(__xludf.DUMMYFUNCTION("""COMPUTED_VALUE"""),"1595")</f>
        <v>1595</v>
      </c>
      <c r="G344" s="42" t="str">
        <f ca="1">IFERROR(__xludf.DUMMYFUNCTION("""COMPUTED_VALUE"""),"66141")</f>
        <v>66141</v>
      </c>
      <c r="H344" s="42">
        <f ca="1">IFERROR(__xludf.DUMMYFUNCTION("""COMPUTED_VALUE"""),0)</f>
        <v>0</v>
      </c>
      <c r="I344" s="42">
        <f ca="1">IFERROR(__xludf.DUMMYFUNCTION("""COMPUTED_VALUE"""),0)</f>
        <v>0</v>
      </c>
      <c r="J344" s="42">
        <f ca="1">IFERROR(__xludf.DUMMYFUNCTION("""COMPUTED_VALUE"""),0)</f>
        <v>0</v>
      </c>
      <c r="K344" s="42">
        <f ca="1">IFERROR(__xludf.DUMMYFUNCTION("""COMPUTED_VALUE"""),0)</f>
        <v>0</v>
      </c>
      <c r="L344" s="42">
        <f ca="1">IFERROR(__xludf.DUMMYFUNCTION("""COMPUTED_VALUE"""),0)</f>
        <v>0</v>
      </c>
      <c r="M344" s="42">
        <f ca="1">IFERROR(__xludf.DUMMYFUNCTION("""COMPUTED_VALUE"""),0)</f>
        <v>0</v>
      </c>
      <c r="N344" s="42">
        <f ca="1">IFERROR(__xludf.DUMMYFUNCTION("""COMPUTED_VALUE"""),0)</f>
        <v>0</v>
      </c>
      <c r="O344" s="42">
        <f ca="1">IFERROR(__xludf.DUMMYFUNCTION("""COMPUTED_VALUE"""),0)</f>
        <v>0</v>
      </c>
      <c r="P344" s="42">
        <f ca="1">IFERROR(__xludf.DUMMYFUNCTION("""COMPUTED_VALUE"""),210)</f>
        <v>210</v>
      </c>
      <c r="Q344" s="42">
        <f ca="1">IFERROR(__xludf.DUMMYFUNCTION("""COMPUTED_VALUE"""),11172)</f>
        <v>11172</v>
      </c>
      <c r="R344" s="42">
        <f ca="1">IFERROR(__xludf.DUMMYFUNCTION("""COMPUTED_VALUE"""),0)</f>
        <v>0</v>
      </c>
      <c r="S344" s="42">
        <f ca="1">IFERROR(__xludf.DUMMYFUNCTION("""COMPUTED_VALUE"""),0)</f>
        <v>0</v>
      </c>
      <c r="T344" s="42">
        <f ca="1">IFERROR(__xludf.DUMMYFUNCTION("""COMPUTED_VALUE"""),0)</f>
        <v>0</v>
      </c>
      <c r="U344" s="42">
        <f ca="1">IFERROR(__xludf.DUMMYFUNCTION("""COMPUTED_VALUE"""),0)</f>
        <v>0</v>
      </c>
      <c r="V344" s="42">
        <f ca="1">IFERROR(__xludf.DUMMYFUNCTION("""COMPUTED_VALUE"""),0)</f>
        <v>0</v>
      </c>
      <c r="W344" s="42">
        <f ca="1">IFERROR(__xludf.DUMMYFUNCTION("""COMPUTED_VALUE"""),0)</f>
        <v>0</v>
      </c>
      <c r="X344" s="42">
        <f ca="1">IFERROR(__xludf.DUMMYFUNCTION("""COMPUTED_VALUE"""),0)</f>
        <v>0</v>
      </c>
      <c r="Y344" s="42">
        <f ca="1">IFERROR(__xludf.DUMMYFUNCTION("""COMPUTED_VALUE"""),0)</f>
        <v>0</v>
      </c>
      <c r="Z344" s="42">
        <f ca="1">IFERROR(__xludf.DUMMYFUNCTION("""COMPUTED_VALUE"""),0)</f>
        <v>0</v>
      </c>
    </row>
    <row r="345" spans="1:26" ht="12.75">
      <c r="A345" s="33" t="str">
        <f ca="1">IFERROR(__xludf.DUMMYFUNCTION("""COMPUTED_VALUE"""),"Pedro Afonso")</f>
        <v>Pedro Afonso</v>
      </c>
      <c r="B345" s="33" t="str">
        <f ca="1">IFERROR(__xludf.DUMMYFUNCTION("""COMPUTED_VALUE"""),"Pedro Afonso")</f>
        <v>Pedro Afonso</v>
      </c>
      <c r="C345" s="34" t="str">
        <f ca="1">IFERROR(__xludf.DUMMYFUNCTION("""COMPUTED_VALUE"""),"ASSOCIAÇÃO DE PAIS E AMIGOS DOS EXCEPCIONAIS DE PEDRO AFONSO")</f>
        <v>ASSOCIAÇÃO DE PAIS E AMIGOS DOS EXCEPCIONAIS DE PEDRO AFONSO</v>
      </c>
      <c r="D345" s="35" t="str">
        <f ca="1">IFERROR(__xludf.DUMMYFUNCTION("""COMPUTED_VALUE"""),"04406588000139")</f>
        <v>04406588000139</v>
      </c>
      <c r="E345" s="36" t="str">
        <f ca="1">IFERROR(__xludf.DUMMYFUNCTION("""COMPUTED_VALUE"""),"001")</f>
        <v>001</v>
      </c>
      <c r="F345" s="37" t="str">
        <f ca="1">IFERROR(__xludf.DUMMYFUNCTION("""COMPUTED_VALUE"""),"1595")</f>
        <v>1595</v>
      </c>
      <c r="G345" s="37" t="str">
        <f ca="1">IFERROR(__xludf.DUMMYFUNCTION("""COMPUTED_VALUE"""),"119105")</f>
        <v>119105</v>
      </c>
      <c r="H345" s="37">
        <f ca="1">IFERROR(__xludf.DUMMYFUNCTION("""COMPUTED_VALUE"""),0)</f>
        <v>0</v>
      </c>
      <c r="I345" s="37">
        <f ca="1">IFERROR(__xludf.DUMMYFUNCTION("""COMPUTED_VALUE"""),0)</f>
        <v>0</v>
      </c>
      <c r="J345" s="37">
        <f ca="1">IFERROR(__xludf.DUMMYFUNCTION("""COMPUTED_VALUE"""),105)</f>
        <v>105</v>
      </c>
      <c r="K345" s="37">
        <f ca="1">IFERROR(__xludf.DUMMYFUNCTION("""COMPUTED_VALUE"""),0)</f>
        <v>0</v>
      </c>
      <c r="L345" s="37">
        <f ca="1">IFERROR(__xludf.DUMMYFUNCTION("""COMPUTED_VALUE"""),0)</f>
        <v>0</v>
      </c>
      <c r="M345" s="37">
        <f ca="1">IFERROR(__xludf.DUMMYFUNCTION("""COMPUTED_VALUE"""),0)</f>
        <v>0</v>
      </c>
      <c r="N345" s="37">
        <f ca="1">IFERROR(__xludf.DUMMYFUNCTION("""COMPUTED_VALUE"""),0)</f>
        <v>0</v>
      </c>
      <c r="O345" s="37">
        <f ca="1">IFERROR(__xludf.DUMMYFUNCTION("""COMPUTED_VALUE"""),0)</f>
        <v>0</v>
      </c>
      <c r="P345" s="37">
        <f ca="1">IFERROR(__xludf.DUMMYFUNCTION("""COMPUTED_VALUE"""),483)</f>
        <v>483</v>
      </c>
      <c r="Q345" s="37">
        <f ca="1">IFERROR(__xludf.DUMMYFUNCTION("""COMPUTED_VALUE"""),0)</f>
        <v>0</v>
      </c>
      <c r="R345" s="37">
        <f ca="1">IFERROR(__xludf.DUMMYFUNCTION("""COMPUTED_VALUE"""),0)</f>
        <v>0</v>
      </c>
      <c r="S345" s="37">
        <f ca="1">IFERROR(__xludf.DUMMYFUNCTION("""COMPUTED_VALUE"""),0)</f>
        <v>0</v>
      </c>
      <c r="T345" s="37">
        <f ca="1">IFERROR(__xludf.DUMMYFUNCTION("""COMPUTED_VALUE"""),2268)</f>
        <v>2268</v>
      </c>
      <c r="U345" s="37">
        <f ca="1">IFERROR(__xludf.DUMMYFUNCTION("""COMPUTED_VALUE"""),0)</f>
        <v>0</v>
      </c>
      <c r="V345" s="37">
        <f ca="1">IFERROR(__xludf.DUMMYFUNCTION("""COMPUTED_VALUE"""),0)</f>
        <v>0</v>
      </c>
      <c r="W345" s="37">
        <f ca="1">IFERROR(__xludf.DUMMYFUNCTION("""COMPUTED_VALUE"""),0)</f>
        <v>0</v>
      </c>
      <c r="X345" s="37">
        <f ca="1">IFERROR(__xludf.DUMMYFUNCTION("""COMPUTED_VALUE"""),0)</f>
        <v>0</v>
      </c>
      <c r="Y345" s="37">
        <f ca="1">IFERROR(__xludf.DUMMYFUNCTION("""COMPUTED_VALUE"""),0)</f>
        <v>0</v>
      </c>
      <c r="Z345" s="37">
        <f ca="1">IFERROR(__xludf.DUMMYFUNCTION("""COMPUTED_VALUE"""),0)</f>
        <v>0</v>
      </c>
    </row>
    <row r="346" spans="1:26" ht="12.75">
      <c r="A346" s="38" t="str">
        <f ca="1">IFERROR(__xludf.DUMMYFUNCTION("""COMPUTED_VALUE"""),"Pedro Afonso")</f>
        <v>Pedro Afonso</v>
      </c>
      <c r="B346" s="38" t="str">
        <f ca="1">IFERROR(__xludf.DUMMYFUNCTION("""COMPUTED_VALUE"""),"Pedro Afonso")</f>
        <v>Pedro Afonso</v>
      </c>
      <c r="C346" s="39" t="str">
        <f ca="1">IFERROR(__xludf.DUMMYFUNCTION("""COMPUTED_VALUE"""),"A. DE PAIS E MEST. DA ESC. EST. ANA AMORIM")</f>
        <v>A. DE PAIS E MEST. DA ESC. EST. ANA AMORIM</v>
      </c>
      <c r="D346" s="40" t="str">
        <f ca="1">IFERROR(__xludf.DUMMYFUNCTION("""COMPUTED_VALUE"""),"01990364000129")</f>
        <v>01990364000129</v>
      </c>
      <c r="E346" s="41" t="str">
        <f ca="1">IFERROR(__xludf.DUMMYFUNCTION("""COMPUTED_VALUE"""),"001")</f>
        <v>001</v>
      </c>
      <c r="F346" s="42" t="str">
        <f ca="1">IFERROR(__xludf.DUMMYFUNCTION("""COMPUTED_VALUE"""),"1595")</f>
        <v>1595</v>
      </c>
      <c r="G346" s="42" t="str">
        <f ca="1">IFERROR(__xludf.DUMMYFUNCTION("""COMPUTED_VALUE"""),"59722")</f>
        <v>59722</v>
      </c>
      <c r="H346" s="42">
        <f ca="1">IFERROR(__xludf.DUMMYFUNCTION("""COMPUTED_VALUE"""),0)</f>
        <v>0</v>
      </c>
      <c r="I346" s="42">
        <f ca="1">IFERROR(__xludf.DUMMYFUNCTION("""COMPUTED_VALUE"""),0)</f>
        <v>0</v>
      </c>
      <c r="J346" s="42">
        <f ca="1">IFERROR(__xludf.DUMMYFUNCTION("""COMPUTED_VALUE"""),10332)</f>
        <v>10332</v>
      </c>
      <c r="K346" s="42">
        <f ca="1">IFERROR(__xludf.DUMMYFUNCTION("""COMPUTED_VALUE"""),0)</f>
        <v>0</v>
      </c>
      <c r="L346" s="42">
        <f ca="1">IFERROR(__xludf.DUMMYFUNCTION("""COMPUTED_VALUE"""),0)</f>
        <v>0</v>
      </c>
      <c r="M346" s="42">
        <f ca="1">IFERROR(__xludf.DUMMYFUNCTION("""COMPUTED_VALUE"""),0)</f>
        <v>0</v>
      </c>
      <c r="N346" s="42">
        <f ca="1">IFERROR(__xludf.DUMMYFUNCTION("""COMPUTED_VALUE"""),0)</f>
        <v>0</v>
      </c>
      <c r="O346" s="42">
        <f ca="1">IFERROR(__xludf.DUMMYFUNCTION("""COMPUTED_VALUE"""),0)</f>
        <v>0</v>
      </c>
      <c r="P346" s="42">
        <f ca="1">IFERROR(__xludf.DUMMYFUNCTION("""COMPUTED_VALUE"""),294)</f>
        <v>294</v>
      </c>
      <c r="Q346" s="42">
        <f ca="1">IFERROR(__xludf.DUMMYFUNCTION("""COMPUTED_VALUE"""),0)</f>
        <v>0</v>
      </c>
      <c r="R346" s="42">
        <f ca="1">IFERROR(__xludf.DUMMYFUNCTION("""COMPUTED_VALUE"""),0)</f>
        <v>0</v>
      </c>
      <c r="S346" s="42">
        <f ca="1">IFERROR(__xludf.DUMMYFUNCTION("""COMPUTED_VALUE"""),0)</f>
        <v>0</v>
      </c>
      <c r="T346" s="42">
        <f ca="1">IFERROR(__xludf.DUMMYFUNCTION("""COMPUTED_VALUE"""),1932)</f>
        <v>1932</v>
      </c>
      <c r="U346" s="42">
        <f ca="1">IFERROR(__xludf.DUMMYFUNCTION("""COMPUTED_VALUE"""),0)</f>
        <v>0</v>
      </c>
      <c r="V346" s="42">
        <f ca="1">IFERROR(__xludf.DUMMYFUNCTION("""COMPUTED_VALUE"""),0)</f>
        <v>0</v>
      </c>
      <c r="W346" s="42">
        <f ca="1">IFERROR(__xludf.DUMMYFUNCTION("""COMPUTED_VALUE"""),0)</f>
        <v>0</v>
      </c>
      <c r="X346" s="42">
        <f ca="1">IFERROR(__xludf.DUMMYFUNCTION("""COMPUTED_VALUE"""),0)</f>
        <v>0</v>
      </c>
      <c r="Y346" s="42">
        <f ca="1">IFERROR(__xludf.DUMMYFUNCTION("""COMPUTED_VALUE"""),0)</f>
        <v>0</v>
      </c>
      <c r="Z346" s="42">
        <f ca="1">IFERROR(__xludf.DUMMYFUNCTION("""COMPUTED_VALUE"""),0)</f>
        <v>0</v>
      </c>
    </row>
    <row r="347" spans="1:26" ht="12.75">
      <c r="A347" s="33" t="str">
        <f ca="1">IFERROR(__xludf.DUMMYFUNCTION("""COMPUTED_VALUE"""),"Pedro Afonso")</f>
        <v>Pedro Afonso</v>
      </c>
      <c r="B347" s="33" t="str">
        <f ca="1">IFERROR(__xludf.DUMMYFUNCTION("""COMPUTED_VALUE"""),"Pedro Afonso")</f>
        <v>Pedro Afonso</v>
      </c>
      <c r="C347" s="34" t="str">
        <f ca="1">IFERROR(__xludf.DUMMYFUNCTION("""COMPUTED_VALUE"""),"ASS. DE APOIO A ESCOLA ESTADUAL BOM TEMPO")</f>
        <v>ASS. DE APOIO A ESCOLA ESTADUAL BOM TEMPO</v>
      </c>
      <c r="D347" s="35" t="str">
        <f ca="1">IFERROR(__xludf.DUMMYFUNCTION("""COMPUTED_VALUE"""),"44776099000193")</f>
        <v>44776099000193</v>
      </c>
      <c r="E347" s="36" t="str">
        <f ca="1">IFERROR(__xludf.DUMMYFUNCTION("""COMPUTED_VALUE"""),"001")</f>
        <v>001</v>
      </c>
      <c r="F347" s="37" t="str">
        <f ca="1">IFERROR(__xludf.DUMMYFUNCTION("""COMPUTED_VALUE"""),"1595")</f>
        <v>1595</v>
      </c>
      <c r="G347" s="37" t="str">
        <f ca="1">IFERROR(__xludf.DUMMYFUNCTION("""COMPUTED_VALUE"""),"324981")</f>
        <v>324981</v>
      </c>
      <c r="H347" s="37">
        <f ca="1">IFERROR(__xludf.DUMMYFUNCTION("""COMPUTED_VALUE"""),0)</f>
        <v>0</v>
      </c>
      <c r="I347" s="37">
        <f ca="1">IFERROR(__xludf.DUMMYFUNCTION("""COMPUTED_VALUE"""),0)</f>
        <v>0</v>
      </c>
      <c r="J347" s="37">
        <f ca="1">IFERROR(__xludf.DUMMYFUNCTION("""COMPUTED_VALUE"""),861)</f>
        <v>861</v>
      </c>
      <c r="K347" s="37">
        <f ca="1">IFERROR(__xludf.DUMMYFUNCTION("""COMPUTED_VALUE"""),0)</f>
        <v>0</v>
      </c>
      <c r="L347" s="37">
        <f ca="1">IFERROR(__xludf.DUMMYFUNCTION("""COMPUTED_VALUE"""),0)</f>
        <v>0</v>
      </c>
      <c r="M347" s="37">
        <f ca="1">IFERROR(__xludf.DUMMYFUNCTION("""COMPUTED_VALUE"""),0)</f>
        <v>0</v>
      </c>
      <c r="N347" s="37">
        <f ca="1">IFERROR(__xludf.DUMMYFUNCTION("""COMPUTED_VALUE"""),0)</f>
        <v>0</v>
      </c>
      <c r="O347" s="37">
        <f ca="1">IFERROR(__xludf.DUMMYFUNCTION("""COMPUTED_VALUE"""),0)</f>
        <v>0</v>
      </c>
      <c r="P347" s="37">
        <f ca="1">IFERROR(__xludf.DUMMYFUNCTION("""COMPUTED_VALUE"""),0)</f>
        <v>0</v>
      </c>
      <c r="Q347" s="37">
        <f ca="1">IFERROR(__xludf.DUMMYFUNCTION("""COMPUTED_VALUE"""),189)</f>
        <v>189</v>
      </c>
      <c r="R347" s="37">
        <f ca="1">IFERROR(__xludf.DUMMYFUNCTION("""COMPUTED_VALUE"""),0)</f>
        <v>0</v>
      </c>
      <c r="S347" s="37">
        <f ca="1">IFERROR(__xludf.DUMMYFUNCTION("""COMPUTED_VALUE"""),0)</f>
        <v>0</v>
      </c>
      <c r="T347" s="37">
        <f ca="1">IFERROR(__xludf.DUMMYFUNCTION("""COMPUTED_VALUE"""),273)</f>
        <v>273</v>
      </c>
      <c r="U347" s="37">
        <f ca="1">IFERROR(__xludf.DUMMYFUNCTION("""COMPUTED_VALUE"""),0)</f>
        <v>0</v>
      </c>
      <c r="V347" s="37">
        <f ca="1">IFERROR(__xludf.DUMMYFUNCTION("""COMPUTED_VALUE"""),0)</f>
        <v>0</v>
      </c>
      <c r="W347" s="37">
        <f ca="1">IFERROR(__xludf.DUMMYFUNCTION("""COMPUTED_VALUE"""),0)</f>
        <v>0</v>
      </c>
      <c r="X347" s="37">
        <f ca="1">IFERROR(__xludf.DUMMYFUNCTION("""COMPUTED_VALUE"""),0)</f>
        <v>0</v>
      </c>
      <c r="Y347" s="37">
        <f ca="1">IFERROR(__xludf.DUMMYFUNCTION("""COMPUTED_VALUE"""),0)</f>
        <v>0</v>
      </c>
      <c r="Z347" s="37">
        <f ca="1">IFERROR(__xludf.DUMMYFUNCTION("""COMPUTED_VALUE"""),0)</f>
        <v>0</v>
      </c>
    </row>
    <row r="348" spans="1:26" ht="12.75">
      <c r="A348" s="38" t="str">
        <f ca="1">IFERROR(__xludf.DUMMYFUNCTION("""COMPUTED_VALUE"""),"Pedro Afonso")</f>
        <v>Pedro Afonso</v>
      </c>
      <c r="B348" s="38" t="str">
        <f ca="1">IFERROR(__xludf.DUMMYFUNCTION("""COMPUTED_VALUE"""),"Pedro Afonso")</f>
        <v>Pedro Afonso</v>
      </c>
      <c r="C348" s="39" t="str">
        <f ca="1">IFERROR(__xludf.DUMMYFUNCTION("""COMPUTED_VALUE"""),"A.A. AO COLÉGIO DE TEMPO INTEGRAL PROFESSOR ANTONIO BELARMINO FILHO")</f>
        <v>A.A. AO COLÉGIO DE TEMPO INTEGRAL PROFESSOR ANTONIO BELARMINO FILHO</v>
      </c>
      <c r="D348" s="40" t="str">
        <f ca="1">IFERROR(__xludf.DUMMYFUNCTION("""COMPUTED_VALUE"""),"47823286000179")</f>
        <v>47823286000179</v>
      </c>
      <c r="E348" s="41" t="str">
        <f ca="1">IFERROR(__xludf.DUMMYFUNCTION("""COMPUTED_VALUE"""),"001")</f>
        <v>001</v>
      </c>
      <c r="F348" s="42" t="str">
        <f ca="1">IFERROR(__xludf.DUMMYFUNCTION("""COMPUTED_VALUE"""),"1595")</f>
        <v>1595</v>
      </c>
      <c r="G348" s="42" t="str">
        <f ca="1">IFERROR(__xludf.DUMMYFUNCTION("""COMPUTED_VALUE"""),"334804")</f>
        <v>334804</v>
      </c>
      <c r="H348" s="42">
        <f ca="1">IFERROR(__xludf.DUMMYFUNCTION("""COMPUTED_VALUE"""),0)</f>
        <v>0</v>
      </c>
      <c r="I348" s="42">
        <f ca="1">IFERROR(__xludf.DUMMYFUNCTION("""COMPUTED_VALUE"""),0)</f>
        <v>0</v>
      </c>
      <c r="J348" s="42">
        <f ca="1">IFERROR(__xludf.DUMMYFUNCTION("""COMPUTED_VALUE"""),0)</f>
        <v>0</v>
      </c>
      <c r="K348" s="42">
        <f ca="1">IFERROR(__xludf.DUMMYFUNCTION("""COMPUTED_VALUE"""),31516.8)</f>
        <v>31516.799999999999</v>
      </c>
      <c r="L348" s="42">
        <f ca="1">IFERROR(__xludf.DUMMYFUNCTION("""COMPUTED_VALUE"""),0)</f>
        <v>0</v>
      </c>
      <c r="M348" s="42">
        <f ca="1">IFERROR(__xludf.DUMMYFUNCTION("""COMPUTED_VALUE"""),0)</f>
        <v>0</v>
      </c>
      <c r="N348" s="42">
        <f ca="1">IFERROR(__xludf.DUMMYFUNCTION("""COMPUTED_VALUE"""),0)</f>
        <v>0</v>
      </c>
      <c r="O348" s="42">
        <f ca="1">IFERROR(__xludf.DUMMYFUNCTION("""COMPUTED_VALUE"""),0)</f>
        <v>0</v>
      </c>
      <c r="P348" s="42">
        <f ca="1">IFERROR(__xludf.DUMMYFUNCTION("""COMPUTED_VALUE"""),0)</f>
        <v>0</v>
      </c>
      <c r="Q348" s="42">
        <f ca="1">IFERROR(__xludf.DUMMYFUNCTION("""COMPUTED_VALUE"""),0)</f>
        <v>0</v>
      </c>
      <c r="R348" s="42">
        <f ca="1">IFERROR(__xludf.DUMMYFUNCTION("""COMPUTED_VALUE"""),7918.4)</f>
        <v>7918.4</v>
      </c>
      <c r="S348" s="42">
        <f ca="1">IFERROR(__xludf.DUMMYFUNCTION("""COMPUTED_VALUE"""),0)</f>
        <v>0</v>
      </c>
      <c r="T348" s="42">
        <f ca="1">IFERROR(__xludf.DUMMYFUNCTION("""COMPUTED_VALUE"""),0)</f>
        <v>0</v>
      </c>
      <c r="U348" s="42">
        <f ca="1">IFERROR(__xludf.DUMMYFUNCTION("""COMPUTED_VALUE"""),0)</f>
        <v>0</v>
      </c>
      <c r="V348" s="42">
        <f ca="1">IFERROR(__xludf.DUMMYFUNCTION("""COMPUTED_VALUE"""),0)</f>
        <v>0</v>
      </c>
      <c r="W348" s="42">
        <f ca="1">IFERROR(__xludf.DUMMYFUNCTION("""COMPUTED_VALUE"""),0)</f>
        <v>0</v>
      </c>
      <c r="X348" s="42">
        <f ca="1">IFERROR(__xludf.DUMMYFUNCTION("""COMPUTED_VALUE"""),0)</f>
        <v>0</v>
      </c>
      <c r="Y348" s="42">
        <f ca="1">IFERROR(__xludf.DUMMYFUNCTION("""COMPUTED_VALUE"""),0)</f>
        <v>0</v>
      </c>
      <c r="Z348" s="42">
        <f ca="1">IFERROR(__xludf.DUMMYFUNCTION("""COMPUTED_VALUE"""),3393.2)</f>
        <v>3393.2</v>
      </c>
    </row>
    <row r="349" spans="1:26" ht="12.75">
      <c r="A349" s="33" t="str">
        <f ca="1">IFERROR(__xludf.DUMMYFUNCTION("""COMPUTED_VALUE"""),"Pedro Afonso")</f>
        <v>Pedro Afonso</v>
      </c>
      <c r="B349" s="33" t="str">
        <f ca="1">IFERROR(__xludf.DUMMYFUNCTION("""COMPUTED_VALUE"""),"Recursolandia")</f>
        <v>Recursolandia</v>
      </c>
      <c r="C349" s="34" t="str">
        <f ca="1">IFERROR(__xludf.DUMMYFUNCTION("""COMPUTED_VALUE"""),"ASS. DE A. A ESCOLA EST. RECURSO I")</f>
        <v>ASS. DE A. A ESCOLA EST. RECURSO I</v>
      </c>
      <c r="D349" s="35" t="str">
        <f ca="1">IFERROR(__xludf.DUMMYFUNCTION("""COMPUTED_VALUE"""),"02021097000144")</f>
        <v>02021097000144</v>
      </c>
      <c r="E349" s="36" t="str">
        <f ca="1">IFERROR(__xludf.DUMMYFUNCTION("""COMPUTED_VALUE"""),"001")</f>
        <v>001</v>
      </c>
      <c r="F349" s="37" t="str">
        <f ca="1">IFERROR(__xludf.DUMMYFUNCTION("""COMPUTED_VALUE"""),"1595")</f>
        <v>1595</v>
      </c>
      <c r="G349" s="37" t="str">
        <f ca="1">IFERROR(__xludf.DUMMYFUNCTION("""COMPUTED_VALUE"""),"11029")</f>
        <v>11029</v>
      </c>
      <c r="H349" s="37">
        <f ca="1">IFERROR(__xludf.DUMMYFUNCTION("""COMPUTED_VALUE"""),0)</f>
        <v>0</v>
      </c>
      <c r="I349" s="37">
        <f ca="1">IFERROR(__xludf.DUMMYFUNCTION("""COMPUTED_VALUE"""),0)</f>
        <v>0</v>
      </c>
      <c r="J349" s="37">
        <f ca="1">IFERROR(__xludf.DUMMYFUNCTION("""COMPUTED_VALUE"""),2541)</f>
        <v>2541</v>
      </c>
      <c r="K349" s="37">
        <f ca="1">IFERROR(__xludf.DUMMYFUNCTION("""COMPUTED_VALUE"""),0)</f>
        <v>0</v>
      </c>
      <c r="L349" s="37">
        <f ca="1">IFERROR(__xludf.DUMMYFUNCTION("""COMPUTED_VALUE"""),0)</f>
        <v>0</v>
      </c>
      <c r="M349" s="37">
        <f ca="1">IFERROR(__xludf.DUMMYFUNCTION("""COMPUTED_VALUE"""),0)</f>
        <v>0</v>
      </c>
      <c r="N349" s="37">
        <f ca="1">IFERROR(__xludf.DUMMYFUNCTION("""COMPUTED_VALUE"""),0)</f>
        <v>0</v>
      </c>
      <c r="O349" s="37">
        <f ca="1">IFERROR(__xludf.DUMMYFUNCTION("""COMPUTED_VALUE"""),0)</f>
        <v>0</v>
      </c>
      <c r="P349" s="37">
        <f ca="1">IFERROR(__xludf.DUMMYFUNCTION("""COMPUTED_VALUE"""),0)</f>
        <v>0</v>
      </c>
      <c r="Q349" s="37">
        <f ca="1">IFERROR(__xludf.DUMMYFUNCTION("""COMPUTED_VALUE"""),3969)</f>
        <v>3969</v>
      </c>
      <c r="R349" s="37">
        <f ca="1">IFERROR(__xludf.DUMMYFUNCTION("""COMPUTED_VALUE"""),0)</f>
        <v>0</v>
      </c>
      <c r="S349" s="37">
        <f ca="1">IFERROR(__xludf.DUMMYFUNCTION("""COMPUTED_VALUE"""),0)</f>
        <v>0</v>
      </c>
      <c r="T349" s="37">
        <f ca="1">IFERROR(__xludf.DUMMYFUNCTION("""COMPUTED_VALUE"""),0)</f>
        <v>0</v>
      </c>
      <c r="U349" s="37">
        <f ca="1">IFERROR(__xludf.DUMMYFUNCTION("""COMPUTED_VALUE"""),0)</f>
        <v>0</v>
      </c>
      <c r="V349" s="37">
        <f ca="1">IFERROR(__xludf.DUMMYFUNCTION("""COMPUTED_VALUE"""),0)</f>
        <v>0</v>
      </c>
      <c r="W349" s="37">
        <f ca="1">IFERROR(__xludf.DUMMYFUNCTION("""COMPUTED_VALUE"""),0)</f>
        <v>0</v>
      </c>
      <c r="X349" s="37">
        <f ca="1">IFERROR(__xludf.DUMMYFUNCTION("""COMPUTED_VALUE"""),0)</f>
        <v>0</v>
      </c>
      <c r="Y349" s="37">
        <f ca="1">IFERROR(__xludf.DUMMYFUNCTION("""COMPUTED_VALUE"""),0)</f>
        <v>0</v>
      </c>
      <c r="Z349" s="37">
        <f ca="1">IFERROR(__xludf.DUMMYFUNCTION("""COMPUTED_VALUE"""),0)</f>
        <v>0</v>
      </c>
    </row>
    <row r="350" spans="1:26" ht="12.75">
      <c r="A350" s="38" t="str">
        <f ca="1">IFERROR(__xludf.DUMMYFUNCTION("""COMPUTED_VALUE"""),"Pedro Afonso")</f>
        <v>Pedro Afonso</v>
      </c>
      <c r="B350" s="38" t="str">
        <f ca="1">IFERROR(__xludf.DUMMYFUNCTION("""COMPUTED_VALUE"""),"Santa Maria do Tocantins")</f>
        <v>Santa Maria do Tocantins</v>
      </c>
      <c r="C350" s="39" t="str">
        <f ca="1">IFERROR(__xludf.DUMMYFUNCTION("""COMPUTED_VALUE"""),"A. A.AS ESC.DO COL. EST. SANTA MARIA")</f>
        <v>A. A.AS ESC.DO COL. EST. SANTA MARIA</v>
      </c>
      <c r="D350" s="40" t="str">
        <f ca="1">IFERROR(__xludf.DUMMYFUNCTION("""COMPUTED_VALUE"""),"02087933000193")</f>
        <v>02087933000193</v>
      </c>
      <c r="E350" s="41" t="str">
        <f ca="1">IFERROR(__xludf.DUMMYFUNCTION("""COMPUTED_VALUE"""),"001")</f>
        <v>001</v>
      </c>
      <c r="F350" s="42" t="str">
        <f ca="1">IFERROR(__xludf.DUMMYFUNCTION("""COMPUTED_VALUE"""),"1595")</f>
        <v>1595</v>
      </c>
      <c r="G350" s="42" t="str">
        <f ca="1">IFERROR(__xludf.DUMMYFUNCTION("""COMPUTED_VALUE"""),"83089")</f>
        <v>83089</v>
      </c>
      <c r="H350" s="42">
        <f ca="1">IFERROR(__xludf.DUMMYFUNCTION("""COMPUTED_VALUE"""),0)</f>
        <v>0</v>
      </c>
      <c r="I350" s="42">
        <f ca="1">IFERROR(__xludf.DUMMYFUNCTION("""COMPUTED_VALUE"""),0)</f>
        <v>0</v>
      </c>
      <c r="J350" s="42">
        <f ca="1">IFERROR(__xludf.DUMMYFUNCTION("""COMPUTED_VALUE"""),2898)</f>
        <v>2898</v>
      </c>
      <c r="K350" s="42">
        <f ca="1">IFERROR(__xludf.DUMMYFUNCTION("""COMPUTED_VALUE"""),8310.4)</f>
        <v>8310.4</v>
      </c>
      <c r="L350" s="42">
        <f ca="1">IFERROR(__xludf.DUMMYFUNCTION("""COMPUTED_VALUE"""),0)</f>
        <v>0</v>
      </c>
      <c r="M350" s="42">
        <f ca="1">IFERROR(__xludf.DUMMYFUNCTION("""COMPUTED_VALUE"""),0)</f>
        <v>0</v>
      </c>
      <c r="N350" s="42">
        <f ca="1">IFERROR(__xludf.DUMMYFUNCTION("""COMPUTED_VALUE"""),0)</f>
        <v>0</v>
      </c>
      <c r="O350" s="42">
        <f ca="1">IFERROR(__xludf.DUMMYFUNCTION("""COMPUTED_VALUE"""),0)</f>
        <v>0</v>
      </c>
      <c r="P350" s="42">
        <f ca="1">IFERROR(__xludf.DUMMYFUNCTION("""COMPUTED_VALUE"""),0)</f>
        <v>0</v>
      </c>
      <c r="Q350" s="42">
        <f ca="1">IFERROR(__xludf.DUMMYFUNCTION("""COMPUTED_VALUE"""),2478)</f>
        <v>2478</v>
      </c>
      <c r="R350" s="42">
        <f ca="1">IFERROR(__xludf.DUMMYFUNCTION("""COMPUTED_VALUE"""),0)</f>
        <v>0</v>
      </c>
      <c r="S350" s="42">
        <f ca="1">IFERROR(__xludf.DUMMYFUNCTION("""COMPUTED_VALUE"""),0)</f>
        <v>0</v>
      </c>
      <c r="T350" s="42">
        <f ca="1">IFERROR(__xludf.DUMMYFUNCTION("""COMPUTED_VALUE"""),0)</f>
        <v>0</v>
      </c>
      <c r="U350" s="42">
        <f ca="1">IFERROR(__xludf.DUMMYFUNCTION("""COMPUTED_VALUE"""),0)</f>
        <v>0</v>
      </c>
      <c r="V350" s="42">
        <f ca="1">IFERROR(__xludf.DUMMYFUNCTION("""COMPUTED_VALUE"""),0)</f>
        <v>0</v>
      </c>
      <c r="W350" s="42">
        <f ca="1">IFERROR(__xludf.DUMMYFUNCTION("""COMPUTED_VALUE"""),0)</f>
        <v>0</v>
      </c>
      <c r="X350" s="42">
        <f ca="1">IFERROR(__xludf.DUMMYFUNCTION("""COMPUTED_VALUE"""),0)</f>
        <v>0</v>
      </c>
      <c r="Y350" s="42">
        <f ca="1">IFERROR(__xludf.DUMMYFUNCTION("""COMPUTED_VALUE"""),0)</f>
        <v>0</v>
      </c>
      <c r="Z350" s="42">
        <f ca="1">IFERROR(__xludf.DUMMYFUNCTION("""COMPUTED_VALUE"""),698.6)</f>
        <v>698.6</v>
      </c>
    </row>
    <row r="351" spans="1:26" ht="12.75">
      <c r="A351" s="33" t="str">
        <f ca="1">IFERROR(__xludf.DUMMYFUNCTION("""COMPUTED_VALUE"""),"Pedro Afonso")</f>
        <v>Pedro Afonso</v>
      </c>
      <c r="B351" s="33" t="str">
        <f ca="1">IFERROR(__xludf.DUMMYFUNCTION("""COMPUTED_VALUE"""),"Tupirama")</f>
        <v>Tupirama</v>
      </c>
      <c r="C351" s="34" t="str">
        <f ca="1">IFERROR(__xludf.DUMMYFUNCTION("""COMPUTED_VALUE"""),"A.A. A ESCOLA EST. MARIA DA GLORIA")</f>
        <v>A.A. A ESCOLA EST. MARIA DA GLORIA</v>
      </c>
      <c r="D351" s="35" t="str">
        <f ca="1">IFERROR(__xludf.DUMMYFUNCTION("""COMPUTED_VALUE"""),"02096555000104")</f>
        <v>02096555000104</v>
      </c>
      <c r="E351" s="36" t="str">
        <f ca="1">IFERROR(__xludf.DUMMYFUNCTION("""COMPUTED_VALUE"""),"001")</f>
        <v>001</v>
      </c>
      <c r="F351" s="37" t="str">
        <f ca="1">IFERROR(__xludf.DUMMYFUNCTION("""COMPUTED_VALUE"""),"2094")</f>
        <v>2094</v>
      </c>
      <c r="G351" s="37" t="str">
        <f ca="1">IFERROR(__xludf.DUMMYFUNCTION("""COMPUTED_VALUE"""),"50482")</f>
        <v>50482</v>
      </c>
      <c r="H351" s="37">
        <f ca="1">IFERROR(__xludf.DUMMYFUNCTION("""COMPUTED_VALUE"""),0)</f>
        <v>0</v>
      </c>
      <c r="I351" s="37">
        <f ca="1">IFERROR(__xludf.DUMMYFUNCTION("""COMPUTED_VALUE"""),0)</f>
        <v>0</v>
      </c>
      <c r="J351" s="37">
        <f ca="1">IFERROR(__xludf.DUMMYFUNCTION("""COMPUTED_VALUE"""),0)</f>
        <v>0</v>
      </c>
      <c r="K351" s="37">
        <f ca="1">IFERROR(__xludf.DUMMYFUNCTION("""COMPUTED_VALUE"""),10505.6)</f>
        <v>10505.6</v>
      </c>
      <c r="L351" s="37">
        <f ca="1">IFERROR(__xludf.DUMMYFUNCTION("""COMPUTED_VALUE"""),0)</f>
        <v>0</v>
      </c>
      <c r="M351" s="37">
        <f ca="1">IFERROR(__xludf.DUMMYFUNCTION("""COMPUTED_VALUE"""),0)</f>
        <v>0</v>
      </c>
      <c r="N351" s="37">
        <f ca="1">IFERROR(__xludf.DUMMYFUNCTION("""COMPUTED_VALUE"""),0)</f>
        <v>0</v>
      </c>
      <c r="O351" s="37">
        <f ca="1">IFERROR(__xludf.DUMMYFUNCTION("""COMPUTED_VALUE"""),0)</f>
        <v>0</v>
      </c>
      <c r="P351" s="37">
        <f ca="1">IFERROR(__xludf.DUMMYFUNCTION("""COMPUTED_VALUE"""),0)</f>
        <v>0</v>
      </c>
      <c r="Q351" s="37">
        <f ca="1">IFERROR(__xludf.DUMMYFUNCTION("""COMPUTED_VALUE"""),1218)</f>
        <v>1218</v>
      </c>
      <c r="R351" s="37">
        <f ca="1">IFERROR(__xludf.DUMMYFUNCTION("""COMPUTED_VALUE"""),6820.8)</f>
        <v>6820.8</v>
      </c>
      <c r="S351" s="37">
        <f ca="1">IFERROR(__xludf.DUMMYFUNCTION("""COMPUTED_VALUE"""),0)</f>
        <v>0</v>
      </c>
      <c r="T351" s="37">
        <f ca="1">IFERROR(__xludf.DUMMYFUNCTION("""COMPUTED_VALUE"""),0)</f>
        <v>0</v>
      </c>
      <c r="U351" s="37">
        <f ca="1">IFERROR(__xludf.DUMMYFUNCTION("""COMPUTED_VALUE"""),0)</f>
        <v>0</v>
      </c>
      <c r="V351" s="37">
        <f ca="1">IFERROR(__xludf.DUMMYFUNCTION("""COMPUTED_VALUE"""),0)</f>
        <v>0</v>
      </c>
      <c r="W351" s="37">
        <f ca="1">IFERROR(__xludf.DUMMYFUNCTION("""COMPUTED_VALUE"""),0)</f>
        <v>0</v>
      </c>
      <c r="X351" s="37">
        <f ca="1">IFERROR(__xludf.DUMMYFUNCTION("""COMPUTED_VALUE"""),0)</f>
        <v>0</v>
      </c>
      <c r="Y351" s="37">
        <f ca="1">IFERROR(__xludf.DUMMYFUNCTION("""COMPUTED_VALUE"""),0)</f>
        <v>0</v>
      </c>
      <c r="Z351" s="37">
        <f ca="1">IFERROR(__xludf.DUMMYFUNCTION("""COMPUTED_VALUE"""),1497)</f>
        <v>1497</v>
      </c>
    </row>
    <row r="352" spans="1:26" ht="12.75">
      <c r="A352" s="38" t="str">
        <f ca="1">IFERROR(__xludf.DUMMYFUNCTION("""COMPUTED_VALUE"""),"Porto Nacional")</f>
        <v>Porto Nacional</v>
      </c>
      <c r="B352" s="38" t="str">
        <f ca="1">IFERROR(__xludf.DUMMYFUNCTION("""COMPUTED_VALUE"""),"Brejinho de Nazare")</f>
        <v>Brejinho de Nazare</v>
      </c>
      <c r="C352" s="39" t="str">
        <f ca="1">IFERROR(__xludf.DUMMYFUNCTION("""COMPUTED_VALUE"""),"A.A. DO COLEGIO ESTADUAL PADRAO")</f>
        <v>A.A. DO COLEGIO ESTADUAL PADRAO</v>
      </c>
      <c r="D352" s="40" t="str">
        <f ca="1">IFERROR(__xludf.DUMMYFUNCTION("""COMPUTED_VALUE"""),"01181175000105")</f>
        <v>01181175000105</v>
      </c>
      <c r="E352" s="41" t="str">
        <f ca="1">IFERROR(__xludf.DUMMYFUNCTION("""COMPUTED_VALUE"""),"001")</f>
        <v>001</v>
      </c>
      <c r="F352" s="42" t="str">
        <f ca="1">IFERROR(__xludf.DUMMYFUNCTION("""COMPUTED_VALUE"""),"3976")</f>
        <v>3976</v>
      </c>
      <c r="G352" s="42" t="str">
        <f ca="1">IFERROR(__xludf.DUMMYFUNCTION("""COMPUTED_VALUE"""),"51047")</f>
        <v>51047</v>
      </c>
      <c r="H352" s="42">
        <f ca="1">IFERROR(__xludf.DUMMYFUNCTION("""COMPUTED_VALUE"""),0)</f>
        <v>0</v>
      </c>
      <c r="I352" s="42">
        <f ca="1">IFERROR(__xludf.DUMMYFUNCTION("""COMPUTED_VALUE"""),0)</f>
        <v>0</v>
      </c>
      <c r="J352" s="42">
        <f ca="1">IFERROR(__xludf.DUMMYFUNCTION("""COMPUTED_VALUE"""),0)</f>
        <v>0</v>
      </c>
      <c r="K352" s="42">
        <f ca="1">IFERROR(__xludf.DUMMYFUNCTION("""COMPUTED_VALUE"""),0)</f>
        <v>0</v>
      </c>
      <c r="L352" s="42">
        <f ca="1">IFERROR(__xludf.DUMMYFUNCTION("""COMPUTED_VALUE"""),0)</f>
        <v>0</v>
      </c>
      <c r="M352" s="42">
        <f ca="1">IFERROR(__xludf.DUMMYFUNCTION("""COMPUTED_VALUE"""),0)</f>
        <v>0</v>
      </c>
      <c r="N352" s="42">
        <f ca="1">IFERROR(__xludf.DUMMYFUNCTION("""COMPUTED_VALUE"""),0)</f>
        <v>0</v>
      </c>
      <c r="O352" s="42">
        <f ca="1">IFERROR(__xludf.DUMMYFUNCTION("""COMPUTED_VALUE"""),0)</f>
        <v>0</v>
      </c>
      <c r="P352" s="42">
        <f ca="1">IFERROR(__xludf.DUMMYFUNCTION("""COMPUTED_VALUE"""),0)</f>
        <v>0</v>
      </c>
      <c r="Q352" s="42">
        <f ca="1">IFERROR(__xludf.DUMMYFUNCTION("""COMPUTED_VALUE"""),0)</f>
        <v>0</v>
      </c>
      <c r="R352" s="42">
        <f ca="1">IFERROR(__xludf.DUMMYFUNCTION("""COMPUTED_VALUE"""),0)</f>
        <v>0</v>
      </c>
      <c r="S352" s="42">
        <f ca="1">IFERROR(__xludf.DUMMYFUNCTION("""COMPUTED_VALUE"""),14104.9999999999)</f>
        <v>14104.9999999999</v>
      </c>
      <c r="T352" s="42">
        <f ca="1">IFERROR(__xludf.DUMMYFUNCTION("""COMPUTED_VALUE"""),0)</f>
        <v>0</v>
      </c>
      <c r="U352" s="42">
        <f ca="1">IFERROR(__xludf.DUMMYFUNCTION("""COMPUTED_VALUE"""),0)</f>
        <v>0</v>
      </c>
      <c r="V352" s="42">
        <f ca="1">IFERROR(__xludf.DUMMYFUNCTION("""COMPUTED_VALUE"""),0)</f>
        <v>0</v>
      </c>
      <c r="W352" s="42">
        <f ca="1">IFERROR(__xludf.DUMMYFUNCTION("""COMPUTED_VALUE"""),1447.19999999999)</f>
        <v>1447.19999999999</v>
      </c>
      <c r="X352" s="42">
        <f ca="1">IFERROR(__xludf.DUMMYFUNCTION("""COMPUTED_VALUE"""),0)</f>
        <v>0</v>
      </c>
      <c r="Y352" s="42">
        <f ca="1">IFERROR(__xludf.DUMMYFUNCTION("""COMPUTED_VALUE"""),0)</f>
        <v>0</v>
      </c>
      <c r="Z352" s="42">
        <f ca="1">IFERROR(__xludf.DUMMYFUNCTION("""COMPUTED_VALUE"""),0)</f>
        <v>0</v>
      </c>
    </row>
    <row r="353" spans="1:26" ht="12.75">
      <c r="A353" s="33" t="str">
        <f ca="1">IFERROR(__xludf.DUMMYFUNCTION("""COMPUTED_VALUE"""),"Porto Nacional")</f>
        <v>Porto Nacional</v>
      </c>
      <c r="B353" s="33" t="str">
        <f ca="1">IFERROR(__xludf.DUMMYFUNCTION("""COMPUTED_VALUE"""),"Brejinho de Nazare")</f>
        <v>Brejinho de Nazare</v>
      </c>
      <c r="C353" s="34" t="str">
        <f ca="1">IFERROR(__xludf.DUMMYFUNCTION("""COMPUTED_VALUE"""),"AS.DE APOIO A ESC. EST. JONAS PEREIRA LIMA")</f>
        <v>AS.DE APOIO A ESC. EST. JONAS PEREIRA LIMA</v>
      </c>
      <c r="D353" s="35" t="str">
        <f ca="1">IFERROR(__xludf.DUMMYFUNCTION("""COMPUTED_VALUE"""),"01148459000108")</f>
        <v>01148459000108</v>
      </c>
      <c r="E353" s="36" t="str">
        <f ca="1">IFERROR(__xludf.DUMMYFUNCTION("""COMPUTED_VALUE"""),"001")</f>
        <v>001</v>
      </c>
      <c r="F353" s="37" t="str">
        <f ca="1">IFERROR(__xludf.DUMMYFUNCTION("""COMPUTED_VALUE"""),"3976")</f>
        <v>3976</v>
      </c>
      <c r="G353" s="37" t="str">
        <f ca="1">IFERROR(__xludf.DUMMYFUNCTION("""COMPUTED_VALUE"""),"80489")</f>
        <v>80489</v>
      </c>
      <c r="H353" s="37">
        <f ca="1">IFERROR(__xludf.DUMMYFUNCTION("""COMPUTED_VALUE"""),0)</f>
        <v>0</v>
      </c>
      <c r="I353" s="37">
        <f ca="1">IFERROR(__xludf.DUMMYFUNCTION("""COMPUTED_VALUE"""),0)</f>
        <v>0</v>
      </c>
      <c r="J353" s="37">
        <f ca="1">IFERROR(__xludf.DUMMYFUNCTION("""COMPUTED_VALUE"""),0)</f>
        <v>0</v>
      </c>
      <c r="K353" s="37">
        <f ca="1">IFERROR(__xludf.DUMMYFUNCTION("""COMPUTED_VALUE"""),19992)</f>
        <v>19992</v>
      </c>
      <c r="L353" s="37">
        <f ca="1">IFERROR(__xludf.DUMMYFUNCTION("""COMPUTED_VALUE"""),0)</f>
        <v>0</v>
      </c>
      <c r="M353" s="37">
        <f ca="1">IFERROR(__xludf.DUMMYFUNCTION("""COMPUTED_VALUE"""),0)</f>
        <v>0</v>
      </c>
      <c r="N353" s="37">
        <f ca="1">IFERROR(__xludf.DUMMYFUNCTION("""COMPUTED_VALUE"""),0)</f>
        <v>0</v>
      </c>
      <c r="O353" s="37">
        <f ca="1">IFERROR(__xludf.DUMMYFUNCTION("""COMPUTED_VALUE"""),0)</f>
        <v>0</v>
      </c>
      <c r="P353" s="37">
        <f ca="1">IFERROR(__xludf.DUMMYFUNCTION("""COMPUTED_VALUE"""),336)</f>
        <v>336</v>
      </c>
      <c r="Q353" s="37">
        <f ca="1">IFERROR(__xludf.DUMMYFUNCTION("""COMPUTED_VALUE"""),0)</f>
        <v>0</v>
      </c>
      <c r="R353" s="37">
        <f ca="1">IFERROR(__xludf.DUMMYFUNCTION("""COMPUTED_VALUE"""),0)</f>
        <v>0</v>
      </c>
      <c r="S353" s="37">
        <f ca="1">IFERROR(__xludf.DUMMYFUNCTION("""COMPUTED_VALUE"""),0)</f>
        <v>0</v>
      </c>
      <c r="T353" s="37">
        <f ca="1">IFERROR(__xludf.DUMMYFUNCTION("""COMPUTED_VALUE"""),0)</f>
        <v>0</v>
      </c>
      <c r="U353" s="37">
        <f ca="1">IFERROR(__xludf.DUMMYFUNCTION("""COMPUTED_VALUE"""),0)</f>
        <v>0</v>
      </c>
      <c r="V353" s="37">
        <f ca="1">IFERROR(__xludf.DUMMYFUNCTION("""COMPUTED_VALUE"""),0)</f>
        <v>0</v>
      </c>
      <c r="W353" s="37">
        <f ca="1">IFERROR(__xludf.DUMMYFUNCTION("""COMPUTED_VALUE"""),0)</f>
        <v>0</v>
      </c>
      <c r="X353" s="37">
        <f ca="1">IFERROR(__xludf.DUMMYFUNCTION("""COMPUTED_VALUE"""),0)</f>
        <v>0</v>
      </c>
      <c r="Y353" s="37">
        <f ca="1">IFERROR(__xludf.DUMMYFUNCTION("""COMPUTED_VALUE"""),0)</f>
        <v>0</v>
      </c>
      <c r="Z353" s="37">
        <f ca="1">IFERROR(__xludf.DUMMYFUNCTION("""COMPUTED_VALUE"""),1696.6)</f>
        <v>1696.6</v>
      </c>
    </row>
    <row r="354" spans="1:26" ht="12.75">
      <c r="A354" s="38" t="str">
        <f ca="1">IFERROR(__xludf.DUMMYFUNCTION("""COMPUTED_VALUE"""),"Porto Nacional")</f>
        <v>Porto Nacional</v>
      </c>
      <c r="B354" s="38" t="str">
        <f ca="1">IFERROR(__xludf.DUMMYFUNCTION("""COMPUTED_VALUE"""),"Chapada da Natividade")</f>
        <v>Chapada da Natividade</v>
      </c>
      <c r="C354" s="39" t="str">
        <f ca="1">IFERROR(__xludf.DUMMYFUNCTION("""COMPUTED_VALUE"""),"A. APOIO ESCOLA EST. FULGENCIO NUNES")</f>
        <v>A. APOIO ESCOLA EST. FULGENCIO NUNES</v>
      </c>
      <c r="D354" s="40" t="str">
        <f ca="1">IFERROR(__xludf.DUMMYFUNCTION("""COMPUTED_VALUE"""),"01257085000150")</f>
        <v>01257085000150</v>
      </c>
      <c r="E354" s="41" t="str">
        <f ca="1">IFERROR(__xludf.DUMMYFUNCTION("""COMPUTED_VALUE"""),"003")</f>
        <v>003</v>
      </c>
      <c r="F354" s="42" t="str">
        <f ca="1">IFERROR(__xludf.DUMMYFUNCTION("""COMPUTED_VALUE"""),"0037")</f>
        <v>0037</v>
      </c>
      <c r="G354" s="42" t="str">
        <f ca="1">IFERROR(__xludf.DUMMYFUNCTION("""COMPUTED_VALUE"""),"706153")</f>
        <v>706153</v>
      </c>
      <c r="H354" s="42">
        <f ca="1">IFERROR(__xludf.DUMMYFUNCTION("""COMPUTED_VALUE"""),0)</f>
        <v>0</v>
      </c>
      <c r="I354" s="42">
        <f ca="1">IFERROR(__xludf.DUMMYFUNCTION("""COMPUTED_VALUE"""),0)</f>
        <v>0</v>
      </c>
      <c r="J354" s="42">
        <f ca="1">IFERROR(__xludf.DUMMYFUNCTION("""COMPUTED_VALUE"""),0)</f>
        <v>0</v>
      </c>
      <c r="K354" s="42">
        <f ca="1">IFERROR(__xludf.DUMMYFUNCTION("""COMPUTED_VALUE"""),0)</f>
        <v>0</v>
      </c>
      <c r="L354" s="42">
        <f ca="1">IFERROR(__xludf.DUMMYFUNCTION("""COMPUTED_VALUE"""),6867)</f>
        <v>6867</v>
      </c>
      <c r="M354" s="42">
        <f ca="1">IFERROR(__xludf.DUMMYFUNCTION("""COMPUTED_VALUE"""),0)</f>
        <v>0</v>
      </c>
      <c r="N354" s="42">
        <f ca="1">IFERROR(__xludf.DUMMYFUNCTION("""COMPUTED_VALUE"""),0)</f>
        <v>0</v>
      </c>
      <c r="O354" s="42">
        <f ca="1">IFERROR(__xludf.DUMMYFUNCTION("""COMPUTED_VALUE"""),0)</f>
        <v>0</v>
      </c>
      <c r="P354" s="42">
        <f ca="1">IFERROR(__xludf.DUMMYFUNCTION("""COMPUTED_VALUE"""),0)</f>
        <v>0</v>
      </c>
      <c r="Q354" s="42">
        <f ca="1">IFERROR(__xludf.DUMMYFUNCTION("""COMPUTED_VALUE"""),0)</f>
        <v>0</v>
      </c>
      <c r="R354" s="42">
        <f ca="1">IFERROR(__xludf.DUMMYFUNCTION("""COMPUTED_VALUE"""),0)</f>
        <v>0</v>
      </c>
      <c r="S354" s="42">
        <f ca="1">IFERROR(__xludf.DUMMYFUNCTION("""COMPUTED_VALUE"""),0)</f>
        <v>0</v>
      </c>
      <c r="T354" s="42">
        <f ca="1">IFERROR(__xludf.DUMMYFUNCTION("""COMPUTED_VALUE"""),0)</f>
        <v>0</v>
      </c>
      <c r="U354" s="42">
        <f ca="1">IFERROR(__xludf.DUMMYFUNCTION("""COMPUTED_VALUE"""),0)</f>
        <v>0</v>
      </c>
      <c r="V354" s="42">
        <f ca="1">IFERROR(__xludf.DUMMYFUNCTION("""COMPUTED_VALUE"""),0)</f>
        <v>0</v>
      </c>
      <c r="W354" s="42">
        <f ca="1">IFERROR(__xludf.DUMMYFUNCTION("""COMPUTED_VALUE"""),0)</f>
        <v>0</v>
      </c>
      <c r="X354" s="42">
        <f ca="1">IFERROR(__xludf.DUMMYFUNCTION("""COMPUTED_VALUE"""),0)</f>
        <v>0</v>
      </c>
      <c r="Y354" s="42">
        <f ca="1">IFERROR(__xludf.DUMMYFUNCTION("""COMPUTED_VALUE"""),0)</f>
        <v>0</v>
      </c>
      <c r="Z354" s="42">
        <f ca="1">IFERROR(__xludf.DUMMYFUNCTION("""COMPUTED_VALUE"""),0)</f>
        <v>0</v>
      </c>
    </row>
    <row r="355" spans="1:26" ht="12.75">
      <c r="A355" s="33" t="str">
        <f ca="1">IFERROR(__xludf.DUMMYFUNCTION("""COMPUTED_VALUE"""),"Porto Nacional")</f>
        <v>Porto Nacional</v>
      </c>
      <c r="B355" s="33" t="str">
        <f ca="1">IFERROR(__xludf.DUMMYFUNCTION("""COMPUTED_VALUE"""),"Fatima")</f>
        <v>Fatima</v>
      </c>
      <c r="C355" s="34" t="str">
        <f ca="1">IFERROR(__xludf.DUMMYFUNCTION("""COMPUTED_VALUE"""),"A.A. ESCOLA ESTADUAL CONCEICAO BRITO")</f>
        <v>A.A. ESCOLA ESTADUAL CONCEICAO BRITO</v>
      </c>
      <c r="D355" s="35" t="str">
        <f ca="1">IFERROR(__xludf.DUMMYFUNCTION("""COMPUTED_VALUE"""),"01268285000109")</f>
        <v>01268285000109</v>
      </c>
      <c r="E355" s="36" t="str">
        <f ca="1">IFERROR(__xludf.DUMMYFUNCTION("""COMPUTED_VALUE"""),"001")</f>
        <v>001</v>
      </c>
      <c r="F355" s="37" t="str">
        <f ca="1">IFERROR(__xludf.DUMMYFUNCTION("""COMPUTED_VALUE"""),"4107")</f>
        <v>4107</v>
      </c>
      <c r="G355" s="37" t="str">
        <f ca="1">IFERROR(__xludf.DUMMYFUNCTION("""COMPUTED_VALUE"""),"50911")</f>
        <v>50911</v>
      </c>
      <c r="H355" s="37">
        <f ca="1">IFERROR(__xludf.DUMMYFUNCTION("""COMPUTED_VALUE"""),0)</f>
        <v>0</v>
      </c>
      <c r="I355" s="37">
        <f ca="1">IFERROR(__xludf.DUMMYFUNCTION("""COMPUTED_VALUE"""),0)</f>
        <v>0</v>
      </c>
      <c r="J355" s="37">
        <f ca="1">IFERROR(__xludf.DUMMYFUNCTION("""COMPUTED_VALUE"""),5649)</f>
        <v>5649</v>
      </c>
      <c r="K355" s="37">
        <f ca="1">IFERROR(__xludf.DUMMYFUNCTION("""COMPUTED_VALUE"""),0)</f>
        <v>0</v>
      </c>
      <c r="L355" s="37">
        <f ca="1">IFERROR(__xludf.DUMMYFUNCTION("""COMPUTED_VALUE"""),0)</f>
        <v>0</v>
      </c>
      <c r="M355" s="37">
        <f ca="1">IFERROR(__xludf.DUMMYFUNCTION("""COMPUTED_VALUE"""),0)</f>
        <v>0</v>
      </c>
      <c r="N355" s="37">
        <f ca="1">IFERROR(__xludf.DUMMYFUNCTION("""COMPUTED_VALUE"""),0)</f>
        <v>0</v>
      </c>
      <c r="O355" s="37">
        <f ca="1">IFERROR(__xludf.DUMMYFUNCTION("""COMPUTED_VALUE"""),0)</f>
        <v>0</v>
      </c>
      <c r="P355" s="37">
        <f ca="1">IFERROR(__xludf.DUMMYFUNCTION("""COMPUTED_VALUE"""),189)</f>
        <v>189</v>
      </c>
      <c r="Q355" s="37">
        <f ca="1">IFERROR(__xludf.DUMMYFUNCTION("""COMPUTED_VALUE"""),2772)</f>
        <v>2772</v>
      </c>
      <c r="R355" s="37">
        <f ca="1">IFERROR(__xludf.DUMMYFUNCTION("""COMPUTED_VALUE"""),0)</f>
        <v>0</v>
      </c>
      <c r="S355" s="37">
        <f ca="1">IFERROR(__xludf.DUMMYFUNCTION("""COMPUTED_VALUE"""),0)</f>
        <v>0</v>
      </c>
      <c r="T355" s="37">
        <f ca="1">IFERROR(__xludf.DUMMYFUNCTION("""COMPUTED_VALUE"""),0)</f>
        <v>0</v>
      </c>
      <c r="U355" s="37">
        <f ca="1">IFERROR(__xludf.DUMMYFUNCTION("""COMPUTED_VALUE"""),0)</f>
        <v>0</v>
      </c>
      <c r="V355" s="37">
        <f ca="1">IFERROR(__xludf.DUMMYFUNCTION("""COMPUTED_VALUE"""),0)</f>
        <v>0</v>
      </c>
      <c r="W355" s="37">
        <f ca="1">IFERROR(__xludf.DUMMYFUNCTION("""COMPUTED_VALUE"""),0)</f>
        <v>0</v>
      </c>
      <c r="X355" s="37">
        <f ca="1">IFERROR(__xludf.DUMMYFUNCTION("""COMPUTED_VALUE"""),0)</f>
        <v>0</v>
      </c>
      <c r="Y355" s="37">
        <f ca="1">IFERROR(__xludf.DUMMYFUNCTION("""COMPUTED_VALUE"""),0)</f>
        <v>0</v>
      </c>
      <c r="Z355" s="37">
        <f ca="1">IFERROR(__xludf.DUMMYFUNCTION("""COMPUTED_VALUE"""),0)</f>
        <v>0</v>
      </c>
    </row>
    <row r="356" spans="1:26" ht="12.75">
      <c r="A356" s="38" t="str">
        <f ca="1">IFERROR(__xludf.DUMMYFUNCTION("""COMPUTED_VALUE"""),"Porto Nacional")</f>
        <v>Porto Nacional</v>
      </c>
      <c r="B356" s="38" t="str">
        <f ca="1">IFERROR(__xludf.DUMMYFUNCTION("""COMPUTED_VALUE"""),"Fatima")</f>
        <v>Fatima</v>
      </c>
      <c r="C356" s="39" t="str">
        <f ca="1">IFERROR(__xludf.DUMMYFUNCTION("""COMPUTED_VALUE"""),"ASSOC. DE APOIO A ESCOLA ESPECIAL RENASCER")</f>
        <v>ASSOC. DE APOIO A ESCOLA ESPECIAL RENASCER</v>
      </c>
      <c r="D356" s="40" t="str">
        <f ca="1">IFERROR(__xludf.DUMMYFUNCTION("""COMPUTED_VALUE"""),"11726757000183")</f>
        <v>11726757000183</v>
      </c>
      <c r="E356" s="41" t="str">
        <f ca="1">IFERROR(__xludf.DUMMYFUNCTION("""COMPUTED_VALUE"""),"001")</f>
        <v>001</v>
      </c>
      <c r="F356" s="42" t="str">
        <f ca="1">IFERROR(__xludf.DUMMYFUNCTION("""COMPUTED_VALUE"""),"4107")</f>
        <v>4107</v>
      </c>
      <c r="G356" s="42" t="str">
        <f ca="1">IFERROR(__xludf.DUMMYFUNCTION("""COMPUTED_VALUE"""),"7991X")</f>
        <v>7991X</v>
      </c>
      <c r="H356" s="42">
        <f ca="1">IFERROR(__xludf.DUMMYFUNCTION("""COMPUTED_VALUE"""),0)</f>
        <v>0</v>
      </c>
      <c r="I356" s="42">
        <f ca="1">IFERROR(__xludf.DUMMYFUNCTION("""COMPUTED_VALUE"""),0)</f>
        <v>0</v>
      </c>
      <c r="J356" s="42">
        <f ca="1">IFERROR(__xludf.DUMMYFUNCTION("""COMPUTED_VALUE"""),0)</f>
        <v>0</v>
      </c>
      <c r="K356" s="42">
        <f ca="1">IFERROR(__xludf.DUMMYFUNCTION("""COMPUTED_VALUE"""),0)</f>
        <v>0</v>
      </c>
      <c r="L356" s="42">
        <f ca="1">IFERROR(__xludf.DUMMYFUNCTION("""COMPUTED_VALUE"""),0)</f>
        <v>0</v>
      </c>
      <c r="M356" s="42">
        <f ca="1">IFERROR(__xludf.DUMMYFUNCTION("""COMPUTED_VALUE"""),0)</f>
        <v>0</v>
      </c>
      <c r="N356" s="42">
        <f ca="1">IFERROR(__xludf.DUMMYFUNCTION("""COMPUTED_VALUE"""),0)</f>
        <v>0</v>
      </c>
      <c r="O356" s="42">
        <f ca="1">IFERROR(__xludf.DUMMYFUNCTION("""COMPUTED_VALUE"""),0)</f>
        <v>0</v>
      </c>
      <c r="P356" s="42">
        <f ca="1">IFERROR(__xludf.DUMMYFUNCTION("""COMPUTED_VALUE"""),378)</f>
        <v>378</v>
      </c>
      <c r="Q356" s="42">
        <f ca="1">IFERROR(__xludf.DUMMYFUNCTION("""COMPUTED_VALUE"""),0)</f>
        <v>0</v>
      </c>
      <c r="R356" s="42">
        <f ca="1">IFERROR(__xludf.DUMMYFUNCTION("""COMPUTED_VALUE"""),0)</f>
        <v>0</v>
      </c>
      <c r="S356" s="42">
        <f ca="1">IFERROR(__xludf.DUMMYFUNCTION("""COMPUTED_VALUE"""),0)</f>
        <v>0</v>
      </c>
      <c r="T356" s="42">
        <f ca="1">IFERROR(__xludf.DUMMYFUNCTION("""COMPUTED_VALUE"""),693)</f>
        <v>693</v>
      </c>
      <c r="U356" s="42">
        <f ca="1">IFERROR(__xludf.DUMMYFUNCTION("""COMPUTED_VALUE"""),0)</f>
        <v>0</v>
      </c>
      <c r="V356" s="42">
        <f ca="1">IFERROR(__xludf.DUMMYFUNCTION("""COMPUTED_VALUE"""),0)</f>
        <v>0</v>
      </c>
      <c r="W356" s="42">
        <f ca="1">IFERROR(__xludf.DUMMYFUNCTION("""COMPUTED_VALUE"""),0)</f>
        <v>0</v>
      </c>
      <c r="X356" s="42">
        <f ca="1">IFERROR(__xludf.DUMMYFUNCTION("""COMPUTED_VALUE"""),0)</f>
        <v>0</v>
      </c>
      <c r="Y356" s="42">
        <f ca="1">IFERROR(__xludf.DUMMYFUNCTION("""COMPUTED_VALUE"""),0)</f>
        <v>0</v>
      </c>
      <c r="Z356" s="42">
        <f ca="1">IFERROR(__xludf.DUMMYFUNCTION("""COMPUTED_VALUE"""),0)</f>
        <v>0</v>
      </c>
    </row>
    <row r="357" spans="1:26" ht="12.75">
      <c r="A357" s="33" t="str">
        <f ca="1">IFERROR(__xludf.DUMMYFUNCTION("""COMPUTED_VALUE"""),"Porto Nacional")</f>
        <v>Porto Nacional</v>
      </c>
      <c r="B357" s="33" t="str">
        <f ca="1">IFERROR(__xludf.DUMMYFUNCTION("""COMPUTED_VALUE"""),"Ipueiras")</f>
        <v>Ipueiras</v>
      </c>
      <c r="C357" s="34" t="str">
        <f ca="1">IFERROR(__xludf.DUMMYFUNCTION("""COMPUTED_VALUE"""),"ASSOC. DE APOIO DA ESC. EST. FELIX CAMOA")</f>
        <v>ASSOC. DE APOIO DA ESC. EST. FELIX CAMOA</v>
      </c>
      <c r="D357" s="35" t="str">
        <f ca="1">IFERROR(__xludf.DUMMYFUNCTION("""COMPUTED_VALUE"""),"01469443000199")</f>
        <v>01469443000199</v>
      </c>
      <c r="E357" s="36" t="str">
        <f ca="1">IFERROR(__xludf.DUMMYFUNCTION("""COMPUTED_VALUE"""),"001")</f>
        <v>001</v>
      </c>
      <c r="F357" s="37" t="str">
        <f ca="1">IFERROR(__xludf.DUMMYFUNCTION("""COMPUTED_VALUE"""),"1117")</f>
        <v>1117</v>
      </c>
      <c r="G357" s="37" t="str">
        <f ca="1">IFERROR(__xludf.DUMMYFUNCTION("""COMPUTED_VALUE"""),"315052")</f>
        <v>315052</v>
      </c>
      <c r="H357" s="37">
        <f ca="1">IFERROR(__xludf.DUMMYFUNCTION("""COMPUTED_VALUE"""),0)</f>
        <v>0</v>
      </c>
      <c r="I357" s="37">
        <f ca="1">IFERROR(__xludf.DUMMYFUNCTION("""COMPUTED_VALUE"""),0)</f>
        <v>0</v>
      </c>
      <c r="J357" s="37">
        <f ca="1">IFERROR(__xludf.DUMMYFUNCTION("""COMPUTED_VALUE"""),420)</f>
        <v>420</v>
      </c>
      <c r="K357" s="37">
        <f ca="1">IFERROR(__xludf.DUMMYFUNCTION("""COMPUTED_VALUE"""),0)</f>
        <v>0</v>
      </c>
      <c r="L357" s="37">
        <f ca="1">IFERROR(__xludf.DUMMYFUNCTION("""COMPUTED_VALUE"""),0)</f>
        <v>0</v>
      </c>
      <c r="M357" s="37">
        <f ca="1">IFERROR(__xludf.DUMMYFUNCTION("""COMPUTED_VALUE"""),0)</f>
        <v>0</v>
      </c>
      <c r="N357" s="37">
        <f ca="1">IFERROR(__xludf.DUMMYFUNCTION("""COMPUTED_VALUE"""),0)</f>
        <v>0</v>
      </c>
      <c r="O357" s="37">
        <f ca="1">IFERROR(__xludf.DUMMYFUNCTION("""COMPUTED_VALUE"""),0)</f>
        <v>0</v>
      </c>
      <c r="P357" s="37">
        <f ca="1">IFERROR(__xludf.DUMMYFUNCTION("""COMPUTED_VALUE"""),84)</f>
        <v>84</v>
      </c>
      <c r="Q357" s="37">
        <f ca="1">IFERROR(__xludf.DUMMYFUNCTION("""COMPUTED_VALUE"""),1512)</f>
        <v>1512</v>
      </c>
      <c r="R357" s="37">
        <f ca="1">IFERROR(__xludf.DUMMYFUNCTION("""COMPUTED_VALUE"""),0)</f>
        <v>0</v>
      </c>
      <c r="S357" s="37">
        <f ca="1">IFERROR(__xludf.DUMMYFUNCTION("""COMPUTED_VALUE"""),0)</f>
        <v>0</v>
      </c>
      <c r="T357" s="37">
        <f ca="1">IFERROR(__xludf.DUMMYFUNCTION("""COMPUTED_VALUE"""),315)</f>
        <v>315</v>
      </c>
      <c r="U357" s="37">
        <f ca="1">IFERROR(__xludf.DUMMYFUNCTION("""COMPUTED_VALUE"""),0)</f>
        <v>0</v>
      </c>
      <c r="V357" s="37">
        <f ca="1">IFERROR(__xludf.DUMMYFUNCTION("""COMPUTED_VALUE"""),0)</f>
        <v>0</v>
      </c>
      <c r="W357" s="37">
        <f ca="1">IFERROR(__xludf.DUMMYFUNCTION("""COMPUTED_VALUE"""),0)</f>
        <v>0</v>
      </c>
      <c r="X357" s="37">
        <f ca="1">IFERROR(__xludf.DUMMYFUNCTION("""COMPUTED_VALUE"""),0)</f>
        <v>0</v>
      </c>
      <c r="Y357" s="37">
        <f ca="1">IFERROR(__xludf.DUMMYFUNCTION("""COMPUTED_VALUE"""),0)</f>
        <v>0</v>
      </c>
      <c r="Z357" s="37">
        <f ca="1">IFERROR(__xludf.DUMMYFUNCTION("""COMPUTED_VALUE"""),0)</f>
        <v>0</v>
      </c>
    </row>
    <row r="358" spans="1:26" ht="12.75">
      <c r="A358" s="38" t="str">
        <f ca="1">IFERROR(__xludf.DUMMYFUNCTION("""COMPUTED_VALUE"""),"Porto Nacional")</f>
        <v>Porto Nacional</v>
      </c>
      <c r="B358" s="38" t="str">
        <f ca="1">IFERROR(__xludf.DUMMYFUNCTION("""COMPUTED_VALUE"""),"Monte do Carmo")</f>
        <v>Monte do Carmo</v>
      </c>
      <c r="C358" s="39" t="str">
        <f ca="1">IFERROR(__xludf.DUMMYFUNCTION("""COMPUTED_VALUE"""),"A.A. DA ESC. EST. BRIGADAS CHE GUEVARA")</f>
        <v>A.A. DA ESC. EST. BRIGADAS CHE GUEVARA</v>
      </c>
      <c r="D358" s="40" t="str">
        <f ca="1">IFERROR(__xludf.DUMMYFUNCTION("""COMPUTED_VALUE"""),"08593650000108")</f>
        <v>08593650000108</v>
      </c>
      <c r="E358" s="41" t="str">
        <f ca="1">IFERROR(__xludf.DUMMYFUNCTION("""COMPUTED_VALUE"""),"001")</f>
        <v>001</v>
      </c>
      <c r="F358" s="42" t="str">
        <f ca="1">IFERROR(__xludf.DUMMYFUNCTION("""COMPUTED_VALUE"""),"1117")</f>
        <v>1117</v>
      </c>
      <c r="G358" s="42" t="str">
        <f ca="1">IFERROR(__xludf.DUMMYFUNCTION("""COMPUTED_VALUE"""),"263060")</f>
        <v>263060</v>
      </c>
      <c r="H358" s="42">
        <f ca="1">IFERROR(__xludf.DUMMYFUNCTION("""COMPUTED_VALUE"""),0)</f>
        <v>0</v>
      </c>
      <c r="I358" s="42">
        <f ca="1">IFERROR(__xludf.DUMMYFUNCTION("""COMPUTED_VALUE"""),0)</f>
        <v>0</v>
      </c>
      <c r="J358" s="42">
        <f ca="1">IFERROR(__xludf.DUMMYFUNCTION("""COMPUTED_VALUE"""),0)</f>
        <v>0</v>
      </c>
      <c r="K358" s="42">
        <f ca="1">IFERROR(__xludf.DUMMYFUNCTION("""COMPUTED_VALUE"""),0)</f>
        <v>0</v>
      </c>
      <c r="L358" s="42">
        <f ca="1">IFERROR(__xludf.DUMMYFUNCTION("""COMPUTED_VALUE"""),0)</f>
        <v>0</v>
      </c>
      <c r="M358" s="42">
        <f ca="1">IFERROR(__xludf.DUMMYFUNCTION("""COMPUTED_VALUE"""),0)</f>
        <v>0</v>
      </c>
      <c r="N358" s="42">
        <f ca="1">IFERROR(__xludf.DUMMYFUNCTION("""COMPUTED_VALUE"""),0)</f>
        <v>0</v>
      </c>
      <c r="O358" s="42">
        <f ca="1">IFERROR(__xludf.DUMMYFUNCTION("""COMPUTED_VALUE"""),0)</f>
        <v>0</v>
      </c>
      <c r="P358" s="42">
        <f ca="1">IFERROR(__xludf.DUMMYFUNCTION("""COMPUTED_VALUE"""),0)</f>
        <v>0</v>
      </c>
      <c r="Q358" s="42">
        <f ca="1">IFERROR(__xludf.DUMMYFUNCTION("""COMPUTED_VALUE"""),0)</f>
        <v>0</v>
      </c>
      <c r="R358" s="42">
        <f ca="1">IFERROR(__xludf.DUMMYFUNCTION("""COMPUTED_VALUE"""),0)</f>
        <v>0</v>
      </c>
      <c r="S358" s="42">
        <f ca="1">IFERROR(__xludf.DUMMYFUNCTION("""COMPUTED_VALUE"""),0)</f>
        <v>0</v>
      </c>
      <c r="T358" s="42">
        <f ca="1">IFERROR(__xludf.DUMMYFUNCTION("""COMPUTED_VALUE"""),0)</f>
        <v>0</v>
      </c>
      <c r="U358" s="42">
        <f ca="1">IFERROR(__xludf.DUMMYFUNCTION("""COMPUTED_VALUE"""),0)</f>
        <v>0</v>
      </c>
      <c r="V358" s="42">
        <f ca="1">IFERROR(__xludf.DUMMYFUNCTION("""COMPUTED_VALUE"""),6993.6)</f>
        <v>6993.6</v>
      </c>
      <c r="W358" s="42">
        <f ca="1">IFERROR(__xludf.DUMMYFUNCTION("""COMPUTED_VALUE"""),0)</f>
        <v>0</v>
      </c>
      <c r="X358" s="42">
        <f ca="1">IFERROR(__xludf.DUMMYFUNCTION("""COMPUTED_VALUE"""),0)</f>
        <v>0</v>
      </c>
      <c r="Y358" s="42">
        <f ca="1">IFERROR(__xludf.DUMMYFUNCTION("""COMPUTED_VALUE"""),510.599999999999)</f>
        <v>510.599999999999</v>
      </c>
      <c r="Z358" s="42">
        <f ca="1">IFERROR(__xludf.DUMMYFUNCTION("""COMPUTED_VALUE"""),0)</f>
        <v>0</v>
      </c>
    </row>
    <row r="359" spans="1:26" ht="12.75">
      <c r="A359" s="33" t="str">
        <f ca="1">IFERROR(__xludf.DUMMYFUNCTION("""COMPUTED_VALUE"""),"Porto Nacional")</f>
        <v>Porto Nacional</v>
      </c>
      <c r="B359" s="33" t="str">
        <f ca="1">IFERROR(__xludf.DUMMYFUNCTION("""COMPUTED_VALUE"""),"Monte do Carmo")</f>
        <v>Monte do Carmo</v>
      </c>
      <c r="C359" s="34" t="str">
        <f ca="1">IFERROR(__xludf.DUMMYFUNCTION("""COMPUTED_VALUE"""),"A.A.  DO COLEGIO EST. PADRE GAMA")</f>
        <v>A.A.  DO COLEGIO EST. PADRE GAMA</v>
      </c>
      <c r="D359" s="35" t="str">
        <f ca="1">IFERROR(__xludf.DUMMYFUNCTION("""COMPUTED_VALUE"""),"01071443000136")</f>
        <v>01071443000136</v>
      </c>
      <c r="E359" s="36" t="str">
        <f ca="1">IFERROR(__xludf.DUMMYFUNCTION("""COMPUTED_VALUE"""),"001")</f>
        <v>001</v>
      </c>
      <c r="F359" s="37" t="str">
        <f ca="1">IFERROR(__xludf.DUMMYFUNCTION("""COMPUTED_VALUE"""),"1117")</f>
        <v>1117</v>
      </c>
      <c r="G359" s="37" t="str">
        <f ca="1">IFERROR(__xludf.DUMMYFUNCTION("""COMPUTED_VALUE"""),"0312878")</f>
        <v>0312878</v>
      </c>
      <c r="H359" s="37">
        <f ca="1">IFERROR(__xludf.DUMMYFUNCTION("""COMPUTED_VALUE"""),0)</f>
        <v>0</v>
      </c>
      <c r="I359" s="37">
        <f ca="1">IFERROR(__xludf.DUMMYFUNCTION("""COMPUTED_VALUE"""),0)</f>
        <v>0</v>
      </c>
      <c r="J359" s="37">
        <f ca="1">IFERROR(__xludf.DUMMYFUNCTION("""COMPUTED_VALUE"""),3003)</f>
        <v>3003</v>
      </c>
      <c r="K359" s="37">
        <f ca="1">IFERROR(__xludf.DUMMYFUNCTION("""COMPUTED_VALUE"""),0)</f>
        <v>0</v>
      </c>
      <c r="L359" s="37">
        <f ca="1">IFERROR(__xludf.DUMMYFUNCTION("""COMPUTED_VALUE"""),0)</f>
        <v>0</v>
      </c>
      <c r="M359" s="37">
        <f ca="1">IFERROR(__xludf.DUMMYFUNCTION("""COMPUTED_VALUE"""),0)</f>
        <v>0</v>
      </c>
      <c r="N359" s="37">
        <f ca="1">IFERROR(__xludf.DUMMYFUNCTION("""COMPUTED_VALUE"""),0)</f>
        <v>0</v>
      </c>
      <c r="O359" s="37">
        <f ca="1">IFERROR(__xludf.DUMMYFUNCTION("""COMPUTED_VALUE"""),0)</f>
        <v>0</v>
      </c>
      <c r="P359" s="37">
        <f ca="1">IFERROR(__xludf.DUMMYFUNCTION("""COMPUTED_VALUE"""),231)</f>
        <v>231</v>
      </c>
      <c r="Q359" s="37">
        <f ca="1">IFERROR(__xludf.DUMMYFUNCTION("""COMPUTED_VALUE"""),3108)</f>
        <v>3108</v>
      </c>
      <c r="R359" s="37">
        <f ca="1">IFERROR(__xludf.DUMMYFUNCTION("""COMPUTED_VALUE"""),0)</f>
        <v>0</v>
      </c>
      <c r="S359" s="37">
        <f ca="1">IFERROR(__xludf.DUMMYFUNCTION("""COMPUTED_VALUE"""),0)</f>
        <v>0</v>
      </c>
      <c r="T359" s="37">
        <f ca="1">IFERROR(__xludf.DUMMYFUNCTION("""COMPUTED_VALUE"""),483)</f>
        <v>483</v>
      </c>
      <c r="U359" s="37">
        <f ca="1">IFERROR(__xludf.DUMMYFUNCTION("""COMPUTED_VALUE"""),0)</f>
        <v>0</v>
      </c>
      <c r="V359" s="37">
        <f ca="1">IFERROR(__xludf.DUMMYFUNCTION("""COMPUTED_VALUE"""),0)</f>
        <v>0</v>
      </c>
      <c r="W359" s="37">
        <f ca="1">IFERROR(__xludf.DUMMYFUNCTION("""COMPUTED_VALUE"""),0)</f>
        <v>0</v>
      </c>
      <c r="X359" s="37">
        <f ca="1">IFERROR(__xludf.DUMMYFUNCTION("""COMPUTED_VALUE"""),0)</f>
        <v>0</v>
      </c>
      <c r="Y359" s="37">
        <f ca="1">IFERROR(__xludf.DUMMYFUNCTION("""COMPUTED_VALUE"""),0)</f>
        <v>0</v>
      </c>
      <c r="Z359" s="37">
        <f ca="1">IFERROR(__xludf.DUMMYFUNCTION("""COMPUTED_VALUE"""),0)</f>
        <v>0</v>
      </c>
    </row>
    <row r="360" spans="1:26" ht="12.75">
      <c r="A360" s="38" t="str">
        <f ca="1">IFERROR(__xludf.DUMMYFUNCTION("""COMPUTED_VALUE"""),"Porto Nacional")</f>
        <v>Porto Nacional</v>
      </c>
      <c r="B360" s="38" t="str">
        <f ca="1">IFERROR(__xludf.DUMMYFUNCTION("""COMPUTED_VALUE"""),"Monte do Carmo")</f>
        <v>Monte do Carmo</v>
      </c>
      <c r="C360" s="39" t="str">
        <f ca="1">IFERROR(__xludf.DUMMYFUNCTION("""COMPUTED_VALUE"""),"A.APOIO DA ESCOLA ESTADUAL MESTRA BELA")</f>
        <v>A.APOIO DA ESCOLA ESTADUAL MESTRA BELA</v>
      </c>
      <c r="D360" s="40" t="str">
        <f ca="1">IFERROR(__xludf.DUMMYFUNCTION("""COMPUTED_VALUE"""),"01071442000191")</f>
        <v>01071442000191</v>
      </c>
      <c r="E360" s="41" t="str">
        <f ca="1">IFERROR(__xludf.DUMMYFUNCTION("""COMPUTED_VALUE"""),"001")</f>
        <v>001</v>
      </c>
      <c r="F360" s="42" t="str">
        <f ca="1">IFERROR(__xludf.DUMMYFUNCTION("""COMPUTED_VALUE"""),"1117")</f>
        <v>1117</v>
      </c>
      <c r="G360" s="42" t="str">
        <f ca="1">IFERROR(__xludf.DUMMYFUNCTION("""COMPUTED_VALUE"""),"31286X")</f>
        <v>31286X</v>
      </c>
      <c r="H360" s="42">
        <f ca="1">IFERROR(__xludf.DUMMYFUNCTION("""COMPUTED_VALUE"""),0)</f>
        <v>0</v>
      </c>
      <c r="I360" s="42">
        <f ca="1">IFERROR(__xludf.DUMMYFUNCTION("""COMPUTED_VALUE"""),0)</f>
        <v>0</v>
      </c>
      <c r="J360" s="42">
        <f ca="1">IFERROR(__xludf.DUMMYFUNCTION("""COMPUTED_VALUE"""),0)</f>
        <v>0</v>
      </c>
      <c r="K360" s="42">
        <f ca="1">IFERROR(__xludf.DUMMYFUNCTION("""COMPUTED_VALUE"""),8624)</f>
        <v>8624</v>
      </c>
      <c r="L360" s="42">
        <f ca="1">IFERROR(__xludf.DUMMYFUNCTION("""COMPUTED_VALUE"""),0)</f>
        <v>0</v>
      </c>
      <c r="M360" s="42">
        <f ca="1">IFERROR(__xludf.DUMMYFUNCTION("""COMPUTED_VALUE"""),0)</f>
        <v>0</v>
      </c>
      <c r="N360" s="42">
        <f ca="1">IFERROR(__xludf.DUMMYFUNCTION("""COMPUTED_VALUE"""),0)</f>
        <v>0</v>
      </c>
      <c r="O360" s="42">
        <f ca="1">IFERROR(__xludf.DUMMYFUNCTION("""COMPUTED_VALUE"""),0)</f>
        <v>0</v>
      </c>
      <c r="P360" s="42">
        <f ca="1">IFERROR(__xludf.DUMMYFUNCTION("""COMPUTED_VALUE"""),210)</f>
        <v>210</v>
      </c>
      <c r="Q360" s="42">
        <f ca="1">IFERROR(__xludf.DUMMYFUNCTION("""COMPUTED_VALUE"""),0)</f>
        <v>0</v>
      </c>
      <c r="R360" s="42">
        <f ca="1">IFERROR(__xludf.DUMMYFUNCTION("""COMPUTED_VALUE"""),0)</f>
        <v>0</v>
      </c>
      <c r="S360" s="42">
        <f ca="1">IFERROR(__xludf.DUMMYFUNCTION("""COMPUTED_VALUE"""),0)</f>
        <v>0</v>
      </c>
      <c r="T360" s="42">
        <f ca="1">IFERROR(__xludf.DUMMYFUNCTION("""COMPUTED_VALUE"""),0)</f>
        <v>0</v>
      </c>
      <c r="U360" s="42">
        <f ca="1">IFERROR(__xludf.DUMMYFUNCTION("""COMPUTED_VALUE"""),0)</f>
        <v>0</v>
      </c>
      <c r="V360" s="42">
        <f ca="1">IFERROR(__xludf.DUMMYFUNCTION("""COMPUTED_VALUE"""),0)</f>
        <v>0</v>
      </c>
      <c r="W360" s="42">
        <f ca="1">IFERROR(__xludf.DUMMYFUNCTION("""COMPUTED_VALUE"""),0)</f>
        <v>0</v>
      </c>
      <c r="X360" s="42">
        <f ca="1">IFERROR(__xludf.DUMMYFUNCTION("""COMPUTED_VALUE"""),0)</f>
        <v>0</v>
      </c>
      <c r="Y360" s="42">
        <f ca="1">IFERROR(__xludf.DUMMYFUNCTION("""COMPUTED_VALUE"""),0)</f>
        <v>0</v>
      </c>
      <c r="Z360" s="42">
        <f ca="1">IFERROR(__xludf.DUMMYFUNCTION("""COMPUTED_VALUE"""),698.6)</f>
        <v>698.6</v>
      </c>
    </row>
    <row r="361" spans="1:26" ht="12.75">
      <c r="A361" s="33" t="str">
        <f ca="1">IFERROR(__xludf.DUMMYFUNCTION("""COMPUTED_VALUE"""),"Porto Nacional")</f>
        <v>Porto Nacional</v>
      </c>
      <c r="B361" s="33" t="str">
        <f ca="1">IFERROR(__xludf.DUMMYFUNCTION("""COMPUTED_VALUE"""),"Monte do Carmo")</f>
        <v>Monte do Carmo</v>
      </c>
      <c r="C361" s="34" t="str">
        <f ca="1">IFERROR(__xludf.DUMMYFUNCTION("""COMPUTED_VALUE"""),"ASSOC. APOIA A ESC. EST. PROF.DINA DE OLIVEIRA AMORIM")</f>
        <v>ASSOC. APOIA A ESC. EST. PROF.DINA DE OLIVEIRA AMORIM</v>
      </c>
      <c r="D361" s="35" t="str">
        <f ca="1">IFERROR(__xludf.DUMMYFUNCTION("""COMPUTED_VALUE"""),"16437349000125")</f>
        <v>16437349000125</v>
      </c>
      <c r="E361" s="36" t="str">
        <f ca="1">IFERROR(__xludf.DUMMYFUNCTION("""COMPUTED_VALUE"""),"001")</f>
        <v>001</v>
      </c>
      <c r="F361" s="37" t="str">
        <f ca="1">IFERROR(__xludf.DUMMYFUNCTION("""COMPUTED_VALUE"""),"1117")</f>
        <v>1117</v>
      </c>
      <c r="G361" s="37" t="str">
        <f ca="1">IFERROR(__xludf.DUMMYFUNCTION("""COMPUTED_VALUE"""),"339113")</f>
        <v>339113</v>
      </c>
      <c r="H361" s="37">
        <f ca="1">IFERROR(__xludf.DUMMYFUNCTION("""COMPUTED_VALUE"""),0)</f>
        <v>0</v>
      </c>
      <c r="I361" s="37">
        <f ca="1">IFERROR(__xludf.DUMMYFUNCTION("""COMPUTED_VALUE"""),0)</f>
        <v>0</v>
      </c>
      <c r="J361" s="37">
        <f ca="1">IFERROR(__xludf.DUMMYFUNCTION("""COMPUTED_VALUE"""),1512)</f>
        <v>1512</v>
      </c>
      <c r="K361" s="37">
        <f ca="1">IFERROR(__xludf.DUMMYFUNCTION("""COMPUTED_VALUE"""),0)</f>
        <v>0</v>
      </c>
      <c r="L361" s="37">
        <f ca="1">IFERROR(__xludf.DUMMYFUNCTION("""COMPUTED_VALUE"""),0)</f>
        <v>0</v>
      </c>
      <c r="M361" s="37">
        <f ca="1">IFERROR(__xludf.DUMMYFUNCTION("""COMPUTED_VALUE"""),0)</f>
        <v>0</v>
      </c>
      <c r="N361" s="37">
        <f ca="1">IFERROR(__xludf.DUMMYFUNCTION("""COMPUTED_VALUE"""),0)</f>
        <v>0</v>
      </c>
      <c r="O361" s="37">
        <f ca="1">IFERROR(__xludf.DUMMYFUNCTION("""COMPUTED_VALUE"""),0)</f>
        <v>0</v>
      </c>
      <c r="P361" s="37">
        <f ca="1">IFERROR(__xludf.DUMMYFUNCTION("""COMPUTED_VALUE"""),0)</f>
        <v>0</v>
      </c>
      <c r="Q361" s="37">
        <f ca="1">IFERROR(__xludf.DUMMYFUNCTION("""COMPUTED_VALUE"""),0)</f>
        <v>0</v>
      </c>
      <c r="R361" s="37">
        <f ca="1">IFERROR(__xludf.DUMMYFUNCTION("""COMPUTED_VALUE"""),0)</f>
        <v>0</v>
      </c>
      <c r="S361" s="37">
        <f ca="1">IFERROR(__xludf.DUMMYFUNCTION("""COMPUTED_VALUE"""),0)</f>
        <v>0</v>
      </c>
      <c r="T361" s="37">
        <f ca="1">IFERROR(__xludf.DUMMYFUNCTION("""COMPUTED_VALUE"""),0)</f>
        <v>0</v>
      </c>
      <c r="U361" s="37">
        <f ca="1">IFERROR(__xludf.DUMMYFUNCTION("""COMPUTED_VALUE"""),0)</f>
        <v>0</v>
      </c>
      <c r="V361" s="37">
        <f ca="1">IFERROR(__xludf.DUMMYFUNCTION("""COMPUTED_VALUE"""),0)</f>
        <v>0</v>
      </c>
      <c r="W361" s="37">
        <f ca="1">IFERROR(__xludf.DUMMYFUNCTION("""COMPUTED_VALUE"""),0)</f>
        <v>0</v>
      </c>
      <c r="X361" s="37">
        <f ca="1">IFERROR(__xludf.DUMMYFUNCTION("""COMPUTED_VALUE"""),0)</f>
        <v>0</v>
      </c>
      <c r="Y361" s="37">
        <f ca="1">IFERROR(__xludf.DUMMYFUNCTION("""COMPUTED_VALUE"""),0)</f>
        <v>0</v>
      </c>
      <c r="Z361" s="37">
        <f ca="1">IFERROR(__xludf.DUMMYFUNCTION("""COMPUTED_VALUE"""),0)</f>
        <v>0</v>
      </c>
    </row>
    <row r="362" spans="1:26" ht="12.75">
      <c r="A362" s="38" t="str">
        <f ca="1">IFERROR(__xludf.DUMMYFUNCTION("""COMPUTED_VALUE"""),"Porto Nacional")</f>
        <v>Porto Nacional</v>
      </c>
      <c r="B362" s="38" t="str">
        <f ca="1">IFERROR(__xludf.DUMMYFUNCTION("""COMPUTED_VALUE"""),"Natividade")</f>
        <v>Natividade</v>
      </c>
      <c r="C362" s="39" t="str">
        <f ca="1">IFERROR(__xludf.DUMMYFUNCTION("""COMPUTED_VALUE"""),"ASSOC. NOSSA SENHORA NATIVIDADE COL. AGRÍCOLA")</f>
        <v>ASSOC. NOSSA SENHORA NATIVIDADE COL. AGRÍCOLA</v>
      </c>
      <c r="D362" s="40" t="str">
        <f ca="1">IFERROR(__xludf.DUMMYFUNCTION("""COMPUTED_VALUE"""),"03758716000140")</f>
        <v>03758716000140</v>
      </c>
      <c r="E362" s="41" t="str">
        <f ca="1">IFERROR(__xludf.DUMMYFUNCTION("""COMPUTED_VALUE"""),"001")</f>
        <v>001</v>
      </c>
      <c r="F362" s="42" t="str">
        <f ca="1">IFERROR(__xludf.DUMMYFUNCTION("""COMPUTED_VALUE"""),"3980")</f>
        <v>3980</v>
      </c>
      <c r="G362" s="42" t="str">
        <f ca="1">IFERROR(__xludf.DUMMYFUNCTION("""COMPUTED_VALUE"""),"282782")</f>
        <v>282782</v>
      </c>
      <c r="H362" s="42">
        <f ca="1">IFERROR(__xludf.DUMMYFUNCTION("""COMPUTED_VALUE"""),0)</f>
        <v>0</v>
      </c>
      <c r="I362" s="42">
        <f ca="1">IFERROR(__xludf.DUMMYFUNCTION("""COMPUTED_VALUE"""),0)</f>
        <v>0</v>
      </c>
      <c r="J362" s="42">
        <f ca="1">IFERROR(__xludf.DUMMYFUNCTION("""COMPUTED_VALUE"""),0)</f>
        <v>0</v>
      </c>
      <c r="K362" s="42">
        <f ca="1">IFERROR(__xludf.DUMMYFUNCTION("""COMPUTED_VALUE"""),0)</f>
        <v>0</v>
      </c>
      <c r="L362" s="42">
        <f ca="1">IFERROR(__xludf.DUMMYFUNCTION("""COMPUTED_VALUE"""),0)</f>
        <v>0</v>
      </c>
      <c r="M362" s="42">
        <f ca="1">IFERROR(__xludf.DUMMYFUNCTION("""COMPUTED_VALUE"""),0)</f>
        <v>0</v>
      </c>
      <c r="N362" s="42">
        <f ca="1">IFERROR(__xludf.DUMMYFUNCTION("""COMPUTED_VALUE"""),0)</f>
        <v>0</v>
      </c>
      <c r="O362" s="42">
        <f ca="1">IFERROR(__xludf.DUMMYFUNCTION("""COMPUTED_VALUE"""),0)</f>
        <v>0</v>
      </c>
      <c r="P362" s="42">
        <f ca="1">IFERROR(__xludf.DUMMYFUNCTION("""COMPUTED_VALUE"""),0)</f>
        <v>0</v>
      </c>
      <c r="Q362" s="42">
        <f ca="1">IFERROR(__xludf.DUMMYFUNCTION("""COMPUTED_VALUE"""),0)</f>
        <v>0</v>
      </c>
      <c r="R362" s="42">
        <f ca="1">IFERROR(__xludf.DUMMYFUNCTION("""COMPUTED_VALUE"""),0)</f>
        <v>0</v>
      </c>
      <c r="S362" s="42">
        <f ca="1">IFERROR(__xludf.DUMMYFUNCTION("""COMPUTED_VALUE"""),0)</f>
        <v>0</v>
      </c>
      <c r="T362" s="42">
        <f ca="1">IFERROR(__xludf.DUMMYFUNCTION("""COMPUTED_VALUE"""),0)</f>
        <v>0</v>
      </c>
      <c r="U362" s="42">
        <f ca="1">IFERROR(__xludf.DUMMYFUNCTION("""COMPUTED_VALUE"""),0)</f>
        <v>0</v>
      </c>
      <c r="V362" s="42">
        <f ca="1">IFERROR(__xludf.DUMMYFUNCTION("""COMPUTED_VALUE"""),34521.6)</f>
        <v>34521.599999999999</v>
      </c>
      <c r="W362" s="42">
        <f ca="1">IFERROR(__xludf.DUMMYFUNCTION("""COMPUTED_VALUE"""),0)</f>
        <v>0</v>
      </c>
      <c r="X362" s="42">
        <f ca="1">IFERROR(__xludf.DUMMYFUNCTION("""COMPUTED_VALUE"""),0)</f>
        <v>0</v>
      </c>
      <c r="Y362" s="42">
        <f ca="1">IFERROR(__xludf.DUMMYFUNCTION("""COMPUTED_VALUE"""),2553)</f>
        <v>2553</v>
      </c>
      <c r="Z362" s="42">
        <f ca="1">IFERROR(__xludf.DUMMYFUNCTION("""COMPUTED_VALUE"""),0)</f>
        <v>0</v>
      </c>
    </row>
    <row r="363" spans="1:26" ht="12.75">
      <c r="A363" s="33" t="str">
        <f ca="1">IFERROR(__xludf.DUMMYFUNCTION("""COMPUTED_VALUE"""),"Porto Nacional")</f>
        <v>Porto Nacional</v>
      </c>
      <c r="B363" s="33" t="str">
        <f ca="1">IFERROR(__xludf.DUMMYFUNCTION("""COMPUTED_VALUE"""),"Natividade")</f>
        <v>Natividade</v>
      </c>
      <c r="C363" s="34" t="str">
        <f ca="1">IFERROR(__xludf.DUMMYFUNCTION("""COMPUTED_VALUE"""),"A.A. COL. EST. DR.QUINTILIANO DA SILVA")</f>
        <v>A.A. COL. EST. DR.QUINTILIANO DA SILVA</v>
      </c>
      <c r="D363" s="35" t="str">
        <f ca="1">IFERROR(__xludf.DUMMYFUNCTION("""COMPUTED_VALUE"""),"01133702000106")</f>
        <v>01133702000106</v>
      </c>
      <c r="E363" s="36" t="str">
        <f ca="1">IFERROR(__xludf.DUMMYFUNCTION("""COMPUTED_VALUE"""),"003")</f>
        <v>003</v>
      </c>
      <c r="F363" s="37" t="str">
        <f ca="1">IFERROR(__xludf.DUMMYFUNCTION("""COMPUTED_VALUE"""),"0037")</f>
        <v>0037</v>
      </c>
      <c r="G363" s="37" t="str">
        <f ca="1">IFERROR(__xludf.DUMMYFUNCTION("""COMPUTED_VALUE"""),"0702727")</f>
        <v>0702727</v>
      </c>
      <c r="H363" s="37">
        <f ca="1">IFERROR(__xludf.DUMMYFUNCTION("""COMPUTED_VALUE"""),0)</f>
        <v>0</v>
      </c>
      <c r="I363" s="37">
        <f ca="1">IFERROR(__xludf.DUMMYFUNCTION("""COMPUTED_VALUE"""),0)</f>
        <v>0</v>
      </c>
      <c r="J363" s="37">
        <f ca="1">IFERROR(__xludf.DUMMYFUNCTION("""COMPUTED_VALUE"""),3255)</f>
        <v>3255</v>
      </c>
      <c r="K363" s="37">
        <f ca="1">IFERROR(__xludf.DUMMYFUNCTION("""COMPUTED_VALUE"""),0)</f>
        <v>0</v>
      </c>
      <c r="L363" s="37">
        <f ca="1">IFERROR(__xludf.DUMMYFUNCTION("""COMPUTED_VALUE"""),0)</f>
        <v>0</v>
      </c>
      <c r="M363" s="37">
        <f ca="1">IFERROR(__xludf.DUMMYFUNCTION("""COMPUTED_VALUE"""),0)</f>
        <v>0</v>
      </c>
      <c r="N363" s="37">
        <f ca="1">IFERROR(__xludf.DUMMYFUNCTION("""COMPUTED_VALUE"""),0)</f>
        <v>0</v>
      </c>
      <c r="O363" s="37">
        <f ca="1">IFERROR(__xludf.DUMMYFUNCTION("""COMPUTED_VALUE"""),0)</f>
        <v>0</v>
      </c>
      <c r="P363" s="37">
        <f ca="1">IFERROR(__xludf.DUMMYFUNCTION("""COMPUTED_VALUE"""),0)</f>
        <v>0</v>
      </c>
      <c r="Q363" s="37">
        <f ca="1">IFERROR(__xludf.DUMMYFUNCTION("""COMPUTED_VALUE"""),4914)</f>
        <v>4914</v>
      </c>
      <c r="R363" s="37">
        <f ca="1">IFERROR(__xludf.DUMMYFUNCTION("""COMPUTED_VALUE"""),0)</f>
        <v>0</v>
      </c>
      <c r="S363" s="37">
        <f ca="1">IFERROR(__xludf.DUMMYFUNCTION("""COMPUTED_VALUE"""),0)</f>
        <v>0</v>
      </c>
      <c r="T363" s="37">
        <f ca="1">IFERROR(__xludf.DUMMYFUNCTION("""COMPUTED_VALUE"""),0)</f>
        <v>0</v>
      </c>
      <c r="U363" s="37">
        <f ca="1">IFERROR(__xludf.DUMMYFUNCTION("""COMPUTED_VALUE"""),0)</f>
        <v>0</v>
      </c>
      <c r="V363" s="37">
        <f ca="1">IFERROR(__xludf.DUMMYFUNCTION("""COMPUTED_VALUE"""),0)</f>
        <v>0</v>
      </c>
      <c r="W363" s="37">
        <f ca="1">IFERROR(__xludf.DUMMYFUNCTION("""COMPUTED_VALUE"""),0)</f>
        <v>0</v>
      </c>
      <c r="X363" s="37">
        <f ca="1">IFERROR(__xludf.DUMMYFUNCTION("""COMPUTED_VALUE"""),0)</f>
        <v>0</v>
      </c>
      <c r="Y363" s="37">
        <f ca="1">IFERROR(__xludf.DUMMYFUNCTION("""COMPUTED_VALUE"""),0)</f>
        <v>0</v>
      </c>
      <c r="Z363" s="37">
        <f ca="1">IFERROR(__xludf.DUMMYFUNCTION("""COMPUTED_VALUE"""),0)</f>
        <v>0</v>
      </c>
    </row>
    <row r="364" spans="1:26" ht="12.75">
      <c r="A364" s="38" t="str">
        <f ca="1">IFERROR(__xludf.DUMMYFUNCTION("""COMPUTED_VALUE"""),"Porto Nacional")</f>
        <v>Porto Nacional</v>
      </c>
      <c r="B364" s="38" t="str">
        <f ca="1">IFERROR(__xludf.DUMMYFUNCTION("""COMPUTED_VALUE"""),"Natividade")</f>
        <v>Natividade</v>
      </c>
      <c r="C364" s="39" t="str">
        <f ca="1">IFERROR(__xludf.DUMMYFUNCTION("""COMPUTED_VALUE"""),"ASSOC. DE APOIO A ESC. ESPECIAL TIA CORACI DE SENA FERNANDES")</f>
        <v>ASSOC. DE APOIO A ESC. ESPECIAL TIA CORACI DE SENA FERNANDES</v>
      </c>
      <c r="D364" s="40" t="str">
        <f ca="1">IFERROR(__xludf.DUMMYFUNCTION("""COMPUTED_VALUE"""),"17163914000176")</f>
        <v>17163914000176</v>
      </c>
      <c r="E364" s="41" t="str">
        <f ca="1">IFERROR(__xludf.DUMMYFUNCTION("""COMPUTED_VALUE"""),"001")</f>
        <v>001</v>
      </c>
      <c r="F364" s="42" t="str">
        <f ca="1">IFERROR(__xludf.DUMMYFUNCTION("""COMPUTED_VALUE"""),"2334")</f>
        <v>2334</v>
      </c>
      <c r="G364" s="42" t="str">
        <f ca="1">IFERROR(__xludf.DUMMYFUNCTION("""COMPUTED_VALUE"""),"19860")</f>
        <v>19860</v>
      </c>
      <c r="H364" s="42">
        <f ca="1">IFERROR(__xludf.DUMMYFUNCTION("""COMPUTED_VALUE"""),0)</f>
        <v>0</v>
      </c>
      <c r="I364" s="42">
        <f ca="1">IFERROR(__xludf.DUMMYFUNCTION("""COMPUTED_VALUE"""),0)</f>
        <v>0</v>
      </c>
      <c r="J364" s="42">
        <f ca="1">IFERROR(__xludf.DUMMYFUNCTION("""COMPUTED_VALUE"""),168)</f>
        <v>168</v>
      </c>
      <c r="K364" s="42">
        <f ca="1">IFERROR(__xludf.DUMMYFUNCTION("""COMPUTED_VALUE"""),0)</f>
        <v>0</v>
      </c>
      <c r="L364" s="42">
        <f ca="1">IFERROR(__xludf.DUMMYFUNCTION("""COMPUTED_VALUE"""),0)</f>
        <v>0</v>
      </c>
      <c r="M364" s="42">
        <f ca="1">IFERROR(__xludf.DUMMYFUNCTION("""COMPUTED_VALUE"""),0)</f>
        <v>0</v>
      </c>
      <c r="N364" s="42">
        <f ca="1">IFERROR(__xludf.DUMMYFUNCTION("""COMPUTED_VALUE"""),0)</f>
        <v>0</v>
      </c>
      <c r="O364" s="42">
        <f ca="1">IFERROR(__xludf.DUMMYFUNCTION("""COMPUTED_VALUE"""),0)</f>
        <v>0</v>
      </c>
      <c r="P364" s="42">
        <f ca="1">IFERROR(__xludf.DUMMYFUNCTION("""COMPUTED_VALUE"""),315)</f>
        <v>315</v>
      </c>
      <c r="Q364" s="42">
        <f ca="1">IFERROR(__xludf.DUMMYFUNCTION("""COMPUTED_VALUE"""),0)</f>
        <v>0</v>
      </c>
      <c r="R364" s="42">
        <f ca="1">IFERROR(__xludf.DUMMYFUNCTION("""COMPUTED_VALUE"""),0)</f>
        <v>0</v>
      </c>
      <c r="S364" s="42">
        <f ca="1">IFERROR(__xludf.DUMMYFUNCTION("""COMPUTED_VALUE"""),0)</f>
        <v>0</v>
      </c>
      <c r="T364" s="42">
        <f ca="1">IFERROR(__xludf.DUMMYFUNCTION("""COMPUTED_VALUE"""),945)</f>
        <v>945</v>
      </c>
      <c r="U364" s="42">
        <f ca="1">IFERROR(__xludf.DUMMYFUNCTION("""COMPUTED_VALUE"""),0)</f>
        <v>0</v>
      </c>
      <c r="V364" s="42">
        <f ca="1">IFERROR(__xludf.DUMMYFUNCTION("""COMPUTED_VALUE"""),0)</f>
        <v>0</v>
      </c>
      <c r="W364" s="42">
        <f ca="1">IFERROR(__xludf.DUMMYFUNCTION("""COMPUTED_VALUE"""),0)</f>
        <v>0</v>
      </c>
      <c r="X364" s="42">
        <f ca="1">IFERROR(__xludf.DUMMYFUNCTION("""COMPUTED_VALUE"""),0)</f>
        <v>0</v>
      </c>
      <c r="Y364" s="42">
        <f ca="1">IFERROR(__xludf.DUMMYFUNCTION("""COMPUTED_VALUE"""),0)</f>
        <v>0</v>
      </c>
      <c r="Z364" s="42">
        <f ca="1">IFERROR(__xludf.DUMMYFUNCTION("""COMPUTED_VALUE"""),0)</f>
        <v>0</v>
      </c>
    </row>
    <row r="365" spans="1:26" ht="12.75">
      <c r="A365" s="33" t="str">
        <f ca="1">IFERROR(__xludf.DUMMYFUNCTION("""COMPUTED_VALUE"""),"Porto Nacional")</f>
        <v>Porto Nacional</v>
      </c>
      <c r="B365" s="33" t="str">
        <f ca="1">IFERROR(__xludf.DUMMYFUNCTION("""COMPUTED_VALUE"""),"Natividade")</f>
        <v>Natividade</v>
      </c>
      <c r="C365" s="34" t="str">
        <f ca="1">IFERROR(__xludf.DUMMYFUNCTION("""COMPUTED_VALUE"""),"ASS. APOIO ESC. EST. JOAQUIM LINO SUARTE")</f>
        <v>ASS. APOIO ESC. EST. JOAQUIM LINO SUARTE</v>
      </c>
      <c r="D365" s="35" t="str">
        <f ca="1">IFERROR(__xludf.DUMMYFUNCTION("""COMPUTED_VALUE"""),"01133708000183")</f>
        <v>01133708000183</v>
      </c>
      <c r="E365" s="36" t="str">
        <f ca="1">IFERROR(__xludf.DUMMYFUNCTION("""COMPUTED_VALUE"""),"003")</f>
        <v>003</v>
      </c>
      <c r="F365" s="37" t="str">
        <f ca="1">IFERROR(__xludf.DUMMYFUNCTION("""COMPUTED_VALUE"""),"0037")</f>
        <v>0037</v>
      </c>
      <c r="G365" s="37" t="str">
        <f ca="1">IFERROR(__xludf.DUMMYFUNCTION("""COMPUTED_VALUE"""),"0702670")</f>
        <v>0702670</v>
      </c>
      <c r="H365" s="37">
        <f ca="1">IFERROR(__xludf.DUMMYFUNCTION("""COMPUTED_VALUE"""),0)</f>
        <v>0</v>
      </c>
      <c r="I365" s="37">
        <f ca="1">IFERROR(__xludf.DUMMYFUNCTION("""COMPUTED_VALUE"""),0)</f>
        <v>0</v>
      </c>
      <c r="J365" s="37">
        <f ca="1">IFERROR(__xludf.DUMMYFUNCTION("""COMPUTED_VALUE"""),3381)</f>
        <v>3381</v>
      </c>
      <c r="K365" s="37">
        <f ca="1">IFERROR(__xludf.DUMMYFUNCTION("""COMPUTED_VALUE"""),0)</f>
        <v>0</v>
      </c>
      <c r="L365" s="37">
        <f ca="1">IFERROR(__xludf.DUMMYFUNCTION("""COMPUTED_VALUE"""),0)</f>
        <v>0</v>
      </c>
      <c r="M365" s="37">
        <f ca="1">IFERROR(__xludf.DUMMYFUNCTION("""COMPUTED_VALUE"""),0)</f>
        <v>0</v>
      </c>
      <c r="N365" s="37">
        <f ca="1">IFERROR(__xludf.DUMMYFUNCTION("""COMPUTED_VALUE"""),0)</f>
        <v>0</v>
      </c>
      <c r="O365" s="37">
        <f ca="1">IFERROR(__xludf.DUMMYFUNCTION("""COMPUTED_VALUE"""),0)</f>
        <v>0</v>
      </c>
      <c r="P365" s="37">
        <f ca="1">IFERROR(__xludf.DUMMYFUNCTION("""COMPUTED_VALUE"""),294)</f>
        <v>294</v>
      </c>
      <c r="Q365" s="37">
        <f ca="1">IFERROR(__xludf.DUMMYFUNCTION("""COMPUTED_VALUE"""),924)</f>
        <v>924</v>
      </c>
      <c r="R365" s="37">
        <f ca="1">IFERROR(__xludf.DUMMYFUNCTION("""COMPUTED_VALUE"""),0)</f>
        <v>0</v>
      </c>
      <c r="S365" s="37">
        <f ca="1">IFERROR(__xludf.DUMMYFUNCTION("""COMPUTED_VALUE"""),0)</f>
        <v>0</v>
      </c>
      <c r="T365" s="37">
        <f ca="1">IFERROR(__xludf.DUMMYFUNCTION("""COMPUTED_VALUE"""),0)</f>
        <v>0</v>
      </c>
      <c r="U365" s="37">
        <f ca="1">IFERROR(__xludf.DUMMYFUNCTION("""COMPUTED_VALUE"""),0)</f>
        <v>0</v>
      </c>
      <c r="V365" s="37">
        <f ca="1">IFERROR(__xludf.DUMMYFUNCTION("""COMPUTED_VALUE"""),0)</f>
        <v>0</v>
      </c>
      <c r="W365" s="37">
        <f ca="1">IFERROR(__xludf.DUMMYFUNCTION("""COMPUTED_VALUE"""),0)</f>
        <v>0</v>
      </c>
      <c r="X365" s="37">
        <f ca="1">IFERROR(__xludf.DUMMYFUNCTION("""COMPUTED_VALUE"""),0)</f>
        <v>0</v>
      </c>
      <c r="Y365" s="37">
        <f ca="1">IFERROR(__xludf.DUMMYFUNCTION("""COMPUTED_VALUE"""),0)</f>
        <v>0</v>
      </c>
      <c r="Z365" s="37">
        <f ca="1">IFERROR(__xludf.DUMMYFUNCTION("""COMPUTED_VALUE"""),0)</f>
        <v>0</v>
      </c>
    </row>
    <row r="366" spans="1:26" ht="12.75">
      <c r="A366" s="38" t="str">
        <f ca="1">IFERROR(__xludf.DUMMYFUNCTION("""COMPUTED_VALUE"""),"Porto Nacional")</f>
        <v>Porto Nacional</v>
      </c>
      <c r="B366" s="38" t="str">
        <f ca="1">IFERROR(__xludf.DUMMYFUNCTION("""COMPUTED_VALUE"""),"Natividade")</f>
        <v>Natividade</v>
      </c>
      <c r="C366" s="39" t="str">
        <f ca="1">IFERROR(__xludf.DUMMYFUNCTION("""COMPUTED_VALUE"""),"A.A. E. EST.NOSSA SENHORA DE FATIMA")</f>
        <v>A.A. E. EST.NOSSA SENHORA DE FATIMA</v>
      </c>
      <c r="D366" s="40" t="str">
        <f ca="1">IFERROR(__xludf.DUMMYFUNCTION("""COMPUTED_VALUE"""),"01064860000151")</f>
        <v>01064860000151</v>
      </c>
      <c r="E366" s="41" t="str">
        <f ca="1">IFERROR(__xludf.DUMMYFUNCTION("""COMPUTED_VALUE"""),"003")</f>
        <v>003</v>
      </c>
      <c r="F366" s="42" t="str">
        <f ca="1">IFERROR(__xludf.DUMMYFUNCTION("""COMPUTED_VALUE"""),"0037")</f>
        <v>0037</v>
      </c>
      <c r="G366" s="42" t="str">
        <f ca="1">IFERROR(__xludf.DUMMYFUNCTION("""COMPUTED_VALUE"""),"0702646")</f>
        <v>0702646</v>
      </c>
      <c r="H366" s="42">
        <f ca="1">IFERROR(__xludf.DUMMYFUNCTION("""COMPUTED_VALUE"""),0)</f>
        <v>0</v>
      </c>
      <c r="I366" s="42">
        <f ca="1">IFERROR(__xludf.DUMMYFUNCTION("""COMPUTED_VALUE"""),0)</f>
        <v>0</v>
      </c>
      <c r="J366" s="42">
        <f ca="1">IFERROR(__xludf.DUMMYFUNCTION("""COMPUTED_VALUE"""),6300)</f>
        <v>6300</v>
      </c>
      <c r="K366" s="42">
        <f ca="1">IFERROR(__xludf.DUMMYFUNCTION("""COMPUTED_VALUE"""),0)</f>
        <v>0</v>
      </c>
      <c r="L366" s="42">
        <f ca="1">IFERROR(__xludf.DUMMYFUNCTION("""COMPUTED_VALUE"""),0)</f>
        <v>0</v>
      </c>
      <c r="M366" s="42">
        <f ca="1">IFERROR(__xludf.DUMMYFUNCTION("""COMPUTED_VALUE"""),0)</f>
        <v>0</v>
      </c>
      <c r="N366" s="42">
        <f ca="1">IFERROR(__xludf.DUMMYFUNCTION("""COMPUTED_VALUE"""),0)</f>
        <v>0</v>
      </c>
      <c r="O366" s="42">
        <f ca="1">IFERROR(__xludf.DUMMYFUNCTION("""COMPUTED_VALUE"""),0)</f>
        <v>0</v>
      </c>
      <c r="P366" s="42">
        <f ca="1">IFERROR(__xludf.DUMMYFUNCTION("""COMPUTED_VALUE"""),231)</f>
        <v>231</v>
      </c>
      <c r="Q366" s="42">
        <f ca="1">IFERROR(__xludf.DUMMYFUNCTION("""COMPUTED_VALUE"""),0)</f>
        <v>0</v>
      </c>
      <c r="R366" s="42">
        <f ca="1">IFERROR(__xludf.DUMMYFUNCTION("""COMPUTED_VALUE"""),0)</f>
        <v>0</v>
      </c>
      <c r="S366" s="42">
        <f ca="1">IFERROR(__xludf.DUMMYFUNCTION("""COMPUTED_VALUE"""),0)</f>
        <v>0</v>
      </c>
      <c r="T366" s="42">
        <f ca="1">IFERROR(__xludf.DUMMYFUNCTION("""COMPUTED_VALUE"""),0)</f>
        <v>0</v>
      </c>
      <c r="U366" s="42">
        <f ca="1">IFERROR(__xludf.DUMMYFUNCTION("""COMPUTED_VALUE"""),0)</f>
        <v>0</v>
      </c>
      <c r="V366" s="42">
        <f ca="1">IFERROR(__xludf.DUMMYFUNCTION("""COMPUTED_VALUE"""),0)</f>
        <v>0</v>
      </c>
      <c r="W366" s="42">
        <f ca="1">IFERROR(__xludf.DUMMYFUNCTION("""COMPUTED_VALUE"""),0)</f>
        <v>0</v>
      </c>
      <c r="X366" s="42">
        <f ca="1">IFERROR(__xludf.DUMMYFUNCTION("""COMPUTED_VALUE"""),0)</f>
        <v>0</v>
      </c>
      <c r="Y366" s="42">
        <f ca="1">IFERROR(__xludf.DUMMYFUNCTION("""COMPUTED_VALUE"""),0)</f>
        <v>0</v>
      </c>
      <c r="Z366" s="42">
        <f ca="1">IFERROR(__xludf.DUMMYFUNCTION("""COMPUTED_VALUE"""),0)</f>
        <v>0</v>
      </c>
    </row>
    <row r="367" spans="1:26" ht="12.75">
      <c r="A367" s="33" t="str">
        <f ca="1">IFERROR(__xludf.DUMMYFUNCTION("""COMPUTED_VALUE"""),"Porto Nacional")</f>
        <v>Porto Nacional</v>
      </c>
      <c r="B367" s="33" t="str">
        <f ca="1">IFERROR(__xludf.DUMMYFUNCTION("""COMPUTED_VALUE"""),"Oliveira de Fatima")</f>
        <v>Oliveira de Fatima</v>
      </c>
      <c r="C367" s="34" t="str">
        <f ca="1">IFERROR(__xludf.DUMMYFUNCTION("""COMPUTED_VALUE"""),"ASS. DE APOIO DA ESC. EST.RIACHUELO")</f>
        <v>ASS. DE APOIO DA ESC. EST.RIACHUELO</v>
      </c>
      <c r="D367" s="35" t="str">
        <f ca="1">IFERROR(__xludf.DUMMYFUNCTION("""COMPUTED_VALUE"""),"01696068000110")</f>
        <v>01696068000110</v>
      </c>
      <c r="E367" s="36" t="str">
        <f ca="1">IFERROR(__xludf.DUMMYFUNCTION("""COMPUTED_VALUE"""),"001")</f>
        <v>001</v>
      </c>
      <c r="F367" s="37" t="str">
        <f ca="1">IFERROR(__xludf.DUMMYFUNCTION("""COMPUTED_VALUE"""),"4107")</f>
        <v>4107</v>
      </c>
      <c r="G367" s="37" t="str">
        <f ca="1">IFERROR(__xludf.DUMMYFUNCTION("""COMPUTED_VALUE"""),"319511")</f>
        <v>319511</v>
      </c>
      <c r="H367" s="37">
        <f ca="1">IFERROR(__xludf.DUMMYFUNCTION("""COMPUTED_VALUE"""),0)</f>
        <v>0</v>
      </c>
      <c r="I367" s="37">
        <f ca="1">IFERROR(__xludf.DUMMYFUNCTION("""COMPUTED_VALUE"""),0)</f>
        <v>0</v>
      </c>
      <c r="J367" s="37">
        <f ca="1">IFERROR(__xludf.DUMMYFUNCTION("""COMPUTED_VALUE"""),378)</f>
        <v>378</v>
      </c>
      <c r="K367" s="37">
        <f ca="1">IFERROR(__xludf.DUMMYFUNCTION("""COMPUTED_VALUE"""),0)</f>
        <v>0</v>
      </c>
      <c r="L367" s="37">
        <f ca="1">IFERROR(__xludf.DUMMYFUNCTION("""COMPUTED_VALUE"""),0)</f>
        <v>0</v>
      </c>
      <c r="M367" s="37">
        <f ca="1">IFERROR(__xludf.DUMMYFUNCTION("""COMPUTED_VALUE"""),0)</f>
        <v>0</v>
      </c>
      <c r="N367" s="37">
        <f ca="1">IFERROR(__xludf.DUMMYFUNCTION("""COMPUTED_VALUE"""),0)</f>
        <v>0</v>
      </c>
      <c r="O367" s="37">
        <f ca="1">IFERROR(__xludf.DUMMYFUNCTION("""COMPUTED_VALUE"""),0)</f>
        <v>0</v>
      </c>
      <c r="P367" s="37">
        <f ca="1">IFERROR(__xludf.DUMMYFUNCTION("""COMPUTED_VALUE"""),0)</f>
        <v>0</v>
      </c>
      <c r="Q367" s="37">
        <f ca="1">IFERROR(__xludf.DUMMYFUNCTION("""COMPUTED_VALUE"""),1113)</f>
        <v>1113</v>
      </c>
      <c r="R367" s="37">
        <f ca="1">IFERROR(__xludf.DUMMYFUNCTION("""COMPUTED_VALUE"""),0)</f>
        <v>0</v>
      </c>
      <c r="S367" s="37">
        <f ca="1">IFERROR(__xludf.DUMMYFUNCTION("""COMPUTED_VALUE"""),0)</f>
        <v>0</v>
      </c>
      <c r="T367" s="37">
        <f ca="1">IFERROR(__xludf.DUMMYFUNCTION("""COMPUTED_VALUE"""),231)</f>
        <v>231</v>
      </c>
      <c r="U367" s="37">
        <f ca="1">IFERROR(__xludf.DUMMYFUNCTION("""COMPUTED_VALUE"""),0)</f>
        <v>0</v>
      </c>
      <c r="V367" s="37">
        <f ca="1">IFERROR(__xludf.DUMMYFUNCTION("""COMPUTED_VALUE"""),0)</f>
        <v>0</v>
      </c>
      <c r="W367" s="37">
        <f ca="1">IFERROR(__xludf.DUMMYFUNCTION("""COMPUTED_VALUE"""),0)</f>
        <v>0</v>
      </c>
      <c r="X367" s="37">
        <f ca="1">IFERROR(__xludf.DUMMYFUNCTION("""COMPUTED_VALUE"""),0)</f>
        <v>0</v>
      </c>
      <c r="Y367" s="37">
        <f ca="1">IFERROR(__xludf.DUMMYFUNCTION("""COMPUTED_VALUE"""),0)</f>
        <v>0</v>
      </c>
      <c r="Z367" s="37">
        <f ca="1">IFERROR(__xludf.DUMMYFUNCTION("""COMPUTED_VALUE"""),0)</f>
        <v>0</v>
      </c>
    </row>
    <row r="368" spans="1:26" ht="12.75">
      <c r="A368" s="38" t="str">
        <f ca="1">IFERROR(__xludf.DUMMYFUNCTION("""COMPUTED_VALUE"""),"Porto Nacional")</f>
        <v>Porto Nacional</v>
      </c>
      <c r="B368" s="38" t="str">
        <f ca="1">IFERROR(__xludf.DUMMYFUNCTION("""COMPUTED_VALUE"""),"Pindorama do Tocantins")</f>
        <v>Pindorama do Tocantins</v>
      </c>
      <c r="C368" s="39" t="str">
        <f ca="1">IFERROR(__xludf.DUMMYFUNCTION("""COMPUTED_VALUE"""),"A.A. DO COL. EST. MANOEL DOS SANTOS ROSAL")</f>
        <v>A.A. DO COL. EST. MANOEL DOS SANTOS ROSAL</v>
      </c>
      <c r="D368" s="40" t="str">
        <f ca="1">IFERROR(__xludf.DUMMYFUNCTION("""COMPUTED_VALUE"""),"01034136000185")</f>
        <v>01034136000185</v>
      </c>
      <c r="E368" s="41" t="str">
        <f ca="1">IFERROR(__xludf.DUMMYFUNCTION("""COMPUTED_VALUE"""),"001")</f>
        <v>001</v>
      </c>
      <c r="F368" s="42" t="str">
        <f ca="1">IFERROR(__xludf.DUMMYFUNCTION("""COMPUTED_VALUE"""),"1117")</f>
        <v>1117</v>
      </c>
      <c r="G368" s="42" t="str">
        <f ca="1">IFERROR(__xludf.DUMMYFUNCTION("""COMPUTED_VALUE"""),"312991")</f>
        <v>312991</v>
      </c>
      <c r="H368" s="42">
        <f ca="1">IFERROR(__xludf.DUMMYFUNCTION("""COMPUTED_VALUE"""),0)</f>
        <v>0</v>
      </c>
      <c r="I368" s="42">
        <f ca="1">IFERROR(__xludf.DUMMYFUNCTION("""COMPUTED_VALUE"""),0)</f>
        <v>0</v>
      </c>
      <c r="J368" s="42">
        <f ca="1">IFERROR(__xludf.DUMMYFUNCTION("""COMPUTED_VALUE"""),0)</f>
        <v>0</v>
      </c>
      <c r="K368" s="42">
        <f ca="1">IFERROR(__xludf.DUMMYFUNCTION("""COMPUTED_VALUE"""),8702.4)</f>
        <v>8702.4</v>
      </c>
      <c r="L368" s="42">
        <f ca="1">IFERROR(__xludf.DUMMYFUNCTION("""COMPUTED_VALUE"""),0)</f>
        <v>0</v>
      </c>
      <c r="M368" s="42">
        <f ca="1">IFERROR(__xludf.DUMMYFUNCTION("""COMPUTED_VALUE"""),0)</f>
        <v>0</v>
      </c>
      <c r="N368" s="42">
        <f ca="1">IFERROR(__xludf.DUMMYFUNCTION("""COMPUTED_VALUE"""),0)</f>
        <v>0</v>
      </c>
      <c r="O368" s="42">
        <f ca="1">IFERROR(__xludf.DUMMYFUNCTION("""COMPUTED_VALUE"""),0)</f>
        <v>0</v>
      </c>
      <c r="P368" s="42">
        <f ca="1">IFERROR(__xludf.DUMMYFUNCTION("""COMPUTED_VALUE"""),0)</f>
        <v>0</v>
      </c>
      <c r="Q368" s="42">
        <f ca="1">IFERROR(__xludf.DUMMYFUNCTION("""COMPUTED_VALUE"""),0)</f>
        <v>0</v>
      </c>
      <c r="R368" s="42">
        <f ca="1">IFERROR(__xludf.DUMMYFUNCTION("""COMPUTED_VALUE"""),0)</f>
        <v>0</v>
      </c>
      <c r="S368" s="42">
        <f ca="1">IFERROR(__xludf.DUMMYFUNCTION("""COMPUTED_VALUE"""),13379.5999999999)</f>
        <v>13379.5999999999</v>
      </c>
      <c r="T368" s="42">
        <f ca="1">IFERROR(__xludf.DUMMYFUNCTION("""COMPUTED_VALUE"""),0)</f>
        <v>0</v>
      </c>
      <c r="U368" s="42">
        <f ca="1">IFERROR(__xludf.DUMMYFUNCTION("""COMPUTED_VALUE"""),0)</f>
        <v>0</v>
      </c>
      <c r="V368" s="42">
        <f ca="1">IFERROR(__xludf.DUMMYFUNCTION("""COMPUTED_VALUE"""),0)</f>
        <v>0</v>
      </c>
      <c r="W368" s="42">
        <f ca="1">IFERROR(__xludf.DUMMYFUNCTION("""COMPUTED_VALUE"""),1326.6)</f>
        <v>1326.6</v>
      </c>
      <c r="X368" s="42">
        <f ca="1">IFERROR(__xludf.DUMMYFUNCTION("""COMPUTED_VALUE"""),0)</f>
        <v>0</v>
      </c>
      <c r="Y368" s="42">
        <f ca="1">IFERROR(__xludf.DUMMYFUNCTION("""COMPUTED_VALUE"""),0)</f>
        <v>0</v>
      </c>
      <c r="Z368" s="42">
        <f ca="1">IFERROR(__xludf.DUMMYFUNCTION("""COMPUTED_VALUE"""),698.6)</f>
        <v>698.6</v>
      </c>
    </row>
    <row r="369" spans="1:26" ht="12.75">
      <c r="A369" s="33" t="str">
        <f ca="1">IFERROR(__xludf.DUMMYFUNCTION("""COMPUTED_VALUE"""),"Porto Nacional")</f>
        <v>Porto Nacional</v>
      </c>
      <c r="B369" s="33" t="str">
        <f ca="1">IFERROR(__xludf.DUMMYFUNCTION("""COMPUTED_VALUE"""),"Pindorama do Tocantins")</f>
        <v>Pindorama do Tocantins</v>
      </c>
      <c r="C369" s="34" t="str">
        <f ca="1">IFERROR(__xludf.DUMMYFUNCTION("""COMPUTED_VALUE"""),"A.A. E. E. DEP.JOSE A. DE ASSIS")</f>
        <v>A.A. E. E. DEP.JOSE A. DE ASSIS</v>
      </c>
      <c r="D369" s="35" t="str">
        <f ca="1">IFERROR(__xludf.DUMMYFUNCTION("""COMPUTED_VALUE"""),"01066411000142")</f>
        <v>01066411000142</v>
      </c>
      <c r="E369" s="36" t="str">
        <f ca="1">IFERROR(__xludf.DUMMYFUNCTION("""COMPUTED_VALUE"""),"001")</f>
        <v>001</v>
      </c>
      <c r="F369" s="37" t="str">
        <f ca="1">IFERROR(__xludf.DUMMYFUNCTION("""COMPUTED_VALUE"""),"1117")</f>
        <v>1117</v>
      </c>
      <c r="G369" s="37" t="str">
        <f ca="1">IFERROR(__xludf.DUMMYFUNCTION("""COMPUTED_VALUE"""),"312770")</f>
        <v>312770</v>
      </c>
      <c r="H369" s="37">
        <f ca="1">IFERROR(__xludf.DUMMYFUNCTION("""COMPUTED_VALUE"""),0)</f>
        <v>0</v>
      </c>
      <c r="I369" s="37">
        <f ca="1">IFERROR(__xludf.DUMMYFUNCTION("""COMPUTED_VALUE"""),0)</f>
        <v>0</v>
      </c>
      <c r="J369" s="37">
        <f ca="1">IFERROR(__xludf.DUMMYFUNCTION("""COMPUTED_VALUE"""),3024)</f>
        <v>3024</v>
      </c>
      <c r="K369" s="37">
        <f ca="1">IFERROR(__xludf.DUMMYFUNCTION("""COMPUTED_VALUE"""),0)</f>
        <v>0</v>
      </c>
      <c r="L369" s="37">
        <f ca="1">IFERROR(__xludf.DUMMYFUNCTION("""COMPUTED_VALUE"""),0)</f>
        <v>0</v>
      </c>
      <c r="M369" s="37">
        <f ca="1">IFERROR(__xludf.DUMMYFUNCTION("""COMPUTED_VALUE"""),0)</f>
        <v>0</v>
      </c>
      <c r="N369" s="37">
        <f ca="1">IFERROR(__xludf.DUMMYFUNCTION("""COMPUTED_VALUE"""),0)</f>
        <v>0</v>
      </c>
      <c r="O369" s="37">
        <f ca="1">IFERROR(__xludf.DUMMYFUNCTION("""COMPUTED_VALUE"""),0)</f>
        <v>0</v>
      </c>
      <c r="P369" s="37">
        <f ca="1">IFERROR(__xludf.DUMMYFUNCTION("""COMPUTED_VALUE"""),189)</f>
        <v>189</v>
      </c>
      <c r="Q369" s="37">
        <f ca="1">IFERROR(__xludf.DUMMYFUNCTION("""COMPUTED_VALUE"""),714)</f>
        <v>714</v>
      </c>
      <c r="R369" s="37">
        <f ca="1">IFERROR(__xludf.DUMMYFUNCTION("""COMPUTED_VALUE"""),0)</f>
        <v>0</v>
      </c>
      <c r="S369" s="37">
        <f ca="1">IFERROR(__xludf.DUMMYFUNCTION("""COMPUTED_VALUE"""),0)</f>
        <v>0</v>
      </c>
      <c r="T369" s="37">
        <f ca="1">IFERROR(__xludf.DUMMYFUNCTION("""COMPUTED_VALUE"""),0)</f>
        <v>0</v>
      </c>
      <c r="U369" s="37">
        <f ca="1">IFERROR(__xludf.DUMMYFUNCTION("""COMPUTED_VALUE"""),0)</f>
        <v>0</v>
      </c>
      <c r="V369" s="37">
        <f ca="1">IFERROR(__xludf.DUMMYFUNCTION("""COMPUTED_VALUE"""),0)</f>
        <v>0</v>
      </c>
      <c r="W369" s="37">
        <f ca="1">IFERROR(__xludf.DUMMYFUNCTION("""COMPUTED_VALUE"""),0)</f>
        <v>0</v>
      </c>
      <c r="X369" s="37">
        <f ca="1">IFERROR(__xludf.DUMMYFUNCTION("""COMPUTED_VALUE"""),0)</f>
        <v>0</v>
      </c>
      <c r="Y369" s="37">
        <f ca="1">IFERROR(__xludf.DUMMYFUNCTION("""COMPUTED_VALUE"""),0)</f>
        <v>0</v>
      </c>
      <c r="Z369" s="37">
        <f ca="1">IFERROR(__xludf.DUMMYFUNCTION("""COMPUTED_VALUE"""),0)</f>
        <v>0</v>
      </c>
    </row>
    <row r="370" spans="1:26" ht="12.75">
      <c r="A370" s="38" t="str">
        <f ca="1">IFERROR(__xludf.DUMMYFUNCTION("""COMPUTED_VALUE"""),"Porto Nacional")</f>
        <v>Porto Nacional</v>
      </c>
      <c r="B370" s="38" t="str">
        <f ca="1">IFERROR(__xludf.DUMMYFUNCTION("""COMPUTED_VALUE"""),"Ponte Alta do Tocantins")</f>
        <v>Ponte Alta do Tocantins</v>
      </c>
      <c r="C370" s="39" t="str">
        <f ca="1">IFERROR(__xludf.DUMMYFUNCTION("""COMPUTED_VALUE"""),"ASS. A. AO COL. EST. ODOLFO SOARES")</f>
        <v>ASS. A. AO COL. EST. ODOLFO SOARES</v>
      </c>
      <c r="D370" s="40" t="str">
        <f ca="1">IFERROR(__xludf.DUMMYFUNCTION("""COMPUTED_VALUE"""),"01342866000143")</f>
        <v>01342866000143</v>
      </c>
      <c r="E370" s="41" t="str">
        <f ca="1">IFERROR(__xludf.DUMMYFUNCTION("""COMPUTED_VALUE"""),"001")</f>
        <v>001</v>
      </c>
      <c r="F370" s="42" t="str">
        <f ca="1">IFERROR(__xludf.DUMMYFUNCTION("""COMPUTED_VALUE"""),"1117")</f>
        <v>1117</v>
      </c>
      <c r="G370" s="42" t="str">
        <f ca="1">IFERROR(__xludf.DUMMYFUNCTION("""COMPUTED_VALUE"""),"333921")</f>
        <v>333921</v>
      </c>
      <c r="H370" s="42">
        <f ca="1">IFERROR(__xludf.DUMMYFUNCTION("""COMPUTED_VALUE"""),0)</f>
        <v>0</v>
      </c>
      <c r="I370" s="42">
        <f ca="1">IFERROR(__xludf.DUMMYFUNCTION("""COMPUTED_VALUE"""),0)</f>
        <v>0</v>
      </c>
      <c r="J370" s="42">
        <f ca="1">IFERROR(__xludf.DUMMYFUNCTION("""COMPUTED_VALUE"""),12978)</f>
        <v>12978</v>
      </c>
      <c r="K370" s="42">
        <f ca="1">IFERROR(__xludf.DUMMYFUNCTION("""COMPUTED_VALUE"""),0)</f>
        <v>0</v>
      </c>
      <c r="L370" s="42">
        <f ca="1">IFERROR(__xludf.DUMMYFUNCTION("""COMPUTED_VALUE"""),0)</f>
        <v>0</v>
      </c>
      <c r="M370" s="42">
        <f ca="1">IFERROR(__xludf.DUMMYFUNCTION("""COMPUTED_VALUE"""),0)</f>
        <v>0</v>
      </c>
      <c r="N370" s="42">
        <f ca="1">IFERROR(__xludf.DUMMYFUNCTION("""COMPUTED_VALUE"""),0)</f>
        <v>0</v>
      </c>
      <c r="O370" s="42">
        <f ca="1">IFERROR(__xludf.DUMMYFUNCTION("""COMPUTED_VALUE"""),0)</f>
        <v>0</v>
      </c>
      <c r="P370" s="42">
        <f ca="1">IFERROR(__xludf.DUMMYFUNCTION("""COMPUTED_VALUE"""),588)</f>
        <v>588</v>
      </c>
      <c r="Q370" s="42">
        <f ca="1">IFERROR(__xludf.DUMMYFUNCTION("""COMPUTED_VALUE"""),13524)</f>
        <v>13524</v>
      </c>
      <c r="R370" s="42">
        <f ca="1">IFERROR(__xludf.DUMMYFUNCTION("""COMPUTED_VALUE"""),0)</f>
        <v>0</v>
      </c>
      <c r="S370" s="42">
        <f ca="1">IFERROR(__xludf.DUMMYFUNCTION("""COMPUTED_VALUE"""),0)</f>
        <v>0</v>
      </c>
      <c r="T370" s="42">
        <f ca="1">IFERROR(__xludf.DUMMYFUNCTION("""COMPUTED_VALUE"""),0)</f>
        <v>0</v>
      </c>
      <c r="U370" s="42">
        <f ca="1">IFERROR(__xludf.DUMMYFUNCTION("""COMPUTED_VALUE"""),0)</f>
        <v>0</v>
      </c>
      <c r="V370" s="42">
        <f ca="1">IFERROR(__xludf.DUMMYFUNCTION("""COMPUTED_VALUE"""),0)</f>
        <v>0</v>
      </c>
      <c r="W370" s="42">
        <f ca="1">IFERROR(__xludf.DUMMYFUNCTION("""COMPUTED_VALUE"""),0)</f>
        <v>0</v>
      </c>
      <c r="X370" s="42">
        <f ca="1">IFERROR(__xludf.DUMMYFUNCTION("""COMPUTED_VALUE"""),0)</f>
        <v>0</v>
      </c>
      <c r="Y370" s="42">
        <f ca="1">IFERROR(__xludf.DUMMYFUNCTION("""COMPUTED_VALUE"""),0)</f>
        <v>0</v>
      </c>
      <c r="Z370" s="42">
        <f ca="1">IFERROR(__xludf.DUMMYFUNCTION("""COMPUTED_VALUE"""),0)</f>
        <v>0</v>
      </c>
    </row>
    <row r="371" spans="1:26" ht="12.75">
      <c r="A371" s="33" t="str">
        <f ca="1">IFERROR(__xludf.DUMMYFUNCTION("""COMPUTED_VALUE"""),"Porto Nacional")</f>
        <v>Porto Nacional</v>
      </c>
      <c r="B371" s="33" t="str">
        <f ca="1">IFERROR(__xludf.DUMMYFUNCTION("""COMPUTED_VALUE"""),"Ponte Alta do Tocantins")</f>
        <v>Ponte Alta do Tocantins</v>
      </c>
      <c r="C371" s="34" t="str">
        <f ca="1">IFERROR(__xludf.DUMMYFUNCTION("""COMPUTED_VALUE"""),"ASS. APOIO DA ESCOLA EST. ALCIDES RUFO")</f>
        <v>ASS. APOIO DA ESCOLA EST. ALCIDES RUFO</v>
      </c>
      <c r="D371" s="35" t="str">
        <f ca="1">IFERROR(__xludf.DUMMYFUNCTION("""COMPUTED_VALUE"""),"01192931000100")</f>
        <v>01192931000100</v>
      </c>
      <c r="E371" s="36" t="str">
        <f ca="1">IFERROR(__xludf.DUMMYFUNCTION("""COMPUTED_VALUE"""),"001")</f>
        <v>001</v>
      </c>
      <c r="F371" s="37" t="str">
        <f ca="1">IFERROR(__xludf.DUMMYFUNCTION("""COMPUTED_VALUE"""),"1117")</f>
        <v>1117</v>
      </c>
      <c r="G371" s="37" t="str">
        <f ca="1">IFERROR(__xludf.DUMMYFUNCTION("""COMPUTED_VALUE"""),"313785")</f>
        <v>313785</v>
      </c>
      <c r="H371" s="37">
        <f ca="1">IFERROR(__xludf.DUMMYFUNCTION("""COMPUTED_VALUE"""),0)</f>
        <v>0</v>
      </c>
      <c r="I371" s="37">
        <f ca="1">IFERROR(__xludf.DUMMYFUNCTION("""COMPUTED_VALUE"""),0)</f>
        <v>0</v>
      </c>
      <c r="J371" s="37">
        <f ca="1">IFERROR(__xludf.DUMMYFUNCTION("""COMPUTED_VALUE"""),5481)</f>
        <v>5481</v>
      </c>
      <c r="K371" s="37">
        <f ca="1">IFERROR(__xludf.DUMMYFUNCTION("""COMPUTED_VALUE"""),0)</f>
        <v>0</v>
      </c>
      <c r="L371" s="37">
        <f ca="1">IFERROR(__xludf.DUMMYFUNCTION("""COMPUTED_VALUE"""),0)</f>
        <v>0</v>
      </c>
      <c r="M371" s="37">
        <f ca="1">IFERROR(__xludf.DUMMYFUNCTION("""COMPUTED_VALUE"""),0)</f>
        <v>0</v>
      </c>
      <c r="N371" s="37">
        <f ca="1">IFERROR(__xludf.DUMMYFUNCTION("""COMPUTED_VALUE"""),0)</f>
        <v>0</v>
      </c>
      <c r="O371" s="37">
        <f ca="1">IFERROR(__xludf.DUMMYFUNCTION("""COMPUTED_VALUE"""),0)</f>
        <v>0</v>
      </c>
      <c r="P371" s="37">
        <f ca="1">IFERROR(__xludf.DUMMYFUNCTION("""COMPUTED_VALUE"""),0)</f>
        <v>0</v>
      </c>
      <c r="Q371" s="37">
        <f ca="1">IFERROR(__xludf.DUMMYFUNCTION("""COMPUTED_VALUE"""),0)</f>
        <v>0</v>
      </c>
      <c r="R371" s="37">
        <f ca="1">IFERROR(__xludf.DUMMYFUNCTION("""COMPUTED_VALUE"""),0)</f>
        <v>0</v>
      </c>
      <c r="S371" s="37">
        <f ca="1">IFERROR(__xludf.DUMMYFUNCTION("""COMPUTED_VALUE"""),0)</f>
        <v>0</v>
      </c>
      <c r="T371" s="37">
        <f ca="1">IFERROR(__xludf.DUMMYFUNCTION("""COMPUTED_VALUE"""),0)</f>
        <v>0</v>
      </c>
      <c r="U371" s="37">
        <f ca="1">IFERROR(__xludf.DUMMYFUNCTION("""COMPUTED_VALUE"""),0)</f>
        <v>0</v>
      </c>
      <c r="V371" s="37">
        <f ca="1">IFERROR(__xludf.DUMMYFUNCTION("""COMPUTED_VALUE"""),0)</f>
        <v>0</v>
      </c>
      <c r="W371" s="37">
        <f ca="1">IFERROR(__xludf.DUMMYFUNCTION("""COMPUTED_VALUE"""),0)</f>
        <v>0</v>
      </c>
      <c r="X371" s="37">
        <f ca="1">IFERROR(__xludf.DUMMYFUNCTION("""COMPUTED_VALUE"""),0)</f>
        <v>0</v>
      </c>
      <c r="Y371" s="37">
        <f ca="1">IFERROR(__xludf.DUMMYFUNCTION("""COMPUTED_VALUE"""),0)</f>
        <v>0</v>
      </c>
      <c r="Z371" s="37">
        <f ca="1">IFERROR(__xludf.DUMMYFUNCTION("""COMPUTED_VALUE"""),0)</f>
        <v>0</v>
      </c>
    </row>
    <row r="372" spans="1:26" ht="12.75">
      <c r="A372" s="38" t="str">
        <f ca="1">IFERROR(__xludf.DUMMYFUNCTION("""COMPUTED_VALUE"""),"Porto Nacional")</f>
        <v>Porto Nacional</v>
      </c>
      <c r="B372" s="38" t="str">
        <f ca="1">IFERROR(__xludf.DUMMYFUNCTION("""COMPUTED_VALUE"""),"Ponte Alta do Tocantins")</f>
        <v>Ponte Alta do Tocantins</v>
      </c>
      <c r="C372" s="39" t="str">
        <f ca="1">IFERROR(__xludf.DUMMYFUNCTION("""COMPUTED_VALUE"""),"ASS. DE APOIO A ESCOLA EST. ESPECIAL AMILSON FRAZÃO DOS REIS")</f>
        <v>ASS. DE APOIO A ESCOLA EST. ESPECIAL AMILSON FRAZÃO DOS REIS</v>
      </c>
      <c r="D372" s="40" t="str">
        <f ca="1">IFERROR(__xludf.DUMMYFUNCTION("""COMPUTED_VALUE"""),"20309905000155")</f>
        <v>20309905000155</v>
      </c>
      <c r="E372" s="41" t="str">
        <f ca="1">IFERROR(__xludf.DUMMYFUNCTION("""COMPUTED_VALUE"""),"001")</f>
        <v>001</v>
      </c>
      <c r="F372" s="42" t="str">
        <f ca="1">IFERROR(__xludf.DUMMYFUNCTION("""COMPUTED_VALUE"""),"1117")</f>
        <v>1117</v>
      </c>
      <c r="G372" s="42" t="str">
        <f ca="1">IFERROR(__xludf.DUMMYFUNCTION("""COMPUTED_VALUE"""),"567426")</f>
        <v>567426</v>
      </c>
      <c r="H372" s="42">
        <f ca="1">IFERROR(__xludf.DUMMYFUNCTION("""COMPUTED_VALUE"""),0)</f>
        <v>0</v>
      </c>
      <c r="I372" s="42">
        <f ca="1">IFERROR(__xludf.DUMMYFUNCTION("""COMPUTED_VALUE"""),0)</f>
        <v>0</v>
      </c>
      <c r="J372" s="42">
        <f ca="1">IFERROR(__xludf.DUMMYFUNCTION("""COMPUTED_VALUE"""),168)</f>
        <v>168</v>
      </c>
      <c r="K372" s="42">
        <f ca="1">IFERROR(__xludf.DUMMYFUNCTION("""COMPUTED_VALUE"""),0)</f>
        <v>0</v>
      </c>
      <c r="L372" s="42">
        <f ca="1">IFERROR(__xludf.DUMMYFUNCTION("""COMPUTED_VALUE"""),0)</f>
        <v>0</v>
      </c>
      <c r="M372" s="42">
        <f ca="1">IFERROR(__xludf.DUMMYFUNCTION("""COMPUTED_VALUE"""),0)</f>
        <v>0</v>
      </c>
      <c r="N372" s="42">
        <f ca="1">IFERROR(__xludf.DUMMYFUNCTION("""COMPUTED_VALUE"""),0)</f>
        <v>0</v>
      </c>
      <c r="O372" s="42">
        <f ca="1">IFERROR(__xludf.DUMMYFUNCTION("""COMPUTED_VALUE"""),0)</f>
        <v>0</v>
      </c>
      <c r="P372" s="42">
        <f ca="1">IFERROR(__xludf.DUMMYFUNCTION("""COMPUTED_VALUE"""),252)</f>
        <v>252</v>
      </c>
      <c r="Q372" s="42">
        <f ca="1">IFERROR(__xludf.DUMMYFUNCTION("""COMPUTED_VALUE"""),0)</f>
        <v>0</v>
      </c>
      <c r="R372" s="42">
        <f ca="1">IFERROR(__xludf.DUMMYFUNCTION("""COMPUTED_VALUE"""),0)</f>
        <v>0</v>
      </c>
      <c r="S372" s="42">
        <f ca="1">IFERROR(__xludf.DUMMYFUNCTION("""COMPUTED_VALUE"""),0)</f>
        <v>0</v>
      </c>
      <c r="T372" s="42">
        <f ca="1">IFERROR(__xludf.DUMMYFUNCTION("""COMPUTED_VALUE"""),1008)</f>
        <v>1008</v>
      </c>
      <c r="U372" s="42">
        <f ca="1">IFERROR(__xludf.DUMMYFUNCTION("""COMPUTED_VALUE"""),0)</f>
        <v>0</v>
      </c>
      <c r="V372" s="42">
        <f ca="1">IFERROR(__xludf.DUMMYFUNCTION("""COMPUTED_VALUE"""),0)</f>
        <v>0</v>
      </c>
      <c r="W372" s="42">
        <f ca="1">IFERROR(__xludf.DUMMYFUNCTION("""COMPUTED_VALUE"""),0)</f>
        <v>0</v>
      </c>
      <c r="X372" s="42">
        <f ca="1">IFERROR(__xludf.DUMMYFUNCTION("""COMPUTED_VALUE"""),0)</f>
        <v>0</v>
      </c>
      <c r="Y372" s="42">
        <f ca="1">IFERROR(__xludf.DUMMYFUNCTION("""COMPUTED_VALUE"""),0)</f>
        <v>0</v>
      </c>
      <c r="Z372" s="42">
        <f ca="1">IFERROR(__xludf.DUMMYFUNCTION("""COMPUTED_VALUE"""),0)</f>
        <v>0</v>
      </c>
    </row>
    <row r="373" spans="1:26" ht="12.75">
      <c r="A373" s="33" t="str">
        <f ca="1">IFERROR(__xludf.DUMMYFUNCTION("""COMPUTED_VALUE"""),"Porto Nacional")</f>
        <v>Porto Nacional</v>
      </c>
      <c r="B373" s="33" t="str">
        <f ca="1">IFERROR(__xludf.DUMMYFUNCTION("""COMPUTED_VALUE"""),"Porto Nacional")</f>
        <v>Porto Nacional</v>
      </c>
      <c r="C373" s="34" t="str">
        <f ca="1">IFERROR(__xludf.DUMMYFUNCTION("""COMPUTED_VALUE"""),"ASSOC. DE APOIO AO CEM FELIX CAMOA I")</f>
        <v>ASSOC. DE APOIO AO CEM FELIX CAMOA I</v>
      </c>
      <c r="D373" s="35" t="str">
        <f ca="1">IFERROR(__xludf.DUMMYFUNCTION("""COMPUTED_VALUE"""),"01112476000187")</f>
        <v>01112476000187</v>
      </c>
      <c r="E373" s="36" t="str">
        <f ca="1">IFERROR(__xludf.DUMMYFUNCTION("""COMPUTED_VALUE"""),"104")</f>
        <v>104</v>
      </c>
      <c r="F373" s="37" t="str">
        <f ca="1">IFERROR(__xludf.DUMMYFUNCTION("""COMPUTED_VALUE"""),"1829")</f>
        <v>1829</v>
      </c>
      <c r="G373" s="37" t="str">
        <f ca="1">IFERROR(__xludf.DUMMYFUNCTION("""COMPUTED_VALUE"""),"3050011")</f>
        <v>3050011</v>
      </c>
      <c r="H373" s="37">
        <f ca="1">IFERROR(__xludf.DUMMYFUNCTION("""COMPUTED_VALUE"""),0)</f>
        <v>0</v>
      </c>
      <c r="I373" s="37">
        <f ca="1">IFERROR(__xludf.DUMMYFUNCTION("""COMPUTED_VALUE"""),0)</f>
        <v>0</v>
      </c>
      <c r="J373" s="37">
        <f ca="1">IFERROR(__xludf.DUMMYFUNCTION("""COMPUTED_VALUE"""),0)</f>
        <v>0</v>
      </c>
      <c r="K373" s="37">
        <f ca="1">IFERROR(__xludf.DUMMYFUNCTION("""COMPUTED_VALUE"""),0)</f>
        <v>0</v>
      </c>
      <c r="L373" s="37">
        <f ca="1">IFERROR(__xludf.DUMMYFUNCTION("""COMPUTED_VALUE"""),0)</f>
        <v>0</v>
      </c>
      <c r="M373" s="37">
        <f ca="1">IFERROR(__xludf.DUMMYFUNCTION("""COMPUTED_VALUE"""),0)</f>
        <v>0</v>
      </c>
      <c r="N373" s="37">
        <f ca="1">IFERROR(__xludf.DUMMYFUNCTION("""COMPUTED_VALUE"""),0)</f>
        <v>0</v>
      </c>
      <c r="O373" s="37">
        <f ca="1">IFERROR(__xludf.DUMMYFUNCTION("""COMPUTED_VALUE"""),0)</f>
        <v>0</v>
      </c>
      <c r="P373" s="37">
        <f ca="1">IFERROR(__xludf.DUMMYFUNCTION("""COMPUTED_VALUE"""),252)</f>
        <v>252</v>
      </c>
      <c r="Q373" s="37">
        <f ca="1">IFERROR(__xludf.DUMMYFUNCTION("""COMPUTED_VALUE"""),0)</f>
        <v>0</v>
      </c>
      <c r="R373" s="37">
        <f ca="1">IFERROR(__xludf.DUMMYFUNCTION("""COMPUTED_VALUE"""),0)</f>
        <v>0</v>
      </c>
      <c r="S373" s="37">
        <f ca="1">IFERROR(__xludf.DUMMYFUNCTION("""COMPUTED_VALUE"""),21923.1999999999)</f>
        <v>21923.199999999899</v>
      </c>
      <c r="T373" s="37">
        <f ca="1">IFERROR(__xludf.DUMMYFUNCTION("""COMPUTED_VALUE"""),0)</f>
        <v>0</v>
      </c>
      <c r="U373" s="37">
        <f ca="1">IFERROR(__xludf.DUMMYFUNCTION("""COMPUTED_VALUE"""),0)</f>
        <v>0</v>
      </c>
      <c r="V373" s="37">
        <f ca="1">IFERROR(__xludf.DUMMYFUNCTION("""COMPUTED_VALUE"""),0)</f>
        <v>0</v>
      </c>
      <c r="W373" s="37">
        <f ca="1">IFERROR(__xludf.DUMMYFUNCTION("""COMPUTED_VALUE"""),2170.79999999999)</f>
        <v>2170.7999999999902</v>
      </c>
      <c r="X373" s="37">
        <f ca="1">IFERROR(__xludf.DUMMYFUNCTION("""COMPUTED_VALUE"""),0)</f>
        <v>0</v>
      </c>
      <c r="Y373" s="37">
        <f ca="1">IFERROR(__xludf.DUMMYFUNCTION("""COMPUTED_VALUE"""),0)</f>
        <v>0</v>
      </c>
      <c r="Z373" s="37">
        <f ca="1">IFERROR(__xludf.DUMMYFUNCTION("""COMPUTED_VALUE"""),0)</f>
        <v>0</v>
      </c>
    </row>
    <row r="374" spans="1:26" ht="12.75">
      <c r="A374" s="38" t="str">
        <f ca="1">IFERROR(__xludf.DUMMYFUNCTION("""COMPUTED_VALUE"""),"Porto Nacional")</f>
        <v>Porto Nacional</v>
      </c>
      <c r="B374" s="38" t="str">
        <f ca="1">IFERROR(__xludf.DUMMYFUNCTION("""COMPUTED_VALUE"""),"Porto Nacional")</f>
        <v>Porto Nacional</v>
      </c>
      <c r="C374" s="39" t="str">
        <f ca="1">IFERROR(__xludf.DUMMYFUNCTION("""COMPUTED_VALUE"""),"ASSOC. DE A.DO CEM PROFº. FLORÊNCIO AIRES DA SILVA")</f>
        <v>ASSOC. DE A.DO CEM PROFº. FLORÊNCIO AIRES DA SILVA</v>
      </c>
      <c r="D374" s="40" t="str">
        <f ca="1">IFERROR(__xludf.DUMMYFUNCTION("""COMPUTED_VALUE"""),"01138326000142")</f>
        <v>01138326000142</v>
      </c>
      <c r="E374" s="41" t="str">
        <f ca="1">IFERROR(__xludf.DUMMYFUNCTION("""COMPUTED_VALUE"""),"001")</f>
        <v>001</v>
      </c>
      <c r="F374" s="42" t="str">
        <f ca="1">IFERROR(__xludf.DUMMYFUNCTION("""COMPUTED_VALUE"""),"1117")</f>
        <v>1117</v>
      </c>
      <c r="G374" s="42" t="str">
        <f ca="1">IFERROR(__xludf.DUMMYFUNCTION("""COMPUTED_VALUE"""),"5500X")</f>
        <v>5500X</v>
      </c>
      <c r="H374" s="42">
        <f ca="1">IFERROR(__xludf.DUMMYFUNCTION("""COMPUTED_VALUE"""),0)</f>
        <v>0</v>
      </c>
      <c r="I374" s="42">
        <f ca="1">IFERROR(__xludf.DUMMYFUNCTION("""COMPUTED_VALUE"""),0)</f>
        <v>0</v>
      </c>
      <c r="J374" s="42">
        <f ca="1">IFERROR(__xludf.DUMMYFUNCTION("""COMPUTED_VALUE"""),2142)</f>
        <v>2142</v>
      </c>
      <c r="K374" s="42">
        <f ca="1">IFERROR(__xludf.DUMMYFUNCTION("""COMPUTED_VALUE"""),0)</f>
        <v>0</v>
      </c>
      <c r="L374" s="42">
        <f ca="1">IFERROR(__xludf.DUMMYFUNCTION("""COMPUTED_VALUE"""),0)</f>
        <v>0</v>
      </c>
      <c r="M374" s="42">
        <f ca="1">IFERROR(__xludf.DUMMYFUNCTION("""COMPUTED_VALUE"""),0)</f>
        <v>0</v>
      </c>
      <c r="N374" s="42">
        <f ca="1">IFERROR(__xludf.DUMMYFUNCTION("""COMPUTED_VALUE"""),0)</f>
        <v>0</v>
      </c>
      <c r="O374" s="42">
        <f ca="1">IFERROR(__xludf.DUMMYFUNCTION("""COMPUTED_VALUE"""),0)</f>
        <v>0</v>
      </c>
      <c r="P374" s="42">
        <f ca="1">IFERROR(__xludf.DUMMYFUNCTION("""COMPUTED_VALUE"""),294)</f>
        <v>294</v>
      </c>
      <c r="Q374" s="42">
        <f ca="1">IFERROR(__xludf.DUMMYFUNCTION("""COMPUTED_VALUE"""),4956)</f>
        <v>4956</v>
      </c>
      <c r="R374" s="42">
        <f ca="1">IFERROR(__xludf.DUMMYFUNCTION("""COMPUTED_VALUE"""),0)</f>
        <v>0</v>
      </c>
      <c r="S374" s="42">
        <f ca="1">IFERROR(__xludf.DUMMYFUNCTION("""COMPUTED_VALUE"""),0)</f>
        <v>0</v>
      </c>
      <c r="T374" s="42">
        <f ca="1">IFERROR(__xludf.DUMMYFUNCTION("""COMPUTED_VALUE"""),1134)</f>
        <v>1134</v>
      </c>
      <c r="U374" s="42">
        <f ca="1">IFERROR(__xludf.DUMMYFUNCTION("""COMPUTED_VALUE"""),0)</f>
        <v>0</v>
      </c>
      <c r="V374" s="42">
        <f ca="1">IFERROR(__xludf.DUMMYFUNCTION("""COMPUTED_VALUE"""),0)</f>
        <v>0</v>
      </c>
      <c r="W374" s="42">
        <f ca="1">IFERROR(__xludf.DUMMYFUNCTION("""COMPUTED_VALUE"""),0)</f>
        <v>0</v>
      </c>
      <c r="X374" s="42">
        <f ca="1">IFERROR(__xludf.DUMMYFUNCTION("""COMPUTED_VALUE"""),0)</f>
        <v>0</v>
      </c>
      <c r="Y374" s="42">
        <f ca="1">IFERROR(__xludf.DUMMYFUNCTION("""COMPUTED_VALUE"""),0)</f>
        <v>0</v>
      </c>
      <c r="Z374" s="42">
        <f ca="1">IFERROR(__xludf.DUMMYFUNCTION("""COMPUTED_VALUE"""),0)</f>
        <v>0</v>
      </c>
    </row>
    <row r="375" spans="1:26" ht="12.75">
      <c r="A375" s="33" t="str">
        <f ca="1">IFERROR(__xludf.DUMMYFUNCTION("""COMPUTED_VALUE"""),"Porto Nacional")</f>
        <v>Porto Nacional</v>
      </c>
      <c r="B375" s="33" t="str">
        <f ca="1">IFERROR(__xludf.DUMMYFUNCTION("""COMPUTED_VALUE"""),"Porto Nacional")</f>
        <v>Porto Nacional</v>
      </c>
      <c r="C375" s="34" t="str">
        <f ca="1">IFERROR(__xludf.DUMMYFUNCTION("""COMPUTED_VALUE"""),"A. E. COM. ESC. CONV. ANGELICA R. ARANHA")</f>
        <v>A. E. COM. ESC. CONV. ANGELICA R. ARANHA</v>
      </c>
      <c r="D375" s="35" t="str">
        <f ca="1">IFERROR(__xludf.DUMMYFUNCTION("""COMPUTED_VALUE"""),"01075455000139")</f>
        <v>01075455000139</v>
      </c>
      <c r="E375" s="36" t="str">
        <f ca="1">IFERROR(__xludf.DUMMYFUNCTION("""COMPUTED_VALUE"""),"104")</f>
        <v>104</v>
      </c>
      <c r="F375" s="37" t="str">
        <f ca="1">IFERROR(__xludf.DUMMYFUNCTION("""COMPUTED_VALUE"""),"1829")</f>
        <v>1829</v>
      </c>
      <c r="G375" s="37" t="str">
        <f ca="1">IFERROR(__xludf.DUMMYFUNCTION("""COMPUTED_VALUE"""),"307313")</f>
        <v>307313</v>
      </c>
      <c r="H375" s="37">
        <f ca="1">IFERROR(__xludf.DUMMYFUNCTION("""COMPUTED_VALUE"""),0)</f>
        <v>0</v>
      </c>
      <c r="I375" s="37">
        <f ca="1">IFERROR(__xludf.DUMMYFUNCTION("""COMPUTED_VALUE"""),0)</f>
        <v>0</v>
      </c>
      <c r="J375" s="37">
        <f ca="1">IFERROR(__xludf.DUMMYFUNCTION("""COMPUTED_VALUE"""),3087)</f>
        <v>3087</v>
      </c>
      <c r="K375" s="37">
        <f ca="1">IFERROR(__xludf.DUMMYFUNCTION("""COMPUTED_VALUE"""),0)</f>
        <v>0</v>
      </c>
      <c r="L375" s="37">
        <f ca="1">IFERROR(__xludf.DUMMYFUNCTION("""COMPUTED_VALUE"""),0)</f>
        <v>0</v>
      </c>
      <c r="M375" s="37">
        <f ca="1">IFERROR(__xludf.DUMMYFUNCTION("""COMPUTED_VALUE"""),0)</f>
        <v>0</v>
      </c>
      <c r="N375" s="37">
        <f ca="1">IFERROR(__xludf.DUMMYFUNCTION("""COMPUTED_VALUE"""),0)</f>
        <v>0</v>
      </c>
      <c r="O375" s="37">
        <f ca="1">IFERROR(__xludf.DUMMYFUNCTION("""COMPUTED_VALUE"""),0)</f>
        <v>0</v>
      </c>
      <c r="P375" s="37">
        <f ca="1">IFERROR(__xludf.DUMMYFUNCTION("""COMPUTED_VALUE"""),231)</f>
        <v>231</v>
      </c>
      <c r="Q375" s="37">
        <f ca="1">IFERROR(__xludf.DUMMYFUNCTION("""COMPUTED_VALUE"""),1470)</f>
        <v>1470</v>
      </c>
      <c r="R375" s="37">
        <f ca="1">IFERROR(__xludf.DUMMYFUNCTION("""COMPUTED_VALUE"""),0)</f>
        <v>0</v>
      </c>
      <c r="S375" s="37">
        <f ca="1">IFERROR(__xludf.DUMMYFUNCTION("""COMPUTED_VALUE"""),0)</f>
        <v>0</v>
      </c>
      <c r="T375" s="37">
        <f ca="1">IFERROR(__xludf.DUMMYFUNCTION("""COMPUTED_VALUE"""),0)</f>
        <v>0</v>
      </c>
      <c r="U375" s="37">
        <f ca="1">IFERROR(__xludf.DUMMYFUNCTION("""COMPUTED_VALUE"""),0)</f>
        <v>0</v>
      </c>
      <c r="V375" s="37">
        <f ca="1">IFERROR(__xludf.DUMMYFUNCTION("""COMPUTED_VALUE"""),0)</f>
        <v>0</v>
      </c>
      <c r="W375" s="37">
        <f ca="1">IFERROR(__xludf.DUMMYFUNCTION("""COMPUTED_VALUE"""),0)</f>
        <v>0</v>
      </c>
      <c r="X375" s="37">
        <f ca="1">IFERROR(__xludf.DUMMYFUNCTION("""COMPUTED_VALUE"""),0)</f>
        <v>0</v>
      </c>
      <c r="Y375" s="37">
        <f ca="1">IFERROR(__xludf.DUMMYFUNCTION("""COMPUTED_VALUE"""),0)</f>
        <v>0</v>
      </c>
      <c r="Z375" s="37">
        <f ca="1">IFERROR(__xludf.DUMMYFUNCTION("""COMPUTED_VALUE"""),0)</f>
        <v>0</v>
      </c>
    </row>
    <row r="376" spans="1:26" ht="12.75">
      <c r="A376" s="38" t="str">
        <f ca="1">IFERROR(__xludf.DUMMYFUNCTION("""COMPUTED_VALUE"""),"Porto Nacional")</f>
        <v>Porto Nacional</v>
      </c>
      <c r="B376" s="38" t="str">
        <f ca="1">IFERROR(__xludf.DUMMYFUNCTION("""COMPUTED_VALUE"""),"Porto Nacional")</f>
        <v>Porto Nacional</v>
      </c>
      <c r="C376" s="39" t="str">
        <f ca="1">IFERROR(__xludf.DUMMYFUNCTION("""COMPUTED_VALUE"""),"A.A. ESC. EST. DR.PEDRO LUDOVICO TEIXEIRA")</f>
        <v>A.A. ESC. EST. DR.PEDRO LUDOVICO TEIXEIRA</v>
      </c>
      <c r="D376" s="40" t="str">
        <f ca="1">IFERROR(__xludf.DUMMYFUNCTION("""COMPUTED_VALUE"""),"01135997000150")</f>
        <v>01135997000150</v>
      </c>
      <c r="E376" s="41" t="str">
        <f ca="1">IFERROR(__xludf.DUMMYFUNCTION("""COMPUTED_VALUE"""),"104")</f>
        <v>104</v>
      </c>
      <c r="F376" s="42" t="str">
        <f ca="1">IFERROR(__xludf.DUMMYFUNCTION("""COMPUTED_VALUE"""),"1829")</f>
        <v>1829</v>
      </c>
      <c r="G376" s="42" t="str">
        <f ca="1">IFERROR(__xludf.DUMMYFUNCTION("""COMPUTED_VALUE"""),"305949")</f>
        <v>305949</v>
      </c>
      <c r="H376" s="42">
        <f ca="1">IFERROR(__xludf.DUMMYFUNCTION("""COMPUTED_VALUE"""),0)</f>
        <v>0</v>
      </c>
      <c r="I376" s="42">
        <f ca="1">IFERROR(__xludf.DUMMYFUNCTION("""COMPUTED_VALUE"""),0)</f>
        <v>0</v>
      </c>
      <c r="J376" s="42">
        <f ca="1">IFERROR(__xludf.DUMMYFUNCTION("""COMPUTED_VALUE"""),20076)</f>
        <v>20076</v>
      </c>
      <c r="K376" s="42">
        <f ca="1">IFERROR(__xludf.DUMMYFUNCTION("""COMPUTED_VALUE"""),0)</f>
        <v>0</v>
      </c>
      <c r="L376" s="42">
        <f ca="1">IFERROR(__xludf.DUMMYFUNCTION("""COMPUTED_VALUE"""),0)</f>
        <v>0</v>
      </c>
      <c r="M376" s="42">
        <f ca="1">IFERROR(__xludf.DUMMYFUNCTION("""COMPUTED_VALUE"""),0)</f>
        <v>0</v>
      </c>
      <c r="N376" s="42">
        <f ca="1">IFERROR(__xludf.DUMMYFUNCTION("""COMPUTED_VALUE"""),0)</f>
        <v>0</v>
      </c>
      <c r="O376" s="42">
        <f ca="1">IFERROR(__xludf.DUMMYFUNCTION("""COMPUTED_VALUE"""),0)</f>
        <v>0</v>
      </c>
      <c r="P376" s="42">
        <f ca="1">IFERROR(__xludf.DUMMYFUNCTION("""COMPUTED_VALUE"""),882)</f>
        <v>882</v>
      </c>
      <c r="Q376" s="42">
        <f ca="1">IFERROR(__xludf.DUMMYFUNCTION("""COMPUTED_VALUE"""),10290)</f>
        <v>10290</v>
      </c>
      <c r="R376" s="42">
        <f ca="1">IFERROR(__xludf.DUMMYFUNCTION("""COMPUTED_VALUE"""),0)</f>
        <v>0</v>
      </c>
      <c r="S376" s="42">
        <f ca="1">IFERROR(__xludf.DUMMYFUNCTION("""COMPUTED_VALUE"""),0)</f>
        <v>0</v>
      </c>
      <c r="T376" s="42">
        <f ca="1">IFERROR(__xludf.DUMMYFUNCTION("""COMPUTED_VALUE"""),0)</f>
        <v>0</v>
      </c>
      <c r="U376" s="42">
        <f ca="1">IFERROR(__xludf.DUMMYFUNCTION("""COMPUTED_VALUE"""),0)</f>
        <v>0</v>
      </c>
      <c r="V376" s="42">
        <f ca="1">IFERROR(__xludf.DUMMYFUNCTION("""COMPUTED_VALUE"""),0)</f>
        <v>0</v>
      </c>
      <c r="W376" s="42">
        <f ca="1">IFERROR(__xludf.DUMMYFUNCTION("""COMPUTED_VALUE"""),0)</f>
        <v>0</v>
      </c>
      <c r="X376" s="42">
        <f ca="1">IFERROR(__xludf.DUMMYFUNCTION("""COMPUTED_VALUE"""),0)</f>
        <v>0</v>
      </c>
      <c r="Y376" s="42">
        <f ca="1">IFERROR(__xludf.DUMMYFUNCTION("""COMPUTED_VALUE"""),0)</f>
        <v>0</v>
      </c>
      <c r="Z376" s="42">
        <f ca="1">IFERROR(__xludf.DUMMYFUNCTION("""COMPUTED_VALUE"""),0)</f>
        <v>0</v>
      </c>
    </row>
    <row r="377" spans="1:26" ht="12.75">
      <c r="A377" s="33" t="str">
        <f ca="1">IFERROR(__xludf.DUMMYFUNCTION("""COMPUTED_VALUE"""),"Porto Nacional")</f>
        <v>Porto Nacional</v>
      </c>
      <c r="B377" s="33" t="str">
        <f ca="1">IFERROR(__xludf.DUMMYFUNCTION("""COMPUTED_VALUE"""),"Porto Nacional")</f>
        <v>Porto Nacional</v>
      </c>
      <c r="C377" s="34" t="str">
        <f ca="1">IFERROR(__xludf.DUMMYFUNCTION("""COMPUTED_VALUE"""),"A. ESCOL.COM. ESC. EST. MAL.ARTUR C.E SILVA")</f>
        <v>A. ESCOL.COM. ESC. EST. MAL.ARTUR C.E SILVA</v>
      </c>
      <c r="D377" s="35" t="str">
        <f ca="1">IFERROR(__xludf.DUMMYFUNCTION("""COMPUTED_VALUE"""),"01112763000197")</f>
        <v>01112763000197</v>
      </c>
      <c r="E377" s="36" t="str">
        <f ca="1">IFERROR(__xludf.DUMMYFUNCTION("""COMPUTED_VALUE"""),"104")</f>
        <v>104</v>
      </c>
      <c r="F377" s="37" t="str">
        <f ca="1">IFERROR(__xludf.DUMMYFUNCTION("""COMPUTED_VALUE"""),"1829")</f>
        <v>1829</v>
      </c>
      <c r="G377" s="37" t="str">
        <f ca="1">IFERROR(__xludf.DUMMYFUNCTION("""COMPUTED_VALUE"""),"307364")</f>
        <v>307364</v>
      </c>
      <c r="H377" s="37">
        <f ca="1">IFERROR(__xludf.DUMMYFUNCTION("""COMPUTED_VALUE"""),0)</f>
        <v>0</v>
      </c>
      <c r="I377" s="37">
        <f ca="1">IFERROR(__xludf.DUMMYFUNCTION("""COMPUTED_VALUE"""),0)</f>
        <v>0</v>
      </c>
      <c r="J377" s="37">
        <f ca="1">IFERROR(__xludf.DUMMYFUNCTION("""COMPUTED_VALUE"""),5019)</f>
        <v>5019</v>
      </c>
      <c r="K377" s="37">
        <f ca="1">IFERROR(__xludf.DUMMYFUNCTION("""COMPUTED_VALUE"""),0)</f>
        <v>0</v>
      </c>
      <c r="L377" s="37">
        <f ca="1">IFERROR(__xludf.DUMMYFUNCTION("""COMPUTED_VALUE"""),0)</f>
        <v>0</v>
      </c>
      <c r="M377" s="37">
        <f ca="1">IFERROR(__xludf.DUMMYFUNCTION("""COMPUTED_VALUE"""),0)</f>
        <v>0</v>
      </c>
      <c r="N377" s="37">
        <f ca="1">IFERROR(__xludf.DUMMYFUNCTION("""COMPUTED_VALUE"""),0)</f>
        <v>0</v>
      </c>
      <c r="O377" s="37">
        <f ca="1">IFERROR(__xludf.DUMMYFUNCTION("""COMPUTED_VALUE"""),0)</f>
        <v>0</v>
      </c>
      <c r="P377" s="37">
        <f ca="1">IFERROR(__xludf.DUMMYFUNCTION("""COMPUTED_VALUE"""),357)</f>
        <v>357</v>
      </c>
      <c r="Q377" s="37">
        <f ca="1">IFERROR(__xludf.DUMMYFUNCTION("""COMPUTED_VALUE"""),3024)</f>
        <v>3024</v>
      </c>
      <c r="R377" s="37">
        <f ca="1">IFERROR(__xludf.DUMMYFUNCTION("""COMPUTED_VALUE"""),0)</f>
        <v>0</v>
      </c>
      <c r="S377" s="37">
        <f ca="1">IFERROR(__xludf.DUMMYFUNCTION("""COMPUTED_VALUE"""),0)</f>
        <v>0</v>
      </c>
      <c r="T377" s="37">
        <f ca="1">IFERROR(__xludf.DUMMYFUNCTION("""COMPUTED_VALUE"""),1680)</f>
        <v>1680</v>
      </c>
      <c r="U377" s="37">
        <f ca="1">IFERROR(__xludf.DUMMYFUNCTION("""COMPUTED_VALUE"""),0)</f>
        <v>0</v>
      </c>
      <c r="V377" s="37">
        <f ca="1">IFERROR(__xludf.DUMMYFUNCTION("""COMPUTED_VALUE"""),0)</f>
        <v>0</v>
      </c>
      <c r="W377" s="37">
        <f ca="1">IFERROR(__xludf.DUMMYFUNCTION("""COMPUTED_VALUE"""),0)</f>
        <v>0</v>
      </c>
      <c r="X377" s="37">
        <f ca="1">IFERROR(__xludf.DUMMYFUNCTION("""COMPUTED_VALUE"""),0)</f>
        <v>0</v>
      </c>
      <c r="Y377" s="37">
        <f ca="1">IFERROR(__xludf.DUMMYFUNCTION("""COMPUTED_VALUE"""),0)</f>
        <v>0</v>
      </c>
      <c r="Z377" s="37">
        <f ca="1">IFERROR(__xludf.DUMMYFUNCTION("""COMPUTED_VALUE"""),0)</f>
        <v>0</v>
      </c>
    </row>
    <row r="378" spans="1:26" ht="12.75">
      <c r="A378" s="38" t="str">
        <f ca="1">IFERROR(__xludf.DUMMYFUNCTION("""COMPUTED_VALUE"""),"Porto Nacional")</f>
        <v>Porto Nacional</v>
      </c>
      <c r="B378" s="38" t="str">
        <f ca="1">IFERROR(__xludf.DUMMYFUNCTION("""COMPUTED_VALUE"""),"Porto Nacional")</f>
        <v>Porto Nacional</v>
      </c>
      <c r="C378" s="39" t="str">
        <f ca="1">IFERROR(__xludf.DUMMYFUNCTION("""COMPUTED_VALUE"""),"ASSOCIAÇÃO DE APOIO DA ESCOLA FAMÍLIA AGRÍCOLA")</f>
        <v>ASSOCIAÇÃO DE APOIO DA ESCOLA FAMÍLIA AGRÍCOLA</v>
      </c>
      <c r="D378" s="40" t="str">
        <f ca="1">IFERROR(__xludf.DUMMYFUNCTION("""COMPUTED_VALUE"""),"01197155000122")</f>
        <v>01197155000122</v>
      </c>
      <c r="E378" s="41" t="str">
        <f ca="1">IFERROR(__xludf.DUMMYFUNCTION("""COMPUTED_VALUE"""),"001")</f>
        <v>001</v>
      </c>
      <c r="F378" s="42" t="str">
        <f ca="1">IFERROR(__xludf.DUMMYFUNCTION("""COMPUTED_VALUE"""),"1117")</f>
        <v>1117</v>
      </c>
      <c r="G378" s="42" t="str">
        <f ca="1">IFERROR(__xludf.DUMMYFUNCTION("""COMPUTED_VALUE"""),"313483")</f>
        <v>313483</v>
      </c>
      <c r="H378" s="42">
        <f ca="1">IFERROR(__xludf.DUMMYFUNCTION("""COMPUTED_VALUE"""),0)</f>
        <v>0</v>
      </c>
      <c r="I378" s="42">
        <f ca="1">IFERROR(__xludf.DUMMYFUNCTION("""COMPUTED_VALUE"""),0)</f>
        <v>0</v>
      </c>
      <c r="J378" s="42">
        <f ca="1">IFERROR(__xludf.DUMMYFUNCTION("""COMPUTED_VALUE"""),0)</f>
        <v>0</v>
      </c>
      <c r="K378" s="42">
        <f ca="1">IFERROR(__xludf.DUMMYFUNCTION("""COMPUTED_VALUE"""),0)</f>
        <v>0</v>
      </c>
      <c r="L378" s="42">
        <f ca="1">IFERROR(__xludf.DUMMYFUNCTION("""COMPUTED_VALUE"""),0)</f>
        <v>0</v>
      </c>
      <c r="M378" s="42">
        <f ca="1">IFERROR(__xludf.DUMMYFUNCTION("""COMPUTED_VALUE"""),0)</f>
        <v>0</v>
      </c>
      <c r="N378" s="42">
        <f ca="1">IFERROR(__xludf.DUMMYFUNCTION("""COMPUTED_VALUE"""),0)</f>
        <v>0</v>
      </c>
      <c r="O378" s="42">
        <f ca="1">IFERROR(__xludf.DUMMYFUNCTION("""COMPUTED_VALUE"""),0)</f>
        <v>0</v>
      </c>
      <c r="P378" s="42">
        <f ca="1">IFERROR(__xludf.DUMMYFUNCTION("""COMPUTED_VALUE"""),0)</f>
        <v>0</v>
      </c>
      <c r="Q378" s="42">
        <f ca="1">IFERROR(__xludf.DUMMYFUNCTION("""COMPUTED_VALUE"""),0)</f>
        <v>0</v>
      </c>
      <c r="R378" s="42">
        <f ca="1">IFERROR(__xludf.DUMMYFUNCTION("""COMPUTED_VALUE"""),0)</f>
        <v>0</v>
      </c>
      <c r="S378" s="42">
        <f ca="1">IFERROR(__xludf.DUMMYFUNCTION("""COMPUTED_VALUE"""),0)</f>
        <v>0</v>
      </c>
      <c r="T378" s="42">
        <f ca="1">IFERROR(__xludf.DUMMYFUNCTION("""COMPUTED_VALUE"""),0)</f>
        <v>0</v>
      </c>
      <c r="U378" s="42">
        <f ca="1">IFERROR(__xludf.DUMMYFUNCTION("""COMPUTED_VALUE"""),0)</f>
        <v>0</v>
      </c>
      <c r="V378" s="42">
        <f ca="1">IFERROR(__xludf.DUMMYFUNCTION("""COMPUTED_VALUE"""),32140.8)</f>
        <v>32140.799999999999</v>
      </c>
      <c r="W378" s="42">
        <f ca="1">IFERROR(__xludf.DUMMYFUNCTION("""COMPUTED_VALUE"""),0)</f>
        <v>0</v>
      </c>
      <c r="X378" s="42">
        <f ca="1">IFERROR(__xludf.DUMMYFUNCTION("""COMPUTED_VALUE"""),0)</f>
        <v>0</v>
      </c>
      <c r="Y378" s="42">
        <f ca="1">IFERROR(__xludf.DUMMYFUNCTION("""COMPUTED_VALUE"""),2382.79999999999)</f>
        <v>2382.7999999999902</v>
      </c>
      <c r="Z378" s="42">
        <f ca="1">IFERROR(__xludf.DUMMYFUNCTION("""COMPUTED_VALUE"""),0)</f>
        <v>0</v>
      </c>
    </row>
    <row r="379" spans="1:26" ht="12.75">
      <c r="A379" s="33" t="str">
        <f ca="1">IFERROR(__xludf.DUMMYFUNCTION("""COMPUTED_VALUE"""),"Porto Nacional")</f>
        <v>Porto Nacional</v>
      </c>
      <c r="B379" s="33" t="str">
        <f ca="1">IFERROR(__xludf.DUMMYFUNCTION("""COMPUTED_VALUE"""),"Porto Nacional")</f>
        <v>Porto Nacional</v>
      </c>
      <c r="C379" s="34" t="str">
        <f ca="1">IFERROR(__xludf.DUMMYFUNCTION("""COMPUTED_VALUE"""),"ASSOC.P.A.DOS EXCEP. DE PORTO NACIONAL")</f>
        <v>ASSOC.P.A.DOS EXCEP. DE PORTO NACIONAL</v>
      </c>
      <c r="D379" s="35" t="str">
        <f ca="1">IFERROR(__xludf.DUMMYFUNCTION("""COMPUTED_VALUE"""),"26752113000137")</f>
        <v>26752113000137</v>
      </c>
      <c r="E379" s="36" t="str">
        <f ca="1">IFERROR(__xludf.DUMMYFUNCTION("""COMPUTED_VALUE"""),"001")</f>
        <v>001</v>
      </c>
      <c r="F379" s="37" t="str">
        <f ca="1">IFERROR(__xludf.DUMMYFUNCTION("""COMPUTED_VALUE"""),"1117")</f>
        <v>1117</v>
      </c>
      <c r="G379" s="37" t="str">
        <f ca="1">IFERROR(__xludf.DUMMYFUNCTION("""COMPUTED_VALUE"""),"86657")</f>
        <v>86657</v>
      </c>
      <c r="H379" s="37">
        <f ca="1">IFERROR(__xludf.DUMMYFUNCTION("""COMPUTED_VALUE"""),0)</f>
        <v>0</v>
      </c>
      <c r="I379" s="37">
        <f ca="1">IFERROR(__xludf.DUMMYFUNCTION("""COMPUTED_VALUE"""),252)</f>
        <v>252</v>
      </c>
      <c r="J379" s="37">
        <f ca="1">IFERROR(__xludf.DUMMYFUNCTION("""COMPUTED_VALUE"""),294)</f>
        <v>294</v>
      </c>
      <c r="K379" s="37">
        <f ca="1">IFERROR(__xludf.DUMMYFUNCTION("""COMPUTED_VALUE"""),0)</f>
        <v>0</v>
      </c>
      <c r="L379" s="37">
        <f ca="1">IFERROR(__xludf.DUMMYFUNCTION("""COMPUTED_VALUE"""),0)</f>
        <v>0</v>
      </c>
      <c r="M379" s="37">
        <f ca="1">IFERROR(__xludf.DUMMYFUNCTION("""COMPUTED_VALUE"""),0)</f>
        <v>0</v>
      </c>
      <c r="N379" s="37">
        <f ca="1">IFERROR(__xludf.DUMMYFUNCTION("""COMPUTED_VALUE"""),0)</f>
        <v>0</v>
      </c>
      <c r="O379" s="37">
        <f ca="1">IFERROR(__xludf.DUMMYFUNCTION("""COMPUTED_VALUE"""),0)</f>
        <v>0</v>
      </c>
      <c r="P379" s="37">
        <f ca="1">IFERROR(__xludf.DUMMYFUNCTION("""COMPUTED_VALUE"""),357)</f>
        <v>357</v>
      </c>
      <c r="Q379" s="37">
        <f ca="1">IFERROR(__xludf.DUMMYFUNCTION("""COMPUTED_VALUE"""),0)</f>
        <v>0</v>
      </c>
      <c r="R379" s="37">
        <f ca="1">IFERROR(__xludf.DUMMYFUNCTION("""COMPUTED_VALUE"""),0)</f>
        <v>0</v>
      </c>
      <c r="S379" s="37">
        <f ca="1">IFERROR(__xludf.DUMMYFUNCTION("""COMPUTED_VALUE"""),0)</f>
        <v>0</v>
      </c>
      <c r="T379" s="37">
        <f ca="1">IFERROR(__xludf.DUMMYFUNCTION("""COMPUTED_VALUE"""),1722)</f>
        <v>1722</v>
      </c>
      <c r="U379" s="37">
        <f ca="1">IFERROR(__xludf.DUMMYFUNCTION("""COMPUTED_VALUE"""),0)</f>
        <v>0</v>
      </c>
      <c r="V379" s="37">
        <f ca="1">IFERROR(__xludf.DUMMYFUNCTION("""COMPUTED_VALUE"""),0)</f>
        <v>0</v>
      </c>
      <c r="W379" s="37">
        <f ca="1">IFERROR(__xludf.DUMMYFUNCTION("""COMPUTED_VALUE"""),0)</f>
        <v>0</v>
      </c>
      <c r="X379" s="37">
        <f ca="1">IFERROR(__xludf.DUMMYFUNCTION("""COMPUTED_VALUE"""),0)</f>
        <v>0</v>
      </c>
      <c r="Y379" s="37">
        <f ca="1">IFERROR(__xludf.DUMMYFUNCTION("""COMPUTED_VALUE"""),0)</f>
        <v>0</v>
      </c>
      <c r="Z379" s="37">
        <f ca="1">IFERROR(__xludf.DUMMYFUNCTION("""COMPUTED_VALUE"""),0)</f>
        <v>0</v>
      </c>
    </row>
    <row r="380" spans="1:26" ht="12.75">
      <c r="A380" s="38" t="str">
        <f ca="1">IFERROR(__xludf.DUMMYFUNCTION("""COMPUTED_VALUE"""),"Porto Nacional")</f>
        <v>Porto Nacional</v>
      </c>
      <c r="B380" s="38" t="str">
        <f ca="1">IFERROR(__xludf.DUMMYFUNCTION("""COMPUTED_VALUE"""),"Porto Nacional")</f>
        <v>Porto Nacional</v>
      </c>
      <c r="C380" s="39" t="str">
        <f ca="1">IFERROR(__xludf.DUMMYFUNCTION("""COMPUTED_VALUE"""),"A.A.  ESCOLA ESTADUAL ALFREDO NASSER")</f>
        <v>A.A.  ESCOLA ESTADUAL ALFREDO NASSER</v>
      </c>
      <c r="D380" s="40" t="str">
        <f ca="1">IFERROR(__xludf.DUMMYFUNCTION("""COMPUTED_VALUE"""),"01251862000150")</f>
        <v>01251862000150</v>
      </c>
      <c r="E380" s="41" t="str">
        <f ca="1">IFERROR(__xludf.DUMMYFUNCTION("""COMPUTED_VALUE"""),"104")</f>
        <v>104</v>
      </c>
      <c r="F380" s="42" t="str">
        <f ca="1">IFERROR(__xludf.DUMMYFUNCTION("""COMPUTED_VALUE"""),"1829")</f>
        <v>1829</v>
      </c>
      <c r="G380" s="42" t="str">
        <f ca="1">IFERROR(__xludf.DUMMYFUNCTION("""COMPUTED_VALUE"""),"307410")</f>
        <v>307410</v>
      </c>
      <c r="H380" s="42">
        <f ca="1">IFERROR(__xludf.DUMMYFUNCTION("""COMPUTED_VALUE"""),0)</f>
        <v>0</v>
      </c>
      <c r="I380" s="42">
        <f ca="1">IFERROR(__xludf.DUMMYFUNCTION("""COMPUTED_VALUE"""),0)</f>
        <v>0</v>
      </c>
      <c r="J380" s="42">
        <f ca="1">IFERROR(__xludf.DUMMYFUNCTION("""COMPUTED_VALUE"""),2961)</f>
        <v>2961</v>
      </c>
      <c r="K380" s="42">
        <f ca="1">IFERROR(__xludf.DUMMYFUNCTION("""COMPUTED_VALUE"""),0)</f>
        <v>0</v>
      </c>
      <c r="L380" s="42">
        <f ca="1">IFERROR(__xludf.DUMMYFUNCTION("""COMPUTED_VALUE"""),0)</f>
        <v>0</v>
      </c>
      <c r="M380" s="42">
        <f ca="1">IFERROR(__xludf.DUMMYFUNCTION("""COMPUTED_VALUE"""),0)</f>
        <v>0</v>
      </c>
      <c r="N380" s="42">
        <f ca="1">IFERROR(__xludf.DUMMYFUNCTION("""COMPUTED_VALUE"""),0)</f>
        <v>0</v>
      </c>
      <c r="O380" s="42">
        <f ca="1">IFERROR(__xludf.DUMMYFUNCTION("""COMPUTED_VALUE"""),0)</f>
        <v>0</v>
      </c>
      <c r="P380" s="42">
        <f ca="1">IFERROR(__xludf.DUMMYFUNCTION("""COMPUTED_VALUE"""),168)</f>
        <v>168</v>
      </c>
      <c r="Q380" s="42">
        <f ca="1">IFERROR(__xludf.DUMMYFUNCTION("""COMPUTED_VALUE"""),987)</f>
        <v>987</v>
      </c>
      <c r="R380" s="42">
        <f ca="1">IFERROR(__xludf.DUMMYFUNCTION("""COMPUTED_VALUE"""),0)</f>
        <v>0</v>
      </c>
      <c r="S380" s="42">
        <f ca="1">IFERROR(__xludf.DUMMYFUNCTION("""COMPUTED_VALUE"""),0)</f>
        <v>0</v>
      </c>
      <c r="T380" s="42">
        <f ca="1">IFERROR(__xludf.DUMMYFUNCTION("""COMPUTED_VALUE"""),0)</f>
        <v>0</v>
      </c>
      <c r="U380" s="42">
        <f ca="1">IFERROR(__xludf.DUMMYFUNCTION("""COMPUTED_VALUE"""),0)</f>
        <v>0</v>
      </c>
      <c r="V380" s="42">
        <f ca="1">IFERROR(__xludf.DUMMYFUNCTION("""COMPUTED_VALUE"""),0)</f>
        <v>0</v>
      </c>
      <c r="W380" s="42">
        <f ca="1">IFERROR(__xludf.DUMMYFUNCTION("""COMPUTED_VALUE"""),0)</f>
        <v>0</v>
      </c>
      <c r="X380" s="42">
        <f ca="1">IFERROR(__xludf.DUMMYFUNCTION("""COMPUTED_VALUE"""),0)</f>
        <v>0</v>
      </c>
      <c r="Y380" s="42">
        <f ca="1">IFERROR(__xludf.DUMMYFUNCTION("""COMPUTED_VALUE"""),0)</f>
        <v>0</v>
      </c>
      <c r="Z380" s="42">
        <f ca="1">IFERROR(__xludf.DUMMYFUNCTION("""COMPUTED_VALUE"""),0)</f>
        <v>0</v>
      </c>
    </row>
    <row r="381" spans="1:26" ht="12.75">
      <c r="A381" s="33" t="str">
        <f ca="1">IFERROR(__xludf.DUMMYFUNCTION("""COMPUTED_VALUE"""),"Porto Nacional")</f>
        <v>Porto Nacional</v>
      </c>
      <c r="B381" s="33" t="str">
        <f ca="1">IFERROR(__xludf.DUMMYFUNCTION("""COMPUTED_VALUE"""),"Porto Nacional")</f>
        <v>Porto Nacional</v>
      </c>
      <c r="C381" s="34" t="str">
        <f ca="1">IFERROR(__xludf.DUMMYFUNCTION("""COMPUTED_VALUE"""),"A.A. ESCOLA ESTADUAL ANA MACEDO MAIA")</f>
        <v>A.A. ESCOLA ESTADUAL ANA MACEDO MAIA</v>
      </c>
      <c r="D381" s="35" t="str">
        <f ca="1">IFERROR(__xludf.DUMMYFUNCTION("""COMPUTED_VALUE"""),"01243662000155")</f>
        <v>01243662000155</v>
      </c>
      <c r="E381" s="36" t="str">
        <f ca="1">IFERROR(__xludf.DUMMYFUNCTION("""COMPUTED_VALUE"""),"104")</f>
        <v>104</v>
      </c>
      <c r="F381" s="37" t="str">
        <f ca="1">IFERROR(__xludf.DUMMYFUNCTION("""COMPUTED_VALUE"""),"1829")</f>
        <v>1829</v>
      </c>
      <c r="G381" s="37" t="str">
        <f ca="1">IFERROR(__xludf.DUMMYFUNCTION("""COMPUTED_VALUE"""),"306015")</f>
        <v>306015</v>
      </c>
      <c r="H381" s="37">
        <f ca="1">IFERROR(__xludf.DUMMYFUNCTION("""COMPUTED_VALUE"""),0)</f>
        <v>0</v>
      </c>
      <c r="I381" s="37">
        <f ca="1">IFERROR(__xludf.DUMMYFUNCTION("""COMPUTED_VALUE"""),0)</f>
        <v>0</v>
      </c>
      <c r="J381" s="37">
        <f ca="1">IFERROR(__xludf.DUMMYFUNCTION("""COMPUTED_VALUE"""),6489)</f>
        <v>6489</v>
      </c>
      <c r="K381" s="37">
        <f ca="1">IFERROR(__xludf.DUMMYFUNCTION("""COMPUTED_VALUE"""),0)</f>
        <v>0</v>
      </c>
      <c r="L381" s="37">
        <f ca="1">IFERROR(__xludf.DUMMYFUNCTION("""COMPUTED_VALUE"""),0)</f>
        <v>0</v>
      </c>
      <c r="M381" s="37">
        <f ca="1">IFERROR(__xludf.DUMMYFUNCTION("""COMPUTED_VALUE"""),0)</f>
        <v>0</v>
      </c>
      <c r="N381" s="37">
        <f ca="1">IFERROR(__xludf.DUMMYFUNCTION("""COMPUTED_VALUE"""),0)</f>
        <v>0</v>
      </c>
      <c r="O381" s="37">
        <f ca="1">IFERROR(__xludf.DUMMYFUNCTION("""COMPUTED_VALUE"""),0)</f>
        <v>0</v>
      </c>
      <c r="P381" s="37">
        <f ca="1">IFERROR(__xludf.DUMMYFUNCTION("""COMPUTED_VALUE"""),0)</f>
        <v>0</v>
      </c>
      <c r="Q381" s="37">
        <f ca="1">IFERROR(__xludf.DUMMYFUNCTION("""COMPUTED_VALUE"""),0)</f>
        <v>0</v>
      </c>
      <c r="R381" s="37">
        <f ca="1">IFERROR(__xludf.DUMMYFUNCTION("""COMPUTED_VALUE"""),0)</f>
        <v>0</v>
      </c>
      <c r="S381" s="37">
        <f ca="1">IFERROR(__xludf.DUMMYFUNCTION("""COMPUTED_VALUE"""),0)</f>
        <v>0</v>
      </c>
      <c r="T381" s="37">
        <f ca="1">IFERROR(__xludf.DUMMYFUNCTION("""COMPUTED_VALUE"""),0)</f>
        <v>0</v>
      </c>
      <c r="U381" s="37">
        <f ca="1">IFERROR(__xludf.DUMMYFUNCTION("""COMPUTED_VALUE"""),0)</f>
        <v>0</v>
      </c>
      <c r="V381" s="37">
        <f ca="1">IFERROR(__xludf.DUMMYFUNCTION("""COMPUTED_VALUE"""),0)</f>
        <v>0</v>
      </c>
      <c r="W381" s="37">
        <f ca="1">IFERROR(__xludf.DUMMYFUNCTION("""COMPUTED_VALUE"""),0)</f>
        <v>0</v>
      </c>
      <c r="X381" s="37">
        <f ca="1">IFERROR(__xludf.DUMMYFUNCTION("""COMPUTED_VALUE"""),0)</f>
        <v>0</v>
      </c>
      <c r="Y381" s="37">
        <f ca="1">IFERROR(__xludf.DUMMYFUNCTION("""COMPUTED_VALUE"""),0)</f>
        <v>0</v>
      </c>
      <c r="Z381" s="37">
        <f ca="1">IFERROR(__xludf.DUMMYFUNCTION("""COMPUTED_VALUE"""),0)</f>
        <v>0</v>
      </c>
    </row>
    <row r="382" spans="1:26" ht="12.75">
      <c r="A382" s="38" t="str">
        <f ca="1">IFERROR(__xludf.DUMMYFUNCTION("""COMPUTED_VALUE"""),"Porto Nacional")</f>
        <v>Porto Nacional</v>
      </c>
      <c r="B382" s="38" t="str">
        <f ca="1">IFERROR(__xludf.DUMMYFUNCTION("""COMPUTED_VALUE"""),"Porto Nacional")</f>
        <v>Porto Nacional</v>
      </c>
      <c r="C382" s="39" t="str">
        <f ca="1">IFERROR(__xludf.DUMMYFUNCTION("""COMPUTED_VALUE"""),"A. ESCOLAR COMUN. DA ESC. CONV. BRASIL")</f>
        <v>A. ESCOLAR COMUN. DA ESC. CONV. BRASIL</v>
      </c>
      <c r="D382" s="40" t="str">
        <f ca="1">IFERROR(__xludf.DUMMYFUNCTION("""COMPUTED_VALUE"""),"01112471000154")</f>
        <v>01112471000154</v>
      </c>
      <c r="E382" s="41" t="str">
        <f ca="1">IFERROR(__xludf.DUMMYFUNCTION("""COMPUTED_VALUE"""),"104")</f>
        <v>104</v>
      </c>
      <c r="F382" s="42" t="str">
        <f ca="1">IFERROR(__xludf.DUMMYFUNCTION("""COMPUTED_VALUE"""),"1829")</f>
        <v>1829</v>
      </c>
      <c r="G382" s="42" t="str">
        <f ca="1">IFERROR(__xludf.DUMMYFUNCTION("""COMPUTED_VALUE"""),"307402")</f>
        <v>307402</v>
      </c>
      <c r="H382" s="42">
        <f ca="1">IFERROR(__xludf.DUMMYFUNCTION("""COMPUTED_VALUE"""),0)</f>
        <v>0</v>
      </c>
      <c r="I382" s="42">
        <f ca="1">IFERROR(__xludf.DUMMYFUNCTION("""COMPUTED_VALUE"""),0)</f>
        <v>0</v>
      </c>
      <c r="J382" s="42">
        <f ca="1">IFERROR(__xludf.DUMMYFUNCTION("""COMPUTED_VALUE"""),1806)</f>
        <v>1806</v>
      </c>
      <c r="K382" s="42">
        <f ca="1">IFERROR(__xludf.DUMMYFUNCTION("""COMPUTED_VALUE"""),0)</f>
        <v>0</v>
      </c>
      <c r="L382" s="42">
        <f ca="1">IFERROR(__xludf.DUMMYFUNCTION("""COMPUTED_VALUE"""),0)</f>
        <v>0</v>
      </c>
      <c r="M382" s="42">
        <f ca="1">IFERROR(__xludf.DUMMYFUNCTION("""COMPUTED_VALUE"""),0)</f>
        <v>0</v>
      </c>
      <c r="N382" s="42">
        <f ca="1">IFERROR(__xludf.DUMMYFUNCTION("""COMPUTED_VALUE"""),0)</f>
        <v>0</v>
      </c>
      <c r="O382" s="42">
        <f ca="1">IFERROR(__xludf.DUMMYFUNCTION("""COMPUTED_VALUE"""),0)</f>
        <v>0</v>
      </c>
      <c r="P382" s="42">
        <f ca="1">IFERROR(__xludf.DUMMYFUNCTION("""COMPUTED_VALUE"""),0)</f>
        <v>0</v>
      </c>
      <c r="Q382" s="42">
        <f ca="1">IFERROR(__xludf.DUMMYFUNCTION("""COMPUTED_VALUE"""),1092)</f>
        <v>1092</v>
      </c>
      <c r="R382" s="42">
        <f ca="1">IFERROR(__xludf.DUMMYFUNCTION("""COMPUTED_VALUE"""),0)</f>
        <v>0</v>
      </c>
      <c r="S382" s="42">
        <f ca="1">IFERROR(__xludf.DUMMYFUNCTION("""COMPUTED_VALUE"""),0)</f>
        <v>0</v>
      </c>
      <c r="T382" s="42">
        <f ca="1">IFERROR(__xludf.DUMMYFUNCTION("""COMPUTED_VALUE"""),0)</f>
        <v>0</v>
      </c>
      <c r="U382" s="42">
        <f ca="1">IFERROR(__xludf.DUMMYFUNCTION("""COMPUTED_VALUE"""),0)</f>
        <v>0</v>
      </c>
      <c r="V382" s="42">
        <f ca="1">IFERROR(__xludf.DUMMYFUNCTION("""COMPUTED_VALUE"""),0)</f>
        <v>0</v>
      </c>
      <c r="W382" s="42">
        <f ca="1">IFERROR(__xludf.DUMMYFUNCTION("""COMPUTED_VALUE"""),0)</f>
        <v>0</v>
      </c>
      <c r="X382" s="42">
        <f ca="1">IFERROR(__xludf.DUMMYFUNCTION("""COMPUTED_VALUE"""),0)</f>
        <v>0</v>
      </c>
      <c r="Y382" s="42">
        <f ca="1">IFERROR(__xludf.DUMMYFUNCTION("""COMPUTED_VALUE"""),0)</f>
        <v>0</v>
      </c>
      <c r="Z382" s="42">
        <f ca="1">IFERROR(__xludf.DUMMYFUNCTION("""COMPUTED_VALUE"""),0)</f>
        <v>0</v>
      </c>
    </row>
    <row r="383" spans="1:26" ht="12.75">
      <c r="A383" s="33" t="str">
        <f ca="1">IFERROR(__xludf.DUMMYFUNCTION("""COMPUTED_VALUE"""),"Porto Nacional")</f>
        <v>Porto Nacional</v>
      </c>
      <c r="B383" s="33" t="str">
        <f ca="1">IFERROR(__xludf.DUMMYFUNCTION("""COMPUTED_VALUE"""),"Porto Nacional")</f>
        <v>Porto Nacional</v>
      </c>
      <c r="C383" s="34" t="str">
        <f ca="1">IFERROR(__xludf.DUMMYFUNCTION("""COMPUTED_VALUE"""),"A.A.  ESCOLA ESTADUAL CUSTÓDIA DA SILVA PEDREIRA")</f>
        <v>A.A.  ESCOLA ESTADUAL CUSTÓDIA DA SILVA PEDREIRA</v>
      </c>
      <c r="D383" s="35" t="str">
        <f ca="1">IFERROR(__xludf.DUMMYFUNCTION("""COMPUTED_VALUE"""),"01192932000146")</f>
        <v>01192932000146</v>
      </c>
      <c r="E383" s="36" t="str">
        <f ca="1">IFERROR(__xludf.DUMMYFUNCTION("""COMPUTED_VALUE"""),"001")</f>
        <v>001</v>
      </c>
      <c r="F383" s="37" t="str">
        <f ca="1">IFERROR(__xludf.DUMMYFUNCTION("""COMPUTED_VALUE"""),"1117")</f>
        <v>1117</v>
      </c>
      <c r="G383" s="37" t="str">
        <f ca="1">IFERROR(__xludf.DUMMYFUNCTION("""COMPUTED_VALUE"""),"314080")</f>
        <v>314080</v>
      </c>
      <c r="H383" s="37">
        <f ca="1">IFERROR(__xludf.DUMMYFUNCTION("""COMPUTED_VALUE"""),0)</f>
        <v>0</v>
      </c>
      <c r="I383" s="37">
        <f ca="1">IFERROR(__xludf.DUMMYFUNCTION("""COMPUTED_VALUE"""),0)</f>
        <v>0</v>
      </c>
      <c r="J383" s="37">
        <f ca="1">IFERROR(__xludf.DUMMYFUNCTION("""COMPUTED_VALUE"""),9366)</f>
        <v>9366</v>
      </c>
      <c r="K383" s="37">
        <f ca="1">IFERROR(__xludf.DUMMYFUNCTION("""COMPUTED_VALUE"""),0)</f>
        <v>0</v>
      </c>
      <c r="L383" s="37">
        <f ca="1">IFERROR(__xludf.DUMMYFUNCTION("""COMPUTED_VALUE"""),0)</f>
        <v>0</v>
      </c>
      <c r="M383" s="37">
        <f ca="1">IFERROR(__xludf.DUMMYFUNCTION("""COMPUTED_VALUE"""),0)</f>
        <v>0</v>
      </c>
      <c r="N383" s="37">
        <f ca="1">IFERROR(__xludf.DUMMYFUNCTION("""COMPUTED_VALUE"""),0)</f>
        <v>0</v>
      </c>
      <c r="O383" s="37">
        <f ca="1">IFERROR(__xludf.DUMMYFUNCTION("""COMPUTED_VALUE"""),0)</f>
        <v>0</v>
      </c>
      <c r="P383" s="37">
        <f ca="1">IFERROR(__xludf.DUMMYFUNCTION("""COMPUTED_VALUE"""),0)</f>
        <v>0</v>
      </c>
      <c r="Q383" s="37">
        <f ca="1">IFERROR(__xludf.DUMMYFUNCTION("""COMPUTED_VALUE"""),6783)</f>
        <v>6783</v>
      </c>
      <c r="R383" s="37">
        <f ca="1">IFERROR(__xludf.DUMMYFUNCTION("""COMPUTED_VALUE"""),0)</f>
        <v>0</v>
      </c>
      <c r="S383" s="37">
        <f ca="1">IFERROR(__xludf.DUMMYFUNCTION("""COMPUTED_VALUE"""),0)</f>
        <v>0</v>
      </c>
      <c r="T383" s="37">
        <f ca="1">IFERROR(__xludf.DUMMYFUNCTION("""COMPUTED_VALUE"""),0)</f>
        <v>0</v>
      </c>
      <c r="U383" s="37">
        <f ca="1">IFERROR(__xludf.DUMMYFUNCTION("""COMPUTED_VALUE"""),0)</f>
        <v>0</v>
      </c>
      <c r="V383" s="37">
        <f ca="1">IFERROR(__xludf.DUMMYFUNCTION("""COMPUTED_VALUE"""),0)</f>
        <v>0</v>
      </c>
      <c r="W383" s="37">
        <f ca="1">IFERROR(__xludf.DUMMYFUNCTION("""COMPUTED_VALUE"""),0)</f>
        <v>0</v>
      </c>
      <c r="X383" s="37">
        <f ca="1">IFERROR(__xludf.DUMMYFUNCTION("""COMPUTED_VALUE"""),0)</f>
        <v>0</v>
      </c>
      <c r="Y383" s="37">
        <f ca="1">IFERROR(__xludf.DUMMYFUNCTION("""COMPUTED_VALUE"""),0)</f>
        <v>0</v>
      </c>
      <c r="Z383" s="37">
        <f ca="1">IFERROR(__xludf.DUMMYFUNCTION("""COMPUTED_VALUE"""),0)</f>
        <v>0</v>
      </c>
    </row>
    <row r="384" spans="1:26" ht="12.75">
      <c r="A384" s="38" t="str">
        <f ca="1">IFERROR(__xludf.DUMMYFUNCTION("""COMPUTED_VALUE"""),"Porto Nacional")</f>
        <v>Porto Nacional</v>
      </c>
      <c r="B384" s="38" t="str">
        <f ca="1">IFERROR(__xludf.DUMMYFUNCTION("""COMPUTED_VALUE"""),"Porto Nacional")</f>
        <v>Porto Nacional</v>
      </c>
      <c r="C384" s="39" t="str">
        <f ca="1">IFERROR(__xludf.DUMMYFUNCTION("""COMPUTED_VALUE"""),"A. ESC. COM./ESC. EST. D.DOMINGOS CARREROT")</f>
        <v>A. ESC. COM./ESC. EST. D.DOMINGOS CARREROT</v>
      </c>
      <c r="D384" s="40" t="str">
        <f ca="1">IFERROR(__xludf.DUMMYFUNCTION("""COMPUTED_VALUE"""),"00900197000115")</f>
        <v>00900197000115</v>
      </c>
      <c r="E384" s="41" t="str">
        <f ca="1">IFERROR(__xludf.DUMMYFUNCTION("""COMPUTED_VALUE"""),"104")</f>
        <v>104</v>
      </c>
      <c r="F384" s="42" t="str">
        <f ca="1">IFERROR(__xludf.DUMMYFUNCTION("""COMPUTED_VALUE"""),"1829")</f>
        <v>1829</v>
      </c>
      <c r="G384" s="42" t="str">
        <f ca="1">IFERROR(__xludf.DUMMYFUNCTION("""COMPUTED_VALUE"""),"305914")</f>
        <v>305914</v>
      </c>
      <c r="H384" s="42">
        <f ca="1">IFERROR(__xludf.DUMMYFUNCTION("""COMPUTED_VALUE"""),0)</f>
        <v>0</v>
      </c>
      <c r="I384" s="42">
        <f ca="1">IFERROR(__xludf.DUMMYFUNCTION("""COMPUTED_VALUE"""),0)</f>
        <v>0</v>
      </c>
      <c r="J384" s="42">
        <f ca="1">IFERROR(__xludf.DUMMYFUNCTION("""COMPUTED_VALUE"""),7434)</f>
        <v>7434</v>
      </c>
      <c r="K384" s="42">
        <f ca="1">IFERROR(__xludf.DUMMYFUNCTION("""COMPUTED_VALUE"""),0)</f>
        <v>0</v>
      </c>
      <c r="L384" s="42">
        <f ca="1">IFERROR(__xludf.DUMMYFUNCTION("""COMPUTED_VALUE"""),0)</f>
        <v>0</v>
      </c>
      <c r="M384" s="42">
        <f ca="1">IFERROR(__xludf.DUMMYFUNCTION("""COMPUTED_VALUE"""),0)</f>
        <v>0</v>
      </c>
      <c r="N384" s="42">
        <f ca="1">IFERROR(__xludf.DUMMYFUNCTION("""COMPUTED_VALUE"""),0)</f>
        <v>0</v>
      </c>
      <c r="O384" s="42">
        <f ca="1">IFERROR(__xludf.DUMMYFUNCTION("""COMPUTED_VALUE"""),0)</f>
        <v>0</v>
      </c>
      <c r="P384" s="42">
        <f ca="1">IFERROR(__xludf.DUMMYFUNCTION("""COMPUTED_VALUE"""),336)</f>
        <v>336</v>
      </c>
      <c r="Q384" s="42">
        <f ca="1">IFERROR(__xludf.DUMMYFUNCTION("""COMPUTED_VALUE"""),0)</f>
        <v>0</v>
      </c>
      <c r="R384" s="42">
        <f ca="1">IFERROR(__xludf.DUMMYFUNCTION("""COMPUTED_VALUE"""),0)</f>
        <v>0</v>
      </c>
      <c r="S384" s="42">
        <f ca="1">IFERROR(__xludf.DUMMYFUNCTION("""COMPUTED_VALUE"""),0)</f>
        <v>0</v>
      </c>
      <c r="T384" s="42">
        <f ca="1">IFERROR(__xludf.DUMMYFUNCTION("""COMPUTED_VALUE"""),0)</f>
        <v>0</v>
      </c>
      <c r="U384" s="42">
        <f ca="1">IFERROR(__xludf.DUMMYFUNCTION("""COMPUTED_VALUE"""),0)</f>
        <v>0</v>
      </c>
      <c r="V384" s="42">
        <f ca="1">IFERROR(__xludf.DUMMYFUNCTION("""COMPUTED_VALUE"""),0)</f>
        <v>0</v>
      </c>
      <c r="W384" s="42">
        <f ca="1">IFERROR(__xludf.DUMMYFUNCTION("""COMPUTED_VALUE"""),0)</f>
        <v>0</v>
      </c>
      <c r="X384" s="42">
        <f ca="1">IFERROR(__xludf.DUMMYFUNCTION("""COMPUTED_VALUE"""),0)</f>
        <v>0</v>
      </c>
      <c r="Y384" s="42">
        <f ca="1">IFERROR(__xludf.DUMMYFUNCTION("""COMPUTED_VALUE"""),0)</f>
        <v>0</v>
      </c>
      <c r="Z384" s="42">
        <f ca="1">IFERROR(__xludf.DUMMYFUNCTION("""COMPUTED_VALUE"""),0)</f>
        <v>0</v>
      </c>
    </row>
    <row r="385" spans="1:26" ht="12.75">
      <c r="A385" s="33" t="str">
        <f ca="1">IFERROR(__xludf.DUMMYFUNCTION("""COMPUTED_VALUE"""),"Porto Nacional")</f>
        <v>Porto Nacional</v>
      </c>
      <c r="B385" s="33" t="str">
        <f ca="1">IFERROR(__xludf.DUMMYFUNCTION("""COMPUTED_VALUE"""),"Porto Nacional")</f>
        <v>Porto Nacional</v>
      </c>
      <c r="C385" s="34" t="str">
        <f ca="1">IFERROR(__xludf.DUMMYFUNCTION("""COMPUTED_VALUE"""),"A.A.  A ESCOLA D. PEDRO II")</f>
        <v>A.A.  A ESCOLA D. PEDRO II</v>
      </c>
      <c r="D385" s="35" t="str">
        <f ca="1">IFERROR(__xludf.DUMMYFUNCTION("""COMPUTED_VALUE"""),"01133697000131")</f>
        <v>01133697000131</v>
      </c>
      <c r="E385" s="36" t="str">
        <f ca="1">IFERROR(__xludf.DUMMYFUNCTION("""COMPUTED_VALUE"""),"001")</f>
        <v>001</v>
      </c>
      <c r="F385" s="37" t="str">
        <f ca="1">IFERROR(__xludf.DUMMYFUNCTION("""COMPUTED_VALUE"""),"1117")</f>
        <v>1117</v>
      </c>
      <c r="G385" s="37" t="str">
        <f ca="1">IFERROR(__xludf.DUMMYFUNCTION("""COMPUTED_VALUE"""),"0313092")</f>
        <v>0313092</v>
      </c>
      <c r="H385" s="37">
        <f ca="1">IFERROR(__xludf.DUMMYFUNCTION("""COMPUTED_VALUE"""),0)</f>
        <v>0</v>
      </c>
      <c r="I385" s="37">
        <f ca="1">IFERROR(__xludf.DUMMYFUNCTION("""COMPUTED_VALUE"""),0)</f>
        <v>0</v>
      </c>
      <c r="J385" s="37">
        <f ca="1">IFERROR(__xludf.DUMMYFUNCTION("""COMPUTED_VALUE"""),0)</f>
        <v>0</v>
      </c>
      <c r="K385" s="37">
        <f ca="1">IFERROR(__xludf.DUMMYFUNCTION("""COMPUTED_VALUE"""),10819.2)</f>
        <v>10819.2</v>
      </c>
      <c r="L385" s="37">
        <f ca="1">IFERROR(__xludf.DUMMYFUNCTION("""COMPUTED_VALUE"""),0)</f>
        <v>0</v>
      </c>
      <c r="M385" s="37">
        <f ca="1">IFERROR(__xludf.DUMMYFUNCTION("""COMPUTED_VALUE"""),0)</f>
        <v>0</v>
      </c>
      <c r="N385" s="37">
        <f ca="1">IFERROR(__xludf.DUMMYFUNCTION("""COMPUTED_VALUE"""),0)</f>
        <v>0</v>
      </c>
      <c r="O385" s="37">
        <f ca="1">IFERROR(__xludf.DUMMYFUNCTION("""COMPUTED_VALUE"""),0)</f>
        <v>0</v>
      </c>
      <c r="P385" s="37">
        <f ca="1">IFERROR(__xludf.DUMMYFUNCTION("""COMPUTED_VALUE"""),336)</f>
        <v>336</v>
      </c>
      <c r="Q385" s="37">
        <f ca="1">IFERROR(__xludf.DUMMYFUNCTION("""COMPUTED_VALUE"""),0)</f>
        <v>0</v>
      </c>
      <c r="R385" s="37">
        <f ca="1">IFERROR(__xludf.DUMMYFUNCTION("""COMPUTED_VALUE"""),0)</f>
        <v>0</v>
      </c>
      <c r="S385" s="37">
        <f ca="1">IFERROR(__xludf.DUMMYFUNCTION("""COMPUTED_VALUE"""),0)</f>
        <v>0</v>
      </c>
      <c r="T385" s="37">
        <f ca="1">IFERROR(__xludf.DUMMYFUNCTION("""COMPUTED_VALUE"""),0)</f>
        <v>0</v>
      </c>
      <c r="U385" s="37">
        <f ca="1">IFERROR(__xludf.DUMMYFUNCTION("""COMPUTED_VALUE"""),0)</f>
        <v>0</v>
      </c>
      <c r="V385" s="37">
        <f ca="1">IFERROR(__xludf.DUMMYFUNCTION("""COMPUTED_VALUE"""),0)</f>
        <v>0</v>
      </c>
      <c r="W385" s="37">
        <f ca="1">IFERROR(__xludf.DUMMYFUNCTION("""COMPUTED_VALUE"""),0)</f>
        <v>0</v>
      </c>
      <c r="X385" s="37">
        <f ca="1">IFERROR(__xludf.DUMMYFUNCTION("""COMPUTED_VALUE"""),0)</f>
        <v>0</v>
      </c>
      <c r="Y385" s="37">
        <f ca="1">IFERROR(__xludf.DUMMYFUNCTION("""COMPUTED_VALUE"""),0)</f>
        <v>0</v>
      </c>
      <c r="Z385" s="37">
        <f ca="1">IFERROR(__xludf.DUMMYFUNCTION("""COMPUTED_VALUE"""),898.199999999999)</f>
        <v>898.19999999999902</v>
      </c>
    </row>
    <row r="386" spans="1:26" ht="12.75">
      <c r="A386" s="38" t="str">
        <f ca="1">IFERROR(__xludf.DUMMYFUNCTION("""COMPUTED_VALUE"""),"Porto Nacional")</f>
        <v>Porto Nacional</v>
      </c>
      <c r="B386" s="38" t="str">
        <f ca="1">IFERROR(__xludf.DUMMYFUNCTION("""COMPUTED_VALUE"""),"Porto Nacional")</f>
        <v>Porto Nacional</v>
      </c>
      <c r="C386" s="39" t="str">
        <f ca="1">IFERROR(__xludf.DUMMYFUNCTION("""COMPUTED_VALUE"""),"A.A. ESCOLA ESTADUAL IRMA ASPASIA")</f>
        <v>A.A. ESCOLA ESTADUAL IRMA ASPASIA</v>
      </c>
      <c r="D386" s="40" t="str">
        <f ca="1">IFERROR(__xludf.DUMMYFUNCTION("""COMPUTED_VALUE"""),"01136022000146")</f>
        <v>01136022000146</v>
      </c>
      <c r="E386" s="41" t="str">
        <f ca="1">IFERROR(__xludf.DUMMYFUNCTION("""COMPUTED_VALUE"""),"104")</f>
        <v>104</v>
      </c>
      <c r="F386" s="42" t="str">
        <f ca="1">IFERROR(__xludf.DUMMYFUNCTION("""COMPUTED_VALUE"""),"1829")</f>
        <v>1829</v>
      </c>
      <c r="G386" s="42" t="str">
        <f ca="1">IFERROR(__xludf.DUMMYFUNCTION("""COMPUTED_VALUE"""),"307453")</f>
        <v>307453</v>
      </c>
      <c r="H386" s="42">
        <f ca="1">IFERROR(__xludf.DUMMYFUNCTION("""COMPUTED_VALUE"""),0)</f>
        <v>0</v>
      </c>
      <c r="I386" s="42">
        <f ca="1">IFERROR(__xludf.DUMMYFUNCTION("""COMPUTED_VALUE"""),0)</f>
        <v>0</v>
      </c>
      <c r="J386" s="42">
        <f ca="1">IFERROR(__xludf.DUMMYFUNCTION("""COMPUTED_VALUE"""),2856)</f>
        <v>2856</v>
      </c>
      <c r="K386" s="42">
        <f ca="1">IFERROR(__xludf.DUMMYFUNCTION("""COMPUTED_VALUE"""),0)</f>
        <v>0</v>
      </c>
      <c r="L386" s="42">
        <f ca="1">IFERROR(__xludf.DUMMYFUNCTION("""COMPUTED_VALUE"""),0)</f>
        <v>0</v>
      </c>
      <c r="M386" s="42">
        <f ca="1">IFERROR(__xludf.DUMMYFUNCTION("""COMPUTED_VALUE"""),0)</f>
        <v>0</v>
      </c>
      <c r="N386" s="42">
        <f ca="1">IFERROR(__xludf.DUMMYFUNCTION("""COMPUTED_VALUE"""),0)</f>
        <v>0</v>
      </c>
      <c r="O386" s="42">
        <f ca="1">IFERROR(__xludf.DUMMYFUNCTION("""COMPUTED_VALUE"""),0)</f>
        <v>0</v>
      </c>
      <c r="P386" s="42">
        <f ca="1">IFERROR(__xludf.DUMMYFUNCTION("""COMPUTED_VALUE"""),315)</f>
        <v>315</v>
      </c>
      <c r="Q386" s="42">
        <f ca="1">IFERROR(__xludf.DUMMYFUNCTION("""COMPUTED_VALUE"""),4410)</f>
        <v>4410</v>
      </c>
      <c r="R386" s="42">
        <f ca="1">IFERROR(__xludf.DUMMYFUNCTION("""COMPUTED_VALUE"""),0)</f>
        <v>0</v>
      </c>
      <c r="S386" s="42">
        <f ca="1">IFERROR(__xludf.DUMMYFUNCTION("""COMPUTED_VALUE"""),0)</f>
        <v>0</v>
      </c>
      <c r="T386" s="42">
        <f ca="1">IFERROR(__xludf.DUMMYFUNCTION("""COMPUTED_VALUE"""),0)</f>
        <v>0</v>
      </c>
      <c r="U386" s="42">
        <f ca="1">IFERROR(__xludf.DUMMYFUNCTION("""COMPUTED_VALUE"""),0)</f>
        <v>0</v>
      </c>
      <c r="V386" s="42">
        <f ca="1">IFERROR(__xludf.DUMMYFUNCTION("""COMPUTED_VALUE"""),0)</f>
        <v>0</v>
      </c>
      <c r="W386" s="42">
        <f ca="1">IFERROR(__xludf.DUMMYFUNCTION("""COMPUTED_VALUE"""),0)</f>
        <v>0</v>
      </c>
      <c r="X386" s="42">
        <f ca="1">IFERROR(__xludf.DUMMYFUNCTION("""COMPUTED_VALUE"""),0)</f>
        <v>0</v>
      </c>
      <c r="Y386" s="42">
        <f ca="1">IFERROR(__xludf.DUMMYFUNCTION("""COMPUTED_VALUE"""),0)</f>
        <v>0</v>
      </c>
      <c r="Z386" s="42">
        <f ca="1">IFERROR(__xludf.DUMMYFUNCTION("""COMPUTED_VALUE"""),0)</f>
        <v>0</v>
      </c>
    </row>
    <row r="387" spans="1:26" ht="12.75">
      <c r="A387" s="33" t="str">
        <f ca="1">IFERROR(__xludf.DUMMYFUNCTION("""COMPUTED_VALUE"""),"Porto Nacional")</f>
        <v>Porto Nacional</v>
      </c>
      <c r="B387" s="33" t="str">
        <f ca="1">IFERROR(__xludf.DUMMYFUNCTION("""COMPUTED_VALUE"""),"Porto Nacional")</f>
        <v>Porto Nacional</v>
      </c>
      <c r="C387" s="34" t="str">
        <f ca="1">IFERROR(__xludf.DUMMYFUNCTION("""COMPUTED_VALUE"""),"A.A. DA ESC. EST. ALCIDES RODRIGUES AIRES")</f>
        <v>A.A. DA ESC. EST. ALCIDES RODRIGUES AIRES</v>
      </c>
      <c r="D387" s="35" t="str">
        <f ca="1">IFERROR(__xludf.DUMMYFUNCTION("""COMPUTED_VALUE"""),"03495455000113")</f>
        <v>03495455000113</v>
      </c>
      <c r="E387" s="36" t="str">
        <f ca="1">IFERROR(__xludf.DUMMYFUNCTION("""COMPUTED_VALUE"""),"001")</f>
        <v>001</v>
      </c>
      <c r="F387" s="37" t="str">
        <f ca="1">IFERROR(__xludf.DUMMYFUNCTION("""COMPUTED_VALUE"""),"1117")</f>
        <v>1117</v>
      </c>
      <c r="G387" s="37" t="str">
        <f ca="1">IFERROR(__xludf.DUMMYFUNCTION("""COMPUTED_VALUE"""),"77143")</f>
        <v>77143</v>
      </c>
      <c r="H387" s="37">
        <f ca="1">IFERROR(__xludf.DUMMYFUNCTION("""COMPUTED_VALUE"""),0)</f>
        <v>0</v>
      </c>
      <c r="I387" s="37">
        <f ca="1">IFERROR(__xludf.DUMMYFUNCTION("""COMPUTED_VALUE"""),0)</f>
        <v>0</v>
      </c>
      <c r="J387" s="37">
        <f ca="1">IFERROR(__xludf.DUMMYFUNCTION("""COMPUTED_VALUE"""),7749)</f>
        <v>7749</v>
      </c>
      <c r="K387" s="37">
        <f ca="1">IFERROR(__xludf.DUMMYFUNCTION("""COMPUTED_VALUE"""),0)</f>
        <v>0</v>
      </c>
      <c r="L387" s="37">
        <f ca="1">IFERROR(__xludf.DUMMYFUNCTION("""COMPUTED_VALUE"""),0)</f>
        <v>0</v>
      </c>
      <c r="M387" s="37">
        <f ca="1">IFERROR(__xludf.DUMMYFUNCTION("""COMPUTED_VALUE"""),0)</f>
        <v>0</v>
      </c>
      <c r="N387" s="37">
        <f ca="1">IFERROR(__xludf.DUMMYFUNCTION("""COMPUTED_VALUE"""),0)</f>
        <v>0</v>
      </c>
      <c r="O387" s="37">
        <f ca="1">IFERROR(__xludf.DUMMYFUNCTION("""COMPUTED_VALUE"""),0)</f>
        <v>0</v>
      </c>
      <c r="P387" s="37">
        <f ca="1">IFERROR(__xludf.DUMMYFUNCTION("""COMPUTED_VALUE"""),483)</f>
        <v>483</v>
      </c>
      <c r="Q387" s="37">
        <f ca="1">IFERROR(__xludf.DUMMYFUNCTION("""COMPUTED_VALUE"""),0)</f>
        <v>0</v>
      </c>
      <c r="R387" s="37">
        <f ca="1">IFERROR(__xludf.DUMMYFUNCTION("""COMPUTED_VALUE"""),0)</f>
        <v>0</v>
      </c>
      <c r="S387" s="37">
        <f ca="1">IFERROR(__xludf.DUMMYFUNCTION("""COMPUTED_VALUE"""),0)</f>
        <v>0</v>
      </c>
      <c r="T387" s="37">
        <f ca="1">IFERROR(__xludf.DUMMYFUNCTION("""COMPUTED_VALUE"""),924)</f>
        <v>924</v>
      </c>
      <c r="U387" s="37">
        <f ca="1">IFERROR(__xludf.DUMMYFUNCTION("""COMPUTED_VALUE"""),0)</f>
        <v>0</v>
      </c>
      <c r="V387" s="37">
        <f ca="1">IFERROR(__xludf.DUMMYFUNCTION("""COMPUTED_VALUE"""),0)</f>
        <v>0</v>
      </c>
      <c r="W387" s="37">
        <f ca="1">IFERROR(__xludf.DUMMYFUNCTION("""COMPUTED_VALUE"""),0)</f>
        <v>0</v>
      </c>
      <c r="X387" s="37">
        <f ca="1">IFERROR(__xludf.DUMMYFUNCTION("""COMPUTED_VALUE"""),0)</f>
        <v>0</v>
      </c>
      <c r="Y387" s="37">
        <f ca="1">IFERROR(__xludf.DUMMYFUNCTION("""COMPUTED_VALUE"""),0)</f>
        <v>0</v>
      </c>
      <c r="Z387" s="37">
        <f ca="1">IFERROR(__xludf.DUMMYFUNCTION("""COMPUTED_VALUE"""),0)</f>
        <v>0</v>
      </c>
    </row>
    <row r="388" spans="1:26" ht="12.75">
      <c r="A388" s="38" t="str">
        <f ca="1">IFERROR(__xludf.DUMMYFUNCTION("""COMPUTED_VALUE"""),"Porto Nacional")</f>
        <v>Porto Nacional</v>
      </c>
      <c r="B388" s="38" t="str">
        <f ca="1">IFERROR(__xludf.DUMMYFUNCTION("""COMPUTED_VALUE"""),"Porto Nacional")</f>
        <v>Porto Nacional</v>
      </c>
      <c r="C388" s="39" t="str">
        <f ca="1">IFERROR(__xludf.DUMMYFUNCTION("""COMPUTED_VALUE"""),"A.A. E. E. PROFA. CARMENIA MATOS MAIA")</f>
        <v>A.A. E. E. PROFA. CARMENIA MATOS MAIA</v>
      </c>
      <c r="D388" s="40" t="str">
        <f ca="1">IFERROR(__xludf.DUMMYFUNCTION("""COMPUTED_VALUE"""),"01118897000115")</f>
        <v>01118897000115</v>
      </c>
      <c r="E388" s="41" t="str">
        <f ca="1">IFERROR(__xludf.DUMMYFUNCTION("""COMPUTED_VALUE"""),"104")</f>
        <v>104</v>
      </c>
      <c r="F388" s="42" t="str">
        <f ca="1">IFERROR(__xludf.DUMMYFUNCTION("""COMPUTED_VALUE"""),"1829")</f>
        <v>1829</v>
      </c>
      <c r="G388" s="42" t="str">
        <f ca="1">IFERROR(__xludf.DUMMYFUNCTION("""COMPUTED_VALUE"""),"307399")</f>
        <v>307399</v>
      </c>
      <c r="H388" s="42">
        <f ca="1">IFERROR(__xludf.DUMMYFUNCTION("""COMPUTED_VALUE"""),0)</f>
        <v>0</v>
      </c>
      <c r="I388" s="42">
        <f ca="1">IFERROR(__xludf.DUMMYFUNCTION("""COMPUTED_VALUE"""),0)</f>
        <v>0</v>
      </c>
      <c r="J388" s="42">
        <f ca="1">IFERROR(__xludf.DUMMYFUNCTION("""COMPUTED_VALUE"""),9366)</f>
        <v>9366</v>
      </c>
      <c r="K388" s="42">
        <f ca="1">IFERROR(__xludf.DUMMYFUNCTION("""COMPUTED_VALUE"""),0)</f>
        <v>0</v>
      </c>
      <c r="L388" s="42">
        <f ca="1">IFERROR(__xludf.DUMMYFUNCTION("""COMPUTED_VALUE"""),0)</f>
        <v>0</v>
      </c>
      <c r="M388" s="42">
        <f ca="1">IFERROR(__xludf.DUMMYFUNCTION("""COMPUTED_VALUE"""),0)</f>
        <v>0</v>
      </c>
      <c r="N388" s="42">
        <f ca="1">IFERROR(__xludf.DUMMYFUNCTION("""COMPUTED_VALUE"""),0)</f>
        <v>0</v>
      </c>
      <c r="O388" s="42">
        <f ca="1">IFERROR(__xludf.DUMMYFUNCTION("""COMPUTED_VALUE"""),0)</f>
        <v>0</v>
      </c>
      <c r="P388" s="42">
        <f ca="1">IFERROR(__xludf.DUMMYFUNCTION("""COMPUTED_VALUE"""),630)</f>
        <v>630</v>
      </c>
      <c r="Q388" s="42">
        <f ca="1">IFERROR(__xludf.DUMMYFUNCTION("""COMPUTED_VALUE"""),3654)</f>
        <v>3654</v>
      </c>
      <c r="R388" s="42">
        <f ca="1">IFERROR(__xludf.DUMMYFUNCTION("""COMPUTED_VALUE"""),0)</f>
        <v>0</v>
      </c>
      <c r="S388" s="42">
        <f ca="1">IFERROR(__xludf.DUMMYFUNCTION("""COMPUTED_VALUE"""),0)</f>
        <v>0</v>
      </c>
      <c r="T388" s="42">
        <f ca="1">IFERROR(__xludf.DUMMYFUNCTION("""COMPUTED_VALUE"""),0)</f>
        <v>0</v>
      </c>
      <c r="U388" s="42">
        <f ca="1">IFERROR(__xludf.DUMMYFUNCTION("""COMPUTED_VALUE"""),0)</f>
        <v>0</v>
      </c>
      <c r="V388" s="42">
        <f ca="1">IFERROR(__xludf.DUMMYFUNCTION("""COMPUTED_VALUE"""),0)</f>
        <v>0</v>
      </c>
      <c r="W388" s="42">
        <f ca="1">IFERROR(__xludf.DUMMYFUNCTION("""COMPUTED_VALUE"""),0)</f>
        <v>0</v>
      </c>
      <c r="X388" s="42">
        <f ca="1">IFERROR(__xludf.DUMMYFUNCTION("""COMPUTED_VALUE"""),0)</f>
        <v>0</v>
      </c>
      <c r="Y388" s="42">
        <f ca="1">IFERROR(__xludf.DUMMYFUNCTION("""COMPUTED_VALUE"""),0)</f>
        <v>0</v>
      </c>
      <c r="Z388" s="42">
        <f ca="1">IFERROR(__xludf.DUMMYFUNCTION("""COMPUTED_VALUE"""),0)</f>
        <v>0</v>
      </c>
    </row>
    <row r="389" spans="1:26" ht="12.75">
      <c r="A389" s="33" t="str">
        <f ca="1">IFERROR(__xludf.DUMMYFUNCTION("""COMPUTED_VALUE"""),"Porto Nacional")</f>
        <v>Porto Nacional</v>
      </c>
      <c r="B389" s="33" t="str">
        <f ca="1">IFERROR(__xludf.DUMMYFUNCTION("""COMPUTED_VALUE"""),"Santa Rita do Tocantins")</f>
        <v>Santa Rita do Tocantins</v>
      </c>
      <c r="C389" s="34" t="str">
        <f ca="1">IFERROR(__xludf.DUMMYFUNCTION("""COMPUTED_VALUE"""),"ASS. COM.DE AP.ESC. EST. DE 1 GRAU BOA NOVA")</f>
        <v>ASS. COM.DE AP.ESC. EST. DE 1 GRAU BOA NOVA</v>
      </c>
      <c r="D389" s="35" t="str">
        <f ca="1">IFERROR(__xludf.DUMMYFUNCTION("""COMPUTED_VALUE"""),"01856561000150")</f>
        <v>01856561000150</v>
      </c>
      <c r="E389" s="36" t="str">
        <f ca="1">IFERROR(__xludf.DUMMYFUNCTION("""COMPUTED_VALUE"""),"001")</f>
        <v>001</v>
      </c>
      <c r="F389" s="37" t="str">
        <f ca="1">IFERROR(__xludf.DUMMYFUNCTION("""COMPUTED_VALUE"""),"4107")</f>
        <v>4107</v>
      </c>
      <c r="G389" s="37" t="str">
        <f ca="1">IFERROR(__xludf.DUMMYFUNCTION("""COMPUTED_VALUE"""),"320722")</f>
        <v>320722</v>
      </c>
      <c r="H389" s="37">
        <f ca="1">IFERROR(__xludf.DUMMYFUNCTION("""COMPUTED_VALUE"""),0)</f>
        <v>0</v>
      </c>
      <c r="I389" s="37">
        <f ca="1">IFERROR(__xludf.DUMMYFUNCTION("""COMPUTED_VALUE"""),0)</f>
        <v>0</v>
      </c>
      <c r="J389" s="37">
        <f ca="1">IFERROR(__xludf.DUMMYFUNCTION("""COMPUTED_VALUE"""),1785)</f>
        <v>1785</v>
      </c>
      <c r="K389" s="37">
        <f ca="1">IFERROR(__xludf.DUMMYFUNCTION("""COMPUTED_VALUE"""),0)</f>
        <v>0</v>
      </c>
      <c r="L389" s="37">
        <f ca="1">IFERROR(__xludf.DUMMYFUNCTION("""COMPUTED_VALUE"""),0)</f>
        <v>0</v>
      </c>
      <c r="M389" s="37">
        <f ca="1">IFERROR(__xludf.DUMMYFUNCTION("""COMPUTED_VALUE"""),0)</f>
        <v>0</v>
      </c>
      <c r="N389" s="37">
        <f ca="1">IFERROR(__xludf.DUMMYFUNCTION("""COMPUTED_VALUE"""),0)</f>
        <v>0</v>
      </c>
      <c r="O389" s="37">
        <f ca="1">IFERROR(__xludf.DUMMYFUNCTION("""COMPUTED_VALUE"""),0)</f>
        <v>0</v>
      </c>
      <c r="P389" s="37">
        <f ca="1">IFERROR(__xludf.DUMMYFUNCTION("""COMPUTED_VALUE"""),0)</f>
        <v>0</v>
      </c>
      <c r="Q389" s="37">
        <f ca="1">IFERROR(__xludf.DUMMYFUNCTION("""COMPUTED_VALUE"""),1827)</f>
        <v>1827</v>
      </c>
      <c r="R389" s="37">
        <f ca="1">IFERROR(__xludf.DUMMYFUNCTION("""COMPUTED_VALUE"""),0)</f>
        <v>0</v>
      </c>
      <c r="S389" s="37">
        <f ca="1">IFERROR(__xludf.DUMMYFUNCTION("""COMPUTED_VALUE"""),0)</f>
        <v>0</v>
      </c>
      <c r="T389" s="37">
        <f ca="1">IFERROR(__xludf.DUMMYFUNCTION("""COMPUTED_VALUE"""),0)</f>
        <v>0</v>
      </c>
      <c r="U389" s="37">
        <f ca="1">IFERROR(__xludf.DUMMYFUNCTION("""COMPUTED_VALUE"""),0)</f>
        <v>0</v>
      </c>
      <c r="V389" s="37">
        <f ca="1">IFERROR(__xludf.DUMMYFUNCTION("""COMPUTED_VALUE"""),0)</f>
        <v>0</v>
      </c>
      <c r="W389" s="37">
        <f ca="1">IFERROR(__xludf.DUMMYFUNCTION("""COMPUTED_VALUE"""),0)</f>
        <v>0</v>
      </c>
      <c r="X389" s="37">
        <f ca="1">IFERROR(__xludf.DUMMYFUNCTION("""COMPUTED_VALUE"""),0)</f>
        <v>0</v>
      </c>
      <c r="Y389" s="37">
        <f ca="1">IFERROR(__xludf.DUMMYFUNCTION("""COMPUTED_VALUE"""),0)</f>
        <v>0</v>
      </c>
      <c r="Z389" s="37">
        <f ca="1">IFERROR(__xludf.DUMMYFUNCTION("""COMPUTED_VALUE"""),0)</f>
        <v>0</v>
      </c>
    </row>
    <row r="390" spans="1:26" ht="12.75">
      <c r="A390" s="38" t="str">
        <f ca="1">IFERROR(__xludf.DUMMYFUNCTION("""COMPUTED_VALUE"""),"Porto Nacional")</f>
        <v>Porto Nacional</v>
      </c>
      <c r="B390" s="38" t="str">
        <f ca="1">IFERROR(__xludf.DUMMYFUNCTION("""COMPUTED_VALUE"""),"Santa Rosa do Tocantins")</f>
        <v>Santa Rosa do Tocantins</v>
      </c>
      <c r="C390" s="39" t="str">
        <f ca="1">IFERROR(__xludf.DUMMYFUNCTION("""COMPUTED_VALUE"""),"A.A. E. E.PROF.ZACHARIAS NUNES DA SILVEIRA")</f>
        <v>A.A. E. E.PROF.ZACHARIAS NUNES DA SILVEIRA</v>
      </c>
      <c r="D390" s="40" t="str">
        <f ca="1">IFERROR(__xludf.DUMMYFUNCTION("""COMPUTED_VALUE"""),"01066420000133")</f>
        <v>01066420000133</v>
      </c>
      <c r="E390" s="41" t="str">
        <f ca="1">IFERROR(__xludf.DUMMYFUNCTION("""COMPUTED_VALUE"""),"104")</f>
        <v>104</v>
      </c>
      <c r="F390" s="42" t="str">
        <f ca="1">IFERROR(__xludf.DUMMYFUNCTION("""COMPUTED_VALUE"""),"1829")</f>
        <v>1829</v>
      </c>
      <c r="G390" s="42" t="str">
        <f ca="1">IFERROR(__xludf.DUMMYFUNCTION("""COMPUTED_VALUE"""),"0307461")</f>
        <v>0307461</v>
      </c>
      <c r="H390" s="42">
        <f ca="1">IFERROR(__xludf.DUMMYFUNCTION("""COMPUTED_VALUE"""),0)</f>
        <v>0</v>
      </c>
      <c r="I390" s="42">
        <f ca="1">IFERROR(__xludf.DUMMYFUNCTION("""COMPUTED_VALUE"""),0)</f>
        <v>0</v>
      </c>
      <c r="J390" s="42">
        <f ca="1">IFERROR(__xludf.DUMMYFUNCTION("""COMPUTED_VALUE"""),3297)</f>
        <v>3297</v>
      </c>
      <c r="K390" s="42">
        <f ca="1">IFERROR(__xludf.DUMMYFUNCTION("""COMPUTED_VALUE"""),0)</f>
        <v>0</v>
      </c>
      <c r="L390" s="42">
        <f ca="1">IFERROR(__xludf.DUMMYFUNCTION("""COMPUTED_VALUE"""),0)</f>
        <v>0</v>
      </c>
      <c r="M390" s="42">
        <f ca="1">IFERROR(__xludf.DUMMYFUNCTION("""COMPUTED_VALUE"""),0)</f>
        <v>0</v>
      </c>
      <c r="N390" s="42">
        <f ca="1">IFERROR(__xludf.DUMMYFUNCTION("""COMPUTED_VALUE"""),0)</f>
        <v>0</v>
      </c>
      <c r="O390" s="42">
        <f ca="1">IFERROR(__xludf.DUMMYFUNCTION("""COMPUTED_VALUE"""),0)</f>
        <v>0</v>
      </c>
      <c r="P390" s="42">
        <f ca="1">IFERROR(__xludf.DUMMYFUNCTION("""COMPUTED_VALUE"""),231)</f>
        <v>231</v>
      </c>
      <c r="Q390" s="42">
        <f ca="1">IFERROR(__xludf.DUMMYFUNCTION("""COMPUTED_VALUE"""),0)</f>
        <v>0</v>
      </c>
      <c r="R390" s="42">
        <f ca="1">IFERROR(__xludf.DUMMYFUNCTION("""COMPUTED_VALUE"""),0)</f>
        <v>0</v>
      </c>
      <c r="S390" s="42">
        <f ca="1">IFERROR(__xludf.DUMMYFUNCTION("""COMPUTED_VALUE"""),0)</f>
        <v>0</v>
      </c>
      <c r="T390" s="42">
        <f ca="1">IFERROR(__xludf.DUMMYFUNCTION("""COMPUTED_VALUE"""),0)</f>
        <v>0</v>
      </c>
      <c r="U390" s="42">
        <f ca="1">IFERROR(__xludf.DUMMYFUNCTION("""COMPUTED_VALUE"""),0)</f>
        <v>0</v>
      </c>
      <c r="V390" s="42">
        <f ca="1">IFERROR(__xludf.DUMMYFUNCTION("""COMPUTED_VALUE"""),0)</f>
        <v>0</v>
      </c>
      <c r="W390" s="42">
        <f ca="1">IFERROR(__xludf.DUMMYFUNCTION("""COMPUTED_VALUE"""),0)</f>
        <v>0</v>
      </c>
      <c r="X390" s="42">
        <f ca="1">IFERROR(__xludf.DUMMYFUNCTION("""COMPUTED_VALUE"""),0)</f>
        <v>0</v>
      </c>
      <c r="Y390" s="42">
        <f ca="1">IFERROR(__xludf.DUMMYFUNCTION("""COMPUTED_VALUE"""),0)</f>
        <v>0</v>
      </c>
      <c r="Z390" s="42">
        <f ca="1">IFERROR(__xludf.DUMMYFUNCTION("""COMPUTED_VALUE"""),0)</f>
        <v>0</v>
      </c>
    </row>
    <row r="391" spans="1:26" ht="12.75">
      <c r="A391" s="33" t="str">
        <f ca="1">IFERROR(__xludf.DUMMYFUNCTION("""COMPUTED_VALUE"""),"Porto Nacional")</f>
        <v>Porto Nacional</v>
      </c>
      <c r="B391" s="33" t="str">
        <f ca="1">IFERROR(__xludf.DUMMYFUNCTION("""COMPUTED_VALUE"""),"Santa Rosa do Tocantins")</f>
        <v>Santa Rosa do Tocantins</v>
      </c>
      <c r="C391" s="34" t="str">
        <f ca="1">IFERROR(__xludf.DUMMYFUNCTION("""COMPUTED_VALUE"""),"A.A. E. E. TENENTE SALVADOR RIBEIRO")</f>
        <v>A.A. E. E. TENENTE SALVADOR RIBEIRO</v>
      </c>
      <c r="D391" s="35" t="str">
        <f ca="1">IFERROR(__xludf.DUMMYFUNCTION("""COMPUTED_VALUE"""),"01066424000111")</f>
        <v>01066424000111</v>
      </c>
      <c r="E391" s="36" t="str">
        <f ca="1">IFERROR(__xludf.DUMMYFUNCTION("""COMPUTED_VALUE"""),"001")</f>
        <v>001</v>
      </c>
      <c r="F391" s="37" t="str">
        <f ca="1">IFERROR(__xludf.DUMMYFUNCTION("""COMPUTED_VALUE"""),"1117")</f>
        <v>1117</v>
      </c>
      <c r="G391" s="37" t="str">
        <f ca="1">IFERROR(__xludf.DUMMYFUNCTION("""COMPUTED_VALUE"""),"332623")</f>
        <v>332623</v>
      </c>
      <c r="H391" s="37">
        <f ca="1">IFERROR(__xludf.DUMMYFUNCTION("""COMPUTED_VALUE"""),0)</f>
        <v>0</v>
      </c>
      <c r="I391" s="37">
        <f ca="1">IFERROR(__xludf.DUMMYFUNCTION("""COMPUTED_VALUE"""),0)</f>
        <v>0</v>
      </c>
      <c r="J391" s="37">
        <f ca="1">IFERROR(__xludf.DUMMYFUNCTION("""COMPUTED_VALUE"""),525)</f>
        <v>525</v>
      </c>
      <c r="K391" s="37">
        <f ca="1">IFERROR(__xludf.DUMMYFUNCTION("""COMPUTED_VALUE"""),0)</f>
        <v>0</v>
      </c>
      <c r="L391" s="37">
        <f ca="1">IFERROR(__xludf.DUMMYFUNCTION("""COMPUTED_VALUE"""),0)</f>
        <v>0</v>
      </c>
      <c r="M391" s="37">
        <f ca="1">IFERROR(__xludf.DUMMYFUNCTION("""COMPUTED_VALUE"""),0)</f>
        <v>0</v>
      </c>
      <c r="N391" s="37">
        <f ca="1">IFERROR(__xludf.DUMMYFUNCTION("""COMPUTED_VALUE"""),0)</f>
        <v>0</v>
      </c>
      <c r="O391" s="37">
        <f ca="1">IFERROR(__xludf.DUMMYFUNCTION("""COMPUTED_VALUE"""),0)</f>
        <v>0</v>
      </c>
      <c r="P391" s="37">
        <f ca="1">IFERROR(__xludf.DUMMYFUNCTION("""COMPUTED_VALUE"""),0)</f>
        <v>0</v>
      </c>
      <c r="Q391" s="37">
        <f ca="1">IFERROR(__xludf.DUMMYFUNCTION("""COMPUTED_VALUE"""),3801)</f>
        <v>3801</v>
      </c>
      <c r="R391" s="37">
        <f ca="1">IFERROR(__xludf.DUMMYFUNCTION("""COMPUTED_VALUE"""),0)</f>
        <v>0</v>
      </c>
      <c r="S391" s="37">
        <f ca="1">IFERROR(__xludf.DUMMYFUNCTION("""COMPUTED_VALUE"""),0)</f>
        <v>0</v>
      </c>
      <c r="T391" s="37">
        <f ca="1">IFERROR(__xludf.DUMMYFUNCTION("""COMPUTED_VALUE"""),294)</f>
        <v>294</v>
      </c>
      <c r="U391" s="37">
        <f ca="1">IFERROR(__xludf.DUMMYFUNCTION("""COMPUTED_VALUE"""),0)</f>
        <v>0</v>
      </c>
      <c r="V391" s="37">
        <f ca="1">IFERROR(__xludf.DUMMYFUNCTION("""COMPUTED_VALUE"""),0)</f>
        <v>0</v>
      </c>
      <c r="W391" s="37">
        <f ca="1">IFERROR(__xludf.DUMMYFUNCTION("""COMPUTED_VALUE"""),0)</f>
        <v>0</v>
      </c>
      <c r="X391" s="37">
        <f ca="1">IFERROR(__xludf.DUMMYFUNCTION("""COMPUTED_VALUE"""),0)</f>
        <v>0</v>
      </c>
      <c r="Y391" s="37">
        <f ca="1">IFERROR(__xludf.DUMMYFUNCTION("""COMPUTED_VALUE"""),0)</f>
        <v>0</v>
      </c>
      <c r="Z391" s="37">
        <f ca="1">IFERROR(__xludf.DUMMYFUNCTION("""COMPUTED_VALUE"""),0)</f>
        <v>0</v>
      </c>
    </row>
    <row r="392" spans="1:26" ht="12.75">
      <c r="A392" s="38" t="str">
        <f ca="1">IFERROR(__xludf.DUMMYFUNCTION("""COMPUTED_VALUE"""),"Porto Nacional")</f>
        <v>Porto Nacional</v>
      </c>
      <c r="B392" s="38" t="str">
        <f ca="1">IFERROR(__xludf.DUMMYFUNCTION("""COMPUTED_VALUE"""),"Silvanopolis")</f>
        <v>Silvanopolis</v>
      </c>
      <c r="C392" s="39" t="str">
        <f ca="1">IFERROR(__xludf.DUMMYFUNCTION("""COMPUTED_VALUE"""),"A.A. DA ESC. EST. JOAO DA SILVA GUIMARAES")</f>
        <v>A.A. DA ESC. EST. JOAO DA SILVA GUIMARAES</v>
      </c>
      <c r="D392" s="40" t="str">
        <f ca="1">IFERROR(__xludf.DUMMYFUNCTION("""COMPUTED_VALUE"""),"01557779000103")</f>
        <v>01557779000103</v>
      </c>
      <c r="E392" s="41" t="str">
        <f ca="1">IFERROR(__xludf.DUMMYFUNCTION("""COMPUTED_VALUE"""),"001")</f>
        <v>001</v>
      </c>
      <c r="F392" s="42" t="str">
        <f ca="1">IFERROR(__xludf.DUMMYFUNCTION("""COMPUTED_VALUE"""),"3980")</f>
        <v>3980</v>
      </c>
      <c r="G392" s="42" t="str">
        <f ca="1">IFERROR(__xludf.DUMMYFUNCTION("""COMPUTED_VALUE"""),"51292")</f>
        <v>51292</v>
      </c>
      <c r="H392" s="42">
        <f ca="1">IFERROR(__xludf.DUMMYFUNCTION("""COMPUTED_VALUE"""),0)</f>
        <v>0</v>
      </c>
      <c r="I392" s="42">
        <f ca="1">IFERROR(__xludf.DUMMYFUNCTION("""COMPUTED_VALUE"""),0)</f>
        <v>0</v>
      </c>
      <c r="J392" s="42">
        <f ca="1">IFERROR(__xludf.DUMMYFUNCTION("""COMPUTED_VALUE"""),6699)</f>
        <v>6699</v>
      </c>
      <c r="K392" s="42">
        <f ca="1">IFERROR(__xludf.DUMMYFUNCTION("""COMPUTED_VALUE"""),0)</f>
        <v>0</v>
      </c>
      <c r="L392" s="42">
        <f ca="1">IFERROR(__xludf.DUMMYFUNCTION("""COMPUTED_VALUE"""),0)</f>
        <v>0</v>
      </c>
      <c r="M392" s="42">
        <f ca="1">IFERROR(__xludf.DUMMYFUNCTION("""COMPUTED_VALUE"""),0)</f>
        <v>0</v>
      </c>
      <c r="N392" s="42">
        <f ca="1">IFERROR(__xludf.DUMMYFUNCTION("""COMPUTED_VALUE"""),0)</f>
        <v>0</v>
      </c>
      <c r="O392" s="42">
        <f ca="1">IFERROR(__xludf.DUMMYFUNCTION("""COMPUTED_VALUE"""),0)</f>
        <v>0</v>
      </c>
      <c r="P392" s="42">
        <f ca="1">IFERROR(__xludf.DUMMYFUNCTION("""COMPUTED_VALUE"""),0)</f>
        <v>0</v>
      </c>
      <c r="Q392" s="42">
        <f ca="1">IFERROR(__xludf.DUMMYFUNCTION("""COMPUTED_VALUE"""),5019)</f>
        <v>5019</v>
      </c>
      <c r="R392" s="42">
        <f ca="1">IFERROR(__xludf.DUMMYFUNCTION("""COMPUTED_VALUE"""),0)</f>
        <v>0</v>
      </c>
      <c r="S392" s="42">
        <f ca="1">IFERROR(__xludf.DUMMYFUNCTION("""COMPUTED_VALUE"""),0)</f>
        <v>0</v>
      </c>
      <c r="T392" s="42">
        <f ca="1">IFERROR(__xludf.DUMMYFUNCTION("""COMPUTED_VALUE"""),0)</f>
        <v>0</v>
      </c>
      <c r="U392" s="42">
        <f ca="1">IFERROR(__xludf.DUMMYFUNCTION("""COMPUTED_VALUE"""),0)</f>
        <v>0</v>
      </c>
      <c r="V392" s="42">
        <f ca="1">IFERROR(__xludf.DUMMYFUNCTION("""COMPUTED_VALUE"""),0)</f>
        <v>0</v>
      </c>
      <c r="W392" s="42">
        <f ca="1">IFERROR(__xludf.DUMMYFUNCTION("""COMPUTED_VALUE"""),0)</f>
        <v>0</v>
      </c>
      <c r="X392" s="42">
        <f ca="1">IFERROR(__xludf.DUMMYFUNCTION("""COMPUTED_VALUE"""),0)</f>
        <v>0</v>
      </c>
      <c r="Y392" s="42">
        <f ca="1">IFERROR(__xludf.DUMMYFUNCTION("""COMPUTED_VALUE"""),0)</f>
        <v>0</v>
      </c>
      <c r="Z392" s="42">
        <f ca="1">IFERROR(__xludf.DUMMYFUNCTION("""COMPUTED_VALUE"""),0)</f>
        <v>0</v>
      </c>
    </row>
    <row r="393" spans="1:26" ht="12.75">
      <c r="A393" s="33" t="str">
        <f ca="1">IFERROR(__xludf.DUMMYFUNCTION("""COMPUTED_VALUE"""),"Porto Nacional")</f>
        <v>Porto Nacional</v>
      </c>
      <c r="B393" s="33" t="str">
        <f ca="1">IFERROR(__xludf.DUMMYFUNCTION("""COMPUTED_VALUE"""),"Silvanopolis")</f>
        <v>Silvanopolis</v>
      </c>
      <c r="C393" s="34" t="str">
        <f ca="1">IFERROR(__xludf.DUMMYFUNCTION("""COMPUTED_VALUE"""),"A.A. A ESC. EST. JOAO PIRES QUERIDO")</f>
        <v>A.A. A ESC. EST. JOAO PIRES QUERIDO</v>
      </c>
      <c r="D393" s="35" t="str">
        <f ca="1">IFERROR(__xludf.DUMMYFUNCTION("""COMPUTED_VALUE"""),"01284632000197")</f>
        <v>01284632000197</v>
      </c>
      <c r="E393" s="36" t="str">
        <f ca="1">IFERROR(__xludf.DUMMYFUNCTION("""COMPUTED_VALUE"""),"001")</f>
        <v>001</v>
      </c>
      <c r="F393" s="37" t="str">
        <f ca="1">IFERROR(__xludf.DUMMYFUNCTION("""COMPUTED_VALUE"""),"3980")</f>
        <v>3980</v>
      </c>
      <c r="G393" s="37" t="str">
        <f ca="1">IFERROR(__xludf.DUMMYFUNCTION("""COMPUTED_VALUE"""),"051187")</f>
        <v>051187</v>
      </c>
      <c r="H393" s="37">
        <f ca="1">IFERROR(__xludf.DUMMYFUNCTION("""COMPUTED_VALUE"""),0)</f>
        <v>0</v>
      </c>
      <c r="I393" s="37">
        <f ca="1">IFERROR(__xludf.DUMMYFUNCTION("""COMPUTED_VALUE"""),0)</f>
        <v>0</v>
      </c>
      <c r="J393" s="37">
        <f ca="1">IFERROR(__xludf.DUMMYFUNCTION("""COMPUTED_VALUE"""),0)</f>
        <v>0</v>
      </c>
      <c r="K393" s="37">
        <f ca="1">IFERROR(__xludf.DUMMYFUNCTION("""COMPUTED_VALUE"""),12152)</f>
        <v>12152</v>
      </c>
      <c r="L393" s="37">
        <f ca="1">IFERROR(__xludf.DUMMYFUNCTION("""COMPUTED_VALUE"""),0)</f>
        <v>0</v>
      </c>
      <c r="M393" s="37">
        <f ca="1">IFERROR(__xludf.DUMMYFUNCTION("""COMPUTED_VALUE"""),0)</f>
        <v>0</v>
      </c>
      <c r="N393" s="37">
        <f ca="1">IFERROR(__xludf.DUMMYFUNCTION("""COMPUTED_VALUE"""),0)</f>
        <v>0</v>
      </c>
      <c r="O393" s="37">
        <f ca="1">IFERROR(__xludf.DUMMYFUNCTION("""COMPUTED_VALUE"""),0)</f>
        <v>0</v>
      </c>
      <c r="P393" s="37">
        <f ca="1">IFERROR(__xludf.DUMMYFUNCTION("""COMPUTED_VALUE"""),0)</f>
        <v>0</v>
      </c>
      <c r="Q393" s="37">
        <f ca="1">IFERROR(__xludf.DUMMYFUNCTION("""COMPUTED_VALUE"""),0)</f>
        <v>0</v>
      </c>
      <c r="R393" s="37">
        <f ca="1">IFERROR(__xludf.DUMMYFUNCTION("""COMPUTED_VALUE"""),0)</f>
        <v>0</v>
      </c>
      <c r="S393" s="37">
        <f ca="1">IFERROR(__xludf.DUMMYFUNCTION("""COMPUTED_VALUE"""),0)</f>
        <v>0</v>
      </c>
      <c r="T393" s="37">
        <f ca="1">IFERROR(__xludf.DUMMYFUNCTION("""COMPUTED_VALUE"""),273)</f>
        <v>273</v>
      </c>
      <c r="U393" s="37">
        <f ca="1">IFERROR(__xludf.DUMMYFUNCTION("""COMPUTED_VALUE"""),0)</f>
        <v>0</v>
      </c>
      <c r="V393" s="37">
        <f ca="1">IFERROR(__xludf.DUMMYFUNCTION("""COMPUTED_VALUE"""),0)</f>
        <v>0</v>
      </c>
      <c r="W393" s="37">
        <f ca="1">IFERROR(__xludf.DUMMYFUNCTION("""COMPUTED_VALUE"""),0)</f>
        <v>0</v>
      </c>
      <c r="X393" s="37">
        <f ca="1">IFERROR(__xludf.DUMMYFUNCTION("""COMPUTED_VALUE"""),0)</f>
        <v>0</v>
      </c>
      <c r="Y393" s="37">
        <f ca="1">IFERROR(__xludf.DUMMYFUNCTION("""COMPUTED_VALUE"""),0)</f>
        <v>0</v>
      </c>
      <c r="Z393" s="37">
        <f ca="1">IFERROR(__xludf.DUMMYFUNCTION("""COMPUTED_VALUE"""),998)</f>
        <v>998</v>
      </c>
    </row>
    <row r="394" spans="1:26" ht="12.75">
      <c r="A394" s="38" t="str">
        <f ca="1">IFERROR(__xludf.DUMMYFUNCTION("""COMPUTED_VALUE"""),"Tocantinópolis")</f>
        <v>Tocantinópolis</v>
      </c>
      <c r="B394" s="38" t="str">
        <f ca="1">IFERROR(__xludf.DUMMYFUNCTION("""COMPUTED_VALUE"""),"Aguiarnopolis")</f>
        <v>Aguiarnopolis</v>
      </c>
      <c r="C394" s="39" t="str">
        <f ca="1">IFERROR(__xludf.DUMMYFUNCTION("""COMPUTED_VALUE"""),"A.A. DA ESC. EST. NAZARÉ NUNES DA SILVA (AGUIARNOPOLIS)")</f>
        <v>A.A. DA ESC. EST. NAZARÉ NUNES DA SILVA (AGUIARNOPOLIS)</v>
      </c>
      <c r="D394" s="40" t="str">
        <f ca="1">IFERROR(__xludf.DUMMYFUNCTION("""COMPUTED_VALUE"""),"01213519000110")</f>
        <v>01213519000110</v>
      </c>
      <c r="E394" s="41" t="str">
        <f ca="1">IFERROR(__xludf.DUMMYFUNCTION("""COMPUTED_VALUE"""),"001")</f>
        <v>001</v>
      </c>
      <c r="F394" s="42" t="str">
        <f ca="1">IFERROR(__xludf.DUMMYFUNCTION("""COMPUTED_VALUE"""),"0810")</f>
        <v>0810</v>
      </c>
      <c r="G394" s="42" t="str">
        <f ca="1">IFERROR(__xludf.DUMMYFUNCTION("""COMPUTED_VALUE"""),"217727")</f>
        <v>217727</v>
      </c>
      <c r="H394" s="42">
        <f ca="1">IFERROR(__xludf.DUMMYFUNCTION("""COMPUTED_VALUE"""),0)</f>
        <v>0</v>
      </c>
      <c r="I394" s="42">
        <f ca="1">IFERROR(__xludf.DUMMYFUNCTION("""COMPUTED_VALUE"""),0)</f>
        <v>0</v>
      </c>
      <c r="J394" s="42">
        <f ca="1">IFERROR(__xludf.DUMMYFUNCTION("""COMPUTED_VALUE"""),3276)</f>
        <v>3276</v>
      </c>
      <c r="K394" s="42">
        <f ca="1">IFERROR(__xludf.DUMMYFUNCTION("""COMPUTED_VALUE"""),6977.6)</f>
        <v>6977.6</v>
      </c>
      <c r="L394" s="42">
        <f ca="1">IFERROR(__xludf.DUMMYFUNCTION("""COMPUTED_VALUE"""),0)</f>
        <v>0</v>
      </c>
      <c r="M394" s="42">
        <f ca="1">IFERROR(__xludf.DUMMYFUNCTION("""COMPUTED_VALUE"""),0)</f>
        <v>0</v>
      </c>
      <c r="N394" s="42">
        <f ca="1">IFERROR(__xludf.DUMMYFUNCTION("""COMPUTED_VALUE"""),0)</f>
        <v>0</v>
      </c>
      <c r="O394" s="42">
        <f ca="1">IFERROR(__xludf.DUMMYFUNCTION("""COMPUTED_VALUE"""),0)</f>
        <v>0</v>
      </c>
      <c r="P394" s="42">
        <f ca="1">IFERROR(__xludf.DUMMYFUNCTION("""COMPUTED_VALUE"""),0)</f>
        <v>0</v>
      </c>
      <c r="Q394" s="42">
        <f ca="1">IFERROR(__xludf.DUMMYFUNCTION("""COMPUTED_VALUE"""),1470)</f>
        <v>1470</v>
      </c>
      <c r="R394" s="42">
        <f ca="1">IFERROR(__xludf.DUMMYFUNCTION("""COMPUTED_VALUE"""),0)</f>
        <v>0</v>
      </c>
      <c r="S394" s="42">
        <f ca="1">IFERROR(__xludf.DUMMYFUNCTION("""COMPUTED_VALUE"""),15475.1999999999)</f>
        <v>15475.199999999901</v>
      </c>
      <c r="T394" s="42">
        <f ca="1">IFERROR(__xludf.DUMMYFUNCTION("""COMPUTED_VALUE"""),0)</f>
        <v>0</v>
      </c>
      <c r="U394" s="42">
        <f ca="1">IFERROR(__xludf.DUMMYFUNCTION("""COMPUTED_VALUE"""),0)</f>
        <v>0</v>
      </c>
      <c r="V394" s="42">
        <f ca="1">IFERROR(__xludf.DUMMYFUNCTION("""COMPUTED_VALUE"""),0)</f>
        <v>0</v>
      </c>
      <c r="W394" s="42">
        <f ca="1">IFERROR(__xludf.DUMMYFUNCTION("""COMPUTED_VALUE"""),1567.8)</f>
        <v>1567.8</v>
      </c>
      <c r="X394" s="42">
        <f ca="1">IFERROR(__xludf.DUMMYFUNCTION("""COMPUTED_VALUE"""),0)</f>
        <v>0</v>
      </c>
      <c r="Y394" s="42">
        <f ca="1">IFERROR(__xludf.DUMMYFUNCTION("""COMPUTED_VALUE"""),0)</f>
        <v>0</v>
      </c>
      <c r="Z394" s="42">
        <f ca="1">IFERROR(__xludf.DUMMYFUNCTION("""COMPUTED_VALUE"""),598.8)</f>
        <v>598.79999999999995</v>
      </c>
    </row>
    <row r="395" spans="1:26" ht="12.75">
      <c r="A395" s="33" t="str">
        <f ca="1">IFERROR(__xludf.DUMMYFUNCTION("""COMPUTED_VALUE"""),"Tocantinópolis")</f>
        <v>Tocantinópolis</v>
      </c>
      <c r="B395" s="33" t="str">
        <f ca="1">IFERROR(__xludf.DUMMYFUNCTION("""COMPUTED_VALUE"""),"Angico")</f>
        <v>Angico</v>
      </c>
      <c r="C395" s="34" t="str">
        <f ca="1">IFERROR(__xludf.DUMMYFUNCTION("""COMPUTED_VALUE"""),"ASSOCIAÇÃO DE APOIO DO COL. EST. DULCE COELHO DE SOUSA")</f>
        <v>ASSOCIAÇÃO DE APOIO DO COL. EST. DULCE COELHO DE SOUSA</v>
      </c>
      <c r="D395" s="35" t="str">
        <f ca="1">IFERROR(__xludf.DUMMYFUNCTION("""COMPUTED_VALUE"""),"10800992000195")</f>
        <v>10800992000195</v>
      </c>
      <c r="E395" s="36" t="str">
        <f ca="1">IFERROR(__xludf.DUMMYFUNCTION("""COMPUTED_VALUE"""),"001")</f>
        <v>001</v>
      </c>
      <c r="F395" s="37" t="str">
        <f ca="1">IFERROR(__xludf.DUMMYFUNCTION("""COMPUTED_VALUE"""),"3973")</f>
        <v>3973</v>
      </c>
      <c r="G395" s="37" t="str">
        <f ca="1">IFERROR(__xludf.DUMMYFUNCTION("""COMPUTED_VALUE"""),"212792")</f>
        <v>212792</v>
      </c>
      <c r="H395" s="37">
        <f ca="1">IFERROR(__xludf.DUMMYFUNCTION("""COMPUTED_VALUE"""),0)</f>
        <v>0</v>
      </c>
      <c r="I395" s="37">
        <f ca="1">IFERROR(__xludf.DUMMYFUNCTION("""COMPUTED_VALUE"""),0)</f>
        <v>0</v>
      </c>
      <c r="J395" s="37">
        <f ca="1">IFERROR(__xludf.DUMMYFUNCTION("""COMPUTED_VALUE"""),4515)</f>
        <v>4515</v>
      </c>
      <c r="K395" s="37">
        <f ca="1">IFERROR(__xludf.DUMMYFUNCTION("""COMPUTED_VALUE"""),0)</f>
        <v>0</v>
      </c>
      <c r="L395" s="37">
        <f ca="1">IFERROR(__xludf.DUMMYFUNCTION("""COMPUTED_VALUE"""),0)</f>
        <v>0</v>
      </c>
      <c r="M395" s="37">
        <f ca="1">IFERROR(__xludf.DUMMYFUNCTION("""COMPUTED_VALUE"""),0)</f>
        <v>0</v>
      </c>
      <c r="N395" s="37">
        <f ca="1">IFERROR(__xludf.DUMMYFUNCTION("""COMPUTED_VALUE"""),0)</f>
        <v>0</v>
      </c>
      <c r="O395" s="37">
        <f ca="1">IFERROR(__xludf.DUMMYFUNCTION("""COMPUTED_VALUE"""),0)</f>
        <v>0</v>
      </c>
      <c r="P395" s="37">
        <f ca="1">IFERROR(__xludf.DUMMYFUNCTION("""COMPUTED_VALUE"""),504)</f>
        <v>504</v>
      </c>
      <c r="Q395" s="37">
        <f ca="1">IFERROR(__xludf.DUMMYFUNCTION("""COMPUTED_VALUE"""),2772)</f>
        <v>2772</v>
      </c>
      <c r="R395" s="37">
        <f ca="1">IFERROR(__xludf.DUMMYFUNCTION("""COMPUTED_VALUE"""),0)</f>
        <v>0</v>
      </c>
      <c r="S395" s="37">
        <f ca="1">IFERROR(__xludf.DUMMYFUNCTION("""COMPUTED_VALUE"""),0)</f>
        <v>0</v>
      </c>
      <c r="T395" s="37">
        <f ca="1">IFERROR(__xludf.DUMMYFUNCTION("""COMPUTED_VALUE"""),0)</f>
        <v>0</v>
      </c>
      <c r="U395" s="37">
        <f ca="1">IFERROR(__xludf.DUMMYFUNCTION("""COMPUTED_VALUE"""),0)</f>
        <v>0</v>
      </c>
      <c r="V395" s="37">
        <f ca="1">IFERROR(__xludf.DUMMYFUNCTION("""COMPUTED_VALUE"""),0)</f>
        <v>0</v>
      </c>
      <c r="W395" s="37">
        <f ca="1">IFERROR(__xludf.DUMMYFUNCTION("""COMPUTED_VALUE"""),0)</f>
        <v>0</v>
      </c>
      <c r="X395" s="37">
        <f ca="1">IFERROR(__xludf.DUMMYFUNCTION("""COMPUTED_VALUE"""),0)</f>
        <v>0</v>
      </c>
      <c r="Y395" s="37">
        <f ca="1">IFERROR(__xludf.DUMMYFUNCTION("""COMPUTED_VALUE"""),0)</f>
        <v>0</v>
      </c>
      <c r="Z395" s="37">
        <f ca="1">IFERROR(__xludf.DUMMYFUNCTION("""COMPUTED_VALUE"""),0)</f>
        <v>0</v>
      </c>
    </row>
    <row r="396" spans="1:26" ht="12.75">
      <c r="A396" s="38" t="str">
        <f ca="1">IFERROR(__xludf.DUMMYFUNCTION("""COMPUTED_VALUE"""),"Tocantinópolis")</f>
        <v>Tocantinópolis</v>
      </c>
      <c r="B396" s="38" t="str">
        <f ca="1">IFERROR(__xludf.DUMMYFUNCTION("""COMPUTED_VALUE"""),"Cachoeirinha")</f>
        <v>Cachoeirinha</v>
      </c>
      <c r="C396" s="39" t="str">
        <f ca="1">IFERROR(__xludf.DUMMYFUNCTION("""COMPUTED_VALUE"""),"A.A. E. EST. NOVA DA CACHOEIRINHA/RAIMUNDO NONATO TORRES")</f>
        <v>A.A. E. EST. NOVA DA CACHOEIRINHA/RAIMUNDO NONATO TORRES</v>
      </c>
      <c r="D396" s="40" t="str">
        <f ca="1">IFERROR(__xludf.DUMMYFUNCTION("""COMPUTED_VALUE"""),"01213535000103")</f>
        <v>01213535000103</v>
      </c>
      <c r="E396" s="41" t="str">
        <f ca="1">IFERROR(__xludf.DUMMYFUNCTION("""COMPUTED_VALUE"""),"001")</f>
        <v>001</v>
      </c>
      <c r="F396" s="42" t="str">
        <f ca="1">IFERROR(__xludf.DUMMYFUNCTION("""COMPUTED_VALUE"""),"0810")</f>
        <v>0810</v>
      </c>
      <c r="G396" s="42" t="str">
        <f ca="1">IFERROR(__xludf.DUMMYFUNCTION("""COMPUTED_VALUE"""),"0217689")</f>
        <v>0217689</v>
      </c>
      <c r="H396" s="42">
        <f ca="1">IFERROR(__xludf.DUMMYFUNCTION("""COMPUTED_VALUE"""),0)</f>
        <v>0</v>
      </c>
      <c r="I396" s="42">
        <f ca="1">IFERROR(__xludf.DUMMYFUNCTION("""COMPUTED_VALUE"""),0)</f>
        <v>0</v>
      </c>
      <c r="J396" s="42">
        <f ca="1">IFERROR(__xludf.DUMMYFUNCTION("""COMPUTED_VALUE"""),2520)</f>
        <v>2520</v>
      </c>
      <c r="K396" s="42">
        <f ca="1">IFERROR(__xludf.DUMMYFUNCTION("""COMPUTED_VALUE"""),0)</f>
        <v>0</v>
      </c>
      <c r="L396" s="42">
        <f ca="1">IFERROR(__xludf.DUMMYFUNCTION("""COMPUTED_VALUE"""),0)</f>
        <v>0</v>
      </c>
      <c r="M396" s="42">
        <f ca="1">IFERROR(__xludf.DUMMYFUNCTION("""COMPUTED_VALUE"""),0)</f>
        <v>0</v>
      </c>
      <c r="N396" s="42">
        <f ca="1">IFERROR(__xludf.DUMMYFUNCTION("""COMPUTED_VALUE"""),0)</f>
        <v>0</v>
      </c>
      <c r="O396" s="42">
        <f ca="1">IFERROR(__xludf.DUMMYFUNCTION("""COMPUTED_VALUE"""),0)</f>
        <v>0</v>
      </c>
      <c r="P396" s="42">
        <f ca="1">IFERROR(__xludf.DUMMYFUNCTION("""COMPUTED_VALUE"""),252)</f>
        <v>252</v>
      </c>
      <c r="Q396" s="42">
        <f ca="1">IFERROR(__xludf.DUMMYFUNCTION("""COMPUTED_VALUE"""),1911)</f>
        <v>1911</v>
      </c>
      <c r="R396" s="42">
        <f ca="1">IFERROR(__xludf.DUMMYFUNCTION("""COMPUTED_VALUE"""),0)</f>
        <v>0</v>
      </c>
      <c r="S396" s="42">
        <f ca="1">IFERROR(__xludf.DUMMYFUNCTION("""COMPUTED_VALUE"""),0)</f>
        <v>0</v>
      </c>
      <c r="T396" s="42">
        <f ca="1">IFERROR(__xludf.DUMMYFUNCTION("""COMPUTED_VALUE"""),0)</f>
        <v>0</v>
      </c>
      <c r="U396" s="42">
        <f ca="1">IFERROR(__xludf.DUMMYFUNCTION("""COMPUTED_VALUE"""),0)</f>
        <v>0</v>
      </c>
      <c r="V396" s="42">
        <f ca="1">IFERROR(__xludf.DUMMYFUNCTION("""COMPUTED_VALUE"""),0)</f>
        <v>0</v>
      </c>
      <c r="W396" s="42">
        <f ca="1">IFERROR(__xludf.DUMMYFUNCTION("""COMPUTED_VALUE"""),0)</f>
        <v>0</v>
      </c>
      <c r="X396" s="42">
        <f ca="1">IFERROR(__xludf.DUMMYFUNCTION("""COMPUTED_VALUE"""),0)</f>
        <v>0</v>
      </c>
      <c r="Y396" s="42">
        <f ca="1">IFERROR(__xludf.DUMMYFUNCTION("""COMPUTED_VALUE"""),0)</f>
        <v>0</v>
      </c>
      <c r="Z396" s="42">
        <f ca="1">IFERROR(__xludf.DUMMYFUNCTION("""COMPUTED_VALUE"""),0)</f>
        <v>0</v>
      </c>
    </row>
    <row r="397" spans="1:26" ht="12.75">
      <c r="A397" s="33" t="str">
        <f ca="1">IFERROR(__xludf.DUMMYFUNCTION("""COMPUTED_VALUE"""),"Tocantinópolis")</f>
        <v>Tocantinópolis</v>
      </c>
      <c r="B397" s="33" t="str">
        <f ca="1">IFERROR(__xludf.DUMMYFUNCTION("""COMPUTED_VALUE"""),"darcinopolis")</f>
        <v>darcinopolis</v>
      </c>
      <c r="C397" s="34" t="str">
        <f ca="1">IFERROR(__xludf.DUMMYFUNCTION("""COMPUTED_VALUE"""),"A. APOIO COL. EST. JOSE DE SOUZA PORTO")</f>
        <v>A. APOIO COL. EST. JOSE DE SOUZA PORTO</v>
      </c>
      <c r="D397" s="35" t="str">
        <f ca="1">IFERROR(__xludf.DUMMYFUNCTION("""COMPUTED_VALUE"""),"01213532000170")</f>
        <v>01213532000170</v>
      </c>
      <c r="E397" s="36" t="str">
        <f ca="1">IFERROR(__xludf.DUMMYFUNCTION("""COMPUTED_VALUE"""),"001")</f>
        <v>001</v>
      </c>
      <c r="F397" s="37" t="str">
        <f ca="1">IFERROR(__xludf.DUMMYFUNCTION("""COMPUTED_VALUE"""),"0810")</f>
        <v>0810</v>
      </c>
      <c r="G397" s="37" t="str">
        <f ca="1">IFERROR(__xludf.DUMMYFUNCTION("""COMPUTED_VALUE"""),"25739")</f>
        <v>25739</v>
      </c>
      <c r="H397" s="37">
        <f ca="1">IFERROR(__xludf.DUMMYFUNCTION("""COMPUTED_VALUE"""),0)</f>
        <v>0</v>
      </c>
      <c r="I397" s="37">
        <f ca="1">IFERROR(__xludf.DUMMYFUNCTION("""COMPUTED_VALUE"""),0)</f>
        <v>0</v>
      </c>
      <c r="J397" s="37">
        <f ca="1">IFERROR(__xludf.DUMMYFUNCTION("""COMPUTED_VALUE"""),10710)</f>
        <v>10710</v>
      </c>
      <c r="K397" s="37">
        <f ca="1">IFERROR(__xludf.DUMMYFUNCTION("""COMPUTED_VALUE"""),0)</f>
        <v>0</v>
      </c>
      <c r="L397" s="37">
        <f ca="1">IFERROR(__xludf.DUMMYFUNCTION("""COMPUTED_VALUE"""),0)</f>
        <v>0</v>
      </c>
      <c r="M397" s="37">
        <f ca="1">IFERROR(__xludf.DUMMYFUNCTION("""COMPUTED_VALUE"""),0)</f>
        <v>0</v>
      </c>
      <c r="N397" s="37">
        <f ca="1">IFERROR(__xludf.DUMMYFUNCTION("""COMPUTED_VALUE"""),0)</f>
        <v>0</v>
      </c>
      <c r="O397" s="37">
        <f ca="1">IFERROR(__xludf.DUMMYFUNCTION("""COMPUTED_VALUE"""),0)</f>
        <v>0</v>
      </c>
      <c r="P397" s="37">
        <f ca="1">IFERROR(__xludf.DUMMYFUNCTION("""COMPUTED_VALUE"""),525)</f>
        <v>525</v>
      </c>
      <c r="Q397" s="37">
        <f ca="1">IFERROR(__xludf.DUMMYFUNCTION("""COMPUTED_VALUE"""),5292)</f>
        <v>5292</v>
      </c>
      <c r="R397" s="37">
        <f ca="1">IFERROR(__xludf.DUMMYFUNCTION("""COMPUTED_VALUE"""),0)</f>
        <v>0</v>
      </c>
      <c r="S397" s="37">
        <f ca="1">IFERROR(__xludf.DUMMYFUNCTION("""COMPUTED_VALUE"""),0)</f>
        <v>0</v>
      </c>
      <c r="T397" s="37">
        <f ca="1">IFERROR(__xludf.DUMMYFUNCTION("""COMPUTED_VALUE"""),0)</f>
        <v>0</v>
      </c>
      <c r="U397" s="37">
        <f ca="1">IFERROR(__xludf.DUMMYFUNCTION("""COMPUTED_VALUE"""),0)</f>
        <v>0</v>
      </c>
      <c r="V397" s="37">
        <f ca="1">IFERROR(__xludf.DUMMYFUNCTION("""COMPUTED_VALUE"""),0)</f>
        <v>0</v>
      </c>
      <c r="W397" s="37">
        <f ca="1">IFERROR(__xludf.DUMMYFUNCTION("""COMPUTED_VALUE"""),0)</f>
        <v>0</v>
      </c>
      <c r="X397" s="37">
        <f ca="1">IFERROR(__xludf.DUMMYFUNCTION("""COMPUTED_VALUE"""),0)</f>
        <v>0</v>
      </c>
      <c r="Y397" s="37">
        <f ca="1">IFERROR(__xludf.DUMMYFUNCTION("""COMPUTED_VALUE"""),0)</f>
        <v>0</v>
      </c>
      <c r="Z397" s="37">
        <f ca="1">IFERROR(__xludf.DUMMYFUNCTION("""COMPUTED_VALUE"""),0)</f>
        <v>0</v>
      </c>
    </row>
    <row r="398" spans="1:26" ht="12.75">
      <c r="A398" s="38" t="str">
        <f ca="1">IFERROR(__xludf.DUMMYFUNCTION("""COMPUTED_VALUE"""),"Tocantinópolis")</f>
        <v>Tocantinópolis</v>
      </c>
      <c r="B398" s="38" t="str">
        <f ca="1">IFERROR(__xludf.DUMMYFUNCTION("""COMPUTED_VALUE"""),"Itaguatins")</f>
        <v>Itaguatins</v>
      </c>
      <c r="C398" s="39" t="str">
        <f ca="1">IFERROR(__xludf.DUMMYFUNCTION("""COMPUTED_VALUE"""),"ASS. DE APOIO ESC. EST. OLAVO BILAC")</f>
        <v>ASS. DE APOIO ESC. EST. OLAVO BILAC</v>
      </c>
      <c r="D398" s="40" t="str">
        <f ca="1">IFERROR(__xludf.DUMMYFUNCTION("""COMPUTED_VALUE"""),"01358337000138")</f>
        <v>01358337000138</v>
      </c>
      <c r="E398" s="41" t="str">
        <f ca="1">IFERROR(__xludf.DUMMYFUNCTION("""COMPUTED_VALUE"""),"001")</f>
        <v>001</v>
      </c>
      <c r="F398" s="42" t="str">
        <f ca="1">IFERROR(__xludf.DUMMYFUNCTION("""COMPUTED_VALUE"""),"0810")</f>
        <v>0810</v>
      </c>
      <c r="G398" s="42" t="str">
        <f ca="1">IFERROR(__xludf.DUMMYFUNCTION("""COMPUTED_VALUE"""),"218391")</f>
        <v>218391</v>
      </c>
      <c r="H398" s="42">
        <f ca="1">IFERROR(__xludf.DUMMYFUNCTION("""COMPUTED_VALUE"""),0)</f>
        <v>0</v>
      </c>
      <c r="I398" s="42">
        <f ca="1">IFERROR(__xludf.DUMMYFUNCTION("""COMPUTED_VALUE"""),0)</f>
        <v>0</v>
      </c>
      <c r="J398" s="42">
        <f ca="1">IFERROR(__xludf.DUMMYFUNCTION("""COMPUTED_VALUE"""),1323)</f>
        <v>1323</v>
      </c>
      <c r="K398" s="42">
        <f ca="1">IFERROR(__xludf.DUMMYFUNCTION("""COMPUTED_VALUE"""),0)</f>
        <v>0</v>
      </c>
      <c r="L398" s="42">
        <f ca="1">IFERROR(__xludf.DUMMYFUNCTION("""COMPUTED_VALUE"""),0)</f>
        <v>0</v>
      </c>
      <c r="M398" s="42">
        <f ca="1">IFERROR(__xludf.DUMMYFUNCTION("""COMPUTED_VALUE"""),0)</f>
        <v>0</v>
      </c>
      <c r="N398" s="42">
        <f ca="1">IFERROR(__xludf.DUMMYFUNCTION("""COMPUTED_VALUE"""),0)</f>
        <v>0</v>
      </c>
      <c r="O398" s="42">
        <f ca="1">IFERROR(__xludf.DUMMYFUNCTION("""COMPUTED_VALUE"""),0)</f>
        <v>0</v>
      </c>
      <c r="P398" s="42">
        <f ca="1">IFERROR(__xludf.DUMMYFUNCTION("""COMPUTED_VALUE"""),0)</f>
        <v>0</v>
      </c>
      <c r="Q398" s="42">
        <f ca="1">IFERROR(__xludf.DUMMYFUNCTION("""COMPUTED_VALUE"""),4452)</f>
        <v>4452</v>
      </c>
      <c r="R398" s="42">
        <f ca="1">IFERROR(__xludf.DUMMYFUNCTION("""COMPUTED_VALUE"""),0)</f>
        <v>0</v>
      </c>
      <c r="S398" s="42">
        <f ca="1">IFERROR(__xludf.DUMMYFUNCTION("""COMPUTED_VALUE"""),0)</f>
        <v>0</v>
      </c>
      <c r="T398" s="42">
        <f ca="1">IFERROR(__xludf.DUMMYFUNCTION("""COMPUTED_VALUE"""),315)</f>
        <v>315</v>
      </c>
      <c r="U398" s="42">
        <f ca="1">IFERROR(__xludf.DUMMYFUNCTION("""COMPUTED_VALUE"""),0)</f>
        <v>0</v>
      </c>
      <c r="V398" s="42">
        <f ca="1">IFERROR(__xludf.DUMMYFUNCTION("""COMPUTED_VALUE"""),0)</f>
        <v>0</v>
      </c>
      <c r="W398" s="42">
        <f ca="1">IFERROR(__xludf.DUMMYFUNCTION("""COMPUTED_VALUE"""),0)</f>
        <v>0</v>
      </c>
      <c r="X398" s="42">
        <f ca="1">IFERROR(__xludf.DUMMYFUNCTION("""COMPUTED_VALUE"""),0)</f>
        <v>0</v>
      </c>
      <c r="Y398" s="42">
        <f ca="1">IFERROR(__xludf.DUMMYFUNCTION("""COMPUTED_VALUE"""),0)</f>
        <v>0</v>
      </c>
      <c r="Z398" s="42">
        <f ca="1">IFERROR(__xludf.DUMMYFUNCTION("""COMPUTED_VALUE"""),0)</f>
        <v>0</v>
      </c>
    </row>
    <row r="399" spans="1:26" ht="12.75">
      <c r="A399" s="33" t="str">
        <f ca="1">IFERROR(__xludf.DUMMYFUNCTION("""COMPUTED_VALUE"""),"Tocantinópolis")</f>
        <v>Tocantinópolis</v>
      </c>
      <c r="B399" s="33" t="str">
        <f ca="1">IFERROR(__xludf.DUMMYFUNCTION("""COMPUTED_VALUE"""),"Luzinopolis")</f>
        <v>Luzinopolis</v>
      </c>
      <c r="C399" s="34" t="str">
        <f ca="1">IFERROR(__xludf.DUMMYFUNCTION("""COMPUTED_VALUE"""),"ASS. AP.A ESC. EST. JUSCELINO K.DE OLIVEIRA")</f>
        <v>ASS. AP.A ESC. EST. JUSCELINO K.DE OLIVEIRA</v>
      </c>
      <c r="D399" s="35" t="str">
        <f ca="1">IFERROR(__xludf.DUMMYFUNCTION("""COMPUTED_VALUE"""),"01230232000107")</f>
        <v>01230232000107</v>
      </c>
      <c r="E399" s="36" t="str">
        <f ca="1">IFERROR(__xludf.DUMMYFUNCTION("""COMPUTED_VALUE"""),"001")</f>
        <v>001</v>
      </c>
      <c r="F399" s="37" t="str">
        <f ca="1">IFERROR(__xludf.DUMMYFUNCTION("""COMPUTED_VALUE"""),"0810")</f>
        <v>0810</v>
      </c>
      <c r="G399" s="37" t="str">
        <f ca="1">IFERROR(__xludf.DUMMYFUNCTION("""COMPUTED_VALUE"""),"022135X")</f>
        <v>022135X</v>
      </c>
      <c r="H399" s="37">
        <f ca="1">IFERROR(__xludf.DUMMYFUNCTION("""COMPUTED_VALUE"""),0)</f>
        <v>0</v>
      </c>
      <c r="I399" s="37">
        <f ca="1">IFERROR(__xludf.DUMMYFUNCTION("""COMPUTED_VALUE"""),0)</f>
        <v>0</v>
      </c>
      <c r="J399" s="37">
        <f ca="1">IFERROR(__xludf.DUMMYFUNCTION("""COMPUTED_VALUE"""),5019)</f>
        <v>5019</v>
      </c>
      <c r="K399" s="37">
        <f ca="1">IFERROR(__xludf.DUMMYFUNCTION("""COMPUTED_VALUE"""),0)</f>
        <v>0</v>
      </c>
      <c r="L399" s="37">
        <f ca="1">IFERROR(__xludf.DUMMYFUNCTION("""COMPUTED_VALUE"""),0)</f>
        <v>0</v>
      </c>
      <c r="M399" s="37">
        <f ca="1">IFERROR(__xludf.DUMMYFUNCTION("""COMPUTED_VALUE"""),0)</f>
        <v>0</v>
      </c>
      <c r="N399" s="37">
        <f ca="1">IFERROR(__xludf.DUMMYFUNCTION("""COMPUTED_VALUE"""),0)</f>
        <v>0</v>
      </c>
      <c r="O399" s="37">
        <f ca="1">IFERROR(__xludf.DUMMYFUNCTION("""COMPUTED_VALUE"""),0)</f>
        <v>0</v>
      </c>
      <c r="P399" s="37">
        <f ca="1">IFERROR(__xludf.DUMMYFUNCTION("""COMPUTED_VALUE"""),0)</f>
        <v>0</v>
      </c>
      <c r="Q399" s="37">
        <f ca="1">IFERROR(__xludf.DUMMYFUNCTION("""COMPUTED_VALUE"""),3486)</f>
        <v>3486</v>
      </c>
      <c r="R399" s="37">
        <f ca="1">IFERROR(__xludf.DUMMYFUNCTION("""COMPUTED_VALUE"""),0)</f>
        <v>0</v>
      </c>
      <c r="S399" s="37">
        <f ca="1">IFERROR(__xludf.DUMMYFUNCTION("""COMPUTED_VALUE"""),0)</f>
        <v>0</v>
      </c>
      <c r="T399" s="37">
        <f ca="1">IFERROR(__xludf.DUMMYFUNCTION("""COMPUTED_VALUE"""),0)</f>
        <v>0</v>
      </c>
      <c r="U399" s="37">
        <f ca="1">IFERROR(__xludf.DUMMYFUNCTION("""COMPUTED_VALUE"""),0)</f>
        <v>0</v>
      </c>
      <c r="V399" s="37">
        <f ca="1">IFERROR(__xludf.DUMMYFUNCTION("""COMPUTED_VALUE"""),0)</f>
        <v>0</v>
      </c>
      <c r="W399" s="37">
        <f ca="1">IFERROR(__xludf.DUMMYFUNCTION("""COMPUTED_VALUE"""),0)</f>
        <v>0</v>
      </c>
      <c r="X399" s="37">
        <f ca="1">IFERROR(__xludf.DUMMYFUNCTION("""COMPUTED_VALUE"""),0)</f>
        <v>0</v>
      </c>
      <c r="Y399" s="37">
        <f ca="1">IFERROR(__xludf.DUMMYFUNCTION("""COMPUTED_VALUE"""),0)</f>
        <v>0</v>
      </c>
      <c r="Z399" s="37">
        <f ca="1">IFERROR(__xludf.DUMMYFUNCTION("""COMPUTED_VALUE"""),0)</f>
        <v>0</v>
      </c>
    </row>
    <row r="400" spans="1:26" ht="12.75">
      <c r="A400" s="38" t="str">
        <f ca="1">IFERROR(__xludf.DUMMYFUNCTION("""COMPUTED_VALUE"""),"Tocantinópolis")</f>
        <v>Tocantinópolis</v>
      </c>
      <c r="B400" s="38" t="str">
        <f ca="1">IFERROR(__xludf.DUMMYFUNCTION("""COMPUTED_VALUE"""),"Maurilandia do Tocantins")</f>
        <v>Maurilandia do Tocantins</v>
      </c>
      <c r="C400" s="39" t="str">
        <f ca="1">IFERROR(__xludf.DUMMYFUNCTION("""COMPUTED_VALUE"""),"A.A.  DA ESC. EST.PEDRO LUDOVICO TEIXEIRA")</f>
        <v>A.A.  DA ESC. EST.PEDRO LUDOVICO TEIXEIRA</v>
      </c>
      <c r="D400" s="40" t="str">
        <f ca="1">IFERROR(__xludf.DUMMYFUNCTION("""COMPUTED_VALUE"""),"01213528000101")</f>
        <v>01213528000101</v>
      </c>
      <c r="E400" s="41" t="str">
        <f ca="1">IFERROR(__xludf.DUMMYFUNCTION("""COMPUTED_VALUE"""),"001")</f>
        <v>001</v>
      </c>
      <c r="F400" s="42" t="str">
        <f ca="1">IFERROR(__xludf.DUMMYFUNCTION("""COMPUTED_VALUE"""),"0810")</f>
        <v>0810</v>
      </c>
      <c r="G400" s="42" t="str">
        <f ca="1">IFERROR(__xludf.DUMMYFUNCTION("""COMPUTED_VALUE"""),"0217670")</f>
        <v>0217670</v>
      </c>
      <c r="H400" s="42">
        <f ca="1">IFERROR(__xludf.DUMMYFUNCTION("""COMPUTED_VALUE"""),0)</f>
        <v>0</v>
      </c>
      <c r="I400" s="42">
        <f ca="1">IFERROR(__xludf.DUMMYFUNCTION("""COMPUTED_VALUE"""),0)</f>
        <v>0</v>
      </c>
      <c r="J400" s="42">
        <f ca="1">IFERROR(__xludf.DUMMYFUNCTION("""COMPUTED_VALUE"""),1197)</f>
        <v>1197</v>
      </c>
      <c r="K400" s="42">
        <f ca="1">IFERROR(__xludf.DUMMYFUNCTION("""COMPUTED_VALUE"""),0)</f>
        <v>0</v>
      </c>
      <c r="L400" s="42">
        <f ca="1">IFERROR(__xludf.DUMMYFUNCTION("""COMPUTED_VALUE"""),0)</f>
        <v>0</v>
      </c>
      <c r="M400" s="42">
        <f ca="1">IFERROR(__xludf.DUMMYFUNCTION("""COMPUTED_VALUE"""),0)</f>
        <v>0</v>
      </c>
      <c r="N400" s="42">
        <f ca="1">IFERROR(__xludf.DUMMYFUNCTION("""COMPUTED_VALUE"""),0)</f>
        <v>0</v>
      </c>
      <c r="O400" s="42">
        <f ca="1">IFERROR(__xludf.DUMMYFUNCTION("""COMPUTED_VALUE"""),0)</f>
        <v>0</v>
      </c>
      <c r="P400" s="42">
        <f ca="1">IFERROR(__xludf.DUMMYFUNCTION("""COMPUTED_VALUE"""),0)</f>
        <v>0</v>
      </c>
      <c r="Q400" s="42">
        <f ca="1">IFERROR(__xludf.DUMMYFUNCTION("""COMPUTED_VALUE"""),3276)</f>
        <v>3276</v>
      </c>
      <c r="R400" s="42">
        <f ca="1">IFERROR(__xludf.DUMMYFUNCTION("""COMPUTED_VALUE"""),0)</f>
        <v>0</v>
      </c>
      <c r="S400" s="42">
        <f ca="1">IFERROR(__xludf.DUMMYFUNCTION("""COMPUTED_VALUE"""),0)</f>
        <v>0</v>
      </c>
      <c r="T400" s="42">
        <f ca="1">IFERROR(__xludf.DUMMYFUNCTION("""COMPUTED_VALUE"""),0)</f>
        <v>0</v>
      </c>
      <c r="U400" s="42">
        <f ca="1">IFERROR(__xludf.DUMMYFUNCTION("""COMPUTED_VALUE"""),0)</f>
        <v>0</v>
      </c>
      <c r="V400" s="42">
        <f ca="1">IFERROR(__xludf.DUMMYFUNCTION("""COMPUTED_VALUE"""),0)</f>
        <v>0</v>
      </c>
      <c r="W400" s="42">
        <f ca="1">IFERROR(__xludf.DUMMYFUNCTION("""COMPUTED_VALUE"""),0)</f>
        <v>0</v>
      </c>
      <c r="X400" s="42">
        <f ca="1">IFERROR(__xludf.DUMMYFUNCTION("""COMPUTED_VALUE"""),0)</f>
        <v>0</v>
      </c>
      <c r="Y400" s="42">
        <f ca="1">IFERROR(__xludf.DUMMYFUNCTION("""COMPUTED_VALUE"""),0)</f>
        <v>0</v>
      </c>
      <c r="Z400" s="42">
        <f ca="1">IFERROR(__xludf.DUMMYFUNCTION("""COMPUTED_VALUE"""),0)</f>
        <v>0</v>
      </c>
    </row>
    <row r="401" spans="1:26" ht="12.75">
      <c r="A401" s="33" t="str">
        <f ca="1">IFERROR(__xludf.DUMMYFUNCTION("""COMPUTED_VALUE"""),"Tocantinópolis")</f>
        <v>Tocantinópolis</v>
      </c>
      <c r="B401" s="33" t="str">
        <f ca="1">IFERROR(__xludf.DUMMYFUNCTION("""COMPUTED_VALUE"""),"Nazare")</f>
        <v>Nazare</v>
      </c>
      <c r="C401" s="34" t="str">
        <f ca="1">IFERROR(__xludf.DUMMYFUNCTION("""COMPUTED_VALUE"""),"A.DO COLEGIO EST.PRES.CASTELO BRANCO")</f>
        <v>A.DO COLEGIO EST.PRES.CASTELO BRANCO</v>
      </c>
      <c r="D401" s="35" t="str">
        <f ca="1">IFERROR(__xludf.DUMMYFUNCTION("""COMPUTED_VALUE"""),"01213522000134")</f>
        <v>01213522000134</v>
      </c>
      <c r="E401" s="36" t="str">
        <f ca="1">IFERROR(__xludf.DUMMYFUNCTION("""COMPUTED_VALUE"""),"001")</f>
        <v>001</v>
      </c>
      <c r="F401" s="37" t="str">
        <f ca="1">IFERROR(__xludf.DUMMYFUNCTION("""COMPUTED_VALUE"""),"0810")</f>
        <v>0810</v>
      </c>
      <c r="G401" s="37" t="str">
        <f ca="1">IFERROR(__xludf.DUMMYFUNCTION("""COMPUTED_VALUE"""),"217859")</f>
        <v>217859</v>
      </c>
      <c r="H401" s="37">
        <f ca="1">IFERROR(__xludf.DUMMYFUNCTION("""COMPUTED_VALUE"""),0)</f>
        <v>0</v>
      </c>
      <c r="I401" s="37">
        <f ca="1">IFERROR(__xludf.DUMMYFUNCTION("""COMPUTED_VALUE"""),0)</f>
        <v>0</v>
      </c>
      <c r="J401" s="37">
        <f ca="1">IFERROR(__xludf.DUMMYFUNCTION("""COMPUTED_VALUE"""),4263)</f>
        <v>4263</v>
      </c>
      <c r="K401" s="37">
        <f ca="1">IFERROR(__xludf.DUMMYFUNCTION("""COMPUTED_VALUE"""),0)</f>
        <v>0</v>
      </c>
      <c r="L401" s="37">
        <f ca="1">IFERROR(__xludf.DUMMYFUNCTION("""COMPUTED_VALUE"""),0)</f>
        <v>0</v>
      </c>
      <c r="M401" s="37">
        <f ca="1">IFERROR(__xludf.DUMMYFUNCTION("""COMPUTED_VALUE"""),0)</f>
        <v>0</v>
      </c>
      <c r="N401" s="37">
        <f ca="1">IFERROR(__xludf.DUMMYFUNCTION("""COMPUTED_VALUE"""),0)</f>
        <v>0</v>
      </c>
      <c r="O401" s="37">
        <f ca="1">IFERROR(__xludf.DUMMYFUNCTION("""COMPUTED_VALUE"""),0)</f>
        <v>0</v>
      </c>
      <c r="P401" s="37">
        <f ca="1">IFERROR(__xludf.DUMMYFUNCTION("""COMPUTED_VALUE"""),462)</f>
        <v>462</v>
      </c>
      <c r="Q401" s="37">
        <f ca="1">IFERROR(__xludf.DUMMYFUNCTION("""COMPUTED_VALUE"""),1890)</f>
        <v>1890</v>
      </c>
      <c r="R401" s="37">
        <f ca="1">IFERROR(__xludf.DUMMYFUNCTION("""COMPUTED_VALUE"""),0)</f>
        <v>0</v>
      </c>
      <c r="S401" s="37">
        <f ca="1">IFERROR(__xludf.DUMMYFUNCTION("""COMPUTED_VALUE"""),0)</f>
        <v>0</v>
      </c>
      <c r="T401" s="37">
        <f ca="1">IFERROR(__xludf.DUMMYFUNCTION("""COMPUTED_VALUE"""),0)</f>
        <v>0</v>
      </c>
      <c r="U401" s="37">
        <f ca="1">IFERROR(__xludf.DUMMYFUNCTION("""COMPUTED_VALUE"""),0)</f>
        <v>0</v>
      </c>
      <c r="V401" s="37">
        <f ca="1">IFERROR(__xludf.DUMMYFUNCTION("""COMPUTED_VALUE"""),0)</f>
        <v>0</v>
      </c>
      <c r="W401" s="37">
        <f ca="1">IFERROR(__xludf.DUMMYFUNCTION("""COMPUTED_VALUE"""),0)</f>
        <v>0</v>
      </c>
      <c r="X401" s="37">
        <f ca="1">IFERROR(__xludf.DUMMYFUNCTION("""COMPUTED_VALUE"""),0)</f>
        <v>0</v>
      </c>
      <c r="Y401" s="37">
        <f ca="1">IFERROR(__xludf.DUMMYFUNCTION("""COMPUTED_VALUE"""),0)</f>
        <v>0</v>
      </c>
      <c r="Z401" s="37">
        <f ca="1">IFERROR(__xludf.DUMMYFUNCTION("""COMPUTED_VALUE"""),0)</f>
        <v>0</v>
      </c>
    </row>
    <row r="402" spans="1:26" ht="12.75">
      <c r="A402" s="38" t="str">
        <f ca="1">IFERROR(__xludf.DUMMYFUNCTION("""COMPUTED_VALUE"""),"Tocantinópolis")</f>
        <v>Tocantinópolis</v>
      </c>
      <c r="B402" s="38" t="str">
        <f ca="1">IFERROR(__xludf.DUMMYFUNCTION("""COMPUTED_VALUE"""),"Nazare")</f>
        <v>Nazare</v>
      </c>
      <c r="C402" s="39" t="str">
        <f ca="1">IFERROR(__xludf.DUMMYFUNCTION("""COMPUTED_VALUE"""),"ASSOC. DE APOIO A ESC. EST.ESPECIAL BEM VIVER")</f>
        <v>ASSOC. DE APOIO A ESC. EST.ESPECIAL BEM VIVER</v>
      </c>
      <c r="D402" s="40" t="str">
        <f ca="1">IFERROR(__xludf.DUMMYFUNCTION("""COMPUTED_VALUE"""),"10520927000106")</f>
        <v>10520927000106</v>
      </c>
      <c r="E402" s="41" t="str">
        <f ca="1">IFERROR(__xludf.DUMMYFUNCTION("""COMPUTED_VALUE"""),"001")</f>
        <v>001</v>
      </c>
      <c r="F402" s="42" t="str">
        <f ca="1">IFERROR(__xludf.DUMMYFUNCTION("""COMPUTED_VALUE"""),"0810")</f>
        <v>0810</v>
      </c>
      <c r="G402" s="42" t="str">
        <f ca="1">IFERROR(__xludf.DUMMYFUNCTION("""COMPUTED_VALUE"""),"200336")</f>
        <v>200336</v>
      </c>
      <c r="H402" s="42">
        <f ca="1">IFERROR(__xludf.DUMMYFUNCTION("""COMPUTED_VALUE"""),0)</f>
        <v>0</v>
      </c>
      <c r="I402" s="42">
        <f ca="1">IFERROR(__xludf.DUMMYFUNCTION("""COMPUTED_VALUE"""),210)</f>
        <v>210</v>
      </c>
      <c r="J402" s="42">
        <f ca="1">IFERROR(__xludf.DUMMYFUNCTION("""COMPUTED_VALUE"""),441)</f>
        <v>441</v>
      </c>
      <c r="K402" s="42">
        <f ca="1">IFERROR(__xludf.DUMMYFUNCTION("""COMPUTED_VALUE"""),0)</f>
        <v>0</v>
      </c>
      <c r="L402" s="42">
        <f ca="1">IFERROR(__xludf.DUMMYFUNCTION("""COMPUTED_VALUE"""),0)</f>
        <v>0</v>
      </c>
      <c r="M402" s="42">
        <f ca="1">IFERROR(__xludf.DUMMYFUNCTION("""COMPUTED_VALUE"""),0)</f>
        <v>0</v>
      </c>
      <c r="N402" s="42">
        <f ca="1">IFERROR(__xludf.DUMMYFUNCTION("""COMPUTED_VALUE"""),0)</f>
        <v>0</v>
      </c>
      <c r="O402" s="42">
        <f ca="1">IFERROR(__xludf.DUMMYFUNCTION("""COMPUTED_VALUE"""),0)</f>
        <v>0</v>
      </c>
      <c r="P402" s="42">
        <f ca="1">IFERROR(__xludf.DUMMYFUNCTION("""COMPUTED_VALUE"""),0)</f>
        <v>0</v>
      </c>
      <c r="Q402" s="42">
        <f ca="1">IFERROR(__xludf.DUMMYFUNCTION("""COMPUTED_VALUE"""),0)</f>
        <v>0</v>
      </c>
      <c r="R402" s="42">
        <f ca="1">IFERROR(__xludf.DUMMYFUNCTION("""COMPUTED_VALUE"""),0)</f>
        <v>0</v>
      </c>
      <c r="S402" s="42">
        <f ca="1">IFERROR(__xludf.DUMMYFUNCTION("""COMPUTED_VALUE"""),0)</f>
        <v>0</v>
      </c>
      <c r="T402" s="42">
        <f ca="1">IFERROR(__xludf.DUMMYFUNCTION("""COMPUTED_VALUE"""),1218)</f>
        <v>1218</v>
      </c>
      <c r="U402" s="42">
        <f ca="1">IFERROR(__xludf.DUMMYFUNCTION("""COMPUTED_VALUE"""),0)</f>
        <v>0</v>
      </c>
      <c r="V402" s="42">
        <f ca="1">IFERROR(__xludf.DUMMYFUNCTION("""COMPUTED_VALUE"""),0)</f>
        <v>0</v>
      </c>
      <c r="W402" s="42">
        <f ca="1">IFERROR(__xludf.DUMMYFUNCTION("""COMPUTED_VALUE"""),0)</f>
        <v>0</v>
      </c>
      <c r="X402" s="42">
        <f ca="1">IFERROR(__xludf.DUMMYFUNCTION("""COMPUTED_VALUE"""),0)</f>
        <v>0</v>
      </c>
      <c r="Y402" s="42">
        <f ca="1">IFERROR(__xludf.DUMMYFUNCTION("""COMPUTED_VALUE"""),0)</f>
        <v>0</v>
      </c>
      <c r="Z402" s="42">
        <f ca="1">IFERROR(__xludf.DUMMYFUNCTION("""COMPUTED_VALUE"""),0)</f>
        <v>0</v>
      </c>
    </row>
    <row r="403" spans="1:26" ht="12.75">
      <c r="A403" s="33" t="str">
        <f ca="1">IFERROR(__xludf.DUMMYFUNCTION("""COMPUTED_VALUE"""),"Tocantinópolis")</f>
        <v>Tocantinópolis</v>
      </c>
      <c r="B403" s="33" t="str">
        <f ca="1">IFERROR(__xludf.DUMMYFUNCTION("""COMPUTED_VALUE"""),"Nazare")</f>
        <v>Nazare</v>
      </c>
      <c r="C403" s="34" t="str">
        <f ca="1">IFERROR(__xludf.DUMMYFUNCTION("""COMPUTED_VALUE"""),"A.A. ESC. EST. DOM CORNELIO CHIZZINI")</f>
        <v>A.A. ESC. EST. DOM CORNELIO CHIZZINI</v>
      </c>
      <c r="D403" s="35" t="str">
        <f ca="1">IFERROR(__xludf.DUMMYFUNCTION("""COMPUTED_VALUE"""),"01230233000143")</f>
        <v>01230233000143</v>
      </c>
      <c r="E403" s="36" t="str">
        <f ca="1">IFERROR(__xludf.DUMMYFUNCTION("""COMPUTED_VALUE"""),"001")</f>
        <v>001</v>
      </c>
      <c r="F403" s="37" t="str">
        <f ca="1">IFERROR(__xludf.DUMMYFUNCTION("""COMPUTED_VALUE"""),"0810")</f>
        <v>0810</v>
      </c>
      <c r="G403" s="37" t="str">
        <f ca="1">IFERROR(__xludf.DUMMYFUNCTION("""COMPUTED_VALUE"""),"21776X")</f>
        <v>21776X</v>
      </c>
      <c r="H403" s="37">
        <f ca="1">IFERROR(__xludf.DUMMYFUNCTION("""COMPUTED_VALUE"""),0)</f>
        <v>0</v>
      </c>
      <c r="I403" s="37">
        <f ca="1">IFERROR(__xludf.DUMMYFUNCTION("""COMPUTED_VALUE"""),0)</f>
        <v>0</v>
      </c>
      <c r="J403" s="37">
        <f ca="1">IFERROR(__xludf.DUMMYFUNCTION("""COMPUTED_VALUE"""),1344)</f>
        <v>1344</v>
      </c>
      <c r="K403" s="37">
        <f ca="1">IFERROR(__xludf.DUMMYFUNCTION("""COMPUTED_VALUE"""),0)</f>
        <v>0</v>
      </c>
      <c r="L403" s="37">
        <f ca="1">IFERROR(__xludf.DUMMYFUNCTION("""COMPUTED_VALUE"""),0)</f>
        <v>0</v>
      </c>
      <c r="M403" s="37">
        <f ca="1">IFERROR(__xludf.DUMMYFUNCTION("""COMPUTED_VALUE"""),0)</f>
        <v>0</v>
      </c>
      <c r="N403" s="37">
        <f ca="1">IFERROR(__xludf.DUMMYFUNCTION("""COMPUTED_VALUE"""),0)</f>
        <v>0</v>
      </c>
      <c r="O403" s="37">
        <f ca="1">IFERROR(__xludf.DUMMYFUNCTION("""COMPUTED_VALUE"""),0)</f>
        <v>0</v>
      </c>
      <c r="P403" s="37">
        <f ca="1">IFERROR(__xludf.DUMMYFUNCTION("""COMPUTED_VALUE"""),0)</f>
        <v>0</v>
      </c>
      <c r="Q403" s="37">
        <f ca="1">IFERROR(__xludf.DUMMYFUNCTION("""COMPUTED_VALUE"""),987)</f>
        <v>987</v>
      </c>
      <c r="R403" s="37">
        <f ca="1">IFERROR(__xludf.DUMMYFUNCTION("""COMPUTED_VALUE"""),0)</f>
        <v>0</v>
      </c>
      <c r="S403" s="37">
        <f ca="1">IFERROR(__xludf.DUMMYFUNCTION("""COMPUTED_VALUE"""),0)</f>
        <v>0</v>
      </c>
      <c r="T403" s="37">
        <f ca="1">IFERROR(__xludf.DUMMYFUNCTION("""COMPUTED_VALUE"""),0)</f>
        <v>0</v>
      </c>
      <c r="U403" s="37">
        <f ca="1">IFERROR(__xludf.DUMMYFUNCTION("""COMPUTED_VALUE"""),0)</f>
        <v>0</v>
      </c>
      <c r="V403" s="37">
        <f ca="1">IFERROR(__xludf.DUMMYFUNCTION("""COMPUTED_VALUE"""),0)</f>
        <v>0</v>
      </c>
      <c r="W403" s="37">
        <f ca="1">IFERROR(__xludf.DUMMYFUNCTION("""COMPUTED_VALUE"""),0)</f>
        <v>0</v>
      </c>
      <c r="X403" s="37">
        <f ca="1">IFERROR(__xludf.DUMMYFUNCTION("""COMPUTED_VALUE"""),0)</f>
        <v>0</v>
      </c>
      <c r="Y403" s="37">
        <f ca="1">IFERROR(__xludf.DUMMYFUNCTION("""COMPUTED_VALUE"""),0)</f>
        <v>0</v>
      </c>
      <c r="Z403" s="37">
        <f ca="1">IFERROR(__xludf.DUMMYFUNCTION("""COMPUTED_VALUE"""),0)</f>
        <v>0</v>
      </c>
    </row>
    <row r="404" spans="1:26" ht="12.75">
      <c r="A404" s="38" t="str">
        <f ca="1">IFERROR(__xludf.DUMMYFUNCTION("""COMPUTED_VALUE"""),"Tocantinópolis")</f>
        <v>Tocantinópolis</v>
      </c>
      <c r="B404" s="38" t="str">
        <f ca="1">IFERROR(__xludf.DUMMYFUNCTION("""COMPUTED_VALUE"""),"Nazare")</f>
        <v>Nazare</v>
      </c>
      <c r="C404" s="39" t="str">
        <f ca="1">IFERROR(__xludf.DUMMYFUNCTION("""COMPUTED_VALUE"""),"A.A.  DA ESCOLA ESTADUAL PIACAVA")</f>
        <v>A.A.  DA ESCOLA ESTADUAL PIACAVA</v>
      </c>
      <c r="D404" s="40" t="str">
        <f ca="1">IFERROR(__xludf.DUMMYFUNCTION("""COMPUTED_VALUE"""),"01230239000110")</f>
        <v>01230239000110</v>
      </c>
      <c r="E404" s="41" t="str">
        <f ca="1">IFERROR(__xludf.DUMMYFUNCTION("""COMPUTED_VALUE"""),"001")</f>
        <v>001</v>
      </c>
      <c r="F404" s="42" t="str">
        <f ca="1">IFERROR(__xludf.DUMMYFUNCTION("""COMPUTED_VALUE"""),"0810")</f>
        <v>0810</v>
      </c>
      <c r="G404" s="42" t="str">
        <f ca="1">IFERROR(__xludf.DUMMYFUNCTION("""COMPUTED_VALUE"""),"217883")</f>
        <v>217883</v>
      </c>
      <c r="H404" s="42">
        <f ca="1">IFERROR(__xludf.DUMMYFUNCTION("""COMPUTED_VALUE"""),0)</f>
        <v>0</v>
      </c>
      <c r="I404" s="42">
        <f ca="1">IFERROR(__xludf.DUMMYFUNCTION("""COMPUTED_VALUE"""),0)</f>
        <v>0</v>
      </c>
      <c r="J404" s="42">
        <f ca="1">IFERROR(__xludf.DUMMYFUNCTION("""COMPUTED_VALUE"""),987)</f>
        <v>987</v>
      </c>
      <c r="K404" s="42">
        <f ca="1">IFERROR(__xludf.DUMMYFUNCTION("""COMPUTED_VALUE"""),0)</f>
        <v>0</v>
      </c>
      <c r="L404" s="42">
        <f ca="1">IFERROR(__xludf.DUMMYFUNCTION("""COMPUTED_VALUE"""),0)</f>
        <v>0</v>
      </c>
      <c r="M404" s="42">
        <f ca="1">IFERROR(__xludf.DUMMYFUNCTION("""COMPUTED_VALUE"""),0)</f>
        <v>0</v>
      </c>
      <c r="N404" s="42">
        <f ca="1">IFERROR(__xludf.DUMMYFUNCTION("""COMPUTED_VALUE"""),0)</f>
        <v>0</v>
      </c>
      <c r="O404" s="42">
        <f ca="1">IFERROR(__xludf.DUMMYFUNCTION("""COMPUTED_VALUE"""),0)</f>
        <v>0</v>
      </c>
      <c r="P404" s="42">
        <f ca="1">IFERROR(__xludf.DUMMYFUNCTION("""COMPUTED_VALUE"""),0)</f>
        <v>0</v>
      </c>
      <c r="Q404" s="42">
        <f ca="1">IFERROR(__xludf.DUMMYFUNCTION("""COMPUTED_VALUE"""),609)</f>
        <v>609</v>
      </c>
      <c r="R404" s="42">
        <f ca="1">IFERROR(__xludf.DUMMYFUNCTION("""COMPUTED_VALUE"""),0)</f>
        <v>0</v>
      </c>
      <c r="S404" s="42">
        <f ca="1">IFERROR(__xludf.DUMMYFUNCTION("""COMPUTED_VALUE"""),0)</f>
        <v>0</v>
      </c>
      <c r="T404" s="42">
        <f ca="1">IFERROR(__xludf.DUMMYFUNCTION("""COMPUTED_VALUE"""),504)</f>
        <v>504</v>
      </c>
      <c r="U404" s="42">
        <f ca="1">IFERROR(__xludf.DUMMYFUNCTION("""COMPUTED_VALUE"""),0)</f>
        <v>0</v>
      </c>
      <c r="V404" s="42">
        <f ca="1">IFERROR(__xludf.DUMMYFUNCTION("""COMPUTED_VALUE"""),0)</f>
        <v>0</v>
      </c>
      <c r="W404" s="42">
        <f ca="1">IFERROR(__xludf.DUMMYFUNCTION("""COMPUTED_VALUE"""),0)</f>
        <v>0</v>
      </c>
      <c r="X404" s="42">
        <f ca="1">IFERROR(__xludf.DUMMYFUNCTION("""COMPUTED_VALUE"""),0)</f>
        <v>0</v>
      </c>
      <c r="Y404" s="42">
        <f ca="1">IFERROR(__xludf.DUMMYFUNCTION("""COMPUTED_VALUE"""),0)</f>
        <v>0</v>
      </c>
      <c r="Z404" s="42">
        <f ca="1">IFERROR(__xludf.DUMMYFUNCTION("""COMPUTED_VALUE"""),0)</f>
        <v>0</v>
      </c>
    </row>
    <row r="405" spans="1:26" ht="12.75">
      <c r="A405" s="33" t="str">
        <f ca="1">IFERROR(__xludf.DUMMYFUNCTION("""COMPUTED_VALUE"""),"Tocantinópolis")</f>
        <v>Tocantinópolis</v>
      </c>
      <c r="B405" s="33" t="str">
        <f ca="1">IFERROR(__xludf.DUMMYFUNCTION("""COMPUTED_VALUE"""),"Palmeiras do Tocantins")</f>
        <v>Palmeiras do Tocantins</v>
      </c>
      <c r="C405" s="34" t="str">
        <f ca="1">IFERROR(__xludf.DUMMYFUNCTION("""COMPUTED_VALUE"""),"A.A. ESC. EST. RAIMUNDO NEIVA DE CARVALHO")</f>
        <v>A.A. ESC. EST. RAIMUNDO NEIVA DE CARVALHO</v>
      </c>
      <c r="D405" s="35" t="str">
        <f ca="1">IFERROR(__xludf.DUMMYFUNCTION("""COMPUTED_VALUE"""),"01213533000114")</f>
        <v>01213533000114</v>
      </c>
      <c r="E405" s="36" t="str">
        <f ca="1">IFERROR(__xludf.DUMMYFUNCTION("""COMPUTED_VALUE"""),"001")</f>
        <v>001</v>
      </c>
      <c r="F405" s="37" t="str">
        <f ca="1">IFERROR(__xludf.DUMMYFUNCTION("""COMPUTED_VALUE"""),"0810")</f>
        <v>0810</v>
      </c>
      <c r="G405" s="37" t="str">
        <f ca="1">IFERROR(__xludf.DUMMYFUNCTION("""COMPUTED_VALUE"""),"0027529")</f>
        <v>0027529</v>
      </c>
      <c r="H405" s="37">
        <f ca="1">IFERROR(__xludf.DUMMYFUNCTION("""COMPUTED_VALUE"""),0)</f>
        <v>0</v>
      </c>
      <c r="I405" s="37">
        <f ca="1">IFERROR(__xludf.DUMMYFUNCTION("""COMPUTED_VALUE"""),0)</f>
        <v>0</v>
      </c>
      <c r="J405" s="37">
        <f ca="1">IFERROR(__xludf.DUMMYFUNCTION("""COMPUTED_VALUE"""),4494)</f>
        <v>4494</v>
      </c>
      <c r="K405" s="37">
        <f ca="1">IFERROR(__xludf.DUMMYFUNCTION("""COMPUTED_VALUE"""),0)</f>
        <v>0</v>
      </c>
      <c r="L405" s="37">
        <f ca="1">IFERROR(__xludf.DUMMYFUNCTION("""COMPUTED_VALUE"""),0)</f>
        <v>0</v>
      </c>
      <c r="M405" s="37">
        <f ca="1">IFERROR(__xludf.DUMMYFUNCTION("""COMPUTED_VALUE"""),0)</f>
        <v>0</v>
      </c>
      <c r="N405" s="37">
        <f ca="1">IFERROR(__xludf.DUMMYFUNCTION("""COMPUTED_VALUE"""),0)</f>
        <v>0</v>
      </c>
      <c r="O405" s="37">
        <f ca="1">IFERROR(__xludf.DUMMYFUNCTION("""COMPUTED_VALUE"""),0)</f>
        <v>0</v>
      </c>
      <c r="P405" s="37">
        <f ca="1">IFERROR(__xludf.DUMMYFUNCTION("""COMPUTED_VALUE"""),336)</f>
        <v>336</v>
      </c>
      <c r="Q405" s="37">
        <f ca="1">IFERROR(__xludf.DUMMYFUNCTION("""COMPUTED_VALUE"""),5439)</f>
        <v>5439</v>
      </c>
      <c r="R405" s="37">
        <f ca="1">IFERROR(__xludf.DUMMYFUNCTION("""COMPUTED_VALUE"""),0)</f>
        <v>0</v>
      </c>
      <c r="S405" s="37">
        <f ca="1">IFERROR(__xludf.DUMMYFUNCTION("""COMPUTED_VALUE"""),0)</f>
        <v>0</v>
      </c>
      <c r="T405" s="37">
        <f ca="1">IFERROR(__xludf.DUMMYFUNCTION("""COMPUTED_VALUE"""),0)</f>
        <v>0</v>
      </c>
      <c r="U405" s="37">
        <f ca="1">IFERROR(__xludf.DUMMYFUNCTION("""COMPUTED_VALUE"""),0)</f>
        <v>0</v>
      </c>
      <c r="V405" s="37">
        <f ca="1">IFERROR(__xludf.DUMMYFUNCTION("""COMPUTED_VALUE"""),0)</f>
        <v>0</v>
      </c>
      <c r="W405" s="37">
        <f ca="1">IFERROR(__xludf.DUMMYFUNCTION("""COMPUTED_VALUE"""),0)</f>
        <v>0</v>
      </c>
      <c r="X405" s="37">
        <f ca="1">IFERROR(__xludf.DUMMYFUNCTION("""COMPUTED_VALUE"""),0)</f>
        <v>0</v>
      </c>
      <c r="Y405" s="37">
        <f ca="1">IFERROR(__xludf.DUMMYFUNCTION("""COMPUTED_VALUE"""),0)</f>
        <v>0</v>
      </c>
      <c r="Z405" s="37">
        <f ca="1">IFERROR(__xludf.DUMMYFUNCTION("""COMPUTED_VALUE"""),0)</f>
        <v>0</v>
      </c>
    </row>
    <row r="406" spans="1:26" ht="12.75">
      <c r="A406" s="38" t="str">
        <f ca="1">IFERROR(__xludf.DUMMYFUNCTION("""COMPUTED_VALUE"""),"Tocantinópolis")</f>
        <v>Tocantinópolis</v>
      </c>
      <c r="B406" s="38" t="str">
        <f ca="1">IFERROR(__xludf.DUMMYFUNCTION("""COMPUTED_VALUE"""),"Palmeiras do Tocantins")</f>
        <v>Palmeiras do Tocantins</v>
      </c>
      <c r="C406" s="39" t="str">
        <f ca="1">IFERROR(__xludf.DUMMYFUNCTION("""COMPUTED_VALUE"""),"A. DE APOIO DA E. E. PE. CESARE LELLI")</f>
        <v>A. DE APOIO DA E. E. PE. CESARE LELLI</v>
      </c>
      <c r="D406" s="40" t="str">
        <f ca="1">IFERROR(__xludf.DUMMYFUNCTION("""COMPUTED_VALUE"""),"03778873000118")</f>
        <v>03778873000118</v>
      </c>
      <c r="E406" s="41" t="str">
        <f ca="1">IFERROR(__xludf.DUMMYFUNCTION("""COMPUTED_VALUE"""),"001")</f>
        <v>001</v>
      </c>
      <c r="F406" s="42" t="str">
        <f ca="1">IFERROR(__xludf.DUMMYFUNCTION("""COMPUTED_VALUE"""),"0810")</f>
        <v>0810</v>
      </c>
      <c r="G406" s="42" t="str">
        <f ca="1">IFERROR(__xludf.DUMMYFUNCTION("""COMPUTED_VALUE"""),"82007")</f>
        <v>82007</v>
      </c>
      <c r="H406" s="42">
        <f ca="1">IFERROR(__xludf.DUMMYFUNCTION("""COMPUTED_VALUE"""),0)</f>
        <v>0</v>
      </c>
      <c r="I406" s="42">
        <f ca="1">IFERROR(__xludf.DUMMYFUNCTION("""COMPUTED_VALUE"""),0)</f>
        <v>0</v>
      </c>
      <c r="J406" s="42">
        <f ca="1">IFERROR(__xludf.DUMMYFUNCTION("""COMPUTED_VALUE"""),4095)</f>
        <v>4095</v>
      </c>
      <c r="K406" s="42">
        <f ca="1">IFERROR(__xludf.DUMMYFUNCTION("""COMPUTED_VALUE"""),0)</f>
        <v>0</v>
      </c>
      <c r="L406" s="42">
        <f ca="1">IFERROR(__xludf.DUMMYFUNCTION("""COMPUTED_VALUE"""),0)</f>
        <v>0</v>
      </c>
      <c r="M406" s="42">
        <f ca="1">IFERROR(__xludf.DUMMYFUNCTION("""COMPUTED_VALUE"""),0)</f>
        <v>0</v>
      </c>
      <c r="N406" s="42">
        <f ca="1">IFERROR(__xludf.DUMMYFUNCTION("""COMPUTED_VALUE"""),0)</f>
        <v>0</v>
      </c>
      <c r="O406" s="42">
        <f ca="1">IFERROR(__xludf.DUMMYFUNCTION("""COMPUTED_VALUE"""),0)</f>
        <v>0</v>
      </c>
      <c r="P406" s="42">
        <f ca="1">IFERROR(__xludf.DUMMYFUNCTION("""COMPUTED_VALUE"""),483)</f>
        <v>483</v>
      </c>
      <c r="Q406" s="42">
        <f ca="1">IFERROR(__xludf.DUMMYFUNCTION("""COMPUTED_VALUE"""),0)</f>
        <v>0</v>
      </c>
      <c r="R406" s="42">
        <f ca="1">IFERROR(__xludf.DUMMYFUNCTION("""COMPUTED_VALUE"""),0)</f>
        <v>0</v>
      </c>
      <c r="S406" s="42">
        <f ca="1">IFERROR(__xludf.DUMMYFUNCTION("""COMPUTED_VALUE"""),0)</f>
        <v>0</v>
      </c>
      <c r="T406" s="42">
        <f ca="1">IFERROR(__xludf.DUMMYFUNCTION("""COMPUTED_VALUE"""),0)</f>
        <v>0</v>
      </c>
      <c r="U406" s="42">
        <f ca="1">IFERROR(__xludf.DUMMYFUNCTION("""COMPUTED_VALUE"""),0)</f>
        <v>0</v>
      </c>
      <c r="V406" s="42">
        <f ca="1">IFERROR(__xludf.DUMMYFUNCTION("""COMPUTED_VALUE"""),0)</f>
        <v>0</v>
      </c>
      <c r="W406" s="42">
        <f ca="1">IFERROR(__xludf.DUMMYFUNCTION("""COMPUTED_VALUE"""),0)</f>
        <v>0</v>
      </c>
      <c r="X406" s="42">
        <f ca="1">IFERROR(__xludf.DUMMYFUNCTION("""COMPUTED_VALUE"""),0)</f>
        <v>0</v>
      </c>
      <c r="Y406" s="42">
        <f ca="1">IFERROR(__xludf.DUMMYFUNCTION("""COMPUTED_VALUE"""),0)</f>
        <v>0</v>
      </c>
      <c r="Z406" s="42">
        <f ca="1">IFERROR(__xludf.DUMMYFUNCTION("""COMPUTED_VALUE"""),0)</f>
        <v>0</v>
      </c>
    </row>
    <row r="407" spans="1:26" ht="12.75">
      <c r="A407" s="33" t="str">
        <f ca="1">IFERROR(__xludf.DUMMYFUNCTION("""COMPUTED_VALUE"""),"Tocantinópolis")</f>
        <v>Tocantinópolis</v>
      </c>
      <c r="B407" s="33" t="str">
        <f ca="1">IFERROR(__xludf.DUMMYFUNCTION("""COMPUTED_VALUE"""),"Santa Terezinha do Tocantins")</f>
        <v>Santa Terezinha do Tocantins</v>
      </c>
      <c r="C407" s="34" t="str">
        <f ca="1">IFERROR(__xludf.DUMMYFUNCTION("""COMPUTED_VALUE"""),"ASS. A. ESC. EST. DR JOSE FELICIANO FERREIRA")</f>
        <v>ASS. A. ESC. EST. DR JOSE FELICIANO FERREIRA</v>
      </c>
      <c r="D407" s="35" t="str">
        <f ca="1">IFERROR(__xludf.DUMMYFUNCTION("""COMPUTED_VALUE"""),"01077441000154")</f>
        <v>01077441000154</v>
      </c>
      <c r="E407" s="36" t="str">
        <f ca="1">IFERROR(__xludf.DUMMYFUNCTION("""COMPUTED_VALUE"""),"001")</f>
        <v>001</v>
      </c>
      <c r="F407" s="37" t="str">
        <f ca="1">IFERROR(__xludf.DUMMYFUNCTION("""COMPUTED_VALUE"""),"0810")</f>
        <v>0810</v>
      </c>
      <c r="G407" s="37" t="str">
        <f ca="1">IFERROR(__xludf.DUMMYFUNCTION("""COMPUTED_VALUE"""),"0026085")</f>
        <v>0026085</v>
      </c>
      <c r="H407" s="37">
        <f ca="1">IFERROR(__xludf.DUMMYFUNCTION("""COMPUTED_VALUE"""),0)</f>
        <v>0</v>
      </c>
      <c r="I407" s="37">
        <f ca="1">IFERROR(__xludf.DUMMYFUNCTION("""COMPUTED_VALUE"""),0)</f>
        <v>0</v>
      </c>
      <c r="J407" s="37">
        <f ca="1">IFERROR(__xludf.DUMMYFUNCTION("""COMPUTED_VALUE"""),1281)</f>
        <v>1281</v>
      </c>
      <c r="K407" s="37">
        <f ca="1">IFERROR(__xludf.DUMMYFUNCTION("""COMPUTED_VALUE"""),0)</f>
        <v>0</v>
      </c>
      <c r="L407" s="37">
        <f ca="1">IFERROR(__xludf.DUMMYFUNCTION("""COMPUTED_VALUE"""),0)</f>
        <v>0</v>
      </c>
      <c r="M407" s="37">
        <f ca="1">IFERROR(__xludf.DUMMYFUNCTION("""COMPUTED_VALUE"""),0)</f>
        <v>0</v>
      </c>
      <c r="N407" s="37">
        <f ca="1">IFERROR(__xludf.DUMMYFUNCTION("""COMPUTED_VALUE"""),0)</f>
        <v>0</v>
      </c>
      <c r="O407" s="37">
        <f ca="1">IFERROR(__xludf.DUMMYFUNCTION("""COMPUTED_VALUE"""),0)</f>
        <v>0</v>
      </c>
      <c r="P407" s="37">
        <f ca="1">IFERROR(__xludf.DUMMYFUNCTION("""COMPUTED_VALUE"""),0)</f>
        <v>0</v>
      </c>
      <c r="Q407" s="37">
        <f ca="1">IFERROR(__xludf.DUMMYFUNCTION("""COMPUTED_VALUE"""),1806)</f>
        <v>1806</v>
      </c>
      <c r="R407" s="37">
        <f ca="1">IFERROR(__xludf.DUMMYFUNCTION("""COMPUTED_VALUE"""),0)</f>
        <v>0</v>
      </c>
      <c r="S407" s="37">
        <f ca="1">IFERROR(__xludf.DUMMYFUNCTION("""COMPUTED_VALUE"""),0)</f>
        <v>0</v>
      </c>
      <c r="T407" s="37">
        <f ca="1">IFERROR(__xludf.DUMMYFUNCTION("""COMPUTED_VALUE"""),0)</f>
        <v>0</v>
      </c>
      <c r="U407" s="37">
        <f ca="1">IFERROR(__xludf.DUMMYFUNCTION("""COMPUTED_VALUE"""),0)</f>
        <v>0</v>
      </c>
      <c r="V407" s="37">
        <f ca="1">IFERROR(__xludf.DUMMYFUNCTION("""COMPUTED_VALUE"""),0)</f>
        <v>0</v>
      </c>
      <c r="W407" s="37">
        <f ca="1">IFERROR(__xludf.DUMMYFUNCTION("""COMPUTED_VALUE"""),0)</f>
        <v>0</v>
      </c>
      <c r="X407" s="37">
        <f ca="1">IFERROR(__xludf.DUMMYFUNCTION("""COMPUTED_VALUE"""),0)</f>
        <v>0</v>
      </c>
      <c r="Y407" s="37">
        <f ca="1">IFERROR(__xludf.DUMMYFUNCTION("""COMPUTED_VALUE"""),0)</f>
        <v>0</v>
      </c>
      <c r="Z407" s="37">
        <f ca="1">IFERROR(__xludf.DUMMYFUNCTION("""COMPUTED_VALUE"""),0)</f>
        <v>0</v>
      </c>
    </row>
    <row r="408" spans="1:26" ht="12.75">
      <c r="A408" s="38" t="str">
        <f ca="1">IFERROR(__xludf.DUMMYFUNCTION("""COMPUTED_VALUE"""),"Tocantinópolis")</f>
        <v>Tocantinópolis</v>
      </c>
      <c r="B408" s="38" t="str">
        <f ca="1">IFERROR(__xludf.DUMMYFUNCTION("""COMPUTED_VALUE"""),"Tocantinopolis")</f>
        <v>Tocantinopolis</v>
      </c>
      <c r="C408" s="39" t="str">
        <f ca="1">IFERROR(__xludf.DUMMYFUNCTION("""COMPUTED_VALUE"""),"A.A ESC. EST.INDIGENAS NRE TOCANTINOPOLIS")</f>
        <v>A.A ESC. EST.INDIGENAS NRE TOCANTINOPOLIS</v>
      </c>
      <c r="D408" s="40" t="str">
        <f ca="1">IFERROR(__xludf.DUMMYFUNCTION("""COMPUTED_VALUE"""),"06171083000168")</f>
        <v>06171083000168</v>
      </c>
      <c r="E408" s="41" t="str">
        <f ca="1">IFERROR(__xludf.DUMMYFUNCTION("""COMPUTED_VALUE"""),"001")</f>
        <v>001</v>
      </c>
      <c r="F408" s="42" t="str">
        <f ca="1">IFERROR(__xludf.DUMMYFUNCTION("""COMPUTED_VALUE"""),"0810")</f>
        <v>0810</v>
      </c>
      <c r="G408" s="42" t="str">
        <f ca="1">IFERROR(__xludf.DUMMYFUNCTION("""COMPUTED_VALUE"""),"140538")</f>
        <v>140538</v>
      </c>
      <c r="H408" s="42">
        <f ca="1">IFERROR(__xludf.DUMMYFUNCTION("""COMPUTED_VALUE"""),0)</f>
        <v>0</v>
      </c>
      <c r="I408" s="42">
        <f ca="1">IFERROR(__xludf.DUMMYFUNCTION("""COMPUTED_VALUE"""),0)</f>
        <v>0</v>
      </c>
      <c r="J408" s="42">
        <f ca="1">IFERROR(__xludf.DUMMYFUNCTION("""COMPUTED_VALUE"""),0)</f>
        <v>0</v>
      </c>
      <c r="K408" s="42">
        <f ca="1">IFERROR(__xludf.DUMMYFUNCTION("""COMPUTED_VALUE"""),0)</f>
        <v>0</v>
      </c>
      <c r="L408" s="42">
        <f ca="1">IFERROR(__xludf.DUMMYFUNCTION("""COMPUTED_VALUE"""),0)</f>
        <v>0</v>
      </c>
      <c r="M408" s="42">
        <f ca="1">IFERROR(__xludf.DUMMYFUNCTION("""COMPUTED_VALUE"""),0)</f>
        <v>0</v>
      </c>
      <c r="N408" s="42">
        <f ca="1">IFERROR(__xludf.DUMMYFUNCTION("""COMPUTED_VALUE"""),0)</f>
        <v>0</v>
      </c>
      <c r="O408" s="42">
        <f ca="1">IFERROR(__xludf.DUMMYFUNCTION("""COMPUTED_VALUE"""),11823)</f>
        <v>11823</v>
      </c>
      <c r="P408" s="42">
        <f ca="1">IFERROR(__xludf.DUMMYFUNCTION("""COMPUTED_VALUE"""),0)</f>
        <v>0</v>
      </c>
      <c r="Q408" s="42">
        <f ca="1">IFERROR(__xludf.DUMMYFUNCTION("""COMPUTED_VALUE"""),0)</f>
        <v>0</v>
      </c>
      <c r="R408" s="42">
        <f ca="1">IFERROR(__xludf.DUMMYFUNCTION("""COMPUTED_VALUE"""),0)</f>
        <v>0</v>
      </c>
      <c r="S408" s="42">
        <f ca="1">IFERROR(__xludf.DUMMYFUNCTION("""COMPUTED_VALUE"""),0)</f>
        <v>0</v>
      </c>
      <c r="T408" s="42">
        <f ca="1">IFERROR(__xludf.DUMMYFUNCTION("""COMPUTED_VALUE"""),0)</f>
        <v>0</v>
      </c>
      <c r="U408" s="42">
        <f ca="1">IFERROR(__xludf.DUMMYFUNCTION("""COMPUTED_VALUE"""),0)</f>
        <v>0</v>
      </c>
      <c r="V408" s="42">
        <f ca="1">IFERROR(__xludf.DUMMYFUNCTION("""COMPUTED_VALUE"""),0)</f>
        <v>0</v>
      </c>
      <c r="W408" s="42">
        <f ca="1">IFERROR(__xludf.DUMMYFUNCTION("""COMPUTED_VALUE"""),0)</f>
        <v>0</v>
      </c>
      <c r="X408" s="42">
        <f ca="1">IFERROR(__xludf.DUMMYFUNCTION("""COMPUTED_VALUE"""),0)</f>
        <v>0</v>
      </c>
      <c r="Y408" s="42">
        <f ca="1">IFERROR(__xludf.DUMMYFUNCTION("""COMPUTED_VALUE"""),0)</f>
        <v>0</v>
      </c>
      <c r="Z408" s="42">
        <f ca="1">IFERROR(__xludf.DUMMYFUNCTION("""COMPUTED_VALUE"""),0)</f>
        <v>0</v>
      </c>
    </row>
    <row r="409" spans="1:26" ht="12.75">
      <c r="A409" s="33" t="str">
        <f ca="1">IFERROR(__xludf.DUMMYFUNCTION("""COMPUTED_VALUE"""),"Tocantinópolis")</f>
        <v>Tocantinópolis</v>
      </c>
      <c r="B409" s="33" t="str">
        <f ca="1">IFERROR(__xludf.DUMMYFUNCTION("""COMPUTED_VALUE"""),"Tocantinopolis")</f>
        <v>Tocantinopolis</v>
      </c>
      <c r="C409" s="34" t="str">
        <f ca="1">IFERROR(__xludf.DUMMYFUNCTION("""COMPUTED_VALUE"""),"A.A. AS ESC. EST.INDIGENAS MATYK E APORO")</f>
        <v>A.A. AS ESC. EST.INDIGENAS MATYK E APORO</v>
      </c>
      <c r="D409" s="35" t="str">
        <f ca="1">IFERROR(__xludf.DUMMYFUNCTION("""COMPUTED_VALUE"""),"03544096000147")</f>
        <v>03544096000147</v>
      </c>
      <c r="E409" s="36" t="str">
        <f ca="1">IFERROR(__xludf.DUMMYFUNCTION("""COMPUTED_VALUE"""),"001")</f>
        <v>001</v>
      </c>
      <c r="F409" s="37" t="str">
        <f ca="1">IFERROR(__xludf.DUMMYFUNCTION("""COMPUTED_VALUE"""),"0810")</f>
        <v>0810</v>
      </c>
      <c r="G409" s="37" t="str">
        <f ca="1">IFERROR(__xludf.DUMMYFUNCTION("""COMPUTED_VALUE"""),"67423")</f>
        <v>67423</v>
      </c>
      <c r="H409" s="37">
        <f ca="1">IFERROR(__xludf.DUMMYFUNCTION("""COMPUTED_VALUE"""),0)</f>
        <v>0</v>
      </c>
      <c r="I409" s="37">
        <f ca="1">IFERROR(__xludf.DUMMYFUNCTION("""COMPUTED_VALUE"""),0)</f>
        <v>0</v>
      </c>
      <c r="J409" s="37">
        <f ca="1">IFERROR(__xludf.DUMMYFUNCTION("""COMPUTED_VALUE"""),0)</f>
        <v>0</v>
      </c>
      <c r="K409" s="37">
        <f ca="1">IFERROR(__xludf.DUMMYFUNCTION("""COMPUTED_VALUE"""),0)</f>
        <v>0</v>
      </c>
      <c r="L409" s="37">
        <f ca="1">IFERROR(__xludf.DUMMYFUNCTION("""COMPUTED_VALUE"""),0)</f>
        <v>0</v>
      </c>
      <c r="M409" s="37">
        <f ca="1">IFERROR(__xludf.DUMMYFUNCTION("""COMPUTED_VALUE"""),0)</f>
        <v>0</v>
      </c>
      <c r="N409" s="37">
        <f ca="1">IFERROR(__xludf.DUMMYFUNCTION("""COMPUTED_VALUE"""),0)</f>
        <v>0</v>
      </c>
      <c r="O409" s="37">
        <f ca="1">IFERROR(__xludf.DUMMYFUNCTION("""COMPUTED_VALUE"""),14322)</f>
        <v>14322</v>
      </c>
      <c r="P409" s="37">
        <f ca="1">IFERROR(__xludf.DUMMYFUNCTION("""COMPUTED_VALUE"""),0)</f>
        <v>0</v>
      </c>
      <c r="Q409" s="37">
        <f ca="1">IFERROR(__xludf.DUMMYFUNCTION("""COMPUTED_VALUE"""),0)</f>
        <v>0</v>
      </c>
      <c r="R409" s="37">
        <f ca="1">IFERROR(__xludf.DUMMYFUNCTION("""COMPUTED_VALUE"""),0)</f>
        <v>0</v>
      </c>
      <c r="S409" s="37">
        <f ca="1">IFERROR(__xludf.DUMMYFUNCTION("""COMPUTED_VALUE"""),0)</f>
        <v>0</v>
      </c>
      <c r="T409" s="37">
        <f ca="1">IFERROR(__xludf.DUMMYFUNCTION("""COMPUTED_VALUE"""),0)</f>
        <v>0</v>
      </c>
      <c r="U409" s="37">
        <f ca="1">IFERROR(__xludf.DUMMYFUNCTION("""COMPUTED_VALUE"""),0)</f>
        <v>0</v>
      </c>
      <c r="V409" s="37">
        <f ca="1">IFERROR(__xludf.DUMMYFUNCTION("""COMPUTED_VALUE"""),0)</f>
        <v>0</v>
      </c>
      <c r="W409" s="37">
        <f ca="1">IFERROR(__xludf.DUMMYFUNCTION("""COMPUTED_VALUE"""),0)</f>
        <v>0</v>
      </c>
      <c r="X409" s="37">
        <f ca="1">IFERROR(__xludf.DUMMYFUNCTION("""COMPUTED_VALUE"""),0)</f>
        <v>0</v>
      </c>
      <c r="Y409" s="37">
        <f ca="1">IFERROR(__xludf.DUMMYFUNCTION("""COMPUTED_VALUE"""),0)</f>
        <v>0</v>
      </c>
      <c r="Z409" s="37">
        <f ca="1">IFERROR(__xludf.DUMMYFUNCTION("""COMPUTED_VALUE"""),0)</f>
        <v>0</v>
      </c>
    </row>
    <row r="410" spans="1:26" ht="12.75">
      <c r="A410" s="38" t="str">
        <f ca="1">IFERROR(__xludf.DUMMYFUNCTION("""COMPUTED_VALUE"""),"Tocantinópolis")</f>
        <v>Tocantinópolis</v>
      </c>
      <c r="B410" s="38" t="str">
        <f ca="1">IFERROR(__xludf.DUMMYFUNCTION("""COMPUTED_VALUE"""),"Tocantinopolis")</f>
        <v>Tocantinopolis</v>
      </c>
      <c r="C410" s="39" t="str">
        <f ca="1">IFERROR(__xludf.DUMMYFUNCTION("""COMPUTED_VALUE"""),"ASSOC.PAIS E MESTRES COL. EST. DEP.DARCY MARINHO")</f>
        <v>ASSOC.PAIS E MESTRES COL. EST. DEP.DARCY MARINHO</v>
      </c>
      <c r="D410" s="40" t="str">
        <f ca="1">IFERROR(__xludf.DUMMYFUNCTION("""COMPUTED_VALUE"""),"01230236000187")</f>
        <v>01230236000187</v>
      </c>
      <c r="E410" s="41" t="str">
        <f ca="1">IFERROR(__xludf.DUMMYFUNCTION("""COMPUTED_VALUE"""),"001")</f>
        <v>001</v>
      </c>
      <c r="F410" s="42" t="str">
        <f ca="1">IFERROR(__xludf.DUMMYFUNCTION("""COMPUTED_VALUE"""),"0810")</f>
        <v>0810</v>
      </c>
      <c r="G410" s="42" t="str">
        <f ca="1">IFERROR(__xludf.DUMMYFUNCTION("""COMPUTED_VALUE"""),"297410")</f>
        <v>297410</v>
      </c>
      <c r="H410" s="42">
        <f ca="1">IFERROR(__xludf.DUMMYFUNCTION("""COMPUTED_VALUE"""),0)</f>
        <v>0</v>
      </c>
      <c r="I410" s="42">
        <f ca="1">IFERROR(__xludf.DUMMYFUNCTION("""COMPUTED_VALUE"""),0)</f>
        <v>0</v>
      </c>
      <c r="J410" s="42">
        <f ca="1">IFERROR(__xludf.DUMMYFUNCTION("""COMPUTED_VALUE"""),0)</f>
        <v>0</v>
      </c>
      <c r="K410" s="42">
        <f ca="1">IFERROR(__xludf.DUMMYFUNCTION("""COMPUTED_VALUE"""),0)</f>
        <v>0</v>
      </c>
      <c r="L410" s="42">
        <f ca="1">IFERROR(__xludf.DUMMYFUNCTION("""COMPUTED_VALUE"""),0)</f>
        <v>0</v>
      </c>
      <c r="M410" s="42">
        <f ca="1">IFERROR(__xludf.DUMMYFUNCTION("""COMPUTED_VALUE"""),0)</f>
        <v>0</v>
      </c>
      <c r="N410" s="42">
        <f ca="1">IFERROR(__xludf.DUMMYFUNCTION("""COMPUTED_VALUE"""),0)</f>
        <v>0</v>
      </c>
      <c r="O410" s="42">
        <f ca="1">IFERROR(__xludf.DUMMYFUNCTION("""COMPUTED_VALUE"""),0)</f>
        <v>0</v>
      </c>
      <c r="P410" s="42">
        <f ca="1">IFERROR(__xludf.DUMMYFUNCTION("""COMPUTED_VALUE"""),504)</f>
        <v>504</v>
      </c>
      <c r="Q410" s="42">
        <f ca="1">IFERROR(__xludf.DUMMYFUNCTION("""COMPUTED_VALUE"""),0)</f>
        <v>0</v>
      </c>
      <c r="R410" s="42">
        <f ca="1">IFERROR(__xludf.DUMMYFUNCTION("""COMPUTED_VALUE"""),0)</f>
        <v>0</v>
      </c>
      <c r="S410" s="42">
        <f ca="1">IFERROR(__xludf.DUMMYFUNCTION("""COMPUTED_VALUE"""),14346.8)</f>
        <v>14346.8</v>
      </c>
      <c r="T410" s="42">
        <f ca="1">IFERROR(__xludf.DUMMYFUNCTION("""COMPUTED_VALUE"""),0)</f>
        <v>0</v>
      </c>
      <c r="U410" s="42">
        <f ca="1">IFERROR(__xludf.DUMMYFUNCTION("""COMPUTED_VALUE"""),0)</f>
        <v>0</v>
      </c>
      <c r="V410" s="42">
        <f ca="1">IFERROR(__xludf.DUMMYFUNCTION("""COMPUTED_VALUE"""),0)</f>
        <v>0</v>
      </c>
      <c r="W410" s="42">
        <f ca="1">IFERROR(__xludf.DUMMYFUNCTION("""COMPUTED_VALUE"""),1447.19999999999)</f>
        <v>1447.19999999999</v>
      </c>
      <c r="X410" s="42">
        <f ca="1">IFERROR(__xludf.DUMMYFUNCTION("""COMPUTED_VALUE"""),0)</f>
        <v>0</v>
      </c>
      <c r="Y410" s="42">
        <f ca="1">IFERROR(__xludf.DUMMYFUNCTION("""COMPUTED_VALUE"""),0)</f>
        <v>0</v>
      </c>
      <c r="Z410" s="42">
        <f ca="1">IFERROR(__xludf.DUMMYFUNCTION("""COMPUTED_VALUE"""),0)</f>
        <v>0</v>
      </c>
    </row>
    <row r="411" spans="1:26" ht="12.75">
      <c r="A411" s="33" t="str">
        <f ca="1">IFERROR(__xludf.DUMMYFUNCTION("""COMPUTED_VALUE"""),"Tocantinópolis")</f>
        <v>Tocantinópolis</v>
      </c>
      <c r="B411" s="33" t="str">
        <f ca="1">IFERROR(__xludf.DUMMYFUNCTION("""COMPUTED_VALUE"""),"Tocantinopolis")</f>
        <v>Tocantinopolis</v>
      </c>
      <c r="C411" s="34" t="str">
        <f ca="1">IFERROR(__xludf.DUMMYFUNCTION("""COMPUTED_VALUE"""),"ASSOC. APOIO AO COLÉGIODOM ORIONE")</f>
        <v>ASSOC. APOIO AO COLÉGIODOM ORIONE</v>
      </c>
      <c r="D411" s="35" t="str">
        <f ca="1">IFERROR(__xludf.DUMMYFUNCTION("""COMPUTED_VALUE"""),"13033002000129")</f>
        <v>13033002000129</v>
      </c>
      <c r="E411" s="36" t="str">
        <f ca="1">IFERROR(__xludf.DUMMYFUNCTION("""COMPUTED_VALUE"""),"001")</f>
        <v>001</v>
      </c>
      <c r="F411" s="37" t="str">
        <f ca="1">IFERROR(__xludf.DUMMYFUNCTION("""COMPUTED_VALUE"""),"0810")</f>
        <v>0810</v>
      </c>
      <c r="G411" s="37" t="str">
        <f ca="1">IFERROR(__xludf.DUMMYFUNCTION("""COMPUTED_VALUE"""),"254193")</f>
        <v>254193</v>
      </c>
      <c r="H411" s="37">
        <f ca="1">IFERROR(__xludf.DUMMYFUNCTION("""COMPUTED_VALUE"""),0)</f>
        <v>0</v>
      </c>
      <c r="I411" s="37">
        <f ca="1">IFERROR(__xludf.DUMMYFUNCTION("""COMPUTED_VALUE"""),0)</f>
        <v>0</v>
      </c>
      <c r="J411" s="37">
        <f ca="1">IFERROR(__xludf.DUMMYFUNCTION("""COMPUTED_VALUE"""),3885)</f>
        <v>3885</v>
      </c>
      <c r="K411" s="37">
        <f ca="1">IFERROR(__xludf.DUMMYFUNCTION("""COMPUTED_VALUE"""),0)</f>
        <v>0</v>
      </c>
      <c r="L411" s="37">
        <f ca="1">IFERROR(__xludf.DUMMYFUNCTION("""COMPUTED_VALUE"""),0)</f>
        <v>0</v>
      </c>
      <c r="M411" s="37">
        <f ca="1">IFERROR(__xludf.DUMMYFUNCTION("""COMPUTED_VALUE"""),0)</f>
        <v>0</v>
      </c>
      <c r="N411" s="37">
        <f ca="1">IFERROR(__xludf.DUMMYFUNCTION("""COMPUTED_VALUE"""),0)</f>
        <v>0</v>
      </c>
      <c r="O411" s="37">
        <f ca="1">IFERROR(__xludf.DUMMYFUNCTION("""COMPUTED_VALUE"""),0)</f>
        <v>0</v>
      </c>
      <c r="P411" s="37">
        <f ca="1">IFERROR(__xludf.DUMMYFUNCTION("""COMPUTED_VALUE"""),567)</f>
        <v>567</v>
      </c>
      <c r="Q411" s="37">
        <f ca="1">IFERROR(__xludf.DUMMYFUNCTION("""COMPUTED_VALUE"""),7917)</f>
        <v>7917</v>
      </c>
      <c r="R411" s="37">
        <f ca="1">IFERROR(__xludf.DUMMYFUNCTION("""COMPUTED_VALUE"""),0)</f>
        <v>0</v>
      </c>
      <c r="S411" s="37">
        <f ca="1">IFERROR(__xludf.DUMMYFUNCTION("""COMPUTED_VALUE"""),0)</f>
        <v>0</v>
      </c>
      <c r="T411" s="37">
        <f ca="1">IFERROR(__xludf.DUMMYFUNCTION("""COMPUTED_VALUE"""),0)</f>
        <v>0</v>
      </c>
      <c r="U411" s="37">
        <f ca="1">IFERROR(__xludf.DUMMYFUNCTION("""COMPUTED_VALUE"""),0)</f>
        <v>0</v>
      </c>
      <c r="V411" s="37">
        <f ca="1">IFERROR(__xludf.DUMMYFUNCTION("""COMPUTED_VALUE"""),0)</f>
        <v>0</v>
      </c>
      <c r="W411" s="37">
        <f ca="1">IFERROR(__xludf.DUMMYFUNCTION("""COMPUTED_VALUE"""),0)</f>
        <v>0</v>
      </c>
      <c r="X411" s="37">
        <f ca="1">IFERROR(__xludf.DUMMYFUNCTION("""COMPUTED_VALUE"""),0)</f>
        <v>0</v>
      </c>
      <c r="Y411" s="37">
        <f ca="1">IFERROR(__xludf.DUMMYFUNCTION("""COMPUTED_VALUE"""),0)</f>
        <v>0</v>
      </c>
      <c r="Z411" s="37">
        <f ca="1">IFERROR(__xludf.DUMMYFUNCTION("""COMPUTED_VALUE"""),0)</f>
        <v>0</v>
      </c>
    </row>
    <row r="412" spans="1:26" ht="12.75">
      <c r="A412" s="38" t="str">
        <f ca="1">IFERROR(__xludf.DUMMYFUNCTION("""COMPUTED_VALUE"""),"Tocantinópolis")</f>
        <v>Tocantinópolis</v>
      </c>
      <c r="B412" s="38" t="str">
        <f ca="1">IFERROR(__xludf.DUMMYFUNCTION("""COMPUTED_VALUE"""),"Tocantinopolis")</f>
        <v>Tocantinopolis</v>
      </c>
      <c r="C412" s="39" t="str">
        <f ca="1">IFERROR(__xludf.DUMMYFUNCTION("""COMPUTED_VALUE"""),"A.A. DO COL.PADRAO/JOSÉ CARNEIRO DE BRITO")</f>
        <v>A.A. DO COL.PADRAO/JOSÉ CARNEIRO DE BRITO</v>
      </c>
      <c r="D412" s="40" t="str">
        <f ca="1">IFERROR(__xludf.DUMMYFUNCTION("""COMPUTED_VALUE"""),"03880040000163")</f>
        <v>03880040000163</v>
      </c>
      <c r="E412" s="41" t="str">
        <f ca="1">IFERROR(__xludf.DUMMYFUNCTION("""COMPUTED_VALUE"""),"001")</f>
        <v>001</v>
      </c>
      <c r="F412" s="42" t="str">
        <f ca="1">IFERROR(__xludf.DUMMYFUNCTION("""COMPUTED_VALUE"""),"0810")</f>
        <v>0810</v>
      </c>
      <c r="G412" s="42" t="str">
        <f ca="1">IFERROR(__xludf.DUMMYFUNCTION("""COMPUTED_VALUE"""),"81884")</f>
        <v>81884</v>
      </c>
      <c r="H412" s="42">
        <f ca="1">IFERROR(__xludf.DUMMYFUNCTION("""COMPUTED_VALUE"""),0)</f>
        <v>0</v>
      </c>
      <c r="I412" s="42">
        <f ca="1">IFERROR(__xludf.DUMMYFUNCTION("""COMPUTED_VALUE"""),0)</f>
        <v>0</v>
      </c>
      <c r="J412" s="42">
        <f ca="1">IFERROR(__xludf.DUMMYFUNCTION("""COMPUTED_VALUE"""),3675)</f>
        <v>3675</v>
      </c>
      <c r="K412" s="42">
        <f ca="1">IFERROR(__xludf.DUMMYFUNCTION("""COMPUTED_VALUE"""),0)</f>
        <v>0</v>
      </c>
      <c r="L412" s="42">
        <f ca="1">IFERROR(__xludf.DUMMYFUNCTION("""COMPUTED_VALUE"""),0)</f>
        <v>0</v>
      </c>
      <c r="M412" s="42">
        <f ca="1">IFERROR(__xludf.DUMMYFUNCTION("""COMPUTED_VALUE"""),0)</f>
        <v>0</v>
      </c>
      <c r="N412" s="42">
        <f ca="1">IFERROR(__xludf.DUMMYFUNCTION("""COMPUTED_VALUE"""),0)</f>
        <v>0</v>
      </c>
      <c r="O412" s="42">
        <f ca="1">IFERROR(__xludf.DUMMYFUNCTION("""COMPUTED_VALUE"""),0)</f>
        <v>0</v>
      </c>
      <c r="P412" s="42">
        <f ca="1">IFERROR(__xludf.DUMMYFUNCTION("""COMPUTED_VALUE"""),420)</f>
        <v>420</v>
      </c>
      <c r="Q412" s="42">
        <f ca="1">IFERROR(__xludf.DUMMYFUNCTION("""COMPUTED_VALUE"""),5166)</f>
        <v>5166</v>
      </c>
      <c r="R412" s="42">
        <f ca="1">IFERROR(__xludf.DUMMYFUNCTION("""COMPUTED_VALUE"""),0)</f>
        <v>0</v>
      </c>
      <c r="S412" s="42">
        <f ca="1">IFERROR(__xludf.DUMMYFUNCTION("""COMPUTED_VALUE"""),0)</f>
        <v>0</v>
      </c>
      <c r="T412" s="42">
        <f ca="1">IFERROR(__xludf.DUMMYFUNCTION("""COMPUTED_VALUE"""),1281)</f>
        <v>1281</v>
      </c>
      <c r="U412" s="42">
        <f ca="1">IFERROR(__xludf.DUMMYFUNCTION("""COMPUTED_VALUE"""),0)</f>
        <v>0</v>
      </c>
      <c r="V412" s="42">
        <f ca="1">IFERROR(__xludf.DUMMYFUNCTION("""COMPUTED_VALUE"""),0)</f>
        <v>0</v>
      </c>
      <c r="W412" s="42">
        <f ca="1">IFERROR(__xludf.DUMMYFUNCTION("""COMPUTED_VALUE"""),0)</f>
        <v>0</v>
      </c>
      <c r="X412" s="42">
        <f ca="1">IFERROR(__xludf.DUMMYFUNCTION("""COMPUTED_VALUE"""),0)</f>
        <v>0</v>
      </c>
      <c r="Y412" s="42">
        <f ca="1">IFERROR(__xludf.DUMMYFUNCTION("""COMPUTED_VALUE"""),0)</f>
        <v>0</v>
      </c>
      <c r="Z412" s="42">
        <f ca="1">IFERROR(__xludf.DUMMYFUNCTION("""COMPUTED_VALUE"""),0)</f>
        <v>0</v>
      </c>
    </row>
    <row r="413" spans="1:26" ht="12.75">
      <c r="A413" s="49" t="str">
        <f ca="1">IFERROR(__xludf.DUMMYFUNCTION("""COMPUTED_VALUE"""),"Tocantinópolis")</f>
        <v>Tocantinópolis</v>
      </c>
      <c r="B413" s="49" t="str">
        <f ca="1">IFERROR(__xludf.DUMMYFUNCTION("""COMPUTED_VALUE"""),"Tocantinopolis")</f>
        <v>Tocantinopolis</v>
      </c>
      <c r="C413" s="50" t="str">
        <f ca="1">IFERROR(__xludf.DUMMYFUNCTION("""COMPUTED_VALUE"""),"ASSOCIAÇÃO DE APOIO A ESCOLA ESPECIAL UM PASSO DIFERENTE -APAE")</f>
        <v>ASSOCIAÇÃO DE APOIO A ESCOLA ESPECIAL UM PASSO DIFERENTE -APAE</v>
      </c>
      <c r="D413" s="51" t="str">
        <f ca="1">IFERROR(__xludf.DUMMYFUNCTION("""COMPUTED_VALUE"""),"08012610000117")</f>
        <v>08012610000117</v>
      </c>
      <c r="E413" s="52" t="str">
        <f ca="1">IFERROR(__xludf.DUMMYFUNCTION("""COMPUTED_VALUE"""),"001")</f>
        <v>001</v>
      </c>
      <c r="F413" s="53" t="str">
        <f ca="1">IFERROR(__xludf.DUMMYFUNCTION("""COMPUTED_VALUE"""),"0810")</f>
        <v>0810</v>
      </c>
      <c r="G413" s="53" t="str">
        <f ca="1">IFERROR(__xludf.DUMMYFUNCTION("""COMPUTED_VALUE"""),"204250")</f>
        <v>204250</v>
      </c>
      <c r="H413" s="53">
        <f ca="1">IFERROR(__xludf.DUMMYFUNCTION("""COMPUTED_VALUE"""),0)</f>
        <v>0</v>
      </c>
      <c r="I413" s="53">
        <f ca="1">IFERROR(__xludf.DUMMYFUNCTION("""COMPUTED_VALUE"""),63)</f>
        <v>63</v>
      </c>
      <c r="J413" s="53">
        <f ca="1">IFERROR(__xludf.DUMMYFUNCTION("""COMPUTED_VALUE"""),168)</f>
        <v>168</v>
      </c>
      <c r="K413" s="53">
        <f ca="1">IFERROR(__xludf.DUMMYFUNCTION("""COMPUTED_VALUE"""),0)</f>
        <v>0</v>
      </c>
      <c r="L413" s="53">
        <f ca="1">IFERROR(__xludf.DUMMYFUNCTION("""COMPUTED_VALUE"""),0)</f>
        <v>0</v>
      </c>
      <c r="M413" s="53">
        <f ca="1">IFERROR(__xludf.DUMMYFUNCTION("""COMPUTED_VALUE"""),0)</f>
        <v>0</v>
      </c>
      <c r="N413" s="53">
        <f ca="1">IFERROR(__xludf.DUMMYFUNCTION("""COMPUTED_VALUE"""),0)</f>
        <v>0</v>
      </c>
      <c r="O413" s="53">
        <f ca="1">IFERROR(__xludf.DUMMYFUNCTION("""COMPUTED_VALUE"""),0)</f>
        <v>0</v>
      </c>
      <c r="P413" s="53">
        <f ca="1">IFERROR(__xludf.DUMMYFUNCTION("""COMPUTED_VALUE"""),0)</f>
        <v>0</v>
      </c>
      <c r="Q413" s="53">
        <f ca="1">IFERROR(__xludf.DUMMYFUNCTION("""COMPUTED_VALUE"""),0)</f>
        <v>0</v>
      </c>
      <c r="R413" s="53">
        <f ca="1">IFERROR(__xludf.DUMMYFUNCTION("""COMPUTED_VALUE"""),0)</f>
        <v>0</v>
      </c>
      <c r="S413" s="53">
        <f ca="1">IFERROR(__xludf.DUMMYFUNCTION("""COMPUTED_VALUE"""),0)</f>
        <v>0</v>
      </c>
      <c r="T413" s="53">
        <f ca="1">IFERROR(__xludf.DUMMYFUNCTION("""COMPUTED_VALUE"""),1785)</f>
        <v>1785</v>
      </c>
      <c r="U413" s="53">
        <f ca="1">IFERROR(__xludf.DUMMYFUNCTION("""COMPUTED_VALUE"""),0)</f>
        <v>0</v>
      </c>
      <c r="V413" s="53">
        <f ca="1">IFERROR(__xludf.DUMMYFUNCTION("""COMPUTED_VALUE"""),0)</f>
        <v>0</v>
      </c>
      <c r="W413" s="53">
        <f ca="1">IFERROR(__xludf.DUMMYFUNCTION("""COMPUTED_VALUE"""),0)</f>
        <v>0</v>
      </c>
      <c r="X413" s="53">
        <f ca="1">IFERROR(__xludf.DUMMYFUNCTION("""COMPUTED_VALUE"""),0)</f>
        <v>0</v>
      </c>
      <c r="Y413" s="53">
        <f ca="1">IFERROR(__xludf.DUMMYFUNCTION("""COMPUTED_VALUE"""),0)</f>
        <v>0</v>
      </c>
      <c r="Z413" s="53">
        <f ca="1">IFERROR(__xludf.DUMMYFUNCTION("""COMPUTED_VALUE"""),0)</f>
        <v>0</v>
      </c>
    </row>
    <row r="414" spans="1:26" ht="12.75">
      <c r="A414" s="54" t="str">
        <f ca="1">IFERROR(__xludf.DUMMYFUNCTION("""COMPUTED_VALUE"""),"Tocantinópolis")</f>
        <v>Tocantinópolis</v>
      </c>
      <c r="B414" s="54" t="str">
        <f ca="1">IFERROR(__xludf.DUMMYFUNCTION("""COMPUTED_VALUE"""),"Tocantinopolis")</f>
        <v>Tocantinopolis</v>
      </c>
      <c r="C414" s="55" t="str">
        <f ca="1">IFERROR(__xludf.DUMMYFUNCTION("""COMPUTED_VALUE"""),"A.A. ESC. E. E.PROF.ALDENORA A.CORREIA")</f>
        <v>A.A. ESC. E. E.PROF.ALDENORA A.CORREIA</v>
      </c>
      <c r="D414" s="56" t="str">
        <f ca="1">IFERROR(__xludf.DUMMYFUNCTION("""COMPUTED_VALUE"""),"01213527000167")</f>
        <v>01213527000167</v>
      </c>
      <c r="E414" s="57" t="str">
        <f ca="1">IFERROR(__xludf.DUMMYFUNCTION("""COMPUTED_VALUE"""),"001")</f>
        <v>001</v>
      </c>
      <c r="F414" s="58" t="str">
        <f ca="1">IFERROR(__xludf.DUMMYFUNCTION("""COMPUTED_VALUE"""),"0810")</f>
        <v>0810</v>
      </c>
      <c r="G414" s="58" t="str">
        <f ca="1">IFERROR(__xludf.DUMMYFUNCTION("""COMPUTED_VALUE"""),"58319")</f>
        <v>58319</v>
      </c>
      <c r="H414" s="59">
        <f ca="1">IFERROR(__xludf.DUMMYFUNCTION("""COMPUTED_VALUE"""),0)</f>
        <v>0</v>
      </c>
      <c r="I414" s="59">
        <f ca="1">IFERROR(__xludf.DUMMYFUNCTION("""COMPUTED_VALUE"""),0)</f>
        <v>0</v>
      </c>
      <c r="J414" s="59">
        <f ca="1">IFERROR(__xludf.DUMMYFUNCTION("""COMPUTED_VALUE"""),0)</f>
        <v>0</v>
      </c>
      <c r="K414" s="59">
        <f ca="1">IFERROR(__xludf.DUMMYFUNCTION("""COMPUTED_VALUE"""),9016)</f>
        <v>9016</v>
      </c>
      <c r="L414" s="59">
        <f ca="1">IFERROR(__xludf.DUMMYFUNCTION("""COMPUTED_VALUE"""),0)</f>
        <v>0</v>
      </c>
      <c r="M414" s="59">
        <f ca="1">IFERROR(__xludf.DUMMYFUNCTION("""COMPUTED_VALUE"""),0)</f>
        <v>0</v>
      </c>
      <c r="N414" s="59">
        <f ca="1">IFERROR(__xludf.DUMMYFUNCTION("""COMPUTED_VALUE"""),0)</f>
        <v>0</v>
      </c>
      <c r="O414" s="59">
        <f ca="1">IFERROR(__xludf.DUMMYFUNCTION("""COMPUTED_VALUE"""),0)</f>
        <v>0</v>
      </c>
      <c r="P414" s="59">
        <f ca="1">IFERROR(__xludf.DUMMYFUNCTION("""COMPUTED_VALUE"""),168)</f>
        <v>168</v>
      </c>
      <c r="Q414" s="59">
        <f ca="1">IFERROR(__xludf.DUMMYFUNCTION("""COMPUTED_VALUE"""),0)</f>
        <v>0</v>
      </c>
      <c r="R414" s="59">
        <f ca="1">IFERROR(__xludf.DUMMYFUNCTION("""COMPUTED_VALUE"""),0)</f>
        <v>0</v>
      </c>
      <c r="S414" s="59">
        <f ca="1">IFERROR(__xludf.DUMMYFUNCTION("""COMPUTED_VALUE"""),0)</f>
        <v>0</v>
      </c>
      <c r="T414" s="59">
        <f ca="1">IFERROR(__xludf.DUMMYFUNCTION("""COMPUTED_VALUE"""),0)</f>
        <v>0</v>
      </c>
      <c r="U414" s="59">
        <f ca="1">IFERROR(__xludf.DUMMYFUNCTION("""COMPUTED_VALUE"""),0)</f>
        <v>0</v>
      </c>
      <c r="V414" s="59">
        <f ca="1">IFERROR(__xludf.DUMMYFUNCTION("""COMPUTED_VALUE"""),0)</f>
        <v>0</v>
      </c>
      <c r="W414" s="58">
        <f ca="1">IFERROR(__xludf.DUMMYFUNCTION("""COMPUTED_VALUE"""),0)</f>
        <v>0</v>
      </c>
      <c r="X414" s="58">
        <f ca="1">IFERROR(__xludf.DUMMYFUNCTION("""COMPUTED_VALUE"""),0)</f>
        <v>0</v>
      </c>
      <c r="Y414" s="58">
        <f ca="1">IFERROR(__xludf.DUMMYFUNCTION("""COMPUTED_VALUE"""),0)</f>
        <v>0</v>
      </c>
      <c r="Z414" s="58">
        <f ca="1">IFERROR(__xludf.DUMMYFUNCTION("""COMPUTED_VALUE"""),798.4)</f>
        <v>798.4</v>
      </c>
    </row>
    <row r="415" spans="1:26" ht="12.75">
      <c r="A415" t="str">
        <f ca="1">IFERROR(__xludf.DUMMYFUNCTION("""COMPUTED_VALUE"""),"Tocantinópolis")</f>
        <v>Tocantinópolis</v>
      </c>
      <c r="B415" t="str">
        <f ca="1">IFERROR(__xludf.DUMMYFUNCTION("""COMPUTED_VALUE"""),"Tocantinopolis")</f>
        <v>Tocantinopolis</v>
      </c>
      <c r="C415" s="60" t="str">
        <f ca="1">IFERROR(__xludf.DUMMYFUNCTION("""COMPUTED_VALUE"""),"A. PAIS DA ESC. EST. XV DE NOVEMBRO")</f>
        <v>A. PAIS DA ESC. EST. XV DE NOVEMBRO</v>
      </c>
      <c r="D415" s="61" t="str">
        <f ca="1">IFERROR(__xludf.DUMMYFUNCTION("""COMPUTED_VALUE"""),"01213520000145")</f>
        <v>01213520000145</v>
      </c>
      <c r="E415" s="6" t="str">
        <f ca="1">IFERROR(__xludf.DUMMYFUNCTION("""COMPUTED_VALUE"""),"001")</f>
        <v>001</v>
      </c>
      <c r="F415" s="7" t="str">
        <f ca="1">IFERROR(__xludf.DUMMYFUNCTION("""COMPUTED_VALUE"""),"0810")</f>
        <v>0810</v>
      </c>
      <c r="G415" s="7" t="str">
        <f ca="1">IFERROR(__xludf.DUMMYFUNCTION("""COMPUTED_VALUE"""),"58238")</f>
        <v>58238</v>
      </c>
      <c r="H415" s="7">
        <f ca="1">IFERROR(__xludf.DUMMYFUNCTION("""COMPUTED_VALUE"""),0)</f>
        <v>0</v>
      </c>
      <c r="I415" s="7">
        <f ca="1">IFERROR(__xludf.DUMMYFUNCTION("""COMPUTED_VALUE"""),0)</f>
        <v>0</v>
      </c>
      <c r="J415" s="7">
        <f ca="1">IFERROR(__xludf.DUMMYFUNCTION("""COMPUTED_VALUE"""),0)</f>
        <v>0</v>
      </c>
      <c r="K415" s="7">
        <f ca="1">IFERROR(__xludf.DUMMYFUNCTION("""COMPUTED_VALUE"""),12700.8)</f>
        <v>12700.8</v>
      </c>
      <c r="L415" s="7">
        <f ca="1">IFERROR(__xludf.DUMMYFUNCTION("""COMPUTED_VALUE"""),0)</f>
        <v>0</v>
      </c>
      <c r="M415" s="7">
        <f ca="1">IFERROR(__xludf.DUMMYFUNCTION("""COMPUTED_VALUE"""),0)</f>
        <v>0</v>
      </c>
      <c r="N415" s="7">
        <f ca="1">IFERROR(__xludf.DUMMYFUNCTION("""COMPUTED_VALUE"""),0)</f>
        <v>0</v>
      </c>
      <c r="O415" s="7">
        <f ca="1">IFERROR(__xludf.DUMMYFUNCTION("""COMPUTED_VALUE"""),0)</f>
        <v>0</v>
      </c>
      <c r="P415" s="7">
        <f ca="1">IFERROR(__xludf.DUMMYFUNCTION("""COMPUTED_VALUE"""),399)</f>
        <v>399</v>
      </c>
      <c r="Q415" s="7">
        <f ca="1">IFERROR(__xludf.DUMMYFUNCTION("""COMPUTED_VALUE"""),0)</f>
        <v>0</v>
      </c>
      <c r="R415" s="7">
        <f ca="1">IFERROR(__xludf.DUMMYFUNCTION("""COMPUTED_VALUE"""),0)</f>
        <v>0</v>
      </c>
      <c r="S415" s="7">
        <f ca="1">IFERROR(__xludf.DUMMYFUNCTION("""COMPUTED_VALUE"""),0)</f>
        <v>0</v>
      </c>
      <c r="T415" s="7">
        <f ca="1">IFERROR(__xludf.DUMMYFUNCTION("""COMPUTED_VALUE"""),0)</f>
        <v>0</v>
      </c>
      <c r="U415" s="7">
        <f ca="1">IFERROR(__xludf.DUMMYFUNCTION("""COMPUTED_VALUE"""),0)</f>
        <v>0</v>
      </c>
      <c r="V415" s="7">
        <f ca="1">IFERROR(__xludf.DUMMYFUNCTION("""COMPUTED_VALUE"""),0)</f>
        <v>0</v>
      </c>
      <c r="W415" s="7">
        <f ca="1">IFERROR(__xludf.DUMMYFUNCTION("""COMPUTED_VALUE"""),0)</f>
        <v>0</v>
      </c>
      <c r="X415" s="7">
        <f ca="1">IFERROR(__xludf.DUMMYFUNCTION("""COMPUTED_VALUE"""),0)</f>
        <v>0</v>
      </c>
      <c r="Y415" s="7">
        <f ca="1">IFERROR(__xludf.DUMMYFUNCTION("""COMPUTED_VALUE"""),0)</f>
        <v>0</v>
      </c>
      <c r="Z415" s="7">
        <f ca="1">IFERROR(__xludf.DUMMYFUNCTION("""COMPUTED_VALUE"""),1097.8)</f>
        <v>1097.8</v>
      </c>
    </row>
    <row r="416" spans="1:26" ht="12.75">
      <c r="A416" t="str">
        <f ca="1">IFERROR(__xludf.DUMMYFUNCTION("""COMPUTED_VALUE"""),"Tocantinópolis")</f>
        <v>Tocantinópolis</v>
      </c>
      <c r="B416" t="str">
        <f ca="1">IFERROR(__xludf.DUMMYFUNCTION("""COMPUTED_VALUE"""),"Tocantinopolis")</f>
        <v>Tocantinopolis</v>
      </c>
      <c r="C416" s="60" t="str">
        <f ca="1">IFERROR(__xludf.DUMMYFUNCTION("""COMPUTED_VALUE"""),"A. ESCOLAR COM. PE. GIULIANO MORETTI")</f>
        <v>A. ESCOLAR COM. PE. GIULIANO MORETTI</v>
      </c>
      <c r="D416" s="61" t="str">
        <f ca="1">IFERROR(__xludf.DUMMYFUNCTION("""COMPUTED_VALUE"""),"00900202000190")</f>
        <v>00900202000190</v>
      </c>
      <c r="E416" s="6" t="str">
        <f ca="1">IFERROR(__xludf.DUMMYFUNCTION("""COMPUTED_VALUE"""),"001")</f>
        <v>001</v>
      </c>
      <c r="F416" s="7" t="str">
        <f ca="1">IFERROR(__xludf.DUMMYFUNCTION("""COMPUTED_VALUE"""),"0810")</f>
        <v>0810</v>
      </c>
      <c r="G416" s="7" t="str">
        <f ca="1">IFERROR(__xludf.DUMMYFUNCTION("""COMPUTED_VALUE"""),"217484")</f>
        <v>217484</v>
      </c>
      <c r="H416" s="7">
        <f ca="1">IFERROR(__xludf.DUMMYFUNCTION("""COMPUTED_VALUE"""),0)</f>
        <v>0</v>
      </c>
      <c r="I416" s="7">
        <f ca="1">IFERROR(__xludf.DUMMYFUNCTION("""COMPUTED_VALUE"""),0)</f>
        <v>0</v>
      </c>
      <c r="J416" s="7">
        <f ca="1">IFERROR(__xludf.DUMMYFUNCTION("""COMPUTED_VALUE"""),5670)</f>
        <v>5670</v>
      </c>
      <c r="K416" s="7">
        <f ca="1">IFERROR(__xludf.DUMMYFUNCTION("""COMPUTED_VALUE"""),0)</f>
        <v>0</v>
      </c>
      <c r="L416" s="7">
        <f ca="1">IFERROR(__xludf.DUMMYFUNCTION("""COMPUTED_VALUE"""),0)</f>
        <v>0</v>
      </c>
      <c r="M416" s="7">
        <f ca="1">IFERROR(__xludf.DUMMYFUNCTION("""COMPUTED_VALUE"""),0)</f>
        <v>0</v>
      </c>
      <c r="N416" s="7">
        <f ca="1">IFERROR(__xludf.DUMMYFUNCTION("""COMPUTED_VALUE"""),0)</f>
        <v>0</v>
      </c>
      <c r="O416" s="7">
        <f ca="1">IFERROR(__xludf.DUMMYFUNCTION("""COMPUTED_VALUE"""),0)</f>
        <v>0</v>
      </c>
      <c r="P416" s="7">
        <f ca="1">IFERROR(__xludf.DUMMYFUNCTION("""COMPUTED_VALUE"""),1260)</f>
        <v>1260</v>
      </c>
      <c r="Q416" s="7">
        <f ca="1">IFERROR(__xludf.DUMMYFUNCTION("""COMPUTED_VALUE"""),0)</f>
        <v>0</v>
      </c>
      <c r="R416" s="7">
        <f ca="1">IFERROR(__xludf.DUMMYFUNCTION("""COMPUTED_VALUE"""),0)</f>
        <v>0</v>
      </c>
      <c r="S416" s="7">
        <f ca="1">IFERROR(__xludf.DUMMYFUNCTION("""COMPUTED_VALUE"""),0)</f>
        <v>0</v>
      </c>
      <c r="T416" s="7">
        <f ca="1">IFERROR(__xludf.DUMMYFUNCTION("""COMPUTED_VALUE"""),1218)</f>
        <v>1218</v>
      </c>
      <c r="U416" s="7">
        <f ca="1">IFERROR(__xludf.DUMMYFUNCTION("""COMPUTED_VALUE"""),0)</f>
        <v>0</v>
      </c>
      <c r="V416" s="7">
        <f ca="1">IFERROR(__xludf.DUMMYFUNCTION("""COMPUTED_VALUE"""),0)</f>
        <v>0</v>
      </c>
      <c r="W416" s="7">
        <f ca="1">IFERROR(__xludf.DUMMYFUNCTION("""COMPUTED_VALUE"""),0)</f>
        <v>0</v>
      </c>
      <c r="X416" s="7">
        <f ca="1">IFERROR(__xludf.DUMMYFUNCTION("""COMPUTED_VALUE"""),0)</f>
        <v>0</v>
      </c>
      <c r="Y416" s="7">
        <f ca="1">IFERROR(__xludf.DUMMYFUNCTION("""COMPUTED_VALUE"""),0)</f>
        <v>0</v>
      </c>
      <c r="Z416" s="7">
        <f ca="1">IFERROR(__xludf.DUMMYFUNCTION("""COMPUTED_VALUE"""),0)</f>
        <v>0</v>
      </c>
    </row>
    <row r="417" spans="1:26" ht="12.75">
      <c r="A417" t="str">
        <f ca="1">IFERROR(__xludf.DUMMYFUNCTION("""COMPUTED_VALUE"""),"Tocantinópolis")</f>
        <v>Tocantinópolis</v>
      </c>
      <c r="B417" t="str">
        <f ca="1">IFERROR(__xludf.DUMMYFUNCTION("""COMPUTED_VALUE"""),"Tocantinopolis")</f>
        <v>Tocantinopolis</v>
      </c>
      <c r="C417" s="60" t="str">
        <f ca="1">IFERROR(__xludf.DUMMYFUNCTION("""COMPUTED_VALUE"""),"A. DA ESCOLA PAROQUIAL CRISTO REI")</f>
        <v>A. DA ESCOLA PAROQUIAL CRISTO REI</v>
      </c>
      <c r="D417" s="61" t="str">
        <f ca="1">IFERROR(__xludf.DUMMYFUNCTION("""COMPUTED_VALUE"""),"02026329000157")</f>
        <v>02026329000157</v>
      </c>
      <c r="E417" s="6" t="str">
        <f ca="1">IFERROR(__xludf.DUMMYFUNCTION("""COMPUTED_VALUE"""),"001")</f>
        <v>001</v>
      </c>
      <c r="F417" s="7" t="str">
        <f ca="1">IFERROR(__xludf.DUMMYFUNCTION("""COMPUTED_VALUE"""),"0810")</f>
        <v>0810</v>
      </c>
      <c r="G417" s="7" t="str">
        <f ca="1">IFERROR(__xludf.DUMMYFUNCTION("""COMPUTED_VALUE"""),"58149")</f>
        <v>58149</v>
      </c>
      <c r="H417" s="7">
        <f ca="1">IFERROR(__xludf.DUMMYFUNCTION("""COMPUTED_VALUE"""),0)</f>
        <v>0</v>
      </c>
      <c r="I417" s="7">
        <f ca="1">IFERROR(__xludf.DUMMYFUNCTION("""COMPUTED_VALUE"""),0)</f>
        <v>0</v>
      </c>
      <c r="J417" s="7">
        <f ca="1">IFERROR(__xludf.DUMMYFUNCTION("""COMPUTED_VALUE"""),9471)</f>
        <v>9471</v>
      </c>
      <c r="K417" s="7">
        <f ca="1">IFERROR(__xludf.DUMMYFUNCTION("""COMPUTED_VALUE"""),0)</f>
        <v>0</v>
      </c>
      <c r="L417" s="7">
        <f ca="1">IFERROR(__xludf.DUMMYFUNCTION("""COMPUTED_VALUE"""),0)</f>
        <v>0</v>
      </c>
      <c r="M417" s="7">
        <f ca="1">IFERROR(__xludf.DUMMYFUNCTION("""COMPUTED_VALUE"""),0)</f>
        <v>0</v>
      </c>
      <c r="N417" s="7">
        <f ca="1">IFERROR(__xludf.DUMMYFUNCTION("""COMPUTED_VALUE"""),0)</f>
        <v>0</v>
      </c>
      <c r="O417" s="7">
        <f ca="1">IFERROR(__xludf.DUMMYFUNCTION("""COMPUTED_VALUE"""),0)</f>
        <v>0</v>
      </c>
      <c r="P417" s="7">
        <f ca="1">IFERROR(__xludf.DUMMYFUNCTION("""COMPUTED_VALUE"""),714)</f>
        <v>714</v>
      </c>
      <c r="Q417" s="7">
        <f ca="1">IFERROR(__xludf.DUMMYFUNCTION("""COMPUTED_VALUE"""),1365)</f>
        <v>1365</v>
      </c>
      <c r="R417" s="7">
        <f ca="1">IFERROR(__xludf.DUMMYFUNCTION("""COMPUTED_VALUE"""),0)</f>
        <v>0</v>
      </c>
      <c r="S417" s="7">
        <f ca="1">IFERROR(__xludf.DUMMYFUNCTION("""COMPUTED_VALUE"""),0)</f>
        <v>0</v>
      </c>
      <c r="T417" s="7">
        <f ca="1">IFERROR(__xludf.DUMMYFUNCTION("""COMPUTED_VALUE"""),0)</f>
        <v>0</v>
      </c>
      <c r="U417" s="7">
        <f ca="1">IFERROR(__xludf.DUMMYFUNCTION("""COMPUTED_VALUE"""),0)</f>
        <v>0</v>
      </c>
      <c r="V417" s="7">
        <f ca="1">IFERROR(__xludf.DUMMYFUNCTION("""COMPUTED_VALUE"""),0)</f>
        <v>0</v>
      </c>
      <c r="W417" s="7">
        <f ca="1">IFERROR(__xludf.DUMMYFUNCTION("""COMPUTED_VALUE"""),0)</f>
        <v>0</v>
      </c>
      <c r="X417" s="7">
        <f ca="1">IFERROR(__xludf.DUMMYFUNCTION("""COMPUTED_VALUE"""),0)</f>
        <v>0</v>
      </c>
      <c r="Y417" s="7">
        <f ca="1">IFERROR(__xludf.DUMMYFUNCTION("""COMPUTED_VALUE"""),0)</f>
        <v>0</v>
      </c>
      <c r="Z417" s="7">
        <f ca="1">IFERROR(__xludf.DUMMYFUNCTION("""COMPUTED_VALUE"""),0)</f>
        <v>0</v>
      </c>
    </row>
    <row r="418" spans="1:26" ht="12.75">
      <c r="C418" s="60"/>
      <c r="D418" s="61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2.75">
      <c r="D419" s="61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2.75">
      <c r="D420" s="61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2.75">
      <c r="D421" s="61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2.75">
      <c r="D422" s="61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2.75">
      <c r="D423" s="61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2.75">
      <c r="D424" s="61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2.75">
      <c r="D425" s="61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2.75">
      <c r="D426" s="61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2.75">
      <c r="D427" s="61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2.75">
      <c r="D428" s="61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2.75">
      <c r="D429" s="61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2.75">
      <c r="D430" s="61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2.75">
      <c r="D431" s="61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2.75">
      <c r="D432" s="61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4:26" ht="12.75">
      <c r="D433" s="61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4:26" ht="12.75">
      <c r="D434" s="61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4:26" ht="12.75">
      <c r="D435" s="61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4:26" ht="12.75">
      <c r="D436" s="61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4:26" ht="12.75">
      <c r="D437" s="61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4:26" ht="12.75">
      <c r="D438" s="61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4:26" ht="12.75">
      <c r="D439" s="61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4:26" ht="12.75">
      <c r="D440" s="61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4:26" ht="12.75">
      <c r="D441" s="61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4:26" ht="12.75">
      <c r="D442" s="61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4:26" ht="12.75">
      <c r="D443" s="61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4:26" ht="12.75">
      <c r="D444" s="61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4:26" ht="12.75">
      <c r="D445" s="61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4:26" ht="12.75">
      <c r="D446" s="61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4:26" ht="12.75">
      <c r="D447" s="61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4:26" ht="12.75">
      <c r="D448" s="61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4:26" ht="12.75">
      <c r="D449" s="61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4:26" ht="12.75">
      <c r="D450" s="61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4:26" ht="12.75">
      <c r="D451" s="61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4:26" ht="12.75">
      <c r="D452" s="61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4:26" ht="12.75">
      <c r="D453" s="61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4:26" ht="12.75">
      <c r="D454" s="61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4:26" ht="12.75">
      <c r="D455" s="61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4:26" ht="12.75">
      <c r="D456" s="61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4:26" ht="12.75">
      <c r="D457" s="61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4:26" ht="12.75">
      <c r="D458" s="61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4:26" ht="12.75">
      <c r="D459" s="61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4:26" ht="12.75">
      <c r="D460" s="61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4:26" ht="12.75">
      <c r="D461" s="61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4:26" ht="12.75">
      <c r="D462" s="61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4:26" ht="12.75">
      <c r="D463" s="61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4:26" ht="12.75">
      <c r="D464" s="61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4:26" ht="12.75">
      <c r="D465" s="61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4:26" ht="12.75">
      <c r="D466" s="61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4:26" ht="12.75">
      <c r="D467" s="61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4:26" ht="12.75">
      <c r="D468" s="61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4:26" ht="12.75">
      <c r="D469" s="61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4:26" ht="12.75">
      <c r="D470" s="61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4:26" ht="12.75">
      <c r="D471" s="61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4:26" ht="12.75">
      <c r="D472" s="61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4:26" ht="12.75">
      <c r="D473" s="61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4:26" ht="12.75">
      <c r="D474" s="61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4:26" ht="12.75">
      <c r="D475" s="61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4:26" ht="12.75">
      <c r="D476" s="61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4:26" ht="12.75">
      <c r="D477" s="61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4:26" ht="12.75">
      <c r="D478" s="61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4:26" ht="12.75">
      <c r="D479" s="61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4:26" ht="12.75">
      <c r="D480" s="61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4:26" ht="12.75">
      <c r="D481" s="61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4:26" ht="12.75">
      <c r="D482" s="61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4:26" ht="12.75">
      <c r="D483" s="61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4:26" ht="12.75">
      <c r="D484" s="61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4:26" ht="12.75">
      <c r="D485" s="61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4:26" ht="12.75">
      <c r="D486" s="61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4:26" ht="12.75">
      <c r="D487" s="61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4:26" ht="12.75">
      <c r="D488" s="61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4:26" ht="12.75">
      <c r="D489" s="61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4:26" ht="12.75">
      <c r="D490" s="61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4:26" ht="12.75">
      <c r="D491" s="61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4:26" ht="12.75">
      <c r="D492" s="61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4:26" ht="12.75">
      <c r="D493" s="61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4:26" ht="12.75">
      <c r="D494" s="61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4:26" ht="12.75">
      <c r="D495" s="61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4:26" ht="12.75">
      <c r="D496" s="61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4:26" ht="12.75">
      <c r="D497" s="61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4:26" ht="12.75">
      <c r="D498" s="61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4:26" ht="12.75">
      <c r="D499" s="61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4:26" ht="12.75">
      <c r="D500" s="61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4:26" ht="12.75">
      <c r="D501" s="61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4:26" ht="12.75">
      <c r="D502" s="61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4:26" ht="12.75">
      <c r="D503" s="61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4:26" ht="12.75">
      <c r="D504" s="61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4:26" ht="12.75">
      <c r="D505" s="61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4:26" ht="12.75">
      <c r="D506" s="61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4:26" ht="12.75">
      <c r="D507" s="61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4:26" ht="12.75">
      <c r="D508" s="61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4:26" ht="12.75">
      <c r="D509" s="61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4:26" ht="12.75">
      <c r="D510" s="61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4:26" ht="12.75">
      <c r="D511" s="61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4:26" ht="12.75">
      <c r="D512" s="61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4:26" ht="12.75">
      <c r="D513" s="61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4:26" ht="12.75">
      <c r="D514" s="61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4:26" ht="12.75">
      <c r="D515" s="61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4:26" ht="12.75">
      <c r="D516" s="61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4:26" ht="12.75">
      <c r="D517" s="61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4:26" ht="12.75">
      <c r="D518" s="61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4:26" ht="12.75">
      <c r="D519" s="61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4:26" ht="12.75">
      <c r="D520" s="61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4:26" ht="12.75">
      <c r="D521" s="61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4:26" ht="12.75">
      <c r="D522" s="61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4:26" ht="12.75">
      <c r="D523" s="61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4:26" ht="12.75">
      <c r="D524" s="61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4:26" ht="12.75">
      <c r="D525" s="61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4:26" ht="12.75">
      <c r="D526" s="61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4:26" ht="12.75">
      <c r="D527" s="61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4:26" ht="12.75">
      <c r="D528" s="61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4:26" ht="12.75">
      <c r="D529" s="61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4:26" ht="12.75">
      <c r="D530" s="61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4:26" ht="12.75">
      <c r="D531" s="61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4:26" ht="12.75">
      <c r="D532" s="61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4:26" ht="12.75">
      <c r="D533" s="61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4:26" ht="12.75">
      <c r="D534" s="61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4:26" ht="12.75">
      <c r="D535" s="61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4:26" ht="12.75">
      <c r="D536" s="61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4:26" ht="12.75">
      <c r="D537" s="61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4:26" ht="12.75">
      <c r="D538" s="61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4:26" ht="12.75">
      <c r="D539" s="61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4:26" ht="12.75">
      <c r="D540" s="61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4:26" ht="12.75">
      <c r="D541" s="61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4:26" ht="12.75">
      <c r="D542" s="61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4:26" ht="12.75">
      <c r="D543" s="61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4:26" ht="12.75">
      <c r="D544" s="61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4:26" ht="12.75">
      <c r="D545" s="61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4:26" ht="12.75">
      <c r="D546" s="61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4:26" ht="12.75">
      <c r="D547" s="61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4:26" ht="12.75">
      <c r="D548" s="61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4:26" ht="12.75">
      <c r="D549" s="61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4:26" ht="12.75">
      <c r="D550" s="61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4:26" ht="12.75">
      <c r="D551" s="61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4:26" ht="12.75">
      <c r="D552" s="61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4:26" ht="12.75">
      <c r="D553" s="61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4:26" ht="12.75">
      <c r="D554" s="61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4:26" ht="12.75">
      <c r="D555" s="61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4:26" ht="12.75">
      <c r="D556" s="61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4:26" ht="12.75">
      <c r="D557" s="61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4:26" ht="12.75">
      <c r="D558" s="61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4:26" ht="12.75">
      <c r="D559" s="61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4:26" ht="12.75">
      <c r="D560" s="61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4:26" ht="12.75">
      <c r="D561" s="61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4:26" ht="12.75">
      <c r="D562" s="61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4:26" ht="12.75">
      <c r="D563" s="61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4:26" ht="12.75">
      <c r="D564" s="61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4:26" ht="12.75">
      <c r="D565" s="61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4:26" ht="12.75">
      <c r="D566" s="61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4:26" ht="12.75">
      <c r="D567" s="61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4:26" ht="12.75">
      <c r="D568" s="61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4:26" ht="12.75">
      <c r="D569" s="61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4:26" ht="12.75">
      <c r="D570" s="61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4:26" ht="12.75">
      <c r="D571" s="61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4:26" ht="12.75">
      <c r="D572" s="61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4:26" ht="12.75">
      <c r="D573" s="61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4:26" ht="12.75">
      <c r="D574" s="61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4:26" ht="12.75">
      <c r="D575" s="61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4:26" ht="12.75">
      <c r="D576" s="61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4:26" ht="12.75">
      <c r="D577" s="61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4:26" ht="12.75">
      <c r="D578" s="61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4:26" ht="12.75">
      <c r="D579" s="61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4:26" ht="12.75">
      <c r="D580" s="61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4:26" ht="12.75">
      <c r="D581" s="61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4:26" ht="12.75">
      <c r="D582" s="61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4:26" ht="12.75">
      <c r="D583" s="61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4:26" ht="12.75">
      <c r="D584" s="61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4:26" ht="12.75">
      <c r="D585" s="61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4:26" ht="12.75">
      <c r="D586" s="61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4:26" ht="12.75">
      <c r="D587" s="61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4:26" ht="12.75">
      <c r="D588" s="61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4:26" ht="12.75">
      <c r="D589" s="61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4:26" ht="12.75">
      <c r="D590" s="61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4:26" ht="12.75">
      <c r="D591" s="61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4:26" ht="12.75">
      <c r="D592" s="61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4:26" ht="12.75">
      <c r="D593" s="61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4:26" ht="12.75">
      <c r="D594" s="61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4:26" ht="12.75">
      <c r="D595" s="61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4:26" ht="12.75">
      <c r="D596" s="61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4:26" ht="12.75">
      <c r="D597" s="61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4:26" ht="12.75">
      <c r="D598" s="61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4:26" ht="12.75">
      <c r="D599" s="61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4:26" ht="12.75">
      <c r="D600" s="61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4:26" ht="12.75">
      <c r="D601" s="61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4:26" ht="12.75">
      <c r="D602" s="61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4:26" ht="12.75">
      <c r="D603" s="61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4:26" ht="12.75">
      <c r="D604" s="61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4:26" ht="12.75">
      <c r="D605" s="61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4:26" ht="12.75">
      <c r="D606" s="61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4:26" ht="12.75">
      <c r="D607" s="61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4:26" ht="12.75">
      <c r="D608" s="61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4:26" ht="12.75">
      <c r="D609" s="61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4:26" ht="12.75">
      <c r="D610" s="61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4:26" ht="12.75">
      <c r="D611" s="61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4:26" ht="12.75">
      <c r="D612" s="61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4:26" ht="12.75">
      <c r="D613" s="61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4:26" ht="12.75">
      <c r="D614" s="61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4:26" ht="12.75">
      <c r="D615" s="61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4:26" ht="12.75">
      <c r="D616" s="61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4:26" ht="12.75">
      <c r="D617" s="61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4:26" ht="12.75">
      <c r="D618" s="61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4:26" ht="12.75">
      <c r="D619" s="61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4:26" ht="12.75">
      <c r="D620" s="61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4:26" ht="12.75">
      <c r="D621" s="61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4:26" ht="12.75">
      <c r="D622" s="61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4:26" ht="12.75">
      <c r="D623" s="61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4:26" ht="12.75">
      <c r="D624" s="61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4:26" ht="12.75">
      <c r="D625" s="61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4:26" ht="12.75">
      <c r="D626" s="61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4:26" ht="12.75">
      <c r="D627" s="61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4:26" ht="12.75">
      <c r="D628" s="61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4:26" ht="12.75">
      <c r="D629" s="61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4:26" ht="12.75">
      <c r="D630" s="61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4:26" ht="12.75">
      <c r="D631" s="61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4:26" ht="12.75">
      <c r="D632" s="61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4:26" ht="12.75">
      <c r="D633" s="61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4:26" ht="12.75">
      <c r="D634" s="61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4:26" ht="12.75">
      <c r="D635" s="61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4:26" ht="12.75">
      <c r="D636" s="61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4:26" ht="12.75">
      <c r="D637" s="61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4:26" ht="12.75">
      <c r="D638" s="61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4:26" ht="12.75">
      <c r="D639" s="61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4:26" ht="12.75">
      <c r="D640" s="61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4:26" ht="12.75">
      <c r="D641" s="61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4:26" ht="12.75">
      <c r="D642" s="61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4:26" ht="12.75">
      <c r="D643" s="61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4:26" ht="12.75">
      <c r="D644" s="61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4:26" ht="12.75">
      <c r="D645" s="61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4:26" ht="12.75">
      <c r="D646" s="61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4:26" ht="12.75">
      <c r="D647" s="61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4:26" ht="12.75">
      <c r="D648" s="61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4:26" ht="12.75">
      <c r="D649" s="61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4:26" ht="12.75">
      <c r="D650" s="61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4:26" ht="12.75">
      <c r="D651" s="61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4:26" ht="12.75">
      <c r="D652" s="61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4:26" ht="12.75">
      <c r="D653" s="61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4:26" ht="12.75">
      <c r="D654" s="61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4:26" ht="12.75">
      <c r="D655" s="61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4:26" ht="12.75">
      <c r="D656" s="61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4:26" ht="12.75">
      <c r="D657" s="61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4:26" ht="12.75">
      <c r="D658" s="61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4:26" ht="12.75">
      <c r="D659" s="61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4:26" ht="12.75">
      <c r="D660" s="61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4:26" ht="12.75">
      <c r="D661" s="61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4:26" ht="12.75">
      <c r="D662" s="61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4:26" ht="12.75">
      <c r="D663" s="61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4:26" ht="12.75">
      <c r="D664" s="61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4:26" ht="12.75">
      <c r="D665" s="61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4:26" ht="12.75">
      <c r="D666" s="61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4:26" ht="12.75">
      <c r="D667" s="61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4:26" ht="12.75">
      <c r="D668" s="61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4:26" ht="12.75">
      <c r="D669" s="61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4:26" ht="12.75">
      <c r="D670" s="61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4:26" ht="12.75">
      <c r="D671" s="61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4:26" ht="12.75">
      <c r="D672" s="61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4:26" ht="12.75">
      <c r="D673" s="61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4:26" ht="12.75">
      <c r="D674" s="61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4:26" ht="12.75">
      <c r="D675" s="61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4:26" ht="12.75">
      <c r="D676" s="61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4:26" ht="12.75">
      <c r="D677" s="61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4:26" ht="12.75">
      <c r="D678" s="61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4:26" ht="12.75">
      <c r="D679" s="61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4:26" ht="12.75">
      <c r="D680" s="61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4:26" ht="12.75">
      <c r="D681" s="61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4:26" ht="12.75">
      <c r="D682" s="61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4:26" ht="12.75">
      <c r="D683" s="61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4:26" ht="12.75">
      <c r="D684" s="61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4:26" ht="12.75">
      <c r="D685" s="61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4:26" ht="12.75">
      <c r="D686" s="61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4:26" ht="12.75">
      <c r="D687" s="61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4:26" ht="12.75">
      <c r="D688" s="61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4:26" ht="12.75">
      <c r="D689" s="61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4:26" ht="12.75">
      <c r="D690" s="61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4:26" ht="12.75">
      <c r="D691" s="61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4:26" ht="12.75">
      <c r="D692" s="61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4:26" ht="12.75">
      <c r="D693" s="61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4:26" ht="12.75">
      <c r="D694" s="61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4:26" ht="12.75">
      <c r="D695" s="61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4:26" ht="12.75">
      <c r="D696" s="61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4:26" ht="12.75">
      <c r="D697" s="61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4:26" ht="12.75">
      <c r="D698" s="61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4:26" ht="12.75">
      <c r="D699" s="61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4:26" ht="12.75">
      <c r="D700" s="61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4:26" ht="12.75">
      <c r="D701" s="61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4:26" ht="12.75">
      <c r="D702" s="61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4:26" ht="12.75">
      <c r="D703" s="61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4:26" ht="12.75">
      <c r="D704" s="61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4:26" ht="12.75">
      <c r="D705" s="61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4:26" ht="12.75">
      <c r="D706" s="61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4:26" ht="12.75">
      <c r="D707" s="61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4:26" ht="12.75">
      <c r="D708" s="61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4:26" ht="12.75">
      <c r="D709" s="61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4:26" ht="12.75">
      <c r="D710" s="61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4:26" ht="12.75">
      <c r="D711" s="61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4:26" ht="12.75">
      <c r="D712" s="61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4:26" ht="12.75">
      <c r="D713" s="61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4:26" ht="12.75">
      <c r="D714" s="61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4:26" ht="12.75">
      <c r="D715" s="61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4:26" ht="12.75">
      <c r="D716" s="61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4:26" ht="12.75">
      <c r="D717" s="61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4:26" ht="12.75">
      <c r="D718" s="61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4:26" ht="12.75">
      <c r="D719" s="61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4:26" ht="12.75">
      <c r="D720" s="61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4:26" ht="12.75">
      <c r="D721" s="61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4:26" ht="12.75">
      <c r="D722" s="61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4:26" ht="12.75">
      <c r="D723" s="61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4:26" ht="12.75">
      <c r="D724" s="61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4:26" ht="12.75">
      <c r="D725" s="61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4:26" ht="12.75">
      <c r="D726" s="61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4:26" ht="12.75">
      <c r="D727" s="61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4:26" ht="12.75">
      <c r="D728" s="61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4:26" ht="12.75">
      <c r="D729" s="61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4:26" ht="12.75">
      <c r="D730" s="61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4:26" ht="12.75">
      <c r="D731" s="61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4:26" ht="12.75">
      <c r="D732" s="61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4:26" ht="12.75">
      <c r="D733" s="61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4:26" ht="12.75">
      <c r="D734" s="61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4:26" ht="12.75">
      <c r="D735" s="61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4:26" ht="12.75">
      <c r="D736" s="61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4:26" ht="12.75">
      <c r="D737" s="61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4:26" ht="12.75">
      <c r="D738" s="61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4:26" ht="12.75">
      <c r="D739" s="61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4:26" ht="12.75">
      <c r="D740" s="61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4:26" ht="12.75">
      <c r="D741" s="61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4:26" ht="12.75">
      <c r="D742" s="61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4:26" ht="12.75">
      <c r="D743" s="61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4:26" ht="12.75">
      <c r="D744" s="61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4:26" ht="12.75">
      <c r="D745" s="61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4:26" ht="12.75">
      <c r="D746" s="61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4:26" ht="12.75">
      <c r="D747" s="61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4:26" ht="12.75">
      <c r="D748" s="61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4:26" ht="12.75">
      <c r="D749" s="61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4:26" ht="12.75">
      <c r="D750" s="61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4:26" ht="12.75">
      <c r="D751" s="61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4:26" ht="12.75">
      <c r="D752" s="61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4:26" ht="12.75">
      <c r="D753" s="61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4:26" ht="12.75">
      <c r="D754" s="61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4:26" ht="12.75">
      <c r="D755" s="61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4:26" ht="12.75">
      <c r="D756" s="61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4:26" ht="12.75">
      <c r="D757" s="61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4:26" ht="12.75">
      <c r="D758" s="61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4:26" ht="12.75">
      <c r="D759" s="61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4:26" ht="12.75">
      <c r="D760" s="61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4:26" ht="12.75">
      <c r="D761" s="61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4:26" ht="12.75">
      <c r="D762" s="61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4:26" ht="12.75">
      <c r="D763" s="61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4:26" ht="12.75">
      <c r="D764" s="61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4:26" ht="12.75">
      <c r="D765" s="61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4:26" ht="12.75">
      <c r="D766" s="61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4:26" ht="12.75">
      <c r="D767" s="61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4:26" ht="12.75">
      <c r="D768" s="61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4:26" ht="12.75">
      <c r="D769" s="61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4:26" ht="12.75">
      <c r="D770" s="61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4:26" ht="12.75">
      <c r="D771" s="61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4:26" ht="12.75">
      <c r="D772" s="61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4:26" ht="12.75">
      <c r="D773" s="61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4:26" ht="12.75">
      <c r="D774" s="61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4:26" ht="12.75">
      <c r="D775" s="61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4:26" ht="12.75">
      <c r="D776" s="61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4:26" ht="12.75">
      <c r="D777" s="61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4:26" ht="12.75">
      <c r="D778" s="61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4:26" ht="12.75">
      <c r="D779" s="61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4:26" ht="12.75">
      <c r="D780" s="61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4:26" ht="12.75">
      <c r="D781" s="61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4:26" ht="12.75">
      <c r="D782" s="61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4:26" ht="12.75">
      <c r="D783" s="61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4:26" ht="12.75">
      <c r="D784" s="61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4:26" ht="12.75">
      <c r="D785" s="61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4:26" ht="12.75">
      <c r="D786" s="61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4:26" ht="12.75">
      <c r="D787" s="61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4:26" ht="12.75">
      <c r="D788" s="61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4:26" ht="12.75">
      <c r="D789" s="61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4:26" ht="12.75">
      <c r="D790" s="61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4:26" ht="12.75">
      <c r="D791" s="61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4:26" ht="12.75">
      <c r="D792" s="61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4:26" ht="12.75">
      <c r="D793" s="61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4:26" ht="12.75">
      <c r="D794" s="61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4:26" ht="12.75">
      <c r="D795" s="61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4:26" ht="12.75">
      <c r="D796" s="61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4:26" ht="12.75">
      <c r="D797" s="61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4:26" ht="12.75">
      <c r="D798" s="61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4:26" ht="12.75">
      <c r="D799" s="61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4:26" ht="12.75">
      <c r="D800" s="61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4:26" ht="12.75">
      <c r="D801" s="61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4:26" ht="12.75">
      <c r="D802" s="61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4:26" ht="12.75">
      <c r="D803" s="61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4:26" ht="12.75">
      <c r="D804" s="61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4:26" ht="12.75">
      <c r="D805" s="61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4:26" ht="12.75">
      <c r="D806" s="61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4:26" ht="12.75">
      <c r="D807" s="61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4:26" ht="12.75">
      <c r="D808" s="61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4:26" ht="12.75">
      <c r="D809" s="61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4:26" ht="12.75">
      <c r="D810" s="61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4:26" ht="12.75">
      <c r="D811" s="61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4:26" ht="12.75">
      <c r="D812" s="61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4:26" ht="12.75">
      <c r="D813" s="61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4:26" ht="12.75">
      <c r="D814" s="61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4:26" ht="12.75">
      <c r="D815" s="61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4:26" ht="12.75">
      <c r="D816" s="61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4:26" ht="12.75">
      <c r="D817" s="61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4:26" ht="12.75">
      <c r="D818" s="61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4:26" ht="12.75">
      <c r="D819" s="61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4:26" ht="12.75">
      <c r="D820" s="61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4:26" ht="12.75">
      <c r="D821" s="61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4:26" ht="12.75">
      <c r="D822" s="61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4:26" ht="12.75">
      <c r="D823" s="61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4:26" ht="12.75">
      <c r="D824" s="61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4:26" ht="12.75">
      <c r="D825" s="61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4:26" ht="12.75">
      <c r="D826" s="61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4:26" ht="12.75">
      <c r="D827" s="61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4:26" ht="12.75">
      <c r="D828" s="61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4:26" ht="12.75">
      <c r="D829" s="61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4:26" ht="12.75">
      <c r="D830" s="61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4:26" ht="12.75">
      <c r="D831" s="61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4:26" ht="12.75">
      <c r="D832" s="61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4:26" ht="12.75">
      <c r="D833" s="61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4:26" ht="12.75">
      <c r="D834" s="61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4:26" ht="12.75">
      <c r="D835" s="61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4:26" ht="12.75">
      <c r="D836" s="61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4:26" ht="12.75">
      <c r="D837" s="61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4:26" ht="12.75">
      <c r="D838" s="61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4:26" ht="12.75">
      <c r="D839" s="61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4:26" ht="12.75">
      <c r="D840" s="61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4:26" ht="12.75">
      <c r="D841" s="61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4:26" ht="12.75">
      <c r="D842" s="61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4:26" ht="12.75">
      <c r="D843" s="61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4:26" ht="12.75">
      <c r="D844" s="61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4:26" ht="12.75">
      <c r="D845" s="61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4:26" ht="12.75">
      <c r="D846" s="61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4:26" ht="12.75">
      <c r="D847" s="61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4:26" ht="12.75">
      <c r="D848" s="61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4:26" ht="12.75">
      <c r="D849" s="61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4:26" ht="12.75">
      <c r="D850" s="61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4:26" ht="12.75">
      <c r="D851" s="61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4:26" ht="12.75">
      <c r="D852" s="61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4:26" ht="12.75">
      <c r="D853" s="61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4:26" ht="12.75">
      <c r="D854" s="61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4:26" ht="12.75">
      <c r="D855" s="61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4:26" ht="12.75">
      <c r="D856" s="61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4:26" ht="12.75">
      <c r="D857" s="61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4:26" ht="12.75">
      <c r="D858" s="61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4:26" ht="12.75">
      <c r="D859" s="61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4:26" ht="12.75">
      <c r="D860" s="61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4:26" ht="12.75">
      <c r="D861" s="61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4:26" ht="12.75">
      <c r="D862" s="61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4:26" ht="12.75">
      <c r="D863" s="61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4:26" ht="12.75">
      <c r="D864" s="61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4:26" ht="12.75">
      <c r="D865" s="61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4:26" ht="12.75">
      <c r="D866" s="61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4:26" ht="12.75">
      <c r="D867" s="61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4:26" ht="12.75">
      <c r="D868" s="61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4:26" ht="12.75">
      <c r="D869" s="61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4:26" ht="12.75">
      <c r="D870" s="61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4:26" ht="12.75">
      <c r="D871" s="61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4:26" ht="12.75">
      <c r="D872" s="61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4:26" ht="12.75">
      <c r="D873" s="61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4:26" ht="12.75">
      <c r="D874" s="61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4:26" ht="12.75">
      <c r="D875" s="61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4:26" ht="12.75">
      <c r="D876" s="61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4:26" ht="12.75">
      <c r="D877" s="61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4:26" ht="12.75">
      <c r="D878" s="61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4:26" ht="12.75">
      <c r="D879" s="61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4:26" ht="12.75">
      <c r="D880" s="61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4:26" ht="12.75">
      <c r="D881" s="61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4:26" ht="12.75">
      <c r="D882" s="61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4:26" ht="12.75">
      <c r="D883" s="61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4:26" ht="12.75">
      <c r="D884" s="61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4:26" ht="12.75">
      <c r="D885" s="61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4:26" ht="12.75">
      <c r="D886" s="61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4:26" ht="12.75">
      <c r="D887" s="61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4:26" ht="12.75">
      <c r="D888" s="61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4:26" ht="12.75">
      <c r="D889" s="61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4:26" ht="12.75">
      <c r="D890" s="61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4:26" ht="12.75">
      <c r="D891" s="61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4:26" ht="12.75">
      <c r="D892" s="61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4:26" ht="12.75">
      <c r="D893" s="61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4:26" ht="12.75">
      <c r="D894" s="61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4:26" ht="12.75">
      <c r="D895" s="61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4:26" ht="12.75">
      <c r="D896" s="61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4:26" ht="12.75">
      <c r="D897" s="61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4:26" ht="12.75">
      <c r="D898" s="61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4:26" ht="12.75">
      <c r="D899" s="61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4:26" ht="12.75">
      <c r="D900" s="61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4:26" ht="12.75">
      <c r="D901" s="61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4:26" ht="12.75">
      <c r="D902" s="61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4:26" ht="12.75">
      <c r="D903" s="61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4:26" ht="12.75">
      <c r="D904" s="61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4:26" ht="12.75">
      <c r="D905" s="61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4:26" ht="12.75">
      <c r="D906" s="61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4:26" ht="12.75">
      <c r="D907" s="61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4:26" ht="12.75">
      <c r="D908" s="61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4:26" ht="12.75">
      <c r="D909" s="61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4:26" ht="12.75">
      <c r="D910" s="61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4:26" ht="12.75">
      <c r="D911" s="61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4:26" ht="12.75">
      <c r="D912" s="61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4:26" ht="12.75">
      <c r="D913" s="61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</sheetData>
  <autoFilter ref="A6:Z412"/>
  <customSheetViews>
    <customSheetView guid="{CDEB8851-9ACA-4F4F-A6C6-C0C729B8AD4C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A,B,C,D,E,F,G,P WHERE P&gt;0 label P 'AEE'"")"),"REGIONAL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IFERROR(__xludf.DUMMYFUNCTION("""COMPUTED_VALUE"""),"AEE")</f>
        <v>AEE</v>
      </c>
      <c r="I1" s="192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IFERROR(__xludf.DUMMYFUNCTION("""COMPUTED_VALUE"""),285.599999999999)</f>
        <v>285.599999999999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IFERROR(__xludf.DUMMYFUNCTION("""COMPUTED_VALUE"""),176.799999999999)</f>
        <v>176.79999999999899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IFERROR(__xludf.DUMMYFUNCTION("""COMPUTED_VALUE"""),598.4)</f>
        <v>598.4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IFERROR(__xludf.DUMMYFUNCTION("""COMPUTED_VALUE"""),176.799999999999)</f>
        <v>176.79999999999899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IFERROR(__xludf.DUMMYFUNCTION("""COMPUTED_VALUE"""),176.799999999999)</f>
        <v>176.79999999999899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IFERROR(__xludf.DUMMYFUNCTION("""COMPUTED_VALUE"""),136)</f>
        <v>136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IFERROR(__xludf.DUMMYFUNCTION("""COMPUTED_VALUE"""),326.4)</f>
        <v>326.39999999999998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IFERROR(__xludf.DUMMYFUNCTION("""COMPUTED_VALUE"""),272)</f>
        <v>272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 ADOLFO BEZERRA DE MENEZES")</f>
        <v>A.A. C.E.  ADOLFO BEZERRA DE MENEZES</v>
      </c>
      <c r="D11" t="str">
        <f ca="1">IFERROR(__xludf.DUMMYFUNCTION("""COMPUTED_VALUE"""),"01071435000190")</f>
        <v>01071435000190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IFERROR(__xludf.DUMMYFUNCTION("""COMPUTED_VALUE"""),"463426")</f>
        <v>463426</v>
      </c>
      <c r="H11" s="7">
        <f ca="1">IFERROR(__xludf.DUMMYFUNCTION("""COMPUTED_VALUE"""),299.2)</f>
        <v>299.2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7">
        <f ca="1">IFERROR(__xludf.DUMMYFUNCTION("""COMPUTED_VALUE"""),489.599999999999)</f>
        <v>489.599999999999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7">
        <f ca="1">IFERROR(__xludf.DUMMYFUNCTION("""COMPUTED_VALUE"""),108.8)</f>
        <v>108.8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7">
        <f ca="1">IFERROR(__xludf.DUMMYFUNCTION("""COMPUTED_VALUE"""),217.6)</f>
        <v>217.6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7">
        <f ca="1">IFERROR(__xludf.DUMMYFUNCTION("""COMPUTED_VALUE"""),244.799999999999)</f>
        <v>244.79999999999899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7">
        <f ca="1">IFERROR(__xludf.DUMMYFUNCTION("""COMPUTED_VALUE"""),272)</f>
        <v>272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7">
        <f ca="1">IFERROR(__xludf.DUMMYFUNCTION("""COMPUTED_VALUE"""),176.799999999999)</f>
        <v>176.79999999999899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7">
        <f ca="1">IFERROR(__xludf.DUMMYFUNCTION("""COMPUTED_VALUE"""),204)</f>
        <v>204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TEMPO INTEGRAL DOMINGOS DA CRUZ MACHADO")</f>
        <v>A.A. ESCOLA TEMPO INTEGRAL DOMINGOS DA CRUZ MACHADO</v>
      </c>
      <c r="D19" t="str">
        <f ca="1">IFERROR(__xludf.DUMMYFUNCTION("""COMPUTED_VALUE"""),"49868761000159")</f>
        <v>49868761000159</v>
      </c>
      <c r="E19" t="str">
        <f ca="1">IFERROR(__xludf.DUMMYFUNCTION("""COMPUTED_VALUE"""),"001")</f>
        <v>001</v>
      </c>
      <c r="F19" t="str">
        <f ca="1">IFERROR(__xludf.DUMMYFUNCTION("""COMPUTED_VALUE"""),"4348")</f>
        <v>4348</v>
      </c>
      <c r="G19" t="str">
        <f ca="1">IFERROR(__xludf.DUMMYFUNCTION("""COMPUTED_VALUE"""),"460192")</f>
        <v>460192</v>
      </c>
      <c r="H19" s="7">
        <f ca="1">IFERROR(__xludf.DUMMYFUNCTION("""COMPUTED_VALUE"""),408)</f>
        <v>408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ESC. EST. DEP.FED.JOSE A. DE ASSIS")</f>
        <v>A.A. ESC. EST. DEP.FED.JOSE A. DE ASSIS</v>
      </c>
      <c r="D20" t="str">
        <f ca="1">IFERROR(__xludf.DUMMYFUNCTION("""COMPUTED_VALUE"""),"01186464000105")</f>
        <v>01186464000105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IFERROR(__xludf.DUMMYFUNCTION("""COMPUTED_VALUE"""),"465089")</f>
        <v>465089</v>
      </c>
      <c r="H20" s="7">
        <f ca="1">IFERROR(__xludf.DUMMYFUNCTION("""COMPUTED_VALUE"""),204)</f>
        <v>204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IFERROR(__xludf.DUMMYFUNCTION("""COMPUTED_VALUE"""),"ASSOCIAÇÃO DE APOIO DA ESCOLA ESPECIAL RAIO DE LUZ APAE ARAGUAÍNA")</f>
        <v>ASSOCIAÇÃO DE APOIO DA ESCOLA ESPECIAL RAIO DE LUZ APAE ARAGUAÍNA</v>
      </c>
      <c r="D21" t="str">
        <f ca="1">IFERROR(__xludf.DUMMYFUNCTION("""COMPUTED_VALUE"""),"07953043000130")</f>
        <v>07953043000130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IFERROR(__xludf.DUMMYFUNCTION("""COMPUTED_VALUE"""),"379921")</f>
        <v>379921</v>
      </c>
      <c r="H21" s="7">
        <f ca="1">IFERROR(__xludf.DUMMYFUNCTION("""COMPUTED_VALUE"""),734.4)</f>
        <v>734.4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 ESCOLA ESPIRITA ANDRE LUIZ")</f>
        <v>A.A.  ESCOLA ESPIRITA ANDRE LUIZ</v>
      </c>
      <c r="D22" t="str">
        <f ca="1">IFERROR(__xludf.DUMMYFUNCTION("""COMPUTED_VALUE"""),"01066416000175")</f>
        <v>01066416000175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IFERROR(__xludf.DUMMYFUNCTION("""COMPUTED_VALUE"""),"463582")</f>
        <v>463582</v>
      </c>
      <c r="H22" s="7">
        <f ca="1">IFERROR(__xludf.DUMMYFUNCTION("""COMPUTED_VALUE"""),244.799999999999)</f>
        <v>244.79999999999899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E.FRANCISCO MAXIMO DE SOUZA")</f>
        <v>A.A. ESC. E.FRANCISCO MAXIMO DE SOUZA</v>
      </c>
      <c r="D23" t="str">
        <f ca="1">IFERROR(__xludf.DUMMYFUNCTION("""COMPUTED_VALUE"""),"01345127000105")</f>
        <v>01345127000105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IFERROR(__xludf.DUMMYFUNCTION("""COMPUTED_VALUE"""),"0463167")</f>
        <v>0463167</v>
      </c>
      <c r="H23" s="7">
        <f ca="1">IFERROR(__xludf.DUMMYFUNCTION("""COMPUTED_VALUE"""),516.8)</f>
        <v>516.79999999999995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IFERROR(__xludf.DUMMYFUNCTION("""COMPUTED_VALUE"""),"ASS. COM. COL EST. SANCHA FERREIRA")</f>
        <v>ASS. COM. COL EST. SANCHA FERREIRA</v>
      </c>
      <c r="D24" t="str">
        <f ca="1">IFERROR(__xludf.DUMMYFUNCTION("""COMPUTED_VALUE"""),"01338702000142")</f>
        <v>01338702000142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IFERROR(__xludf.DUMMYFUNCTION("""COMPUTED_VALUE"""),"0466913")</f>
        <v>0466913</v>
      </c>
      <c r="H24" s="7">
        <f ca="1">IFERROR(__xludf.DUMMYFUNCTION("""COMPUTED_VALUE"""),149.6)</f>
        <v>149.6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JOAO GUILHERME L. KUNZE")</f>
        <v>A.A. ESC. EST. JOAO GUILHERME L. KUNZE</v>
      </c>
      <c r="D25" t="str">
        <f ca="1">IFERROR(__xludf.DUMMYFUNCTION("""COMPUTED_VALUE"""),"01071400000150")</f>
        <v>01071400000150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IFERROR(__xludf.DUMMYFUNCTION("""COMPUTED_VALUE"""),"0463639")</f>
        <v>0463639</v>
      </c>
      <c r="H25" s="7">
        <f ca="1">IFERROR(__xludf.DUMMYFUNCTION("""COMPUTED_VALUE"""),217.6)</f>
        <v>217.6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MANOEL GOMES DA CUNHA")</f>
        <v>A.A. ESC. EST. MANOEL GOMES DA CUNHA</v>
      </c>
      <c r="D26" t="str">
        <f ca="1">IFERROR(__xludf.DUMMYFUNCTION("""COMPUTED_VALUE"""),"01443216000194")</f>
        <v>01443216000194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IFERROR(__xludf.DUMMYFUNCTION("""COMPUTED_VALUE"""),"0468355")</f>
        <v>0468355</v>
      </c>
      <c r="H26" s="7">
        <f ca="1">IFERROR(__xludf.DUMMYFUNCTION("""COMPUTED_VALUE"""),149.6)</f>
        <v>149.6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ESCOLA ESTADUAL MAL. RONDON")</f>
        <v>A.A. ESCOLA ESTADUAL MAL. RONDON</v>
      </c>
      <c r="D27" t="str">
        <f ca="1">IFERROR(__xludf.DUMMYFUNCTION("""COMPUTED_VALUE"""),"01068349000128")</f>
        <v>01068349000128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IFERROR(__xludf.DUMMYFUNCTION("""COMPUTED_VALUE"""),"046368X")</f>
        <v>046368X</v>
      </c>
      <c r="H27" s="7">
        <f ca="1">IFERROR(__xludf.DUMMYFUNCTION("""COMPUTED_VALUE"""),258.4)</f>
        <v>258.39999999999998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 DE A.DA ESCOLA ESTADUAL MODELO")</f>
        <v>A. DE A.DA ESCOLA ESTADUAL MODELO</v>
      </c>
      <c r="D28" t="str">
        <f ca="1">IFERROR(__xludf.DUMMYFUNCTION("""COMPUTED_VALUE"""),"01133696000197")</f>
        <v>01133696000197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IFERROR(__xludf.DUMMYFUNCTION("""COMPUTED_VALUE"""),"484520")</f>
        <v>484520</v>
      </c>
      <c r="H28" s="7">
        <f ca="1">IFERROR(__xludf.DUMMYFUNCTION("""COMPUTED_VALUE"""),734.4)</f>
        <v>734.4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E.NORTE GOIANO DE ARAGUAINA")</f>
        <v>A.A. ESC. E.NORTE GOIANO DE ARAGUAINA</v>
      </c>
      <c r="D29" t="str">
        <f ca="1">IFERROR(__xludf.DUMMYFUNCTION("""COMPUTED_VALUE"""),"01195483000190")</f>
        <v>01195483000190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IFERROR(__xludf.DUMMYFUNCTION("""COMPUTED_VALUE"""),"0464724")</f>
        <v>0464724</v>
      </c>
      <c r="H29" s="7">
        <f ca="1">IFERROR(__xludf.DUMMYFUNCTION("""COMPUTED_VALUE"""),163.2)</f>
        <v>163.19999999999999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 DE ARAGUAINA / PROF. JOÃO ALVES BATISTA")</f>
        <v>A.A. ESC. EST. DE ARAGUAINA / PROF. JOÃO ALVES BATISTA</v>
      </c>
      <c r="D30" t="str">
        <f ca="1">IFERROR(__xludf.DUMMYFUNCTION("""COMPUTED_VALUE"""),"25062332000121")</f>
        <v>25062332000121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IFERROR(__xludf.DUMMYFUNCTION("""COMPUTED_VALUE"""),"463116")</f>
        <v>463116</v>
      </c>
      <c r="H30" s="7">
        <f ca="1">IFERROR(__xludf.DUMMYFUNCTION("""COMPUTED_VALUE"""),149.6)</f>
        <v>149.6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EST.WELDER M.ABREU SALES")</f>
        <v>A.A. ESC. EST.WELDER M.ABREU SALES</v>
      </c>
      <c r="D31" t="str">
        <f ca="1">IFERROR(__xludf.DUMMYFUNCTION("""COMPUTED_VALUE"""),"01190182000173")</f>
        <v>01190182000173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IFERROR(__xludf.DUMMYFUNCTION("""COMPUTED_VALUE"""),"0465054")</f>
        <v>0465054</v>
      </c>
      <c r="H31" s="7">
        <f ca="1">IFERROR(__xludf.DUMMYFUNCTION("""COMPUTED_VALUE"""),190.4)</f>
        <v>190.4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 DE AP. DA E.PAROQUIAL LUIZ AUGUSTO")</f>
        <v>A. DE AP. DA E.PAROQUIAL LUIZ AUGUSTO</v>
      </c>
      <c r="D32" t="str">
        <f ca="1">IFERROR(__xludf.DUMMYFUNCTION("""COMPUTED_VALUE"""),"01912262000195")</f>
        <v>01912262000195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IFERROR(__xludf.DUMMYFUNCTION("""COMPUTED_VALUE"""),"486000")</f>
        <v>486000</v>
      </c>
      <c r="H32" s="7">
        <f ca="1">IFERROR(__xludf.DUMMYFUNCTION("""COMPUTED_VALUE"""),571.199999999999)</f>
        <v>571.19999999999902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IFERROR(__xludf.DUMMYFUNCTION("""COMPUTED_VALUE"""),"Araguana")</f>
        <v>Araguana</v>
      </c>
      <c r="C33" t="str">
        <f ca="1">IFERROR(__xludf.DUMMYFUNCTION("""COMPUTED_VALUE"""),"ASS. APOIO ESC. EST. MACHADO DE ASSIS")</f>
        <v>ASS. APOIO ESC. EST. MACHADO DE ASSIS</v>
      </c>
      <c r="D33" t="str">
        <f ca="1">IFERROR(__xludf.DUMMYFUNCTION("""COMPUTED_VALUE"""),"01243663000108")</f>
        <v>01243663000108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IFERROR(__xludf.DUMMYFUNCTION("""COMPUTED_VALUE"""),"322091")</f>
        <v>322091</v>
      </c>
      <c r="H33" s="7">
        <f ca="1">IFERROR(__xludf.DUMMYFUNCTION("""COMPUTED_VALUE"""),108.8)</f>
        <v>108.8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IFERROR(__xludf.DUMMYFUNCTION("""COMPUTED_VALUE"""),"A.PAIS E M.C.E.LEOPOLDO DE BULHOES")</f>
        <v>A.PAIS E M.C.E.LEOPOLDO DE BULHOES</v>
      </c>
      <c r="D34" t="str">
        <f ca="1">IFERROR(__xludf.DUMMYFUNCTION("""COMPUTED_VALUE"""),"01146116000104")</f>
        <v>01146116000104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IFERROR(__xludf.DUMMYFUNCTION("""COMPUTED_VALUE"""),"465232")</f>
        <v>465232</v>
      </c>
      <c r="H34" s="7">
        <f ca="1">IFERROR(__xludf.DUMMYFUNCTION("""COMPUTED_VALUE"""),435.2)</f>
        <v>435.2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IFERROR(__xludf.DUMMYFUNCTION("""COMPUTED_VALUE"""),"Babaculandia")</f>
        <v>Babaculandia</v>
      </c>
      <c r="C35" t="str">
        <f ca="1">IFERROR(__xludf.DUMMYFUNCTION("""COMPUTED_VALUE"""),"A.A. ESCOLA ESTADUAL RUI BARBOSA")</f>
        <v>A.A. ESCOLA ESTADUAL RUI BARBOSA</v>
      </c>
      <c r="D35" t="str">
        <f ca="1">IFERROR(__xludf.DUMMYFUNCTION("""COMPUTED_VALUE"""),"01181184000104")</f>
        <v>01181184000104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IFERROR(__xludf.DUMMYFUNCTION("""COMPUTED_VALUE"""),"477117")</f>
        <v>477117</v>
      </c>
      <c r="H35" s="7">
        <f ca="1">IFERROR(__xludf.DUMMYFUNCTION("""COMPUTED_VALUE"""),258.4)</f>
        <v>258.39999999999998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IFERROR(__xludf.DUMMYFUNCTION("""COMPUTED_VALUE"""),"Barra do Ouro")</f>
        <v>Barra do Ouro</v>
      </c>
      <c r="C36" t="str">
        <f ca="1">IFERROR(__xludf.DUMMYFUNCTION("""COMPUTED_VALUE"""),"A.A. A ESCOLA ESTADUAL BREJAO")</f>
        <v>A.A. A ESCOLA ESTADUAL BREJAO</v>
      </c>
      <c r="D36" t="str">
        <f ca="1">IFERROR(__xludf.DUMMYFUNCTION("""COMPUTED_VALUE"""),"02392799000134")</f>
        <v>02392799000134</v>
      </c>
      <c r="E36" t="str">
        <f ca="1">IFERROR(__xludf.DUMMYFUNCTION("""COMPUTED_VALUE"""),"001")</f>
        <v>001</v>
      </c>
      <c r="F36" t="str">
        <f ca="1">IFERROR(__xludf.DUMMYFUNCTION("""COMPUTED_VALUE"""),"0638")</f>
        <v>0638</v>
      </c>
      <c r="G36" t="str">
        <f ca="1">IFERROR(__xludf.DUMMYFUNCTION("""COMPUTED_VALUE"""),"83615")</f>
        <v>83615</v>
      </c>
      <c r="H36" s="7">
        <f ca="1">IFERROR(__xludf.DUMMYFUNCTION("""COMPUTED_VALUE"""),136)</f>
        <v>136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IFERROR(__xludf.DUMMYFUNCTION("""COMPUTED_VALUE"""),"A.A. DO COL.MUNICIPAL DE FILADELFIA")</f>
        <v>A.A. DO COL.MUNICIPAL DE FILADELFIA</v>
      </c>
      <c r="D37" t="str">
        <f ca="1">IFERROR(__xludf.DUMMYFUNCTION("""COMPUTED_VALUE"""),"02189621000190")</f>
        <v>02189621000190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IFERROR(__xludf.DUMMYFUNCTION("""COMPUTED_VALUE"""),"54127")</f>
        <v>54127</v>
      </c>
      <c r="H37" s="7">
        <f ca="1">IFERROR(__xludf.DUMMYFUNCTION("""COMPUTED_VALUE"""),272)</f>
        <v>272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IFERROR(__xludf.DUMMYFUNCTION("""COMPUTED_VALUE"""),"Filadelfia")</f>
        <v>Filadelfia</v>
      </c>
      <c r="C38" t="str">
        <f ca="1">IFERROR(__xludf.DUMMYFUNCTION("""COMPUTED_VALUE"""),"A.P. E M. ESC. EST. ADEUVALDO O.MORAES")</f>
        <v>A.P. E M. ESC. EST. ADEUVALDO O.MORAES</v>
      </c>
      <c r="D38" t="str">
        <f ca="1">IFERROR(__xludf.DUMMYFUNCTION("""COMPUTED_VALUE"""),"01912087000136")</f>
        <v>01912087000136</v>
      </c>
      <c r="E38" t="str">
        <f ca="1">IFERROR(__xludf.DUMMYFUNCTION("""COMPUTED_VALUE"""),"001")</f>
        <v>001</v>
      </c>
      <c r="F38" t="str">
        <f ca="1">IFERROR(__xludf.DUMMYFUNCTION("""COMPUTED_VALUE"""),"2064")</f>
        <v>2064</v>
      </c>
      <c r="G38" t="str">
        <f ca="1">IFERROR(__xludf.DUMMYFUNCTION("""COMPUTED_VALUE"""),"127434")</f>
        <v>127434</v>
      </c>
      <c r="H38" s="7">
        <f ca="1">IFERROR(__xludf.DUMMYFUNCTION("""COMPUTED_VALUE"""),435.2)</f>
        <v>435.2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IFERROR(__xludf.DUMMYFUNCTION("""COMPUTED_VALUE"""),"Goiatins")</f>
        <v>Goiatins</v>
      </c>
      <c r="C39" t="str">
        <f ca="1">IFERROR(__xludf.DUMMYFUNCTION("""COMPUTED_VALUE"""),"ASS. COM.COL. EST. ADA ASSIS TEIXEIRA")</f>
        <v>ASS. COM.COL. EST. ADA ASSIS TEIXEIRA</v>
      </c>
      <c r="D39" t="str">
        <f ca="1">IFERROR(__xludf.DUMMYFUNCTION("""COMPUTED_VALUE"""),"01440731000110")</f>
        <v>01440731000110</v>
      </c>
      <c r="E39" t="str">
        <f ca="1">IFERROR(__xludf.DUMMYFUNCTION("""COMPUTED_VALUE"""),"001")</f>
        <v>001</v>
      </c>
      <c r="F39" t="str">
        <f ca="1">IFERROR(__xludf.DUMMYFUNCTION("""COMPUTED_VALUE"""),"2064")</f>
        <v>2064</v>
      </c>
      <c r="G39" t="str">
        <f ca="1">IFERROR(__xludf.DUMMYFUNCTION("""COMPUTED_VALUE"""),"0013323")</f>
        <v>0013323</v>
      </c>
      <c r="H39" s="7">
        <f ca="1">IFERROR(__xludf.DUMMYFUNCTION("""COMPUTED_VALUE"""),190.4)</f>
        <v>190.4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IFERROR(__xludf.DUMMYFUNCTION("""COMPUTED_VALUE"""),"Muricilandia")</f>
        <v>Muricilandia</v>
      </c>
      <c r="C40" t="str">
        <f ca="1">IFERROR(__xludf.DUMMYFUNCTION("""COMPUTED_VALUE"""),"A.COM. DE AP. COL. EST. DE MURICILANDIA")</f>
        <v>A.COM. DE AP. COL. EST. DE MURICILANDIA</v>
      </c>
      <c r="D40" t="str">
        <f ca="1">IFERROR(__xludf.DUMMYFUNCTION("""COMPUTED_VALUE"""),"01911084000188")</f>
        <v>01911084000188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IFERROR(__xludf.DUMMYFUNCTION("""COMPUTED_VALUE"""),"8350X")</f>
        <v>8350X</v>
      </c>
      <c r="H40" s="7">
        <f ca="1">IFERROR(__xludf.DUMMYFUNCTION("""COMPUTED_VALUE"""),190.4)</f>
        <v>190.4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ESC. COL. E. HELIO DE SOUZA BUENO")</f>
        <v>A.A. ESC. COL. E. HELIO DE SOUZA BUENO</v>
      </c>
      <c r="D41" t="str">
        <f ca="1">IFERROR(__xludf.DUMMYFUNCTION("""COMPUTED_VALUE"""),"01186466000196")</f>
        <v>01186466000196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IFERROR(__xludf.DUMMYFUNCTION("""COMPUTED_VALUE"""),"0462985")</f>
        <v>0462985</v>
      </c>
      <c r="H41" s="7">
        <f ca="1">IFERROR(__xludf.DUMMYFUNCTION("""COMPUTED_VALUE"""),598.4)</f>
        <v>598.4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IFERROR(__xludf.DUMMYFUNCTION("""COMPUTED_VALUE"""),"Nova Olinda")</f>
        <v>Nova Olinda</v>
      </c>
      <c r="C42" t="str">
        <f ca="1">IFERROR(__xludf.DUMMYFUNCTION("""COMPUTED_VALUE"""),"ASSOCIAÇÃO DE APOIO A ESCOLA ESPECIAL RENASCER")</f>
        <v>ASSOCIAÇÃO DE APOIO A ESCOLA ESPECIAL RENASCER</v>
      </c>
      <c r="D42" t="str">
        <f ca="1">IFERROR(__xludf.DUMMYFUNCTION("""COMPUTED_VALUE"""),"07951646000101")</f>
        <v>07951646000101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IFERROR(__xludf.DUMMYFUNCTION("""COMPUTED_VALUE"""),"541028")</f>
        <v>541028</v>
      </c>
      <c r="H42" s="7">
        <f ca="1">IFERROR(__xludf.DUMMYFUNCTION("""COMPUTED_VALUE"""),136)</f>
        <v>136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IFERROR(__xludf.DUMMYFUNCTION("""COMPUTED_VALUE"""),"Nova Olinda")</f>
        <v>Nova Olinda</v>
      </c>
      <c r="C43" t="str">
        <f ca="1">IFERROR(__xludf.DUMMYFUNCTION("""COMPUTED_VALUE"""),"A.A. E. E. PROFA. HAMEDY CURY QUEIROZ")</f>
        <v>A.A. E. E. PROFA. HAMEDY CURY QUEIROZ</v>
      </c>
      <c r="D43" t="str">
        <f ca="1">IFERROR(__xludf.DUMMYFUNCTION("""COMPUTED_VALUE"""),"01431375000179")</f>
        <v>01431375000179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IFERROR(__xludf.DUMMYFUNCTION("""COMPUTED_VALUE"""),"0468010")</f>
        <v>0468010</v>
      </c>
      <c r="H43" s="7">
        <f ca="1">IFERROR(__xludf.DUMMYFUNCTION("""COMPUTED_VALUE"""),353.599999999999)</f>
        <v>353.599999999999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IFERROR(__xludf.DUMMYFUNCTION("""COMPUTED_VALUE"""),"Riachinho")</f>
        <v>Riachinho</v>
      </c>
      <c r="C44" t="str">
        <f ca="1">IFERROR(__xludf.DUMMYFUNCTION("""COMPUTED_VALUE"""),"ASSOC. DE APOIO ESC. EST. JOAO XXIII")</f>
        <v>ASSOC. DE APOIO ESC. EST. JOAO XXIII</v>
      </c>
      <c r="D44" t="str">
        <f ca="1">IFERROR(__xludf.DUMMYFUNCTION("""COMPUTED_VALUE"""),"01136006000153")</f>
        <v>01136006000153</v>
      </c>
      <c r="E44" t="str">
        <f ca="1">IFERROR(__xludf.DUMMYFUNCTION("""COMPUTED_VALUE"""),"001")</f>
        <v>001</v>
      </c>
      <c r="F44" t="str">
        <f ca="1">IFERROR(__xludf.DUMMYFUNCTION("""COMPUTED_VALUE"""),"3973")</f>
        <v>3973</v>
      </c>
      <c r="G44" t="str">
        <f ca="1">IFERROR(__xludf.DUMMYFUNCTION("""COMPUTED_VALUE"""),"51969")</f>
        <v>51969</v>
      </c>
      <c r="H44" s="7">
        <f ca="1">IFERROR(__xludf.DUMMYFUNCTION("""COMPUTED_VALUE"""),68)</f>
        <v>68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IFERROR(__xludf.DUMMYFUNCTION("""COMPUTED_VALUE"""),"Santa Fe do Araguaia")</f>
        <v>Santa Fe do Araguaia</v>
      </c>
      <c r="C45" t="str">
        <f ca="1">IFERROR(__xludf.DUMMYFUNCTION("""COMPUTED_VALUE"""),"A. DE AP. DA ESCOLA EST. CASTRO ALVES")</f>
        <v>A. DE AP. DA ESCOLA EST. CASTRO ALVES</v>
      </c>
      <c r="D45" t="str">
        <f ca="1">IFERROR(__xludf.DUMMYFUNCTION("""COMPUTED_VALUE"""),"01673181000180")</f>
        <v>01673181000180</v>
      </c>
      <c r="E45" t="str">
        <f ca="1">IFERROR(__xludf.DUMMYFUNCTION("""COMPUTED_VALUE"""),"001")</f>
        <v>001</v>
      </c>
      <c r="F45" t="str">
        <f ca="1">IFERROR(__xludf.DUMMYFUNCTION("""COMPUTED_VALUE"""),"4791")</f>
        <v>4791</v>
      </c>
      <c r="G45" t="str">
        <f ca="1">IFERROR(__xludf.DUMMYFUNCTION("""COMPUTED_VALUE"""),"54739")</f>
        <v>54739</v>
      </c>
      <c r="H45" s="7">
        <f ca="1">IFERROR(__xludf.DUMMYFUNCTION("""COMPUTED_VALUE"""),285.599999999999)</f>
        <v>285.599999999999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IFERROR(__xludf.DUMMYFUNCTION("""COMPUTED_VALUE"""),"A.A. COL. ESTADUAL JOSE LUIZ SIQUEIRA")</f>
        <v>A.A. COL. ESTADUAL JOSE LUIZ SIQUEIRA</v>
      </c>
      <c r="D46" t="str">
        <f ca="1">IFERROR(__xludf.DUMMYFUNCTION("""COMPUTED_VALUE"""),"01257082000117")</f>
        <v>01257082000117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IFERROR(__xludf.DUMMYFUNCTION("""COMPUTED_VALUE"""),"0465291")</f>
        <v>0465291</v>
      </c>
      <c r="H46" s="7">
        <f ca="1">IFERROR(__xludf.DUMMYFUNCTION("""COMPUTED_VALUE"""),312.8)</f>
        <v>312.8</v>
      </c>
      <c r="I46" t="str">
        <v>AEE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IFERROR(__xludf.DUMMYFUNCTION("""COMPUTED_VALUE"""),"Wanderlandia")</f>
        <v>Wanderlandia</v>
      </c>
      <c r="C47" t="str">
        <f ca="1">IFERROR(__xludf.DUMMYFUNCTION("""COMPUTED_VALUE"""),"ASSOCIAÇÃO DE APOIO DA ESCOLA ESPECIAL MORADA DO SOL")</f>
        <v>ASSOCIAÇÃO DE APOIO DA ESCOLA ESPECIAL MORADA DO SOL</v>
      </c>
      <c r="D47" t="str">
        <f ca="1">IFERROR(__xludf.DUMMYFUNCTION("""COMPUTED_VALUE"""),"07941368000101")</f>
        <v>07941368000101</v>
      </c>
      <c r="E47" t="str">
        <f ca="1">IFERROR(__xludf.DUMMYFUNCTION("""COMPUTED_VALUE"""),"001")</f>
        <v>001</v>
      </c>
      <c r="F47" t="str">
        <f ca="1">IFERROR(__xludf.DUMMYFUNCTION("""COMPUTED_VALUE"""),"0638")</f>
        <v>0638</v>
      </c>
      <c r="G47" t="str">
        <f ca="1">IFERROR(__xludf.DUMMYFUNCTION("""COMPUTED_VALUE"""),"537349")</f>
        <v>537349</v>
      </c>
      <c r="H47" s="7">
        <f ca="1">IFERROR(__xludf.DUMMYFUNCTION("""COMPUTED_VALUE"""),122.399999999999)</f>
        <v>122.399999999999</v>
      </c>
      <c r="I47" t="str">
        <v>AEE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IFERROR(__xludf.DUMMYFUNCTION("""COMPUTED_VALUE"""),"Wanderlandia")</f>
        <v>Wanderlandia</v>
      </c>
      <c r="C48" t="str">
        <f ca="1">IFERROR(__xludf.DUMMYFUNCTION("""COMPUTED_VALUE"""),"A.APOIO ESCOLA ESTADUAL D. PEDRO II")</f>
        <v>A.APOIO ESCOLA ESTADUAL D. PEDRO II</v>
      </c>
      <c r="D48" t="str">
        <f ca="1">IFERROR(__xludf.DUMMYFUNCTION("""COMPUTED_VALUE"""),"01186465000141")</f>
        <v>01186465000141</v>
      </c>
      <c r="E48" t="str">
        <f ca="1">IFERROR(__xludf.DUMMYFUNCTION("""COMPUTED_VALUE"""),"001")</f>
        <v>001</v>
      </c>
      <c r="F48" t="str">
        <f ca="1">IFERROR(__xludf.DUMMYFUNCTION("""COMPUTED_VALUE"""),"0638")</f>
        <v>0638</v>
      </c>
      <c r="G48" t="str">
        <f ca="1">IFERROR(__xludf.DUMMYFUNCTION("""COMPUTED_VALUE"""),"0463108")</f>
        <v>0463108</v>
      </c>
      <c r="H48" s="7">
        <f ca="1">IFERROR(__xludf.DUMMYFUNCTION("""COMPUTED_VALUE"""),258.4)</f>
        <v>258.39999999999998</v>
      </c>
      <c r="I48" t="str">
        <v>AEE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IFERROR(__xludf.DUMMYFUNCTION("""COMPUTED_VALUE"""),"Xambioa")</f>
        <v>Xambioa</v>
      </c>
      <c r="C49" t="str">
        <f ca="1">IFERROR(__xludf.DUMMYFUNCTION("""COMPUTED_VALUE"""),"AS. DE A. A ESC.PAROQUIAL SAO MIGUEL")</f>
        <v>AS. DE A. A ESC.PAROQUIAL SAO MIGUEL</v>
      </c>
      <c r="D49" t="str">
        <f ca="1">IFERROR(__xludf.DUMMYFUNCTION("""COMPUTED_VALUE"""),"01133698000186")</f>
        <v>01133698000186</v>
      </c>
      <c r="E49" t="str">
        <f ca="1">IFERROR(__xludf.DUMMYFUNCTION("""COMPUTED_VALUE"""),"001")</f>
        <v>001</v>
      </c>
      <c r="F49" t="str">
        <f ca="1">IFERROR(__xludf.DUMMYFUNCTION("""COMPUTED_VALUE"""),"3773")</f>
        <v>3773</v>
      </c>
      <c r="G49" t="str">
        <f ca="1">IFERROR(__xludf.DUMMYFUNCTION("""COMPUTED_VALUE"""),"330035")</f>
        <v>330035</v>
      </c>
      <c r="H49" s="7">
        <f ca="1">IFERROR(__xludf.DUMMYFUNCTION("""COMPUTED_VALUE"""),136)</f>
        <v>136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IFERROR(__xludf.DUMMYFUNCTION("""COMPUTED_VALUE"""),"ASSOC. APOIO AO CEM PROFESSORA ANTONINA MILHOMEM")</f>
        <v>ASSOC. APOIO AO CEM PROFESSORA ANTONINA MILHOMEM</v>
      </c>
      <c r="D50" t="str">
        <f ca="1">IFERROR(__xludf.DUMMYFUNCTION("""COMPUTED_VALUE"""),"04675931000140")</f>
        <v>04675931000140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IFERROR(__xludf.DUMMYFUNCTION("""COMPUTED_VALUE"""),"209082")</f>
        <v>209082</v>
      </c>
      <c r="H50" s="7">
        <f ca="1">IFERROR(__xludf.DUMMYFUNCTION("""COMPUTED_VALUE"""),204)</f>
        <v>204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IFERROR(__xludf.DUMMYFUNCTION("""COMPUTED_VALUE"""),"A.A. COL. EST. LEONIDAS G. DUARTE")</f>
        <v>A.A. COL. EST. LEONIDAS G. DUARTE</v>
      </c>
      <c r="D51" t="str">
        <f ca="1">IFERROR(__xludf.DUMMYFUNCTION("""COMPUTED_VALUE"""),"01190189000195")</f>
        <v>01190189000195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IFERROR(__xludf.DUMMYFUNCTION("""COMPUTED_VALUE"""),"0019143")</f>
        <v>0019143</v>
      </c>
      <c r="H51" s="7">
        <f ca="1">IFERROR(__xludf.DUMMYFUNCTION("""COMPUTED_VALUE"""),217.6)</f>
        <v>217.6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A ESC. EST. OSVALDO FRANCO")</f>
        <v>A.A. A ESC. EST. OSVALDO FRANCO</v>
      </c>
      <c r="D52" t="str">
        <f ca="1">IFERROR(__xludf.DUMMYFUNCTION("""COMPUTED_VALUE"""),"01392733000181")</f>
        <v>01392733000181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IFERROR(__xludf.DUMMYFUNCTION("""COMPUTED_VALUE"""),"109738")</f>
        <v>109738</v>
      </c>
      <c r="H52" s="7">
        <f ca="1">IFERROR(__xludf.DUMMYFUNCTION("""COMPUTED_VALUE"""),299.2)</f>
        <v>299.2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ESC. ESTADUAL ALDINAR GONÇALVES DE CARVALHO")</f>
        <v>A.A. ESC. ESTADUAL ALDINAR GONÇALVES DE CARVALHO</v>
      </c>
      <c r="D53" t="str">
        <f ca="1">IFERROR(__xludf.DUMMYFUNCTION("""COMPUTED_VALUE"""),"09465471000140")</f>
        <v>09465471000140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IFERROR(__xludf.DUMMYFUNCTION("""COMPUTED_VALUE"""),"196657")</f>
        <v>196657</v>
      </c>
      <c r="H53" s="7">
        <f ca="1">IFERROR(__xludf.DUMMYFUNCTION("""COMPUTED_VALUE"""),408)</f>
        <v>408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IFERROR(__xludf.DUMMYFUNCTION("""COMPUTED_VALUE"""),"ASSOC. DE APOIO ESC. EST. FREI SAVINO")</f>
        <v>ASSOC. DE APOIO ESC. EST. FREI SAVINO</v>
      </c>
      <c r="D54" t="str">
        <f ca="1">IFERROR(__xludf.DUMMYFUNCTION("""COMPUTED_VALUE"""),"01181389000181")</f>
        <v>01181389000181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IFERROR(__xludf.DUMMYFUNCTION("""COMPUTED_VALUE"""),"0019437")</f>
        <v>0019437</v>
      </c>
      <c r="H54" s="7">
        <f ca="1">IFERROR(__xludf.DUMMYFUNCTION("""COMPUTED_VALUE"""),190.4)</f>
        <v>190.4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IFERROR(__xludf.DUMMYFUNCTION("""COMPUTED_VALUE"""),"Araguatins")</f>
        <v>Araguatins</v>
      </c>
      <c r="C55" t="str">
        <f ca="1">IFERROR(__xludf.DUMMYFUNCTION("""COMPUTED_VALUE"""),"ASSOC. APOIO ESC. EST. DENISE GOMIDE AMUI")</f>
        <v>ASSOC. APOIO ESC. EST. DENISE GOMIDE AMUI</v>
      </c>
      <c r="D55" t="str">
        <f ca="1">IFERROR(__xludf.DUMMYFUNCTION("""COMPUTED_VALUE"""),"01136000000186")</f>
        <v>01136000000186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IFERROR(__xludf.DUMMYFUNCTION("""COMPUTED_VALUE"""),"0109223")</f>
        <v>0109223</v>
      </c>
      <c r="H55" s="7">
        <f ca="1">IFERROR(__xludf.DUMMYFUNCTION("""COMPUTED_VALUE"""),149.6)</f>
        <v>149.6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IFERROR(__xludf.DUMMYFUNCTION("""COMPUTED_VALUE"""),"Araguatins")</f>
        <v>Araguatins</v>
      </c>
      <c r="C56" t="str">
        <f ca="1">IFERROR(__xludf.DUMMYFUNCTION("""COMPUTED_VALUE"""),"A.A.  A ESC. EST. SANTA GERTRUDES")</f>
        <v>A.A.  A ESC. EST. SANTA GERTRUDES</v>
      </c>
      <c r="D56" t="str">
        <f ca="1">IFERROR(__xludf.DUMMYFUNCTION("""COMPUTED_VALUE"""),"03713455000142")</f>
        <v>03713455000142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IFERROR(__xludf.DUMMYFUNCTION("""COMPUTED_VALUE"""),"78271")</f>
        <v>78271</v>
      </c>
      <c r="H56" s="7">
        <f ca="1">IFERROR(__xludf.DUMMYFUNCTION("""COMPUTED_VALUE"""),204)</f>
        <v>204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IFERROR(__xludf.DUMMYFUNCTION("""COMPUTED_VALUE"""),"Araguatins")</f>
        <v>Araguatins</v>
      </c>
      <c r="C57" t="str">
        <f ca="1">IFERROR(__xludf.DUMMYFUNCTION("""COMPUTED_VALUE"""),"A.A.  A ESCOLA ISOLADA BOA SORTE")</f>
        <v>A.A.  A ESCOLA ISOLADA BOA SORTE</v>
      </c>
      <c r="D57" t="str">
        <f ca="1">IFERROR(__xludf.DUMMYFUNCTION("""COMPUTED_VALUE"""),"03765304000138")</f>
        <v>03765304000138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IFERROR(__xludf.DUMMYFUNCTION("""COMPUTED_VALUE"""),"78964")</f>
        <v>78964</v>
      </c>
      <c r="H57" s="7">
        <f ca="1">IFERROR(__xludf.DUMMYFUNCTION("""COMPUTED_VALUE"""),108.8)</f>
        <v>108.8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CENTRO EST. DE EDUCACAO LA SALLE")</f>
        <v>A.A. CENTRO EST. DE EDUCACAO LA SALLE</v>
      </c>
      <c r="D58" t="str">
        <f ca="1">IFERROR(__xludf.DUMMYFUNCTION("""COMPUTED_VALUE"""),"01223753000129")</f>
        <v>01223753000129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IFERROR(__xludf.DUMMYFUNCTION("""COMPUTED_VALUE"""),"19216")</f>
        <v>19216</v>
      </c>
      <c r="H58" s="7">
        <f ca="1">IFERROR(__xludf.DUMMYFUNCTION("""COMPUTED_VALUE"""),544)</f>
        <v>544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IFERROR(__xludf.DUMMYFUNCTION("""COMPUTED_VALUE"""),"Augustinopolis")</f>
        <v>Augustinopolis</v>
      </c>
      <c r="C59" t="str">
        <f ca="1">IFERROR(__xludf.DUMMYFUNCTION("""COMPUTED_VALUE"""),"A.A. ESCOLA ESTADUAL AUGUSTINOPOLIS")</f>
        <v>A.A. ESCOLA ESTADUAL AUGUSTINOPOLIS</v>
      </c>
      <c r="D59" t="str">
        <f ca="1">IFERROR(__xludf.DUMMYFUNCTION("""COMPUTED_VALUE"""),"01133692000109")</f>
        <v>01133692000109</v>
      </c>
      <c r="E59" t="str">
        <f ca="1">IFERROR(__xludf.DUMMYFUNCTION("""COMPUTED_VALUE"""),"001")</f>
        <v>001</v>
      </c>
      <c r="F59" t="str">
        <f ca="1">IFERROR(__xludf.DUMMYFUNCTION("""COMPUTED_VALUE"""),"3975")</f>
        <v>3975</v>
      </c>
      <c r="G59" t="str">
        <f ca="1">IFERROR(__xludf.DUMMYFUNCTION("""COMPUTED_VALUE"""),"019151")</f>
        <v>019151</v>
      </c>
      <c r="H59" s="7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IFERROR(__xludf.DUMMYFUNCTION("""COMPUTED_VALUE"""),"Augustinopolis")</f>
        <v>Augustinopolis</v>
      </c>
      <c r="C60" t="str">
        <f ca="1">IFERROR(__xludf.DUMMYFUNCTION("""COMPUTED_VALUE"""),"ASSOC. DE AP.ESC. EST. FAZ.DEZESSEIS")</f>
        <v>ASSOC. DE AP.ESC. EST. FAZ.DEZESSEIS</v>
      </c>
      <c r="D60" t="str">
        <f ca="1">IFERROR(__xludf.DUMMYFUNCTION("""COMPUTED_VALUE"""),"01133695000142")</f>
        <v>01133695000142</v>
      </c>
      <c r="E60" t="str">
        <f ca="1">IFERROR(__xludf.DUMMYFUNCTION("""COMPUTED_VALUE"""),"001")</f>
        <v>001</v>
      </c>
      <c r="F60" t="str">
        <f ca="1">IFERROR(__xludf.DUMMYFUNCTION("""COMPUTED_VALUE"""),"3975")</f>
        <v>3975</v>
      </c>
      <c r="G60" t="str">
        <f ca="1">IFERROR(__xludf.DUMMYFUNCTION("""COMPUTED_VALUE"""),"0019615")</f>
        <v>0019615</v>
      </c>
      <c r="H60" s="7">
        <f ca="1">IFERROR(__xludf.DUMMYFUNCTION("""COMPUTED_VALUE"""),95.2)</f>
        <v>95.2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IFERROR(__xludf.DUMMYFUNCTION("""COMPUTED_VALUE"""),"Augustinopolis")</f>
        <v>Augustinopolis</v>
      </c>
      <c r="C61" t="str">
        <f ca="1">IFERROR(__xludf.DUMMYFUNCTION("""COMPUTED_VALUE"""),"A.A. DA ESCOLA EST. SANTA GENOVEVA")</f>
        <v>A.A. DA ESCOLA EST. SANTA GENOVEVA</v>
      </c>
      <c r="D61" t="str">
        <f ca="1">IFERROR(__xludf.DUMMYFUNCTION("""COMPUTED_VALUE"""),"01068357000174")</f>
        <v>01068357000174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IFERROR(__xludf.DUMMYFUNCTION("""COMPUTED_VALUE"""),"0019461")</f>
        <v>0019461</v>
      </c>
      <c r="H61" s="7">
        <f ca="1">IFERROR(__xludf.DUMMYFUNCTION("""COMPUTED_VALUE"""),244.799999999999)</f>
        <v>244.79999999999899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IFERROR(__xludf.DUMMYFUNCTION("""COMPUTED_VALUE"""),"Axixa do Tocantins")</f>
        <v>Axixa do Tocantins</v>
      </c>
      <c r="C62" t="str">
        <f ca="1">IFERROR(__xludf.DUMMYFUNCTION("""COMPUTED_VALUE"""),"ASSOC. DE APOIO COLÉGIO. EST. MAL. RIBAS JUNIOR")</f>
        <v>ASSOC. DE APOIO COLÉGIO. EST. MAL. RIBAS JUNIOR</v>
      </c>
      <c r="D62" t="str">
        <f ca="1">IFERROR(__xludf.DUMMYFUNCTION("""COMPUTED_VALUE"""),"01086979000125")</f>
        <v>01086979000125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IFERROR(__xludf.DUMMYFUNCTION("""COMPUTED_VALUE"""),"209201")</f>
        <v>209201</v>
      </c>
      <c r="H62" s="7">
        <f ca="1">IFERROR(__xludf.DUMMYFUNCTION("""COMPUTED_VALUE"""),176.799999999999)</f>
        <v>176.79999999999899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IFERROR(__xludf.DUMMYFUNCTION("""COMPUTED_VALUE"""),"Axixa do Tocantins")</f>
        <v>Axixa do Tocantins</v>
      </c>
      <c r="C63" t="str">
        <f ca="1">IFERROR(__xludf.DUMMYFUNCTION("""COMPUTED_VALUE"""),"A.A. ESC. EST. SAO FRANCISCO DE ASSIS")</f>
        <v>A.A. ESC. EST. SAO FRANCISCO DE ASSIS</v>
      </c>
      <c r="D63" t="str">
        <f ca="1">IFERROR(__xludf.DUMMYFUNCTION("""COMPUTED_VALUE"""),"01086980000150")</f>
        <v>01086980000150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IFERROR(__xludf.DUMMYFUNCTION("""COMPUTED_VALUE"""),"19399")</f>
        <v>19399</v>
      </c>
      <c r="H63" s="7">
        <f ca="1">IFERROR(__xludf.DUMMYFUNCTION("""COMPUTED_VALUE"""),190.4)</f>
        <v>190.4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DA ESCOLA ESTADUAL DARCYNOPOLIS")</f>
        <v>A.A. DA ESCOLA ESTADUAL DARCYNOPOLIS</v>
      </c>
      <c r="D64" t="str">
        <f ca="1">IFERROR(__xludf.DUMMYFUNCTION("""COMPUTED_VALUE"""),"01190184000162")</f>
        <v>01190184000162</v>
      </c>
      <c r="E64" t="str">
        <f ca="1">IFERROR(__xludf.DUMMYFUNCTION("""COMPUTED_VALUE"""),"001")</f>
        <v>001</v>
      </c>
      <c r="F64" t="str">
        <f ca="1">IFERROR(__xludf.DUMMYFUNCTION("""COMPUTED_VALUE"""),"3975")</f>
        <v>3975</v>
      </c>
      <c r="G64" t="str">
        <f ca="1">IFERROR(__xludf.DUMMYFUNCTION("""COMPUTED_VALUE"""),"0019275")</f>
        <v>0019275</v>
      </c>
      <c r="H64" s="7">
        <f ca="1">IFERROR(__xludf.DUMMYFUNCTION("""COMPUTED_VALUE"""),217.6)</f>
        <v>217.6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IFERROR(__xludf.DUMMYFUNCTION("""COMPUTED_VALUE"""),"Buriti do Tocantins")</f>
        <v>Buriti do Tocantins</v>
      </c>
      <c r="C65" t="str">
        <f ca="1">IFERROR(__xludf.DUMMYFUNCTION("""COMPUTED_VALUE"""),"A.A. ESC. ESTADUAL MINISTRO NEY BRAGA")</f>
        <v>A.A. ESC. ESTADUAL MINISTRO NEY BRAGA</v>
      </c>
      <c r="D65" t="str">
        <f ca="1">IFERROR(__xludf.DUMMYFUNCTION("""COMPUTED_VALUE"""),"01206220000139")</f>
        <v>01206220000139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IFERROR(__xludf.DUMMYFUNCTION("""COMPUTED_VALUE"""),"10941X")</f>
        <v>10941X</v>
      </c>
      <c r="H65" s="7">
        <f ca="1">IFERROR(__xludf.DUMMYFUNCTION("""COMPUTED_VALUE"""),176.799999999999)</f>
        <v>176.79999999999899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IFERROR(__xludf.DUMMYFUNCTION("""COMPUTED_VALUE"""),"Buriti do Tocantins")</f>
        <v>Buriti do Tocantins</v>
      </c>
      <c r="C66" t="str">
        <f ca="1">IFERROR(__xludf.DUMMYFUNCTION("""COMPUTED_VALUE"""),"A.A. ESC. E.PRES.TANCREDO DE A.NEVES")</f>
        <v>A.A. ESC. E.PRES.TANCREDO DE A.NEVES</v>
      </c>
      <c r="D66" t="str">
        <f ca="1">IFERROR(__xludf.DUMMYFUNCTION("""COMPUTED_VALUE"""),"01112478000176")</f>
        <v>01112478000176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IFERROR(__xludf.DUMMYFUNCTION("""COMPUTED_VALUE"""),"10924X")</f>
        <v>10924X</v>
      </c>
      <c r="H66" s="7">
        <f ca="1">IFERROR(__xludf.DUMMYFUNCTION("""COMPUTED_VALUE"""),489.599999999999)</f>
        <v>489.599999999999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IFERROR(__xludf.DUMMYFUNCTION("""COMPUTED_VALUE"""),"Buriti do Tocantins")</f>
        <v>Buriti do Tocantins</v>
      </c>
      <c r="C67" t="str">
        <f ca="1">IFERROR(__xludf.DUMMYFUNCTION("""COMPUTED_VALUE"""),"A.A. ESC. EST. VICENTE CARLOS DE SOUSA")</f>
        <v>A.A. ESC. EST. VICENTE CARLOS DE SOUSA</v>
      </c>
      <c r="D67" t="str">
        <f ca="1">IFERROR(__xludf.DUMMYFUNCTION("""COMPUTED_VALUE"""),"01206288000118")</f>
        <v>01206288000118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IFERROR(__xludf.DUMMYFUNCTION("""COMPUTED_VALUE"""),"0109614")</f>
        <v>0109614</v>
      </c>
      <c r="H67" s="7">
        <f ca="1">IFERROR(__xludf.DUMMYFUNCTION("""COMPUTED_VALUE"""),149.6)</f>
        <v>149.6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IFERROR(__xludf.DUMMYFUNCTION("""COMPUTED_VALUE"""),"Carrasco Bonito")</f>
        <v>Carrasco Bonito</v>
      </c>
      <c r="C68" t="str">
        <f ca="1">IFERROR(__xludf.DUMMYFUNCTION("""COMPUTED_VALUE"""),"A.A. DA ESC. EST. CICERO GOMES")</f>
        <v>A.A. DA ESC. EST. CICERO GOMES</v>
      </c>
      <c r="D68" t="str">
        <f ca="1">IFERROR(__xludf.DUMMYFUNCTION("""COMPUTED_VALUE"""),"01068377000145")</f>
        <v>01068377000145</v>
      </c>
      <c r="E68" t="str">
        <f ca="1">IFERROR(__xludf.DUMMYFUNCTION("""COMPUTED_VALUE"""),"001")</f>
        <v>001</v>
      </c>
      <c r="F68" t="str">
        <f ca="1">IFERROR(__xludf.DUMMYFUNCTION("""COMPUTED_VALUE"""),"3975")</f>
        <v>3975</v>
      </c>
      <c r="G68" t="str">
        <f ca="1">IFERROR(__xludf.DUMMYFUNCTION("""COMPUTED_VALUE"""),"19291")</f>
        <v>19291</v>
      </c>
      <c r="H68" s="7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IFERROR(__xludf.DUMMYFUNCTION("""COMPUTED_VALUE"""),"Esperantina")</f>
        <v>Esperantina</v>
      </c>
      <c r="C69" t="str">
        <f ca="1">IFERROR(__xludf.DUMMYFUNCTION("""COMPUTED_VALUE"""),"A.A. ESC. ESTADUAL ULISSES GUIMARAES")</f>
        <v>A.A. ESC. ESTADUAL ULISSES GUIMARAES</v>
      </c>
      <c r="D69" t="str">
        <f ca="1">IFERROR(__xludf.DUMMYFUNCTION("""COMPUTED_VALUE"""),"01190183000118")</f>
        <v>01190183000118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IFERROR(__xludf.DUMMYFUNCTION("""COMPUTED_VALUE"""),"109363")</f>
        <v>109363</v>
      </c>
      <c r="H69" s="7">
        <f ca="1">IFERROR(__xludf.DUMMYFUNCTION("""COMPUTED_VALUE"""),108.8)</f>
        <v>108.8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IFERROR(__xludf.DUMMYFUNCTION("""COMPUTED_VALUE"""),"Praia Norte")</f>
        <v>Praia Norte</v>
      </c>
      <c r="C70" t="str">
        <f ca="1">IFERROR(__xludf.DUMMYFUNCTION("""COMPUTED_VALUE"""),"ASS. DE AP.ESCOLA EST. Iº DE JUNHO")</f>
        <v>ASS. DE AP.ESCOLA EST. Iº DE JUNHO</v>
      </c>
      <c r="D70" t="str">
        <f ca="1">IFERROR(__xludf.DUMMYFUNCTION("""COMPUTED_VALUE"""),"01392734000126")</f>
        <v>01392734000126</v>
      </c>
      <c r="E70" t="str">
        <f ca="1">IFERROR(__xludf.DUMMYFUNCTION("""COMPUTED_VALUE"""),"001")</f>
        <v>001</v>
      </c>
      <c r="F70" t="str">
        <f ca="1">IFERROR(__xludf.DUMMYFUNCTION("""COMPUTED_VALUE"""),"3975")</f>
        <v>3975</v>
      </c>
      <c r="G70" t="str">
        <f ca="1">IFERROR(__xludf.DUMMYFUNCTION("""COMPUTED_VALUE"""),"19712")</f>
        <v>19712</v>
      </c>
      <c r="H70" s="7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IFERROR(__xludf.DUMMYFUNCTION("""COMPUTED_VALUE"""),"Sampaio")</f>
        <v>Sampaio</v>
      </c>
      <c r="C71" t="str">
        <f ca="1">IFERROR(__xludf.DUMMYFUNCTION("""COMPUTED_VALUE"""),"A. DE AP. DA ESCOLA ESTADUAL SAMPAIO")</f>
        <v>A. DE AP. DA ESCOLA ESTADUAL SAMPAIO</v>
      </c>
      <c r="D71" t="str">
        <f ca="1">IFERROR(__xludf.DUMMYFUNCTION("""COMPUTED_VALUE"""),"01190179000150")</f>
        <v>01190179000150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IFERROR(__xludf.DUMMYFUNCTION("""COMPUTED_VALUE"""),"0019178")</f>
        <v>0019178</v>
      </c>
      <c r="H71" s="7">
        <f ca="1">IFERROR(__xludf.DUMMYFUNCTION("""COMPUTED_VALUE"""),190.4)</f>
        <v>190.4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Bento do Tocantins")</f>
        <v>Sao Bento do Tocantins</v>
      </c>
      <c r="C72" t="str">
        <f ca="1">IFERROR(__xludf.DUMMYFUNCTION("""COMPUTED_VALUE"""),"A.A. COLEGIO EST. IRMAOS FILGUEIRAS")</f>
        <v>A.A. COLEGIO EST. IRMAOS FILGUEIRAS</v>
      </c>
      <c r="D72" t="str">
        <f ca="1">IFERROR(__xludf.DUMMYFUNCTION("""COMPUTED_VALUE"""),"01068348000183")</f>
        <v>01068348000183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IFERROR(__xludf.DUMMYFUNCTION("""COMPUTED_VALUE"""),"109134")</f>
        <v>109134</v>
      </c>
      <c r="H72" s="7">
        <f ca="1">IFERROR(__xludf.DUMMYFUNCTION("""COMPUTED_VALUE"""),231.2)</f>
        <v>231.2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IFERROR(__xludf.DUMMYFUNCTION("""COMPUTED_VALUE"""),"Sao Bento do Tocantins")</f>
        <v>Sao Bento do Tocantins</v>
      </c>
      <c r="C73" t="str">
        <f ca="1">IFERROR(__xludf.DUMMYFUNCTION("""COMPUTED_VALUE"""),"A.A. ESC. EST. ANAIDES BRITO MIRANDA")</f>
        <v>A.A. ESC. EST. ANAIDES BRITO MIRANDA</v>
      </c>
      <c r="D73" t="str">
        <f ca="1">IFERROR(__xludf.DUMMYFUNCTION("""COMPUTED_VALUE"""),"01181993000108")</f>
        <v>01181993000108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IFERROR(__xludf.DUMMYFUNCTION("""COMPUTED_VALUE"""),"10938x")</f>
        <v>10938x</v>
      </c>
      <c r="H73" s="7">
        <f ca="1">IFERROR(__xludf.DUMMYFUNCTION("""COMPUTED_VALUE"""),163.2)</f>
        <v>163.19999999999999</v>
      </c>
      <c r="I73" t="str">
        <v>AEE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IFERROR(__xludf.DUMMYFUNCTION("""COMPUTED_VALUE"""),"Sao Miguel do Tocantins")</f>
        <v>Sao Miguel do Tocantins</v>
      </c>
      <c r="C74" t="str">
        <f ca="1">IFERROR(__xludf.DUMMYFUNCTION("""COMPUTED_VALUE"""),"A.A.  ESCOLA ESTADUAL SAO MIGUEL")</f>
        <v>A.A.  ESCOLA ESTADUAL SAO MIGUEL</v>
      </c>
      <c r="D74" t="str">
        <f ca="1">IFERROR(__xludf.DUMMYFUNCTION("""COMPUTED_VALUE"""),"01213523000189")</f>
        <v>01213523000189</v>
      </c>
      <c r="E74" t="str">
        <f ca="1">IFERROR(__xludf.DUMMYFUNCTION("""COMPUTED_VALUE"""),"001")</f>
        <v>001</v>
      </c>
      <c r="F74" t="str">
        <f ca="1">IFERROR(__xludf.DUMMYFUNCTION("""COMPUTED_VALUE"""),"1305")</f>
        <v>1305</v>
      </c>
      <c r="G74" t="str">
        <f ca="1">IFERROR(__xludf.DUMMYFUNCTION("""COMPUTED_VALUE"""),"173576")</f>
        <v>173576</v>
      </c>
      <c r="H74" s="7">
        <f ca="1">IFERROR(__xludf.DUMMYFUNCTION("""COMPUTED_VALUE"""),190.4)</f>
        <v>190.4</v>
      </c>
      <c r="I74" t="str">
        <v>AEE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IFERROR(__xludf.DUMMYFUNCTION("""COMPUTED_VALUE"""),"Sao Sebastiao do Tocantins")</f>
        <v>Sao Sebastiao do Tocantins</v>
      </c>
      <c r="C75" t="str">
        <f ca="1">IFERROR(__xludf.DUMMYFUNCTION("""COMPUTED_VALUE"""),"A.A. E. E. DR.PEDRO LUDOVICO TEIXEIRA")</f>
        <v>A.A. E. E. DR.PEDRO LUDOVICO TEIXEIRA</v>
      </c>
      <c r="D75" t="str">
        <f ca="1">IFERROR(__xludf.DUMMYFUNCTION("""COMPUTED_VALUE"""),"01186462000108")</f>
        <v>01186462000108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IFERROR(__xludf.DUMMYFUNCTION("""COMPUTED_VALUE"""),"109711")</f>
        <v>109711</v>
      </c>
      <c r="H75" s="7">
        <f ca="1">IFERROR(__xludf.DUMMYFUNCTION("""COMPUTED_VALUE"""),176.799999999999)</f>
        <v>176.79999999999899</v>
      </c>
      <c r="I75" t="str">
        <v>AEE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COL. EST. MARECHAEL RIBAS JUNIOR")</f>
        <v>A.A. COL. EST. MARECHAEL RIBAS JUNIOR</v>
      </c>
      <c r="D76" t="str">
        <f ca="1">IFERROR(__xludf.DUMMYFUNCTION("""COMPUTED_VALUE"""),"01230241000190")</f>
        <v>01230241000190</v>
      </c>
      <c r="E76" t="str">
        <f ca="1">IFERROR(__xludf.DUMMYFUNCTION("""COMPUTED_VALUE"""),"001")</f>
        <v>001</v>
      </c>
      <c r="F76" t="str">
        <f ca="1">IFERROR(__xludf.DUMMYFUNCTION("""COMPUTED_VALUE"""),"1305")</f>
        <v>1305</v>
      </c>
      <c r="G76" t="str">
        <f ca="1">IFERROR(__xludf.DUMMYFUNCTION("""COMPUTED_VALUE"""),"217964")</f>
        <v>217964</v>
      </c>
      <c r="H76" s="7">
        <f ca="1">IFERROR(__xludf.DUMMYFUNCTION("""COMPUTED_VALUE"""),408)</f>
        <v>408</v>
      </c>
      <c r="I76" t="str">
        <v>AEE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IFERROR(__xludf.DUMMYFUNCTION("""COMPUTED_VALUE"""),"Sitio Novo do Tocantins")</f>
        <v>Sitio Novo do Tocantins</v>
      </c>
      <c r="C77" t="str">
        <f ca="1">IFERROR(__xludf.DUMMYFUNCTION("""COMPUTED_VALUE"""),"A.A. ESC. EST. MANOEL ESTEVAO DE SOUZA")</f>
        <v>A.A. ESC. EST. MANOEL ESTEVAO DE SOUZA</v>
      </c>
      <c r="D77" t="str">
        <f ca="1">IFERROR(__xludf.DUMMYFUNCTION("""COMPUTED_VALUE"""),"01213534000169")</f>
        <v>01213534000169</v>
      </c>
      <c r="E77" t="str">
        <f ca="1">IFERROR(__xludf.DUMMYFUNCTION("""COMPUTED_VALUE"""),"001")</f>
        <v>001</v>
      </c>
      <c r="F77" t="str">
        <f ca="1">IFERROR(__xludf.DUMMYFUNCTION("""COMPUTED_VALUE"""),"1305")</f>
        <v>1305</v>
      </c>
      <c r="G77" t="str">
        <f ca="1">IFERROR(__xludf.DUMMYFUNCTION("""COMPUTED_VALUE"""),"181048")</f>
        <v>181048</v>
      </c>
      <c r="H77" s="7">
        <f ca="1">IFERROR(__xludf.DUMMYFUNCTION("""COMPUTED_VALUE"""),217.6)</f>
        <v>217.6</v>
      </c>
      <c r="I77" t="str">
        <v>AEE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IFERROR(__xludf.DUMMYFUNCTION("""COMPUTED_VALUE"""),"Sitio Novo do Tocantins")</f>
        <v>Sitio Novo do Tocantins</v>
      </c>
      <c r="C78" t="str">
        <f ca="1">IFERROR(__xludf.DUMMYFUNCTION("""COMPUTED_VALUE"""),"A.A. ESC. EST. RAIMUNDO NONATO LEITE")</f>
        <v>A.A. ESC. EST. RAIMUNDO NONATO LEITE</v>
      </c>
      <c r="D78" t="str">
        <f ca="1">IFERROR(__xludf.DUMMYFUNCTION("""COMPUTED_VALUE"""),"01230237000121")</f>
        <v>01230237000121</v>
      </c>
      <c r="E78" t="str">
        <f ca="1">IFERROR(__xludf.DUMMYFUNCTION("""COMPUTED_VALUE"""),"001")</f>
        <v>001</v>
      </c>
      <c r="F78" t="str">
        <f ca="1">IFERROR(__xludf.DUMMYFUNCTION("""COMPUTED_VALUE"""),"0810")</f>
        <v>0810</v>
      </c>
      <c r="G78" t="str">
        <f ca="1">IFERROR(__xludf.DUMMYFUNCTION("""COMPUTED_VALUE"""),"217980")</f>
        <v>217980</v>
      </c>
      <c r="H78" s="7">
        <f ca="1">IFERROR(__xludf.DUMMYFUNCTION("""COMPUTED_VALUE"""),217.6)</f>
        <v>217.6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 E. COM.COL EST PROFA. JOANA B. CORDEIRO")</f>
        <v>A. E. COM.COL EST PROFA. JOANA B. CORDEIRO</v>
      </c>
      <c r="D79" t="str">
        <f ca="1">IFERROR(__xludf.DUMMYFUNCTION("""COMPUTED_VALUE"""),"00922190000102")</f>
        <v>00922190000102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IFERROR(__xludf.DUMMYFUNCTION("""COMPUTED_VALUE"""),"231770")</f>
        <v>231770</v>
      </c>
      <c r="H79" s="7">
        <f ca="1">IFERROR(__xludf.DUMMYFUNCTION("""COMPUTED_VALUE"""),81.6)</f>
        <v>81.599999999999994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ESC. AGRÍCOLA DAVID AIRES FRANÇA")</f>
        <v>A.A. ESC. AGRÍCOLA DAVID AIRES FRANÇA</v>
      </c>
      <c r="D80" t="str">
        <f ca="1">IFERROR(__xludf.DUMMYFUNCTION("""COMPUTED_VALUE"""),"04302970000100")</f>
        <v>04302970000100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IFERROR(__xludf.DUMMYFUNCTION("""COMPUTED_VALUE"""),"94811")</f>
        <v>94811</v>
      </c>
      <c r="H80" s="7">
        <f ca="1">IFERROR(__xludf.DUMMYFUNCTION("""COMPUTED_VALUE"""),95.2)</f>
        <v>95.2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IFERROR(__xludf.DUMMYFUNCTION("""COMPUTED_VALUE"""),"Arraias")</f>
        <v>Arraias</v>
      </c>
      <c r="C81" t="str">
        <f ca="1">IFERROR(__xludf.DUMMYFUNCTION("""COMPUTED_VALUE"""),"A.A. ESCOL. DA ESC. EST. BRIGADEIRO FELIPE")</f>
        <v>A.A. ESCOL. DA ESC. EST. BRIGADEIRO FELIPE</v>
      </c>
      <c r="D81" t="str">
        <f ca="1">IFERROR(__xludf.DUMMYFUNCTION("""COMPUTED_VALUE"""),"01221149000163")</f>
        <v>01221149000163</v>
      </c>
      <c r="E81" t="str">
        <f ca="1">IFERROR(__xludf.DUMMYFUNCTION("""COMPUTED_VALUE"""),"001")</f>
        <v>001</v>
      </c>
      <c r="F81" t="str">
        <f ca="1">IFERROR(__xludf.DUMMYFUNCTION("""COMPUTED_VALUE"""),"0541")</f>
        <v>0541</v>
      </c>
      <c r="G81" t="str">
        <f ca="1">IFERROR(__xludf.DUMMYFUNCTION("""COMPUTED_VALUE"""),"232165")</f>
        <v>232165</v>
      </c>
      <c r="H81" s="7">
        <f ca="1">IFERROR(__xludf.DUMMYFUNCTION("""COMPUTED_VALUE"""),95.2)</f>
        <v>95.2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IFERROR(__xludf.DUMMYFUNCTION("""COMPUTED_VALUE"""),"Arraias")</f>
        <v>Arraias</v>
      </c>
      <c r="C82" t="str">
        <f ca="1">IFERROR(__xludf.DUMMYFUNCTION("""COMPUTED_VALUE"""),"ASS. APOIO ESC. EST. JACY ALVES DE BARROS")</f>
        <v>ASS. APOIO ESC. EST. JACY ALVES DE BARROS</v>
      </c>
      <c r="D82" t="str">
        <f ca="1">IFERROR(__xludf.DUMMYFUNCTION("""COMPUTED_VALUE"""),"01284634000186")</f>
        <v>01284634000186</v>
      </c>
      <c r="E82" t="str">
        <f ca="1">IFERROR(__xludf.DUMMYFUNCTION("""COMPUTED_VALUE"""),"001")</f>
        <v>001</v>
      </c>
      <c r="F82" t="str">
        <f ca="1">IFERROR(__xludf.DUMMYFUNCTION("""COMPUTED_VALUE"""),"0541")</f>
        <v>0541</v>
      </c>
      <c r="G82" t="str">
        <f ca="1">IFERROR(__xludf.DUMMYFUNCTION("""COMPUTED_VALUE"""),"232246")</f>
        <v>232246</v>
      </c>
      <c r="H82" s="7">
        <f ca="1">IFERROR(__xludf.DUMMYFUNCTION("""COMPUTED_VALUE"""),81.6)</f>
        <v>81.599999999999994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IFERROR(__xludf.DUMMYFUNCTION("""COMPUTED_VALUE"""),"Arraias")</f>
        <v>Arraias</v>
      </c>
      <c r="C83" t="str">
        <f ca="1">IFERROR(__xludf.DUMMYFUNCTION("""COMPUTED_VALUE"""),"A.A. ESCOLA ESTADUAL CANABRAVA/ZULMIRA MAGALHÃES")</f>
        <v>A.A. ESCOLA ESTADUAL CANABRAVA/ZULMIRA MAGALHÃES</v>
      </c>
      <c r="D83" t="str">
        <f ca="1">IFERROR(__xludf.DUMMYFUNCTION("""COMPUTED_VALUE"""),"01284633000131")</f>
        <v>01284633000131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IFERROR(__xludf.DUMMYFUNCTION("""COMPUTED_VALUE"""),"23219X")</f>
        <v>23219X</v>
      </c>
      <c r="H83" s="7">
        <f ca="1">IFERROR(__xludf.DUMMYFUNCTION("""COMPUTED_VALUE"""),190.4)</f>
        <v>190.4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IFERROR(__xludf.DUMMYFUNCTION("""COMPUTED_VALUE"""),"Arraias")</f>
        <v>Arraias</v>
      </c>
      <c r="C84" t="str">
        <f ca="1">IFERROR(__xludf.DUMMYFUNCTION("""COMPUTED_VALUE"""),"A.A. ESCOLAR DA ESC. EST. SILVA DOURADO")</f>
        <v>A.A. ESCOLAR DA ESC. EST. SILVA DOURADO</v>
      </c>
      <c r="D84" t="str">
        <f ca="1">IFERROR(__xludf.DUMMYFUNCTION("""COMPUTED_VALUE"""),"01301519000172")</f>
        <v>01301519000172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IFERROR(__xludf.DUMMYFUNCTION("""COMPUTED_VALUE"""),"232297")</f>
        <v>232297</v>
      </c>
      <c r="H84" s="7">
        <f ca="1">IFERROR(__xludf.DUMMYFUNCTION("""COMPUTED_VALUE"""),149.6)</f>
        <v>149.6</v>
      </c>
      <c r="I84" t="str">
        <v>AEE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IFERROR(__xludf.DUMMYFUNCTION("""COMPUTED_VALUE"""),"Aurora do Tocantins")</f>
        <v>Aurora do Tocantins</v>
      </c>
      <c r="C85" t="str">
        <f ca="1">IFERROR(__xludf.DUMMYFUNCTION("""COMPUTED_VALUE"""),"A.A. A ESCOLA/COL. EST.PROF. RANULFA")</f>
        <v>A.A. A ESCOLA/COL. EST.PROF. RANULFA</v>
      </c>
      <c r="D85" t="str">
        <f ca="1">IFERROR(__xludf.DUMMYFUNCTION("""COMPUTED_VALUE"""),"01133691000164")</f>
        <v>01133691000164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IFERROR(__xludf.DUMMYFUNCTION("""COMPUTED_VALUE"""),"102725")</f>
        <v>102725</v>
      </c>
      <c r="H85" s="7">
        <f ca="1">IFERROR(__xludf.DUMMYFUNCTION("""COMPUTED_VALUE"""),149.6)</f>
        <v>149.6</v>
      </c>
      <c r="I85" t="str">
        <v>AEE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IFERROR(__xludf.DUMMYFUNCTION("""COMPUTED_VALUE"""),"Combinado")</f>
        <v>Combinado</v>
      </c>
      <c r="C86" t="str">
        <f ca="1">IFERROR(__xludf.DUMMYFUNCTION("""COMPUTED_VALUE"""),"A.A. DA ESCOLA ESTADUAL COMBINADO")</f>
        <v>A.A. DA ESCOLA ESTADUAL COMBINADO</v>
      </c>
      <c r="D86" t="str">
        <f ca="1">IFERROR(__xludf.DUMMYFUNCTION("""COMPUTED_VALUE"""),"01136003000110")</f>
        <v>01136003000110</v>
      </c>
      <c r="E86" t="str">
        <f ca="1">IFERROR(__xludf.DUMMYFUNCTION("""COMPUTED_VALUE"""),"001")</f>
        <v>001</v>
      </c>
      <c r="F86" t="str">
        <f ca="1">IFERROR(__xludf.DUMMYFUNCTION("""COMPUTED_VALUE"""),"3977")</f>
        <v>3977</v>
      </c>
      <c r="G86" t="str">
        <f ca="1">IFERROR(__xludf.DUMMYFUNCTION("""COMPUTED_VALUE"""),"231940")</f>
        <v>231940</v>
      </c>
      <c r="H86" s="7">
        <f ca="1">IFERROR(__xludf.DUMMYFUNCTION("""COMPUTED_VALUE"""),204)</f>
        <v>204</v>
      </c>
      <c r="I86" t="str">
        <v>AEE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IFERROR(__xludf.DUMMYFUNCTION("""COMPUTED_VALUE"""),"Combinado")</f>
        <v>Combinado</v>
      </c>
      <c r="C87" t="str">
        <f ca="1">IFERROR(__xludf.DUMMYFUNCTION("""COMPUTED_VALUE"""),"A.A. ESC. EST. AUGUSTA VAZ DOS S.TEIXEIRA")</f>
        <v>A.A. ESC. EST. AUGUSTA VAZ DOS S.TEIXEIRA</v>
      </c>
      <c r="D87" t="str">
        <f ca="1">IFERROR(__xludf.DUMMYFUNCTION("""COMPUTED_VALUE"""),"01186458000140")</f>
        <v>01186458000140</v>
      </c>
      <c r="E87" t="str">
        <f ca="1">IFERROR(__xludf.DUMMYFUNCTION("""COMPUTED_VALUE"""),"001")</f>
        <v>001</v>
      </c>
      <c r="F87" t="str">
        <f ca="1">IFERROR(__xludf.DUMMYFUNCTION("""COMPUTED_VALUE"""),"3977")</f>
        <v>3977</v>
      </c>
      <c r="G87" t="str">
        <f ca="1">IFERROR(__xludf.DUMMYFUNCTION("""COMPUTED_VALUE"""),"56855")</f>
        <v>56855</v>
      </c>
      <c r="H87" s="7">
        <f ca="1">IFERROR(__xludf.DUMMYFUNCTION("""COMPUTED_VALUE"""),231.2)</f>
        <v>231.2</v>
      </c>
      <c r="I87" t="str">
        <v>AEE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IFERROR(__xludf.DUMMYFUNCTION("""COMPUTED_VALUE"""),"Lavandeira")</f>
        <v>Lavandeira</v>
      </c>
      <c r="C88" t="str">
        <f ca="1">IFERROR(__xludf.DUMMYFUNCTION("""COMPUTED_VALUE"""),"ASSOC. DE APOIO ESC. EST. LAVANDEIRA")</f>
        <v>ASSOC. DE APOIO ESC. EST. LAVANDEIRA</v>
      </c>
      <c r="D88" t="str">
        <f ca="1">IFERROR(__xludf.DUMMYFUNCTION("""COMPUTED_VALUE"""),"01136024000135")</f>
        <v>01136024000135</v>
      </c>
      <c r="E88" t="str">
        <f ca="1">IFERROR(__xludf.DUMMYFUNCTION("""COMPUTED_VALUE"""),"001")</f>
        <v>001</v>
      </c>
      <c r="F88" t="str">
        <f ca="1">IFERROR(__xludf.DUMMYFUNCTION("""COMPUTED_VALUE"""),"3977")</f>
        <v>3977</v>
      </c>
      <c r="G88" t="str">
        <f ca="1">IFERROR(__xludf.DUMMYFUNCTION("""COMPUTED_VALUE"""),"231916")</f>
        <v>231916</v>
      </c>
      <c r="H88" s="7">
        <f ca="1">IFERROR(__xludf.DUMMYFUNCTION("""COMPUTED_VALUE"""),204)</f>
        <v>204</v>
      </c>
      <c r="I88" t="str">
        <v>AEE</v>
      </c>
    </row>
    <row r="89" spans="1:9" ht="12.75">
      <c r="A89" t="str">
        <f ca="1">IFERROR(__xludf.DUMMYFUNCTION("""COMPUTED_VALUE"""),"Arraias")</f>
        <v>Arraias</v>
      </c>
      <c r="B89" t="str">
        <f ca="1">IFERROR(__xludf.DUMMYFUNCTION("""COMPUTED_VALUE"""),"Novo Alegre")</f>
        <v>Novo Alegre</v>
      </c>
      <c r="C89" t="str">
        <f ca="1">IFERROR(__xludf.DUMMYFUNCTION("""COMPUTED_VALUE"""),"ASSOC. DE APOIO COL. EST. DR.JOAO D`ABREU")</f>
        <v>ASSOC. DE APOIO COL. EST. DR.JOAO D`ABREU</v>
      </c>
      <c r="D89" t="str">
        <f ca="1">IFERROR(__xludf.DUMMYFUNCTION("""COMPUTED_VALUE"""),"01146115000151")</f>
        <v>01146115000151</v>
      </c>
      <c r="E89" t="str">
        <f ca="1">IFERROR(__xludf.DUMMYFUNCTION("""COMPUTED_VALUE"""),"001")</f>
        <v>001</v>
      </c>
      <c r="F89" t="str">
        <f ca="1">IFERROR(__xludf.DUMMYFUNCTION("""COMPUTED_VALUE"""),"3977")</f>
        <v>3977</v>
      </c>
      <c r="G89" t="str">
        <f ca="1">IFERROR(__xludf.DUMMYFUNCTION("""COMPUTED_VALUE"""),"178845")</f>
        <v>178845</v>
      </c>
      <c r="H89" s="7">
        <f ca="1">IFERROR(__xludf.DUMMYFUNCTION("""COMPUTED_VALUE"""),258.4)</f>
        <v>258.39999999999998</v>
      </c>
      <c r="I89" t="str">
        <v>AEE</v>
      </c>
    </row>
    <row r="90" spans="1:9" ht="12.75">
      <c r="A90" t="str">
        <f ca="1">IFERROR(__xludf.DUMMYFUNCTION("""COMPUTED_VALUE"""),"Arraias")</f>
        <v>Arraias</v>
      </c>
      <c r="B90" t="str">
        <f ca="1">IFERROR(__xludf.DUMMYFUNCTION("""COMPUTED_VALUE"""),"Parana")</f>
        <v>Parana</v>
      </c>
      <c r="C90" t="str">
        <f ca="1">IFERROR(__xludf.DUMMYFUNCTION("""COMPUTED_VALUE"""),"A.A. DA ESC. EST.EUCLIDES BEZERRA GERAIS")</f>
        <v>A.A. DA ESC. EST.EUCLIDES BEZERRA GERAIS</v>
      </c>
      <c r="D90" t="str">
        <f ca="1">IFERROR(__xludf.DUMMYFUNCTION("""COMPUTED_VALUE"""),"01401950000190")</f>
        <v>01401950000190</v>
      </c>
      <c r="E90" t="str">
        <f ca="1">IFERROR(__xludf.DUMMYFUNCTION("""COMPUTED_VALUE"""),"001")</f>
        <v>001</v>
      </c>
      <c r="F90" t="str">
        <f ca="1">IFERROR(__xludf.DUMMYFUNCTION("""COMPUTED_VALUE"""),"0541")</f>
        <v>0541</v>
      </c>
      <c r="G90" t="str">
        <f ca="1">IFERROR(__xludf.DUMMYFUNCTION("""COMPUTED_VALUE"""),"232483")</f>
        <v>232483</v>
      </c>
      <c r="H90" s="7">
        <f ca="1">IFERROR(__xludf.DUMMYFUNCTION("""COMPUTED_VALUE"""),272)</f>
        <v>272</v>
      </c>
      <c r="I90" t="str">
        <v>AEE</v>
      </c>
    </row>
    <row r="91" spans="1:9" ht="12.75">
      <c r="A91" t="str">
        <f ca="1">IFERROR(__xludf.DUMMYFUNCTION("""COMPUTED_VALUE"""),"Arraias")</f>
        <v>Arraias</v>
      </c>
      <c r="B91" t="str">
        <f ca="1">IFERROR(__xludf.DUMMYFUNCTION("""COMPUTED_VALUE"""),"Parana")</f>
        <v>Parana</v>
      </c>
      <c r="C91" t="str">
        <f ca="1">IFERROR(__xludf.DUMMYFUNCTION("""COMPUTED_VALUE"""),"ASSOC. DE APOIO A ESC. EST. REUNIDA FLORESTA")</f>
        <v>ASSOC. DE APOIO A ESC. EST. REUNIDA FLORESTA</v>
      </c>
      <c r="D91" t="str">
        <f ca="1">IFERROR(__xludf.DUMMYFUNCTION("""COMPUTED_VALUE"""),"03834797000110")</f>
        <v>03834797000110</v>
      </c>
      <c r="E91" t="str">
        <f ca="1">IFERROR(__xludf.DUMMYFUNCTION("""COMPUTED_VALUE"""),"001")</f>
        <v>001</v>
      </c>
      <c r="F91" t="str">
        <f ca="1">IFERROR(__xludf.DUMMYFUNCTION("""COMPUTED_VALUE"""),"0541")</f>
        <v>0541</v>
      </c>
      <c r="G91" t="str">
        <f ca="1">IFERROR(__xludf.DUMMYFUNCTION("""COMPUTED_VALUE"""),"113247")</f>
        <v>113247</v>
      </c>
      <c r="H91" s="7">
        <f ca="1">IFERROR(__xludf.DUMMYFUNCTION("""COMPUTED_VALUE"""),68)</f>
        <v>68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IFERROR(__xludf.DUMMYFUNCTION("""COMPUTED_VALUE"""),"Arapoema")</f>
        <v>Arapoema</v>
      </c>
      <c r="C92" t="str">
        <f ca="1">IFERROR(__xludf.DUMMYFUNCTION("""COMPUTED_VALUE"""),"A.A. E. EST. ANTONIO DELFINO GUIMARAES")</f>
        <v>A.A. E. EST. ANTONIO DELFINO GUIMARAES</v>
      </c>
      <c r="D92" t="str">
        <f ca="1">IFERROR(__xludf.DUMMYFUNCTION("""COMPUTED_VALUE"""),"01135998000102")</f>
        <v>01135998000102</v>
      </c>
      <c r="E92" t="str">
        <f ca="1">IFERROR(__xludf.DUMMYFUNCTION("""COMPUTED_VALUE"""),"001")</f>
        <v>001</v>
      </c>
      <c r="F92" t="str">
        <f ca="1">IFERROR(__xludf.DUMMYFUNCTION("""COMPUTED_VALUE"""),"3974")</f>
        <v>3974</v>
      </c>
      <c r="G92" t="str">
        <f ca="1">IFERROR(__xludf.DUMMYFUNCTION("""COMPUTED_VALUE"""),"2287X")</f>
        <v>2287X</v>
      </c>
      <c r="H92" s="7">
        <f ca="1">IFERROR(__xludf.DUMMYFUNCTION("""COMPUTED_VALUE"""),312.8)</f>
        <v>312.8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IFERROR(__xludf.DUMMYFUNCTION("""COMPUTED_VALUE"""),"Bandeirantes do Tocantins")</f>
        <v>Bandeirantes do Tocantins</v>
      </c>
      <c r="C93" t="str">
        <f ca="1">IFERROR(__xludf.DUMMYFUNCTION("""COMPUTED_VALUE"""),"A.A. E. E. ARCELINO F. DO NASCIMENTO")</f>
        <v>A.A. E. E. ARCELINO F. DO NASCIMENTO</v>
      </c>
      <c r="D93" t="str">
        <f ca="1">IFERROR(__xludf.DUMMYFUNCTION("""COMPUTED_VALUE"""),"01181179000193")</f>
        <v>01181179000193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IFERROR(__xludf.DUMMYFUNCTION("""COMPUTED_VALUE"""),"46578X")</f>
        <v>46578X</v>
      </c>
      <c r="H93" s="7">
        <f ca="1">IFERROR(__xludf.DUMMYFUNCTION("""COMPUTED_VALUE"""),68)</f>
        <v>68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IFERROR(__xludf.DUMMYFUNCTION("""COMPUTED_VALUE"""),"Bernardo Sayao")</f>
        <v>Bernardo Sayao</v>
      </c>
      <c r="C94" t="str">
        <f ca="1">IFERROR(__xludf.DUMMYFUNCTION("""COMPUTED_VALUE"""),"A.A. COL. EST. BERNARDO SAYAO")</f>
        <v>A.A. COL. EST. BERNARDO SAYAO</v>
      </c>
      <c r="D94" t="str">
        <f ca="1">IFERROR(__xludf.DUMMYFUNCTION("""COMPUTED_VALUE"""),"01190188000140")</f>
        <v>01190188000140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IFERROR(__xludf.DUMMYFUNCTION("""COMPUTED_VALUE"""),"369403")</f>
        <v>369403</v>
      </c>
      <c r="H94" s="7">
        <f ca="1">IFERROR(__xludf.DUMMYFUNCTION("""COMPUTED_VALUE"""),81.6)</f>
        <v>81.599999999999994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IFERROR(__xludf.DUMMYFUNCTION("""COMPUTED_VALUE"""),"ASSOC. DE APOIO DO COL. EST. CASTELO BRANCO")</f>
        <v>ASSOC. DE APOIO DO COL. EST. CASTELO BRANCO</v>
      </c>
      <c r="D95" t="str">
        <f ca="1">IFERROR(__xludf.DUMMYFUNCTION("""COMPUTED_VALUE"""),"01071413000120")</f>
        <v>01071413000120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IFERROR(__xludf.DUMMYFUNCTION("""COMPUTED_VALUE"""),"187275")</f>
        <v>187275</v>
      </c>
      <c r="H95" s="7">
        <f ca="1">IFERROR(__xludf.DUMMYFUNCTION("""COMPUTED_VALUE"""),312.8)</f>
        <v>312.8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ESCOLA ESTADUAL ERNESTO BARROS")</f>
        <v>A.A. ESCOLA ESTADUAL ERNESTO BARROS</v>
      </c>
      <c r="D96" t="str">
        <f ca="1">IFERROR(__xludf.DUMMYFUNCTION("""COMPUTED_VALUE"""),"01064857000138")</f>
        <v>01064857000138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IFERROR(__xludf.DUMMYFUNCTION("""COMPUTED_VALUE"""),"0368571")</f>
        <v>0368571</v>
      </c>
      <c r="H96" s="7">
        <f ca="1">IFERROR(__xludf.DUMMYFUNCTION("""COMPUTED_VALUE"""),176.799999999999)</f>
        <v>176.79999999999899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IFERROR(__xludf.DUMMYFUNCTION("""COMPUTED_VALUE"""),"A.A.  COLEGIO JOAO XXIII")</f>
        <v>A.A.  COLEGIO JOAO XXIII</v>
      </c>
      <c r="D97" t="str">
        <f ca="1">IFERROR(__xludf.DUMMYFUNCTION("""COMPUTED_VALUE"""),"01064859000127")</f>
        <v>01064859000127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IFERROR(__xludf.DUMMYFUNCTION("""COMPUTED_VALUE"""),"368555")</f>
        <v>368555</v>
      </c>
      <c r="H97" s="7">
        <f ca="1">IFERROR(__xludf.DUMMYFUNCTION("""COMPUTED_VALUE"""),285.599999999999)</f>
        <v>285.599999999999</v>
      </c>
      <c r="I97" t="str">
        <v>AEE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IFERROR(__xludf.DUMMYFUNCTION("""COMPUTED_VALUE"""),"Colinas do Tocantins")</f>
        <v>Colinas do Tocantins</v>
      </c>
      <c r="C98" t="str">
        <f ca="1">IFERROR(__xludf.DUMMYFUNCTION("""COMPUTED_VALUE"""),"AAE ESPECIAL GOTA DE ESPERANÇA")</f>
        <v>AAE ESPECIAL GOTA DE ESPERANÇA</v>
      </c>
      <c r="D98" t="str">
        <f ca="1">IFERROR(__xludf.DUMMYFUNCTION("""COMPUTED_VALUE"""),"07944635000196")</f>
        <v>07944635000196</v>
      </c>
      <c r="E98" t="str">
        <f ca="1">IFERROR(__xludf.DUMMYFUNCTION("""COMPUTED_VALUE"""),"001")</f>
        <v>001</v>
      </c>
      <c r="F98" t="str">
        <f ca="1">IFERROR(__xludf.DUMMYFUNCTION("""COMPUTED_VALUE"""),"0911")</f>
        <v>0911</v>
      </c>
      <c r="G98" t="str">
        <f ca="1">IFERROR(__xludf.DUMMYFUNCTION("""COMPUTED_VALUE"""),"184861")</f>
        <v>184861</v>
      </c>
      <c r="H98" s="7">
        <f ca="1">IFERROR(__xludf.DUMMYFUNCTION("""COMPUTED_VALUE"""),394.4)</f>
        <v>394.4</v>
      </c>
      <c r="I98" t="str">
        <v>AEE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IFERROR(__xludf.DUMMYFUNCTION("""COMPUTED_VALUE"""),"Colinas do Tocantins")</f>
        <v>Colinas do Tocantins</v>
      </c>
      <c r="C99" t="str">
        <f ca="1">IFERROR(__xludf.DUMMYFUNCTION("""COMPUTED_VALUE"""),"A.A. E. E. FRANCISCO PEREIRA FELICIO")</f>
        <v>A.A. E. E. FRANCISCO PEREIRA FELICIO</v>
      </c>
      <c r="D99" t="str">
        <f ca="1">IFERROR(__xludf.DUMMYFUNCTION("""COMPUTED_VALUE"""),"01086969000190")</f>
        <v>01086969000190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IFERROR(__xludf.DUMMYFUNCTION("""COMPUTED_VALUE"""),"368814")</f>
        <v>368814</v>
      </c>
      <c r="H99" s="7">
        <f ca="1">IFERROR(__xludf.DUMMYFUNCTION("""COMPUTED_VALUE"""),544)</f>
        <v>544</v>
      </c>
      <c r="I99" t="str">
        <v>AEE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IFERROR(__xludf.DUMMYFUNCTION("""COMPUTED_VALUE"""),"Colinas do Tocantins")</f>
        <v>Colinas do Tocantins</v>
      </c>
      <c r="C100" t="str">
        <f ca="1">IFERROR(__xludf.DUMMYFUNCTION("""COMPUTED_VALUE"""),"A.A. E. E. LACERDINO OLIVEIRA CAMPOS")</f>
        <v>A.A. E. E. LACERDINO OLIVEIRA CAMPOS</v>
      </c>
      <c r="D100" t="str">
        <f ca="1">IFERROR(__xludf.DUMMYFUNCTION("""COMPUTED_VALUE"""),"01077439000185")</f>
        <v>01077439000185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IFERROR(__xludf.DUMMYFUNCTION("""COMPUTED_VALUE"""),"368741")</f>
        <v>368741</v>
      </c>
      <c r="H100" s="7">
        <f ca="1">IFERROR(__xludf.DUMMYFUNCTION("""COMPUTED_VALUE"""),272)</f>
        <v>272</v>
      </c>
      <c r="I100" t="str">
        <v>AEE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IFERROR(__xludf.DUMMYFUNCTION("""COMPUTED_VALUE"""),"Colinas do Tocantins")</f>
        <v>Colinas do Tocantins</v>
      </c>
      <c r="C101" t="str">
        <f ca="1">IFERROR(__xludf.DUMMYFUNCTION("""COMPUTED_VALUE"""),"A.A. E. PRESBITERIANA DE COLINAS")</f>
        <v>A.A. E. PRESBITERIANA DE COLINAS</v>
      </c>
      <c r="D101" t="str">
        <f ca="1">IFERROR(__xludf.DUMMYFUNCTION("""COMPUTED_VALUE"""),"01071410000196")</f>
        <v>01071410000196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IFERROR(__xludf.DUMMYFUNCTION("""COMPUTED_VALUE"""),"368695")</f>
        <v>368695</v>
      </c>
      <c r="H101" s="7">
        <f ca="1">IFERROR(__xludf.DUMMYFUNCTION("""COMPUTED_VALUE"""),285.599999999999)</f>
        <v>285.599999999999</v>
      </c>
      <c r="I101" t="str">
        <v>AEE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IFERROR(__xludf.DUMMYFUNCTION("""COMPUTED_VALUE"""),"Colinas do Tocantins")</f>
        <v>Colinas do Tocantins</v>
      </c>
      <c r="C102" t="str">
        <f ca="1">IFERROR(__xludf.DUMMYFUNCTION("""COMPUTED_VALUE"""),"ASSOC. APOIO AO INSTITUTO EDUC. GUNNAR VINGREN")</f>
        <v>ASSOC. APOIO AO INSTITUTO EDUC. GUNNAR VINGREN</v>
      </c>
      <c r="D102" t="str">
        <f ca="1">IFERROR(__xludf.DUMMYFUNCTION("""COMPUTED_VALUE"""),"05537107000197")</f>
        <v>05537107000197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IFERROR(__xludf.DUMMYFUNCTION("""COMPUTED_VALUE"""),"172286")</f>
        <v>172286</v>
      </c>
      <c r="H102" s="7">
        <f ca="1">IFERROR(__xludf.DUMMYFUNCTION("""COMPUTED_VALUE"""),176.799999999999)</f>
        <v>176.79999999999899</v>
      </c>
      <c r="I102" t="str">
        <v>AEE</v>
      </c>
    </row>
    <row r="103" spans="1:9" ht="12.75">
      <c r="A103" t="str">
        <f ca="1">IFERROR(__xludf.DUMMYFUNCTION("""COMPUTED_VALUE"""),"Colinas")</f>
        <v>Colinas</v>
      </c>
      <c r="B103" t="str">
        <f ca="1">IFERROR(__xludf.DUMMYFUNCTION("""COMPUTED_VALUE"""),"Juarina")</f>
        <v>Juarina</v>
      </c>
      <c r="C103" t="str">
        <f ca="1">IFERROR(__xludf.DUMMYFUNCTION("""COMPUTED_VALUE"""),"A.A. ESCOLA ESTADUAL ZICO DORNELAS")</f>
        <v>A.A. ESCOLA ESTADUAL ZICO DORNELAS</v>
      </c>
      <c r="D103" t="str">
        <f ca="1">IFERROR(__xludf.DUMMYFUNCTION("""COMPUTED_VALUE"""),"01136018000188")</f>
        <v>01136018000188</v>
      </c>
      <c r="E103" t="str">
        <f ca="1">IFERROR(__xludf.DUMMYFUNCTION("""COMPUTED_VALUE"""),"001")</f>
        <v>001</v>
      </c>
      <c r="F103" t="str">
        <f ca="1">IFERROR(__xludf.DUMMYFUNCTION("""COMPUTED_VALUE"""),"0911")</f>
        <v>0911</v>
      </c>
      <c r="G103" t="str">
        <f ca="1">IFERROR(__xludf.DUMMYFUNCTION("""COMPUTED_VALUE"""),"369349")</f>
        <v>369349</v>
      </c>
      <c r="H103" s="7">
        <f ca="1">IFERROR(__xludf.DUMMYFUNCTION("""COMPUTED_VALUE"""),136)</f>
        <v>136</v>
      </c>
      <c r="I103" t="str">
        <v>AEE</v>
      </c>
    </row>
    <row r="104" spans="1:9" ht="12.75">
      <c r="A104" t="str">
        <f ca="1">IFERROR(__xludf.DUMMYFUNCTION("""COMPUTED_VALUE"""),"Colinas")</f>
        <v>Colinas</v>
      </c>
      <c r="B104" t="str">
        <f ca="1">IFERROR(__xludf.DUMMYFUNCTION("""COMPUTED_VALUE"""),"Palmeirante")</f>
        <v>Palmeirante</v>
      </c>
      <c r="C104" t="str">
        <f ca="1">IFERROR(__xludf.DUMMYFUNCTION("""COMPUTED_VALUE"""),"ASS. COM. ESC. EST JOAO AIRES GABRIEL")</f>
        <v>ASS. COM. ESC. EST JOAO AIRES GABRIEL</v>
      </c>
      <c r="D104" t="str">
        <f ca="1">IFERROR(__xludf.DUMMYFUNCTION("""COMPUTED_VALUE"""),"01465793000187")</f>
        <v>01465793000187</v>
      </c>
      <c r="E104" t="str">
        <f ca="1">IFERROR(__xludf.DUMMYFUNCTION("""COMPUTED_VALUE"""),"001")</f>
        <v>001</v>
      </c>
      <c r="F104" t="str">
        <f ca="1">IFERROR(__xludf.DUMMYFUNCTION("""COMPUTED_VALUE"""),"0911")</f>
        <v>0911</v>
      </c>
      <c r="G104" t="str">
        <f ca="1">IFERROR(__xludf.DUMMYFUNCTION("""COMPUTED_VALUE"""),"342246")</f>
        <v>342246</v>
      </c>
      <c r="H104" s="7">
        <f ca="1">IFERROR(__xludf.DUMMYFUNCTION("""COMPUTED_VALUE"""),204)</f>
        <v>204</v>
      </c>
      <c r="I104" t="str">
        <v>AEE</v>
      </c>
    </row>
    <row r="105" spans="1:9" ht="12.75">
      <c r="A105" t="str">
        <f ca="1">IFERROR(__xludf.DUMMYFUNCTION("""COMPUTED_VALUE"""),"Colinas")</f>
        <v>Colinas</v>
      </c>
      <c r="B105" t="str">
        <f ca="1">IFERROR(__xludf.DUMMYFUNCTION("""COMPUTED_VALUE"""),"Pau D'arco")</f>
        <v>Pau D'arco</v>
      </c>
      <c r="C105" t="str">
        <f ca="1">IFERROR(__xludf.DUMMYFUNCTION("""COMPUTED_VALUE"""),"A.COM. ESCOLA EST. ULISSES GUIMARAES")</f>
        <v>A.COM. ESCOLA EST. ULISSES GUIMARAES</v>
      </c>
      <c r="D105" t="str">
        <f ca="1">IFERROR(__xludf.DUMMYFUNCTION("""COMPUTED_VALUE"""),"01181178000149")</f>
        <v>01181178000149</v>
      </c>
      <c r="E105" t="str">
        <f ca="1">IFERROR(__xludf.DUMMYFUNCTION("""COMPUTED_VALUE"""),"001")</f>
        <v>001</v>
      </c>
      <c r="F105" t="str">
        <f ca="1">IFERROR(__xludf.DUMMYFUNCTION("""COMPUTED_VALUE"""),"0911")</f>
        <v>0911</v>
      </c>
      <c r="G105" t="str">
        <f ca="1">IFERROR(__xludf.DUMMYFUNCTION("""COMPUTED_VALUE"""),"23485")</f>
        <v>23485</v>
      </c>
      <c r="H105" s="7">
        <f ca="1">IFERROR(__xludf.DUMMYFUNCTION("""COMPUTED_VALUE"""),340)</f>
        <v>340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IFERROR(__xludf.DUMMYFUNCTION("""COMPUTED_VALUE"""),"Almas")</f>
        <v>Almas</v>
      </c>
      <c r="C106" t="str">
        <f ca="1">IFERROR(__xludf.DUMMYFUNCTION("""COMPUTED_VALUE"""),"A.A. COL. E.II GRAU DR.ABNER A.PACINI")</f>
        <v>A.A. COL. E.II GRAU DR.ABNER A.PACINI</v>
      </c>
      <c r="D106" t="str">
        <f ca="1">IFERROR(__xludf.DUMMYFUNCTION("""COMPUTED_VALUE"""),"01197160000135")</f>
        <v>01197160000135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IFERROR(__xludf.DUMMYFUNCTION("""COMPUTED_VALUE"""),"0107700")</f>
        <v>0107700</v>
      </c>
      <c r="H106" s="7">
        <f ca="1">IFERROR(__xludf.DUMMYFUNCTION("""COMPUTED_VALUE"""),204)</f>
        <v>204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IFERROR(__xludf.DUMMYFUNCTION("""COMPUTED_VALUE"""),"Almas")</f>
        <v>Almas</v>
      </c>
      <c r="C107" t="str">
        <f ca="1">IFERROR(__xludf.DUMMYFUNCTION("""COMPUTED_VALUE"""),"A.A.  ESC. ESTADUAL DEOCLIDES MUNIZ")</f>
        <v>A.A.  ESC. ESTADUAL DEOCLIDES MUNIZ</v>
      </c>
      <c r="D107" t="str">
        <f ca="1">IFERROR(__xludf.DUMMYFUNCTION("""COMPUTED_VALUE"""),"01143807000146")</f>
        <v>01143807000146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IFERROR(__xludf.DUMMYFUNCTION("""COMPUTED_VALUE"""),"107786")</f>
        <v>107786</v>
      </c>
      <c r="H107" s="7">
        <f ca="1">IFERROR(__xludf.DUMMYFUNCTION("""COMPUTED_VALUE"""),176.799999999999)</f>
        <v>176.79999999999899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IFERROR(__xludf.DUMMYFUNCTION("""COMPUTED_VALUE"""),"Conceicao do Tocantins")</f>
        <v>Conceicao do Tocantins</v>
      </c>
      <c r="C108" t="str">
        <f ca="1">IFERROR(__xludf.DUMMYFUNCTION("""COMPUTED_VALUE"""),"A.A. E. CEL JOSE FRANCISCO DE AZEVEDO")</f>
        <v>A.A. E. CEL JOSE FRANCISCO DE AZEVEDO</v>
      </c>
      <c r="D108" t="str">
        <f ca="1">IFERROR(__xludf.DUMMYFUNCTION("""COMPUTED_VALUE"""),"01136040000128")</f>
        <v>01136040000128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IFERROR(__xludf.DUMMYFUNCTION("""COMPUTED_VALUE"""),"106208")</f>
        <v>106208</v>
      </c>
      <c r="H108" s="7">
        <f ca="1">IFERROR(__xludf.DUMMYFUNCTION("""COMPUTED_VALUE"""),231.2)</f>
        <v>231.2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IFERROR(__xludf.DUMMYFUNCTION("""COMPUTED_VALUE"""),"A. DE APOIO AO COLEGIO JOAO DE ABREU")</f>
        <v>A. DE APOIO AO COLEGIO JOAO DE ABREU</v>
      </c>
      <c r="D109" t="str">
        <f ca="1">IFERROR(__xludf.DUMMYFUNCTION("""COMPUTED_VALUE"""),"05059617000104")</f>
        <v>05059617000104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IFERROR(__xludf.DUMMYFUNCTION("""COMPUTED_VALUE"""),"127027")</f>
        <v>127027</v>
      </c>
      <c r="H109" s="7">
        <f ca="1">IFERROR(__xludf.DUMMYFUNCTION("""COMPUTED_VALUE"""),217.6)</f>
        <v>217.6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IFERROR(__xludf.DUMMYFUNCTION("""COMPUTED_VALUE"""),"ASSOC. DE APOIO A ESCOLA COOPERATIVA CHAPADÃO/DIANÓPOLIS")</f>
        <v>ASSOC. DE APOIO A ESCOLA COOPERATIVA CHAPADÃO/DIANÓPOLIS</v>
      </c>
      <c r="D110" t="str">
        <f ca="1">IFERROR(__xludf.DUMMYFUNCTION("""COMPUTED_VALUE"""),"07056712000171")</f>
        <v>07056712000171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IFERROR(__xludf.DUMMYFUNCTION("""COMPUTED_VALUE"""),"15704X")</f>
        <v>15704X</v>
      </c>
      <c r="H110" s="7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IFERROR(__xludf.DUMMYFUNCTION("""COMPUTED_VALUE"""),"Dianopolis")</f>
        <v>Dianopolis</v>
      </c>
      <c r="C111" t="str">
        <f ca="1">IFERROR(__xludf.DUMMYFUNCTION("""COMPUTED_VALUE"""),"ESCOLA ESPECIAL COLIBRI")</f>
        <v>ESCOLA ESPECIAL COLIBRI</v>
      </c>
      <c r="D111" t="str">
        <f ca="1">IFERROR(__xludf.DUMMYFUNCTION("""COMPUTED_VALUE"""),"15413383000105")</f>
        <v>15413383000105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IFERROR(__xludf.DUMMYFUNCTION("""COMPUTED_VALUE"""),"312967")</f>
        <v>312967</v>
      </c>
      <c r="H111" s="7">
        <f ca="1">IFERROR(__xludf.DUMMYFUNCTION("""COMPUTED_VALUE"""),272)</f>
        <v>272</v>
      </c>
      <c r="I111" t="str">
        <v>AEE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IFERROR(__xludf.DUMMYFUNCTION("""COMPUTED_VALUE"""),"Dianopolis")</f>
        <v>Dianopolis</v>
      </c>
      <c r="C112" t="str">
        <f ca="1">IFERROR(__xludf.DUMMYFUNCTION("""COMPUTED_VALUE"""),"A.A. ESCOLA ESTADUAL JOCA COSTA")</f>
        <v>A.A. ESCOLA ESTADUAL JOCA COSTA</v>
      </c>
      <c r="D112" t="str">
        <f ca="1">IFERROR(__xludf.DUMMYFUNCTION("""COMPUTED_VALUE"""),"01138323000109")</f>
        <v>01138323000109</v>
      </c>
      <c r="E112" t="str">
        <f ca="1">IFERROR(__xludf.DUMMYFUNCTION("""COMPUTED_VALUE"""),"001")</f>
        <v>001</v>
      </c>
      <c r="F112" t="str">
        <f ca="1">IFERROR(__xludf.DUMMYFUNCTION("""COMPUTED_VALUE"""),"1307")</f>
        <v>1307</v>
      </c>
      <c r="G112" t="str">
        <f ca="1">IFERROR(__xludf.DUMMYFUNCTION("""COMPUTED_VALUE"""),"107492")</f>
        <v>107492</v>
      </c>
      <c r="H112" s="7">
        <f ca="1">IFERROR(__xludf.DUMMYFUNCTION("""COMPUTED_VALUE"""),353.599999999999)</f>
        <v>353.599999999999</v>
      </c>
      <c r="I112" t="str">
        <v>AEE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IFERROR(__xludf.DUMMYFUNCTION("""COMPUTED_VALUE"""),"Porto Alegre do Tocantins")</f>
        <v>Porto Alegre do Tocantins</v>
      </c>
      <c r="C113" t="str">
        <f ca="1">IFERROR(__xludf.DUMMYFUNCTION("""COMPUTED_VALUE"""),"ASSOC. APOIO ESC. EST. ALFREDO NASSER")</f>
        <v>ASSOC. APOIO ESC. EST. ALFREDO NASSER</v>
      </c>
      <c r="D113" t="str">
        <f ca="1">IFERROR(__xludf.DUMMYFUNCTION("""COMPUTED_VALUE"""),"01105525000154")</f>
        <v>01105525000154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IFERROR(__xludf.DUMMYFUNCTION("""COMPUTED_VALUE"""),"0106321")</f>
        <v>0106321</v>
      </c>
      <c r="H113" s="7">
        <f ca="1">IFERROR(__xludf.DUMMYFUNCTION("""COMPUTED_VALUE"""),340)</f>
        <v>340</v>
      </c>
      <c r="I113" t="str">
        <v>AEE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IFERROR(__xludf.DUMMYFUNCTION("""COMPUTED_VALUE"""),"Rio da Conceicao")</f>
        <v>Rio da Conceicao</v>
      </c>
      <c r="C114" t="str">
        <f ca="1">IFERROR(__xludf.DUMMYFUNCTION("""COMPUTED_VALUE"""),"A.A. E. E.VIRGILIO FERREIRA DE FRANCA")</f>
        <v>A.A. E. E.VIRGILIO FERREIRA DE FRANCA</v>
      </c>
      <c r="D114" t="str">
        <f ca="1">IFERROR(__xludf.DUMMYFUNCTION("""COMPUTED_VALUE"""),"01136115000170")</f>
        <v>01136115000170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IFERROR(__xludf.DUMMYFUNCTION("""COMPUTED_VALUE"""),"106305")</f>
        <v>106305</v>
      </c>
      <c r="H114" s="7">
        <f ca="1">IFERROR(__xludf.DUMMYFUNCTION("""COMPUTED_VALUE"""),95.2)</f>
        <v>95.2</v>
      </c>
      <c r="I114" t="str">
        <v>AEE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IFERROR(__xludf.DUMMYFUNCTION("""COMPUTED_VALUE"""),"Taguatinga")</f>
        <v>Taguatinga</v>
      </c>
      <c r="C115" t="str">
        <f ca="1">IFERROR(__xludf.DUMMYFUNCTION("""COMPUTED_VALUE"""),"A.A.  ESCOLA EST. JUSTINO DE ALMEIDA")</f>
        <v>A.A.  ESCOLA EST. JUSTINO DE ALMEIDA</v>
      </c>
      <c r="D115" t="str">
        <f ca="1">IFERROR(__xludf.DUMMYFUNCTION("""COMPUTED_VALUE"""),"01184379000108")</f>
        <v>01184379000108</v>
      </c>
      <c r="E115" t="str">
        <f ca="1">IFERROR(__xludf.DUMMYFUNCTION("""COMPUTED_VALUE"""),"001")</f>
        <v>001</v>
      </c>
      <c r="F115" t="str">
        <f ca="1">IFERROR(__xludf.DUMMYFUNCTION("""COMPUTED_VALUE"""),"2704")</f>
        <v>2704</v>
      </c>
      <c r="G115" t="str">
        <f ca="1">IFERROR(__xludf.DUMMYFUNCTION("""COMPUTED_VALUE"""),"102563")</f>
        <v>102563</v>
      </c>
      <c r="H115" s="7">
        <f ca="1">IFERROR(__xludf.DUMMYFUNCTION("""COMPUTED_VALUE"""),136)</f>
        <v>136</v>
      </c>
      <c r="I115" t="str">
        <v>AEE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COL. EST. PROFESSOR AURELIANO")</f>
        <v>A.A. COL. EST. PROFESSOR AURELIANO</v>
      </c>
      <c r="D116" t="str">
        <f ca="1">IFERROR(__xludf.DUMMYFUNCTION("""COMPUTED_VALUE"""),"01133709000128")</f>
        <v>01133709000128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IFERROR(__xludf.DUMMYFUNCTION("""COMPUTED_VALUE"""),"102717")</f>
        <v>102717</v>
      </c>
      <c r="H116" s="7">
        <f ca="1">IFERROR(__xludf.DUMMYFUNCTION("""COMPUTED_VALUE"""),149.6)</f>
        <v>149.6</v>
      </c>
      <c r="I116" t="str">
        <v>AEE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IFERROR(__xludf.DUMMYFUNCTION("""COMPUTED_VALUE"""),258.4)</f>
        <v>258.39999999999998</v>
      </c>
      <c r="I117" t="str">
        <v>AEE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IFERROR(__xludf.DUMMYFUNCTION("""COMPUTED_VALUE"""),190.4)</f>
        <v>190.4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IFERROR(__xludf.DUMMYFUNCTION("""COMPUTED_VALUE"""),489.599999999999)</f>
        <v>489.599999999999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IFERROR(__xludf.DUMMYFUNCTION("""COMPUTED_VALUE"""),"A..A. ESC. ESPECIAL  FILHOS DA LUZ")</f>
        <v>A..A. ESC. ESPECIAL  FILHOS DA LUZ</v>
      </c>
      <c r="D120" t="str">
        <f ca="1">IFERROR(__xludf.DUMMYFUNCTION("""COMPUTED_VALUE"""),"07921086000134")</f>
        <v>07921086000134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IFERROR(__xludf.DUMMYFUNCTION("""COMPUTED_VALUE"""),"167940")</f>
        <v>167940</v>
      </c>
      <c r="H120" s="7">
        <f ca="1">IFERROR(__xludf.DUMMYFUNCTION("""COMPUTED_VALUE"""),258.4)</f>
        <v>258.39999999999998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ARY RIBEIRO VALADAO FILHO")</f>
        <v>A.A. ESC. EST. ARY RIBEIRO VALADAO FILHO</v>
      </c>
      <c r="D121" t="str">
        <f ca="1">IFERROR(__xludf.DUMMYFUNCTION("""COMPUTED_VALUE"""),"01138331000155")</f>
        <v>01138331000155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IFERROR(__xludf.DUMMYFUNCTION("""COMPUTED_VALUE"""),"102806")</f>
        <v>102806</v>
      </c>
      <c r="H121" s="7">
        <f ca="1">IFERROR(__xludf.DUMMYFUNCTION("""COMPUTED_VALUE"""),122.399999999999)</f>
        <v>122.399999999999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COL. EST. ARCHANGELA MILHOMEM")</f>
        <v>A.A. COL. EST. ARCHANGELA MILHOMEM</v>
      </c>
      <c r="D122" t="str">
        <f ca="1">IFERROR(__xludf.DUMMYFUNCTION("""COMPUTED_VALUE"""),"01138334000199")</f>
        <v>01138334000199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IFERROR(__xludf.DUMMYFUNCTION("""COMPUTED_VALUE"""),"50385")</f>
        <v>50385</v>
      </c>
      <c r="H122" s="7">
        <f ca="1">IFERROR(__xludf.DUMMYFUNCTION("""COMPUTED_VALUE"""),163.2)</f>
        <v>163.19999999999999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ESPECIAL  DEUS É FIEL")</f>
        <v>A.A. ESC. ESPECIAL  DEUS É FIEL</v>
      </c>
      <c r="D123" t="str">
        <f ca="1">IFERROR(__xludf.DUMMYFUNCTION("""COMPUTED_VALUE"""),"17467216000164")</f>
        <v>17467216000164</v>
      </c>
      <c r="E123" t="str">
        <f ca="1">IFERROR(__xludf.DUMMYFUNCTION("""COMPUTED_VALUE"""),"001")</f>
        <v>001</v>
      </c>
      <c r="F123" t="str">
        <f ca="1">IFERROR(__xludf.DUMMYFUNCTION("""COMPUTED_VALUE"""),"1306")</f>
        <v>1306</v>
      </c>
      <c r="G123" t="str">
        <f ca="1">IFERROR(__xludf.DUMMYFUNCTION("""COMPUTED_VALUE"""),"265969")</f>
        <v>265969</v>
      </c>
      <c r="H123" s="7">
        <f ca="1">IFERROR(__xludf.DUMMYFUNCTION("""COMPUTED_VALUE"""),217.6)</f>
        <v>217.6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IFERROR(__xludf.DUMMYFUNCTION("""COMPUTED_VALUE"""),190.4)</f>
        <v>190.4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IFERROR(__xludf.DUMMYFUNCTION("""COMPUTED_VALUE"""),190.4)</f>
        <v>190.4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IFERROR(__xludf.DUMMYFUNCTION("""COMPUTED_VALUE"""),"Fortaleza do Tabocao")</f>
        <v>Fortaleza do Tabocao</v>
      </c>
      <c r="C126" t="str">
        <f ca="1">IFERROR(__xludf.DUMMYFUNCTION("""COMPUTED_VALUE"""),"A.A. DA ESC. EST. MAJOR JUVENAL P.DE SOUZA")</f>
        <v>A.A. DA ESC. EST. MAJOR JUVENAL P.DE SOUZA</v>
      </c>
      <c r="D126" t="str">
        <f ca="1">IFERROR(__xludf.DUMMYFUNCTION("""COMPUTED_VALUE"""),"01408714000104")</f>
        <v>01408714000104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IFERROR(__xludf.DUMMYFUNCTION("""COMPUTED_VALUE"""),"46743X")</f>
        <v>46743X</v>
      </c>
      <c r="H126" s="7">
        <f ca="1">IFERROR(__xludf.DUMMYFUNCTION("""COMPUTED_VALUE"""),258.4)</f>
        <v>258.39999999999998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IFERROR(__xludf.DUMMYFUNCTION("""COMPUTED_VALUE"""),"A.A. DA ESC. EST. ANTENOR BARREIRA")</f>
        <v>A.A. DA ESC. EST. ANTENOR BARREIRA</v>
      </c>
      <c r="D127" t="str">
        <f ca="1">IFERROR(__xludf.DUMMYFUNCTION("""COMPUTED_VALUE"""),"02069808000150")</f>
        <v>02069808000150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IFERROR(__xludf.DUMMYFUNCTION("""COMPUTED_VALUE"""),"54186")</f>
        <v>54186</v>
      </c>
      <c r="H127" s="7">
        <f ca="1">IFERROR(__xludf.DUMMYFUNCTION("""COMPUTED_VALUE"""),190.4)</f>
        <v>190.4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IFERROR(__xludf.DUMMYFUNCTION("""COMPUTED_VALUE"""),"ASSOC. DE APOIO DA ESCOLA ESPECIAL NOVOV PARAÍSO - APAE")</f>
        <v>ASSOC. DE APOIO DA ESCOLA ESPECIAL NOVOV PARAÍSO - APAE</v>
      </c>
      <c r="D128" t="str">
        <f ca="1">IFERROR(__xludf.DUMMYFUNCTION("""COMPUTED_VALUE"""),"09510602000163")</f>
        <v>09510602000163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IFERROR(__xludf.DUMMYFUNCTION("""COMPUTED_VALUE"""),"138258")</f>
        <v>138258</v>
      </c>
      <c r="H128" s="7">
        <f ca="1">IFERROR(__xludf.DUMMYFUNCTION("""COMPUTED_VALUE"""),176.799999999999)</f>
        <v>176.79999999999899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IFERROR(__xludf.DUMMYFUNCTION("""COMPUTED_VALUE"""),"Goianorte")</f>
        <v>Goianorte</v>
      </c>
      <c r="C129" t="str">
        <f ca="1">IFERROR(__xludf.DUMMYFUNCTION("""COMPUTED_VALUE"""),"A.A.  DA ESCOLA ESTADUAL MORRO DO MATO")</f>
        <v>A.A.  DA ESCOLA ESTADUAL MORRO DO MATO</v>
      </c>
      <c r="D129" t="str">
        <f ca="1">IFERROR(__xludf.DUMMYFUNCTION("""COMPUTED_VALUE"""),"01990368000107")</f>
        <v>01990368000107</v>
      </c>
      <c r="E129" t="str">
        <f ca="1">IFERROR(__xludf.DUMMYFUNCTION("""COMPUTED_VALUE"""),"001")</f>
        <v>001</v>
      </c>
      <c r="F129" t="str">
        <f ca="1">IFERROR(__xludf.DUMMYFUNCTION("""COMPUTED_VALUE"""),"1306")</f>
        <v>1306</v>
      </c>
      <c r="G129" t="str">
        <f ca="1">IFERROR(__xludf.DUMMYFUNCTION("""COMPUTED_VALUE"""),"54178")</f>
        <v>54178</v>
      </c>
      <c r="H129" s="7">
        <f ca="1">IFERROR(__xludf.DUMMYFUNCTION("""COMPUTED_VALUE"""),394.4)</f>
        <v>394.4</v>
      </c>
      <c r="I129" t="str">
        <v>AEE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IFERROR(__xludf.DUMMYFUNCTION("""COMPUTED_VALUE"""),"ASSOC. DE APOIO ESC. EST. OQUERLINA TORRES")</f>
        <v>ASSOC. DE APOIO ESC. EST. OQUERLINA TORRES</v>
      </c>
      <c r="D130" t="str">
        <f ca="1">IFERROR(__xludf.DUMMYFUNCTION("""COMPUTED_VALUE"""),"01421201000125")</f>
        <v>01421201000125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IFERROR(__xludf.DUMMYFUNCTION("""COMPUTED_VALUE"""),"19266X")</f>
        <v>19266X</v>
      </c>
      <c r="H130" s="7">
        <f ca="1">IFERROR(__xludf.DUMMYFUNCTION("""COMPUTED_VALUE"""),176.799999999999)</f>
        <v>176.79999999999899</v>
      </c>
      <c r="I130" t="str">
        <v>AEE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IFERROR(__xludf.DUMMYFUNCTION("""COMPUTED_VALUE"""),"A.A.  AS ESC. EST. ANTONIO ALENCAR LEAO")</f>
        <v>A.A.  AS ESC. EST. ANTONIO ALENCAR LEAO</v>
      </c>
      <c r="D131" t="str">
        <f ca="1">IFERROR(__xludf.DUMMYFUNCTION("""COMPUTED_VALUE"""),"01575370000110")</f>
        <v>01575370000110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IFERROR(__xludf.DUMMYFUNCTION("""COMPUTED_VALUE"""),"476536")</f>
        <v>476536</v>
      </c>
      <c r="H131" s="7">
        <f ca="1">IFERROR(__xludf.DUMMYFUNCTION("""COMPUTED_VALUE"""),149.6)</f>
        <v>149.6</v>
      </c>
      <c r="I131" t="str">
        <v>AEE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IFERROR(__xludf.DUMMYFUNCTION("""COMPUTED_VALUE"""),"A.A. DO COL. EST. DONA ANAIDES B.MIRANDA")</f>
        <v>A.A. DO COL. EST. DONA ANAIDES B.MIRANDA</v>
      </c>
      <c r="D132" t="str">
        <f ca="1">IFERROR(__xludf.DUMMYFUNCTION("""COMPUTED_VALUE"""),"01867376000160")</f>
        <v>01867376000160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IFERROR(__xludf.DUMMYFUNCTION("""COMPUTED_VALUE"""),"472123")</f>
        <v>472123</v>
      </c>
      <c r="H132" s="7">
        <f ca="1">IFERROR(__xludf.DUMMYFUNCTION("""COMPUTED_VALUE"""),122.399999999999)</f>
        <v>122.399999999999</v>
      </c>
      <c r="I132" t="str">
        <v>AEE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 ESCOLAR COM.COL. EST.RAIMUNDO A.LEAO")</f>
        <v>A. ESCOLAR COM.COL. EST.RAIMUNDO A.LEAO</v>
      </c>
      <c r="D133" t="str">
        <f ca="1">IFERROR(__xludf.DUMMYFUNCTION("""COMPUTED_VALUE"""),"00880649000144")</f>
        <v>00880649000144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IFERROR(__xludf.DUMMYFUNCTION("""COMPUTED_VALUE"""),"0472719")</f>
        <v>0472719</v>
      </c>
      <c r="H133" s="7">
        <f ca="1">IFERROR(__xludf.DUMMYFUNCTION("""COMPUTED_VALUE"""),163.2)</f>
        <v>163.19999999999999</v>
      </c>
      <c r="I133" t="str">
        <v>AEE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IFERROR(__xludf.DUMMYFUNCTION("""COMPUTED_VALUE"""),"ASSOCIAÇÃO DE APOIO A ESCOLA ESPECIAL ESTRELA DA ESPERANÇA")</f>
        <v>ASSOCIAÇÃO DE APOIO A ESCOLA ESPECIAL ESTRELA DA ESPERANÇA</v>
      </c>
      <c r="D134" t="str">
        <f ca="1">IFERROR(__xludf.DUMMYFUNCTION("""COMPUTED_VALUE"""),"07938604000122")</f>
        <v>07938604000122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IFERROR(__xludf.DUMMYFUNCTION("""COMPUTED_VALUE"""),"211621")</f>
        <v>211621</v>
      </c>
      <c r="H134" s="7">
        <f ca="1">IFERROR(__xludf.DUMMYFUNCTION("""COMPUTED_VALUE"""),163.2)</f>
        <v>163.19999999999999</v>
      </c>
      <c r="I134" t="str">
        <v>AEE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IFERROR(__xludf.DUMMYFUNCTION("""COMPUTED_VALUE"""),"Guarai")</f>
        <v>Guarai</v>
      </c>
      <c r="C135" t="str">
        <f ca="1">IFERROR(__xludf.DUMMYFUNCTION("""COMPUTED_VALUE"""),"A.A. ESC. EST.IRINEU ALBANO HENDGES")</f>
        <v>A.A. ESC. EST.IRINEU ALBANO HENDGES</v>
      </c>
      <c r="D135" t="str">
        <f ca="1">IFERROR(__xludf.DUMMYFUNCTION("""COMPUTED_VALUE"""),"01136012000100")</f>
        <v>01136012000100</v>
      </c>
      <c r="E135" t="str">
        <f ca="1">IFERROR(__xludf.DUMMYFUNCTION("""COMPUTED_VALUE"""),"001")</f>
        <v>001</v>
      </c>
      <c r="F135" t="str">
        <f ca="1">IFERROR(__xludf.DUMMYFUNCTION("""COMPUTED_VALUE"""),"2094")</f>
        <v>2094</v>
      </c>
      <c r="G135" t="str">
        <f ca="1">IFERROR(__xludf.DUMMYFUNCTION("""COMPUTED_VALUE"""),"0472433")</f>
        <v>0472433</v>
      </c>
      <c r="H135" s="7">
        <f ca="1">IFERROR(__xludf.DUMMYFUNCTION("""COMPUTED_VALUE"""),299.2)</f>
        <v>299.2</v>
      </c>
      <c r="I135" t="str">
        <v>AEE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IFERROR(__xludf.DUMMYFUNCTION("""COMPUTED_VALUE"""),"Guarai")</f>
        <v>Guarai</v>
      </c>
      <c r="C136" t="str">
        <f ca="1">IFERROR(__xludf.DUMMYFUNCTION("""COMPUTED_VALUE"""),"A.A. ESCOLA EST. JOSE COSTA SOARES")</f>
        <v>A.A. ESCOLA EST. JOSE COSTA SOARES</v>
      </c>
      <c r="D136" t="str">
        <f ca="1">IFERROR(__xludf.DUMMYFUNCTION("""COMPUTED_VALUE"""),"01421200000180")</f>
        <v>01421200000180</v>
      </c>
      <c r="E136" t="str">
        <f ca="1">IFERROR(__xludf.DUMMYFUNCTION("""COMPUTED_VALUE"""),"001")</f>
        <v>001</v>
      </c>
      <c r="F136" t="str">
        <f ca="1">IFERROR(__xludf.DUMMYFUNCTION("""COMPUTED_VALUE"""),"2094")</f>
        <v>2094</v>
      </c>
      <c r="G136" t="str">
        <f ca="1">IFERROR(__xludf.DUMMYFUNCTION("""COMPUTED_VALUE"""),"471577")</f>
        <v>471577</v>
      </c>
      <c r="H136" s="7">
        <f ca="1">IFERROR(__xludf.DUMMYFUNCTION("""COMPUTED_VALUE"""),149.6)</f>
        <v>149.6</v>
      </c>
      <c r="I136" t="str">
        <v>AEE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IFERROR(__xludf.DUMMYFUNCTION("""COMPUTED_VALUE"""),"Itapora do Tocantins")</f>
        <v>Itapora do Tocantins</v>
      </c>
      <c r="C137" t="str">
        <f ca="1">IFERROR(__xludf.DUMMYFUNCTION("""COMPUTED_VALUE"""),"A.A. COL. EST. FRANCISCA ALVES ALENCAR")</f>
        <v>A.A. COL. EST. FRANCISCA ALVES ALENCAR</v>
      </c>
      <c r="D137" t="str">
        <f ca="1">IFERROR(__xludf.DUMMYFUNCTION("""COMPUTED_VALUE"""),"01190193000153")</f>
        <v>01190193000153</v>
      </c>
      <c r="E137" t="str">
        <f ca="1">IFERROR(__xludf.DUMMYFUNCTION("""COMPUTED_VALUE"""),"001")</f>
        <v>001</v>
      </c>
      <c r="F137" t="str">
        <f ca="1">IFERROR(__xludf.DUMMYFUNCTION("""COMPUTED_VALUE"""),"1306")</f>
        <v>1306</v>
      </c>
      <c r="G137" t="str">
        <f ca="1">IFERROR(__xludf.DUMMYFUNCTION("""COMPUTED_VALUE"""),"102865")</f>
        <v>102865</v>
      </c>
      <c r="H137" s="7">
        <f ca="1">IFERROR(__xludf.DUMMYFUNCTION("""COMPUTED_VALUE"""),136)</f>
        <v>136</v>
      </c>
      <c r="I137" t="str">
        <v>AEE</v>
      </c>
    </row>
    <row r="138" spans="1:9" ht="12.75">
      <c r="A138" t="str">
        <f ca="1">IFERROR(__xludf.DUMMYFUNCTION("""COMPUTED_VALUE"""),"Guaraí")</f>
        <v>Guaraí</v>
      </c>
      <c r="B138" t="str">
        <f ca="1">IFERROR(__xludf.DUMMYFUNCTION("""COMPUTED_VALUE"""),"Pequizeiro")</f>
        <v>Pequizeiro</v>
      </c>
      <c r="C138" t="str">
        <f ca="1">IFERROR(__xludf.DUMMYFUNCTION("""COMPUTED_VALUE"""),"A.A. DO COLEGIO ESTADUAL BERNARDO SAYAO")</f>
        <v>A.A. DO COLEGIO ESTADUAL BERNARDO SAYAO</v>
      </c>
      <c r="D138" t="str">
        <f ca="1">IFERROR(__xludf.DUMMYFUNCTION("""COMPUTED_VALUE"""),"02160863000151")</f>
        <v>02160863000151</v>
      </c>
      <c r="E138" t="str">
        <f ca="1">IFERROR(__xludf.DUMMYFUNCTION("""COMPUTED_VALUE"""),"001")</f>
        <v>001</v>
      </c>
      <c r="F138" t="str">
        <f ca="1">IFERROR(__xludf.DUMMYFUNCTION("""COMPUTED_VALUE"""),"1306")</f>
        <v>1306</v>
      </c>
      <c r="G138" t="str">
        <f ca="1">IFERROR(__xludf.DUMMYFUNCTION("""COMPUTED_VALUE"""),"53910")</f>
        <v>53910</v>
      </c>
      <c r="H138" s="7">
        <f ca="1">IFERROR(__xludf.DUMMYFUNCTION("""COMPUTED_VALUE"""),312.8)</f>
        <v>312.8</v>
      </c>
      <c r="I138" t="str">
        <v>AEE</v>
      </c>
    </row>
    <row r="139" spans="1:9" ht="12.75">
      <c r="A139" t="str">
        <f ca="1">IFERROR(__xludf.DUMMYFUNCTION("""COMPUTED_VALUE"""),"Guaraí")</f>
        <v>Guaraí</v>
      </c>
      <c r="B139" t="str">
        <f ca="1">IFERROR(__xludf.DUMMYFUNCTION("""COMPUTED_VALUE"""),"Presidente Kennedy")</f>
        <v>Presidente Kennedy</v>
      </c>
      <c r="C139" t="str">
        <f ca="1">IFERROR(__xludf.DUMMYFUNCTION("""COMPUTED_VALUE"""),"A.PAIS E M.COL. EST. JUSCELINO KUBITSCHEK")</f>
        <v>A.PAIS E M.COL. EST. JUSCELINO KUBITSCHEK</v>
      </c>
      <c r="D139" t="str">
        <f ca="1">IFERROR(__xludf.DUMMYFUNCTION("""COMPUTED_VALUE"""),"02060456000172")</f>
        <v>02060456000172</v>
      </c>
      <c r="E139" t="str">
        <f ca="1">IFERROR(__xludf.DUMMYFUNCTION("""COMPUTED_VALUE"""),"001")</f>
        <v>001</v>
      </c>
      <c r="F139" t="str">
        <f ca="1">IFERROR(__xludf.DUMMYFUNCTION("""COMPUTED_VALUE"""),"2094")</f>
        <v>2094</v>
      </c>
      <c r="G139" t="str">
        <f ca="1">IFERROR(__xludf.DUMMYFUNCTION("""COMPUTED_VALUE"""),"047553X")</f>
        <v>047553X</v>
      </c>
      <c r="H139" s="7">
        <f ca="1">IFERROR(__xludf.DUMMYFUNCTION("""COMPUTED_VALUE"""),163.2)</f>
        <v>163.19999999999999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IFERROR(__xludf.DUMMYFUNCTION("""COMPUTED_VALUE"""),"Alianca do Tocantins")</f>
        <v>Alianca do Tocantins</v>
      </c>
      <c r="C140" t="str">
        <f ca="1">IFERROR(__xludf.DUMMYFUNCTION("""COMPUTED_VALUE"""),"ASSOCIAÇÃO DE APOIO A ESCOLA ESPECIAL AMOR FRATERNAL")</f>
        <v>ASSOCIAÇÃO DE APOIO A ESCOLA ESPECIAL AMOR FRATERNAL</v>
      </c>
      <c r="D140" t="str">
        <f ca="1">IFERROR(__xludf.DUMMYFUNCTION("""COMPUTED_VALUE"""),"07953958000146")</f>
        <v>07953958000146</v>
      </c>
      <c r="E140" t="str">
        <f ca="1">IFERROR(__xludf.DUMMYFUNCTION("""COMPUTED_VALUE"""),"001")</f>
        <v>001</v>
      </c>
      <c r="F140" t="str">
        <f ca="1">IFERROR(__xludf.DUMMYFUNCTION("""COMPUTED_VALUE"""),"3972")</f>
        <v>3972</v>
      </c>
      <c r="G140" t="str">
        <f ca="1">IFERROR(__xludf.DUMMYFUNCTION("""COMPUTED_VALUE"""),"90115")</f>
        <v>90115</v>
      </c>
      <c r="H140" s="7">
        <f ca="1">IFERROR(__xludf.DUMMYFUNCTION("""COMPUTED_VALUE"""),476)</f>
        <v>476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IFERROR(__xludf.DUMMYFUNCTION("""COMPUTED_VALUE"""),"Alianca do Tocantins")</f>
        <v>Alianca do Tocantins</v>
      </c>
      <c r="C141" t="str">
        <f ca="1">IFERROR(__xludf.DUMMYFUNCTION("""COMPUTED_VALUE"""),"A. PAIS E MESTRES ESC. EST.N.SRA.DO CARMO")</f>
        <v>A. PAIS E MESTRES ESC. EST.N.SRA.DO CARMO</v>
      </c>
      <c r="D141" t="str">
        <f ca="1">IFERROR(__xludf.DUMMYFUNCTION("""COMPUTED_VALUE"""),"01034192000110")</f>
        <v>01034192000110</v>
      </c>
      <c r="E141" t="str">
        <f ca="1">IFERROR(__xludf.DUMMYFUNCTION("""COMPUTED_VALUE"""),"001")</f>
        <v>001</v>
      </c>
      <c r="F141" t="str">
        <f ca="1">IFERROR(__xludf.DUMMYFUNCTION("""COMPUTED_VALUE"""),"3972")</f>
        <v>3972</v>
      </c>
      <c r="G141" t="str">
        <f ca="1">IFERROR(__xludf.DUMMYFUNCTION("""COMPUTED_VALUE"""),"243590")</f>
        <v>243590</v>
      </c>
      <c r="H141" s="7">
        <f ca="1">IFERROR(__xludf.DUMMYFUNCTION("""COMPUTED_VALUE"""),285.599999999999)</f>
        <v>285.599999999999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IFERROR(__xludf.DUMMYFUNCTION("""COMPUTED_VALUE"""),"A.P.A.DOS EXCEP. DE ALVORADA-APAE")</f>
        <v>A.P.A.DOS EXCEP. DE ALVORADA-APAE</v>
      </c>
      <c r="D142" t="str">
        <f ca="1">IFERROR(__xludf.DUMMYFUNCTION("""COMPUTED_VALUE"""),"02201735000109")</f>
        <v>02201735000109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IFERROR(__xludf.DUMMYFUNCTION("""COMPUTED_VALUE"""),"101826")</f>
        <v>101826</v>
      </c>
      <c r="H142" s="7">
        <f ca="1">IFERROR(__xludf.DUMMYFUNCTION("""COMPUTED_VALUE"""),353.599999999999)</f>
        <v>353.599999999999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IFERROR(__xludf.DUMMYFUNCTION("""COMPUTED_VALUE"""),"Alvorada")</f>
        <v>Alvorada</v>
      </c>
      <c r="C143" t="str">
        <f ca="1">IFERROR(__xludf.DUMMYFUNCTION("""COMPUTED_VALUE"""),"ASS. APOIO ESC. EST. ANA MARIA DE JESUS")</f>
        <v>ASS. APOIO ESC. EST. ANA MARIA DE JESUS</v>
      </c>
      <c r="D143" t="str">
        <f ca="1">IFERROR(__xludf.DUMMYFUNCTION("""COMPUTED_VALUE"""),"01221145000185")</f>
        <v>01221145000185</v>
      </c>
      <c r="E143" t="str">
        <f ca="1">IFERROR(__xludf.DUMMYFUNCTION("""COMPUTED_VALUE"""),"001")</f>
        <v>001</v>
      </c>
      <c r="F143" t="str">
        <f ca="1">IFERROR(__xludf.DUMMYFUNCTION("""COMPUTED_VALUE"""),"1303")</f>
        <v>1303</v>
      </c>
      <c r="G143" t="str">
        <f ca="1">IFERROR(__xludf.DUMMYFUNCTION("""COMPUTED_VALUE"""),"103691")</f>
        <v>103691</v>
      </c>
      <c r="H143" s="7">
        <f ca="1">IFERROR(__xludf.DUMMYFUNCTION("""COMPUTED_VALUE"""),136)</f>
        <v>136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IFERROR(__xludf.DUMMYFUNCTION("""COMPUTED_VALUE"""),"A..A. ESC. ESPECIAL  ABELINHA EM BUSCA DO SABER")</f>
        <v>A..A. ESC. ESPECIAL  ABELINHA EM BUSCA DO SABER</v>
      </c>
      <c r="D144" t="str">
        <f ca="1">IFERROR(__xludf.DUMMYFUNCTION("""COMPUTED_VALUE"""),"07924466000122")</f>
        <v>07924466000122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IFERROR(__xludf.DUMMYFUNCTION("""COMPUTED_VALUE"""),"136417")</f>
        <v>136417</v>
      </c>
      <c r="H144" s="7">
        <f ca="1">IFERROR(__xludf.DUMMYFUNCTION("""COMPUTED_VALUE"""),231.2)</f>
        <v>231.2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IFERROR(__xludf.DUMMYFUNCTION("""COMPUTED_VALUE"""),"Araguacu")</f>
        <v>Araguacu</v>
      </c>
      <c r="C145" t="str">
        <f ca="1">IFERROR(__xludf.DUMMYFUNCTION("""COMPUTED_VALUE"""),"ASS. APOIO ESC. EST. SALVADOR CAETANO")</f>
        <v>ASS. APOIO ESC. EST. SALVADOR CAETANO</v>
      </c>
      <c r="D145" t="str">
        <f ca="1">IFERROR(__xludf.DUMMYFUNCTION("""COMPUTED_VALUE"""),"01341484000103")</f>
        <v>01341484000103</v>
      </c>
      <c r="E145" t="str">
        <f ca="1">IFERROR(__xludf.DUMMYFUNCTION("""COMPUTED_VALUE"""),"001")</f>
        <v>001</v>
      </c>
      <c r="F145" t="str">
        <f ca="1">IFERROR(__xludf.DUMMYFUNCTION("""COMPUTED_VALUE"""),"1304")</f>
        <v>1304</v>
      </c>
      <c r="G145" t="str">
        <f ca="1">IFERROR(__xludf.DUMMYFUNCTION("""COMPUTED_VALUE"""),"0105589")</f>
        <v>0105589</v>
      </c>
      <c r="H145" s="7">
        <f ca="1">IFERROR(__xludf.DUMMYFUNCTION("""COMPUTED_VALUE"""),353.599999999999)</f>
        <v>353.599999999999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IFERROR(__xludf.DUMMYFUNCTION("""COMPUTED_VALUE"""),"Duere")</f>
        <v>Duere</v>
      </c>
      <c r="C146" t="str">
        <f ca="1">IFERROR(__xludf.DUMMYFUNCTION("""COMPUTED_VALUE"""),"A.P.MESTRES DA ESCOLA EST.ELESBAO LIMA")</f>
        <v>A.P.MESTRES DA ESCOLA EST.ELESBAO LIMA</v>
      </c>
      <c r="D146" t="str">
        <f ca="1">IFERROR(__xludf.DUMMYFUNCTION("""COMPUTED_VALUE"""),"01865387000101")</f>
        <v>01865387000101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IFERROR(__xludf.DUMMYFUNCTION("""COMPUTED_VALUE"""),"6758X")</f>
        <v>6758X</v>
      </c>
      <c r="H146" s="7">
        <f ca="1">IFERROR(__xludf.DUMMYFUNCTION("""COMPUTED_VALUE"""),326.4)</f>
        <v>326.39999999999998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IFERROR(__xludf.DUMMYFUNCTION("""COMPUTED_VALUE"""),"Figueiropolis")</f>
        <v>Figueiropolis</v>
      </c>
      <c r="C147" t="str">
        <f ca="1">IFERROR(__xludf.DUMMYFUNCTION("""COMPUTED_VALUE"""),"A. APOIO COLEGIO EST. CANDIDO FIGUEIRA")</f>
        <v>A. APOIO COLEGIO EST. CANDIDO FIGUEIRA</v>
      </c>
      <c r="D147" t="str">
        <f ca="1">IFERROR(__xludf.DUMMYFUNCTION("""COMPUTED_VALUE"""),"01262902000169")</f>
        <v>01262902000169</v>
      </c>
      <c r="E147" t="str">
        <f ca="1">IFERROR(__xludf.DUMMYFUNCTION("""COMPUTED_VALUE"""),"001")</f>
        <v>001</v>
      </c>
      <c r="F147" t="str">
        <f ca="1">IFERROR(__xludf.DUMMYFUNCTION("""COMPUTED_VALUE"""),"3978")</f>
        <v>3978</v>
      </c>
      <c r="G147" t="str">
        <f ca="1">IFERROR(__xludf.DUMMYFUNCTION("""COMPUTED_VALUE"""),"4802X")</f>
        <v>4802X</v>
      </c>
      <c r="H147" s="7">
        <f ca="1">IFERROR(__xludf.DUMMYFUNCTION("""COMPUTED_VALUE"""),163.2)</f>
        <v>163.19999999999999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IFERROR(__xludf.DUMMYFUNCTION("""COMPUTED_VALUE"""),"Formoso do Araguaia")</f>
        <v>Formoso do Araguaia</v>
      </c>
      <c r="C148" t="str">
        <f ca="1">IFERROR(__xludf.DUMMYFUNCTION("""COMPUTED_VALUE"""),"A.A. ESC ESPECIAL ANJO DA GUARDA")</f>
        <v>A.A. ESC ESPECIAL ANJO DA GUARDA</v>
      </c>
      <c r="D148" t="str">
        <f ca="1">IFERROR(__xludf.DUMMYFUNCTION("""COMPUTED_VALUE"""),"17617389000111")</f>
        <v>17617389000111</v>
      </c>
      <c r="E148" t="str">
        <f ca="1">IFERROR(__xludf.DUMMYFUNCTION("""COMPUTED_VALUE"""),"001")</f>
        <v>001</v>
      </c>
      <c r="F148" t="str">
        <f ca="1">IFERROR(__xludf.DUMMYFUNCTION("""COMPUTED_VALUE"""),"3123")</f>
        <v>3123</v>
      </c>
      <c r="G148" t="str">
        <f ca="1">IFERROR(__xludf.DUMMYFUNCTION("""COMPUTED_VALUE"""),"168211")</f>
        <v>168211</v>
      </c>
      <c r="H148" s="7">
        <f ca="1">IFERROR(__xludf.DUMMYFUNCTION("""COMPUTED_VALUE"""),476)</f>
        <v>476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IFERROR(__xludf.DUMMYFUNCTION("""COMPUTED_VALUE"""),"A.A. ESC. EST. DONA GERCINA BORGES TEIXEIRA")</f>
        <v>A.A. ESC. EST. DONA GERCINA BORGES TEIXEIRA</v>
      </c>
      <c r="D149" t="str">
        <f ca="1">IFERROR(__xludf.DUMMYFUNCTION("""COMPUTED_VALUE"""),"01268334000103")</f>
        <v>01268334000103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IFERROR(__xludf.DUMMYFUNCTION("""COMPUTED_VALUE"""),"302880")</f>
        <v>302880</v>
      </c>
      <c r="H149" s="7">
        <f ca="1">IFERROR(__xludf.DUMMYFUNCTION("""COMPUTED_VALUE"""),761.6)</f>
        <v>761.6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IFERROR(__xludf.DUMMYFUNCTION("""COMPUTED_VALUE"""),"ASSOC. A. CENTRO DE ENS. MÉDIO ARY R. VALADÃO FILHO")</f>
        <v>ASSOC. A. CENTRO DE ENS. MÉDIO ARY R. VALADÃO FILHO</v>
      </c>
      <c r="D150" t="str">
        <f ca="1">IFERROR(__xludf.DUMMYFUNCTION("""COMPUTED_VALUE"""),"02152392000130")</f>
        <v>02152392000130</v>
      </c>
      <c r="E150" t="str">
        <f ca="1">IFERROR(__xludf.DUMMYFUNCTION("""COMPUTED_VALUE"""),"001")</f>
        <v>001</v>
      </c>
      <c r="F150" t="str">
        <f ca="1">IFERROR(__xludf.DUMMYFUNCTION("""COMPUTED_VALUE"""),"0794")</f>
        <v>0794</v>
      </c>
      <c r="G150" t="str">
        <f ca="1">IFERROR(__xludf.DUMMYFUNCTION("""COMPUTED_VALUE"""),"420646")</f>
        <v>420646</v>
      </c>
      <c r="H150" s="7">
        <f ca="1">IFERROR(__xludf.DUMMYFUNCTION("""COMPUTED_VALUE"""),394.4)</f>
        <v>394.4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IFERROR(__xludf.DUMMYFUNCTION("""COMPUTED_VALUE"""),"Gurupi")</f>
        <v>Gurupi</v>
      </c>
      <c r="C151" t="str">
        <f ca="1">IFERROR(__xludf.DUMMYFUNCTION("""COMPUTED_VALUE"""),"ASSOC. DE APOIO ESC. EST. BOM JESUS")</f>
        <v>ASSOC. DE APOIO ESC. EST. BOM JESUS</v>
      </c>
      <c r="D151" t="str">
        <f ca="1">IFERROR(__xludf.DUMMYFUNCTION("""COMPUTED_VALUE"""),"01865430000139")</f>
        <v>01865430000139</v>
      </c>
      <c r="E151" t="str">
        <f ca="1">IFERROR(__xludf.DUMMYFUNCTION("""COMPUTED_VALUE"""),"001")</f>
        <v>001</v>
      </c>
      <c r="F151" t="str">
        <f ca="1">IFERROR(__xludf.DUMMYFUNCTION("""COMPUTED_VALUE"""),"0794")</f>
        <v>0794</v>
      </c>
      <c r="G151" t="str">
        <f ca="1">IFERROR(__xludf.DUMMYFUNCTION("""COMPUTED_VALUE"""),"420603")</f>
        <v>420603</v>
      </c>
      <c r="H151" s="7">
        <f ca="1">IFERROR(__xludf.DUMMYFUNCTION("""COMPUTED_VALUE"""),231.2)</f>
        <v>231.2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IFERROR(__xludf.DUMMYFUNCTION("""COMPUTED_VALUE"""),"ASSOC. DE APOIO COL. EST. DE GURUPI")</f>
        <v>ASSOC. DE APOIO COL. EST. DE GURUPI</v>
      </c>
      <c r="D152" t="str">
        <f ca="1">IFERROR(__xludf.DUMMYFUNCTION("""COMPUTED_VALUE"""),"01887135000183")</f>
        <v>01887135000183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IFERROR(__xludf.DUMMYFUNCTION("""COMPUTED_VALUE"""),"420700")</f>
        <v>420700</v>
      </c>
      <c r="H152" s="7">
        <f ca="1">IFERROR(__xludf.DUMMYFUNCTION("""COMPUTED_VALUE"""),108.8)</f>
        <v>108.8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IFERROR(__xludf.DUMMYFUNCTION("""COMPUTED_VALUE"""),"A.A.  DO COL. PAROQUIAL BERNARDO SAYAO")</f>
        <v>A.A.  DO COL. PAROQUIAL BERNARDO SAYAO</v>
      </c>
      <c r="D153" t="str">
        <f ca="1">IFERROR(__xludf.DUMMYFUNCTION("""COMPUTED_VALUE"""),"01865371000107")</f>
        <v>01865371000107</v>
      </c>
      <c r="E153" t="str">
        <f ca="1">IFERROR(__xludf.DUMMYFUNCTION("""COMPUTED_VALUE"""),"001")</f>
        <v>001</v>
      </c>
      <c r="F153" t="str">
        <f ca="1">IFERROR(__xludf.DUMMYFUNCTION("""COMPUTED_VALUE"""),"0794")</f>
        <v>0794</v>
      </c>
      <c r="G153" t="str">
        <f ca="1">IFERROR(__xludf.DUMMYFUNCTION("""COMPUTED_VALUE"""),"66796")</f>
        <v>66796</v>
      </c>
      <c r="H153" s="7">
        <f ca="1">IFERROR(__xludf.DUMMYFUNCTION("""COMPUTED_VALUE"""),435.2)</f>
        <v>435.2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IFERROR(__xludf.DUMMYFUNCTION("""COMPUTED_VALUE"""),"ASSOCIAÇÃO DE APOIO A ESCOLA ESPECIAL SÃO FRANCISCO DE ASSIS")</f>
        <v>ASSOCIAÇÃO DE APOIO A ESCOLA ESPECIAL SÃO FRANCISCO DE ASSIS</v>
      </c>
      <c r="D154" t="str">
        <f ca="1">IFERROR(__xludf.DUMMYFUNCTION("""COMPUTED_VALUE"""),"07947356000186")</f>
        <v>07947356000186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IFERROR(__xludf.DUMMYFUNCTION("""COMPUTED_VALUE"""),"431109")</f>
        <v>431109</v>
      </c>
      <c r="H154" s="7">
        <f ca="1">IFERROR(__xludf.DUMMYFUNCTION("""COMPUTED_VALUE"""),258.4)</f>
        <v>258.39999999999998</v>
      </c>
      <c r="I154" t="str">
        <v>AEE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IFERROR(__xludf.DUMMYFUNCTION("""COMPUTED_VALUE"""),"A.A. ESC. EST. DR. JOAQUIM P. DA COSTA")</f>
        <v>A.A. ESC. EST. DR. JOAQUIM P. DA COSTA</v>
      </c>
      <c r="D155" t="str">
        <f ca="1">IFERROR(__xludf.DUMMYFUNCTION("""COMPUTED_VALUE"""),"01865386000167")</f>
        <v>01865386000167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IFERROR(__xludf.DUMMYFUNCTION("""COMPUTED_VALUE"""),"67288")</f>
        <v>67288</v>
      </c>
      <c r="H155" s="7">
        <f ca="1">IFERROR(__xludf.DUMMYFUNCTION("""COMPUTED_VALUE"""),462.4)</f>
        <v>462.4</v>
      </c>
      <c r="I155" t="str">
        <v>AEE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ESCOLAR DA ESC. EST. DR.WALDIR LINS")</f>
        <v>A.A. ESCOLAR DA ESC. EST. DR.WALDIR LINS</v>
      </c>
      <c r="D156" t="str">
        <f ca="1">IFERROR(__xludf.DUMMYFUNCTION("""COMPUTED_VALUE"""),"01936535000131")</f>
        <v>01936535000131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IFERROR(__xludf.DUMMYFUNCTION("""COMPUTED_VALUE"""),"66966")</f>
        <v>66966</v>
      </c>
      <c r="H156" s="7">
        <f ca="1">IFERROR(__xludf.DUMMYFUNCTION("""COMPUTED_VALUE"""),163.2)</f>
        <v>163.19999999999999</v>
      </c>
      <c r="I156" t="str">
        <v>AEE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 EDUCACIONAL PRES. COSTA E SILVA")</f>
        <v>A. EDUCACIONAL PRES. COSTA E SILVA</v>
      </c>
      <c r="D157" t="str">
        <f ca="1">IFERROR(__xludf.DUMMYFUNCTION("""COMPUTED_VALUE"""),"01888719000173")</f>
        <v>01888719000173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IFERROR(__xludf.DUMMYFUNCTION("""COMPUTED_VALUE"""),"67490")</f>
        <v>67490</v>
      </c>
      <c r="H157" s="7">
        <f ca="1">IFERROR(__xludf.DUMMYFUNCTION("""COMPUTED_VALUE"""),734.4)</f>
        <v>734.4</v>
      </c>
      <c r="I157" t="str">
        <v>AEE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IFERROR(__xludf.DUMMYFUNCTION("""COMPUTED_VALUE"""),244.799999999999)</f>
        <v>244.79999999999899</v>
      </c>
      <c r="I158" t="str">
        <v>AEE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IFERROR(__xludf.DUMMYFUNCTION("""COMPUTED_VALUE"""),204)</f>
        <v>204</v>
      </c>
      <c r="I159" t="str">
        <v>AEE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IFERROR(__xludf.DUMMYFUNCTION("""COMPUTED_VALUE"""),"A.A. DO INSTITUTO PRESBITERIANO ARAGUAIA")</f>
        <v>A.A. DO INSTITUTO PRESBITERIANO ARAGUAIA</v>
      </c>
      <c r="D160" t="str">
        <f ca="1">IFERROR(__xludf.DUMMYFUNCTION("""COMPUTED_VALUE"""),"03060918000114")</f>
        <v>03060918000114</v>
      </c>
      <c r="E160" t="str">
        <f ca="1">IFERROR(__xludf.DUMMYFUNCTION("""COMPUTED_VALUE"""),"104")</f>
        <v>104</v>
      </c>
      <c r="F160" t="str">
        <f ca="1">IFERROR(__xludf.DUMMYFUNCTION("""COMPUTED_VALUE"""),"0793")</f>
        <v>0793</v>
      </c>
      <c r="G160" t="str">
        <f ca="1">IFERROR(__xludf.DUMMYFUNCTION("""COMPUTED_VALUE"""),"12090")</f>
        <v>12090</v>
      </c>
      <c r="H160" s="7">
        <f ca="1">IFERROR(__xludf.DUMMYFUNCTION("""COMPUTED_VALUE"""),367.2)</f>
        <v>367.2</v>
      </c>
      <c r="I160" t="str">
        <v>AEE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IFERROR(__xludf.DUMMYFUNCTION("""COMPUTED_VALUE"""),"Palmeiropolis")</f>
        <v>Palmeiropolis</v>
      </c>
      <c r="C161" t="str">
        <f ca="1">IFERROR(__xludf.DUMMYFUNCTION("""COMPUTED_VALUE"""),"A.A. ESCOLA ESTADUAL PROFESSORA ONEIDES")</f>
        <v>A.A. ESCOLA ESTADUAL PROFESSORA ONEIDES</v>
      </c>
      <c r="D161" t="str">
        <f ca="1">IFERROR(__xludf.DUMMYFUNCTION("""COMPUTED_VALUE"""),"01262903000103")</f>
        <v>01262903000103</v>
      </c>
      <c r="E161" t="str">
        <f ca="1">IFERROR(__xludf.DUMMYFUNCTION("""COMPUTED_VALUE"""),"001")</f>
        <v>001</v>
      </c>
      <c r="F161" t="str">
        <f ca="1">IFERROR(__xludf.DUMMYFUNCTION("""COMPUTED_VALUE"""),"4608")</f>
        <v>4608</v>
      </c>
      <c r="G161" t="str">
        <f ca="1">IFERROR(__xludf.DUMMYFUNCTION("""COMPUTED_VALUE"""),"79758")</f>
        <v>79758</v>
      </c>
      <c r="H161" s="7">
        <f ca="1">IFERROR(__xludf.DUMMYFUNCTION("""COMPUTED_VALUE"""),353.599999999999)</f>
        <v>353.599999999999</v>
      </c>
      <c r="I161" t="str">
        <v>AEE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IFERROR(__xludf.DUMMYFUNCTION("""COMPUTED_VALUE"""),"Palmeiropolis")</f>
        <v>Palmeiropolis</v>
      </c>
      <c r="C162" t="str">
        <f ca="1">IFERROR(__xludf.DUMMYFUNCTION("""COMPUTED_VALUE"""),"A. A.DO COLEGIO EST. DE PALMEIROPOLIS (COLÉGIO MILITAR)")</f>
        <v>A. A.DO COLEGIO EST. DE PALMEIROPOLIS (COLÉGIO MILITAR)</v>
      </c>
      <c r="D162" t="str">
        <f ca="1">IFERROR(__xludf.DUMMYFUNCTION("""COMPUTED_VALUE"""),"01210496000190")</f>
        <v>01210496000190</v>
      </c>
      <c r="E162" t="str">
        <f ca="1">IFERROR(__xludf.DUMMYFUNCTION("""COMPUTED_VALUE"""),"001")</f>
        <v>001</v>
      </c>
      <c r="F162" t="str">
        <f ca="1">IFERROR(__xludf.DUMMYFUNCTION("""COMPUTED_VALUE"""),"1303")</f>
        <v>1303</v>
      </c>
      <c r="G162" t="str">
        <f ca="1">IFERROR(__xludf.DUMMYFUNCTION("""COMPUTED_VALUE"""),"97438")</f>
        <v>97438</v>
      </c>
      <c r="H162" s="7">
        <f ca="1">IFERROR(__xludf.DUMMYFUNCTION("""COMPUTED_VALUE"""),176.799999999999)</f>
        <v>176.79999999999899</v>
      </c>
      <c r="I162" t="str">
        <v>AEE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IFERROR(__xludf.DUMMYFUNCTION("""COMPUTED_VALUE"""),"Sandolandia")</f>
        <v>Sandolandia</v>
      </c>
      <c r="C163" t="str">
        <f ca="1">IFERROR(__xludf.DUMMYFUNCTION("""COMPUTED_VALUE"""),"A.A. A ESC. EST.NOSSA SENHORA APARECIDA")</f>
        <v>A.A. A ESC. EST.NOSSA SENHORA APARECIDA</v>
      </c>
      <c r="D163" t="str">
        <f ca="1">IFERROR(__xludf.DUMMYFUNCTION("""COMPUTED_VALUE"""),"01393269000148")</f>
        <v>01393269000148</v>
      </c>
      <c r="E163" t="str">
        <f ca="1">IFERROR(__xludf.DUMMYFUNCTION("""COMPUTED_VALUE"""),"001")</f>
        <v>001</v>
      </c>
      <c r="F163" t="str">
        <f ca="1">IFERROR(__xludf.DUMMYFUNCTION("""COMPUTED_VALUE"""),"1304")</f>
        <v>1304</v>
      </c>
      <c r="G163" t="str">
        <f ca="1">IFERROR(__xludf.DUMMYFUNCTION("""COMPUTED_VALUE"""),"105163")</f>
        <v>105163</v>
      </c>
      <c r="H163" s="7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IFERROR(__xludf.DUMMYFUNCTION("""COMPUTED_VALUE"""),"Sao Valerio da Natividade")</f>
        <v>Sao Valerio da Natividade</v>
      </c>
      <c r="C164" t="str">
        <f ca="1">IFERROR(__xludf.DUMMYFUNCTION("""COMPUTED_VALUE"""),"A.P.M.E ALUNOS COL. EST. REGINA S. CAMPOS")</f>
        <v>A.P.M.E ALUNOS COL. EST. REGINA S. CAMPOS</v>
      </c>
      <c r="D164" t="str">
        <f ca="1">IFERROR(__xludf.DUMMYFUNCTION("""COMPUTED_VALUE"""),"01431377000168")</f>
        <v>01431377000168</v>
      </c>
      <c r="E164" t="str">
        <f ca="1">IFERROR(__xludf.DUMMYFUNCTION("""COMPUTED_VALUE"""),"001")</f>
        <v>001</v>
      </c>
      <c r="F164" t="str">
        <f ca="1">IFERROR(__xludf.DUMMYFUNCTION("""COMPUTED_VALUE"""),"0794")</f>
        <v>0794</v>
      </c>
      <c r="G164" t="str">
        <f ca="1">IFERROR(__xludf.DUMMYFUNCTION("""COMPUTED_VALUE"""),"52477")</f>
        <v>52477</v>
      </c>
      <c r="H164" s="7">
        <f ca="1">IFERROR(__xludf.DUMMYFUNCTION("""COMPUTED_VALUE"""),625.6)</f>
        <v>625.6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IFERROR(__xludf.DUMMYFUNCTION("""COMPUTED_VALUE"""),"dois Irmaos do Tocantins")</f>
        <v>dois Irmaos do Tocantins</v>
      </c>
      <c r="C165" t="str">
        <f ca="1">IFERROR(__xludf.DUMMYFUNCTION("""COMPUTED_VALUE"""),"A.C.E. COL PRES. CASTELO BRANCO")</f>
        <v>A.C.E. COL PRES. CASTELO BRANCO</v>
      </c>
      <c r="D165" t="str">
        <f ca="1">IFERROR(__xludf.DUMMYFUNCTION("""COMPUTED_VALUE"""),"01034882000179")</f>
        <v>01034882000179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IFERROR(__xludf.DUMMYFUNCTION("""COMPUTED_VALUE"""),"68950")</f>
        <v>68950</v>
      </c>
      <c r="H165" s="7">
        <f ca="1">IFERROR(__xludf.DUMMYFUNCTION("""COMPUTED_VALUE"""),176.799999999999)</f>
        <v>176.79999999999899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IFERROR(__xludf.DUMMYFUNCTION("""COMPUTED_VALUE"""),"dois Irmaos do Tocantins")</f>
        <v>dois Irmaos do Tocantins</v>
      </c>
      <c r="C166" t="str">
        <f ca="1">IFERROR(__xludf.DUMMYFUNCTION("""COMPUTED_VALUE"""),"ASSOC. DE APOIO A ESCOLA ESPECIAL CLOVIS DE ASSIS")</f>
        <v>ASSOC. DE APOIO A ESCOLA ESPECIAL CLOVIS DE ASSIS</v>
      </c>
      <c r="D166" t="str">
        <f ca="1">IFERROR(__xludf.DUMMYFUNCTION("""COMPUTED_VALUE"""),"09327390000183")</f>
        <v>09327390000183</v>
      </c>
      <c r="E166" t="str">
        <f ca="1">IFERROR(__xludf.DUMMYFUNCTION("""COMPUTED_VALUE"""),"001")</f>
        <v>001</v>
      </c>
      <c r="F166" t="str">
        <f ca="1">IFERROR(__xludf.DUMMYFUNCTION("""COMPUTED_VALUE"""),"0862")</f>
        <v>0862</v>
      </c>
      <c r="G166" t="str">
        <f ca="1">IFERROR(__xludf.DUMMYFUNCTION("""COMPUTED_VALUE"""),"211087")</f>
        <v>211087</v>
      </c>
      <c r="H166" s="7">
        <f ca="1">IFERROR(__xludf.DUMMYFUNCTION("""COMPUTED_VALUE"""),190.4)</f>
        <v>190.4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IFERROR(__xludf.DUMMYFUNCTION("""COMPUTED_VALUE"""),"Lizarda")</f>
        <v>Lizarda</v>
      </c>
      <c r="C167" t="str">
        <f ca="1">IFERROR(__xludf.DUMMYFUNCTION("""COMPUTED_VALUE"""),"A. ESC. COMUN. DO COL. EST. 31 DE MARCO")</f>
        <v>A. ESC. COMUN. DO COL. EST. 31 DE MARCO</v>
      </c>
      <c r="D167" t="str">
        <f ca="1">IFERROR(__xludf.DUMMYFUNCTION("""COMPUTED_VALUE"""),"01232873000192")</f>
        <v>01232873000192</v>
      </c>
      <c r="E167" t="str">
        <f ca="1">IFERROR(__xludf.DUMMYFUNCTION("""COMPUTED_VALUE"""),"001")</f>
        <v>001</v>
      </c>
      <c r="F167" t="str">
        <f ca="1">IFERROR(__xludf.DUMMYFUNCTION("""COMPUTED_VALUE"""),"0862")</f>
        <v>0862</v>
      </c>
      <c r="G167" t="str">
        <f ca="1">IFERROR(__xludf.DUMMYFUNCTION("""COMPUTED_VALUE"""),"68969")</f>
        <v>68969</v>
      </c>
      <c r="H167" s="7">
        <f ca="1">IFERROR(__xludf.DUMMYFUNCTION("""COMPUTED_VALUE"""),149.6)</f>
        <v>149.6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IFERROR(__xludf.DUMMYFUNCTION("""COMPUTED_VALUE"""),"Lizarda")</f>
        <v>Lizarda</v>
      </c>
      <c r="C168" t="str">
        <f ca="1">IFERROR(__xludf.DUMMYFUNCTION("""COMPUTED_VALUE"""),"ESCOLA ESTADUAL AYRTON SENNA")</f>
        <v>ESCOLA ESTADUAL AYRTON SENNA</v>
      </c>
      <c r="D168" t="str">
        <f ca="1">IFERROR(__xludf.DUMMYFUNCTION("""COMPUTED_VALUE"""),"11406586000105")</f>
        <v>11406586000105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IFERROR(__xludf.DUMMYFUNCTION("""COMPUTED_VALUE"""),"270393")</f>
        <v>270393</v>
      </c>
      <c r="H168" s="7">
        <f ca="1">IFERROR(__xludf.DUMMYFUNCTION("""COMPUTED_VALUE"""),68)</f>
        <v>68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IFERROR(__xludf.DUMMYFUNCTION("""COMPUTED_VALUE"""),"Miracema do Tocantins")</f>
        <v>Miracema do Tocantins</v>
      </c>
      <c r="C169" t="str">
        <f ca="1">IFERROR(__xludf.DUMMYFUNCTION("""COMPUTED_VALUE"""),"ASSOC ESC COM COL EST FILOMENA MOREIRA DE PAULA")</f>
        <v>ASSOC ESC COM COL EST FILOMENA MOREIRA DE PAULA</v>
      </c>
      <c r="D169" t="str">
        <f ca="1">IFERROR(__xludf.DUMMYFUNCTION("""COMPUTED_VALUE"""),"00900200000109")</f>
        <v>00900200000109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IFERROR(__xludf.DUMMYFUNCTION("""COMPUTED_VALUE"""),"97527")</f>
        <v>97527</v>
      </c>
      <c r="H169" s="7">
        <f ca="1">IFERROR(__xludf.DUMMYFUNCTION("""COMPUTED_VALUE"""),204)</f>
        <v>204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IFERROR(__xludf.DUMMYFUNCTION("""COMPUTED_VALUE"""),"Miracema do Tocantins")</f>
        <v>Miracema do Tocantins</v>
      </c>
      <c r="C170" t="str">
        <f ca="1">IFERROR(__xludf.DUMMYFUNCTION("""COMPUTED_VALUE"""),"ASS. DE APOIO AO CEM SANTA TEREZINHA")</f>
        <v>ASS. DE APOIO AO CEM SANTA TEREZINHA</v>
      </c>
      <c r="D170" t="str">
        <f ca="1">IFERROR(__xludf.DUMMYFUNCTION("""COMPUTED_VALUE"""),"01085211000137")</f>
        <v>01085211000137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IFERROR(__xludf.DUMMYFUNCTION("""COMPUTED_VALUE"""),"244589")</f>
        <v>244589</v>
      </c>
      <c r="H170" s="7">
        <f ca="1">IFERROR(__xludf.DUMMYFUNCTION("""COMPUTED_VALUE"""),272)</f>
        <v>272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IFERROR(__xludf.DUMMYFUNCTION("""COMPUTED_VALUE"""),"Miracema do Tocantins")</f>
        <v>Miracema do Tocantins</v>
      </c>
      <c r="C171" t="str">
        <f ca="1">IFERROR(__xludf.DUMMYFUNCTION("""COMPUTED_VALUE"""),"SOCIEDADE EDUCADORA FEMININA/COLÉGIO TOCANTINS")</f>
        <v>SOCIEDADE EDUCADORA FEMININA/COLÉGIO TOCANTINS</v>
      </c>
      <c r="D171" t="str">
        <f ca="1">IFERROR(__xludf.DUMMYFUNCTION("""COMPUTED_VALUE"""),"61373585000694")</f>
        <v>61373585000694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IFERROR(__xludf.DUMMYFUNCTION("""COMPUTED_VALUE"""),"69086")</f>
        <v>69086</v>
      </c>
      <c r="H171" s="7">
        <f ca="1">IFERROR(__xludf.DUMMYFUNCTION("""COMPUTED_VALUE"""),176.799999999999)</f>
        <v>176.79999999999899</v>
      </c>
      <c r="I171" t="str">
        <v>AEE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IFERROR(__xludf.DUMMYFUNCTION("""COMPUTED_VALUE"""),"Miracema do Tocantins")</f>
        <v>Miracema do Tocantins</v>
      </c>
      <c r="C172" t="str">
        <f ca="1">IFERROR(__xludf.DUMMYFUNCTION("""COMPUTED_VALUE"""),"A.P.A.DOS EXECEPCIONAIS DE MIRACEMA - APAE")</f>
        <v>A.P.A.DOS EXECEPCIONAIS DE MIRACEMA - APAE</v>
      </c>
      <c r="D172" t="str">
        <f ca="1">IFERROR(__xludf.DUMMYFUNCTION("""COMPUTED_VALUE"""),"38146965000160")</f>
        <v>38146965000160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IFERROR(__xludf.DUMMYFUNCTION("""COMPUTED_VALUE"""),"93734")</f>
        <v>93734</v>
      </c>
      <c r="H172" s="7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IFERROR(__xludf.DUMMYFUNCTION("""COMPUTED_VALUE"""),"Miracema do Tocantins")</f>
        <v>Miracema do Tocantins</v>
      </c>
      <c r="C173" t="str">
        <f ca="1">IFERROR(__xludf.DUMMYFUNCTION("""COMPUTED_VALUE"""),"A.COM.DA ESC. EST. JOSE D. VASCONCELOS")</f>
        <v>A.COM.DA ESC. EST. JOSE D. VASCONCELOS</v>
      </c>
      <c r="D173" t="str">
        <f ca="1">IFERROR(__xludf.DUMMYFUNCTION("""COMPUTED_VALUE"""),"01068379000134")</f>
        <v>01068379000134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IFERROR(__xludf.DUMMYFUNCTION("""COMPUTED_VALUE"""),"69035")</f>
        <v>69035</v>
      </c>
      <c r="H173" s="7">
        <f ca="1">IFERROR(__xludf.DUMMYFUNCTION("""COMPUTED_VALUE"""),244.799999999999)</f>
        <v>244.79999999999899</v>
      </c>
      <c r="I173" t="str">
        <v>AEE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IFERROR(__xludf.DUMMYFUNCTION("""COMPUTED_VALUE"""),"Miracema do Tocantins")</f>
        <v>Miracema do Tocantins</v>
      </c>
      <c r="C174" t="str">
        <f ca="1">IFERROR(__xludf.DUMMYFUNCTION("""COMPUTED_VALUE"""),"A.P.M.A. ESC. CONV. ONESINA BANDEIRA")</f>
        <v>A.P.M.A. ESC. CONV. ONESINA BANDEIRA</v>
      </c>
      <c r="D174" t="str">
        <f ca="1">IFERROR(__xludf.DUMMYFUNCTION("""COMPUTED_VALUE"""),"01133700000117")</f>
        <v>01133700000117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IFERROR(__xludf.DUMMYFUNCTION("""COMPUTED_VALUE"""),"69051")</f>
        <v>69051</v>
      </c>
      <c r="H174" s="7">
        <f ca="1">IFERROR(__xludf.DUMMYFUNCTION("""COMPUTED_VALUE"""),516.8)</f>
        <v>516.79999999999995</v>
      </c>
      <c r="I174" t="str">
        <v>AEE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IFERROR(__xludf.DUMMYFUNCTION("""COMPUTED_VALUE"""),"A.A.  DA ESCOLA ESTADUAL OSCAR SARDINHA")</f>
        <v>A.A.  DA ESCOLA ESTADUAL OSCAR SARDINHA</v>
      </c>
      <c r="D175" t="str">
        <f ca="1">IFERROR(__xludf.DUMMYFUNCTION("""COMPUTED_VALUE"""),"01197158000166")</f>
        <v>01197158000166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IFERROR(__xludf.DUMMYFUNCTION("""COMPUTED_VALUE"""),"6906X")</f>
        <v>6906X</v>
      </c>
      <c r="H175" s="7">
        <f ca="1">IFERROR(__xludf.DUMMYFUNCTION("""COMPUTED_VALUE"""),136)</f>
        <v>136</v>
      </c>
      <c r="I175" t="str">
        <v>AEE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IFERROR(__xludf.DUMMYFUNCTION("""COMPUTED_VALUE"""),"Miranorte")</f>
        <v>Miranorte</v>
      </c>
      <c r="C176" t="str">
        <f ca="1">IFERROR(__xludf.DUMMYFUNCTION("""COMPUTED_VALUE"""),"ASSOC. COM. DO COL. RUI BRASIL CAVALCANTE")</f>
        <v>ASSOC. COM. DO COL. RUI BRASIL CAVALCANTE</v>
      </c>
      <c r="D176" t="str">
        <f ca="1">IFERROR(__xludf.DUMMYFUNCTION("""COMPUTED_VALUE"""),"01112765000186")</f>
        <v>01112765000186</v>
      </c>
      <c r="E176" t="str">
        <f ca="1">IFERROR(__xludf.DUMMYFUNCTION("""COMPUTED_VALUE"""),"001")</f>
        <v>001</v>
      </c>
      <c r="F176" t="str">
        <f ca="1">IFERROR(__xludf.DUMMYFUNCTION("""COMPUTED_VALUE"""),"4560")</f>
        <v>4560</v>
      </c>
      <c r="G176" t="str">
        <f ca="1">IFERROR(__xludf.DUMMYFUNCTION("""COMPUTED_VALUE"""),"78905")</f>
        <v>78905</v>
      </c>
      <c r="H176" s="7">
        <f ca="1">IFERROR(__xludf.DUMMYFUNCTION("""COMPUTED_VALUE"""),244.799999999999)</f>
        <v>244.79999999999899</v>
      </c>
      <c r="I176" t="str">
        <v>AEE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IFERROR(__xludf.DUMMYFUNCTION("""COMPUTED_VALUE"""),"Miranorte")</f>
        <v>Miranorte</v>
      </c>
      <c r="C177" t="str">
        <f ca="1">IFERROR(__xludf.DUMMYFUNCTION("""COMPUTED_VALUE"""),"A.A. C.E.NOSSA SENHORA DA PROVIDENCIA")</f>
        <v>A.A. C.E.NOSSA SENHORA DA PROVIDENCIA</v>
      </c>
      <c r="D177" t="str">
        <f ca="1">IFERROR(__xludf.DUMMYFUNCTION("""COMPUTED_VALUE"""),"01190186000151")</f>
        <v>01190186000151</v>
      </c>
      <c r="E177" t="str">
        <f ca="1">IFERROR(__xludf.DUMMYFUNCTION("""COMPUTED_VALUE"""),"001")</f>
        <v>001</v>
      </c>
      <c r="F177" t="str">
        <f ca="1">IFERROR(__xludf.DUMMYFUNCTION("""COMPUTED_VALUE"""),"4560")</f>
        <v>4560</v>
      </c>
      <c r="G177" t="str">
        <f ca="1">IFERROR(__xludf.DUMMYFUNCTION("""COMPUTED_VALUE"""),"7778X")</f>
        <v>7778X</v>
      </c>
      <c r="H177" s="7">
        <f ca="1">IFERROR(__xludf.DUMMYFUNCTION("""COMPUTED_VALUE"""),353.599999999999)</f>
        <v>353.599999999999</v>
      </c>
      <c r="I177" t="str">
        <v>AEE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IFERROR(__xludf.DUMMYFUNCTION("""COMPUTED_VALUE"""),"Miranorte")</f>
        <v>Miranorte</v>
      </c>
      <c r="C178" t="str">
        <f ca="1">IFERROR(__xludf.DUMMYFUNCTION("""COMPUTED_VALUE"""),"A.A ESC. ESPECIAL CORAÇÃO DE MARIA")</f>
        <v>A.A ESC. ESPECIAL CORAÇÃO DE MARIA</v>
      </c>
      <c r="D178" t="str">
        <f ca="1">IFERROR(__xludf.DUMMYFUNCTION("""COMPUTED_VALUE"""),"07968866000130")</f>
        <v>07968866000130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IFERROR(__xludf.DUMMYFUNCTION("""COMPUTED_VALUE"""),"265217")</f>
        <v>265217</v>
      </c>
      <c r="H178" s="7">
        <f ca="1">IFERROR(__xludf.DUMMYFUNCTION("""COMPUTED_VALUE"""),163.2)</f>
        <v>163.19999999999999</v>
      </c>
      <c r="I178" t="str">
        <v>AEE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IFERROR(__xludf.DUMMYFUNCTION("""COMPUTED_VALUE"""),"Rio dos Bois")</f>
        <v>Rio dos Bois</v>
      </c>
      <c r="C179" t="str">
        <f ca="1">IFERROR(__xludf.DUMMYFUNCTION("""COMPUTED_VALUE"""),"A.A. ESC EST DR. VALDECY PINHEIRO")</f>
        <v>A.A. ESC EST DR. VALDECY PINHEIRO</v>
      </c>
      <c r="D179" t="str">
        <f ca="1">IFERROR(__xludf.DUMMYFUNCTION("""COMPUTED_VALUE"""),"01079937000167")</f>
        <v>01079937000167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IFERROR(__xludf.DUMMYFUNCTION("""COMPUTED_VALUE"""),"69116")</f>
        <v>69116</v>
      </c>
      <c r="H179" s="7">
        <f ca="1">IFERROR(__xludf.DUMMYFUNCTION("""COMPUTED_VALUE"""),176.799999999999)</f>
        <v>176.79999999999899</v>
      </c>
      <c r="I179" t="str">
        <v>AEE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IFERROR(__xludf.DUMMYFUNCTION("""COMPUTED_VALUE"""),"Tocantinia")</f>
        <v>Tocantinia</v>
      </c>
      <c r="C180" t="str">
        <f ca="1">IFERROR(__xludf.DUMMYFUNCTION("""COMPUTED_VALUE"""),"ASS. APOIO AO CEM XERENTE WARA")</f>
        <v>ASS. APOIO AO CEM XERENTE WARA</v>
      </c>
      <c r="D180" t="str">
        <f ca="1">IFERROR(__xludf.DUMMYFUNCTION("""COMPUTED_VALUE"""),"07674098000101")</f>
        <v>07674098000101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IFERROR(__xludf.DUMMYFUNCTION("""COMPUTED_VALUE"""),"183407")</f>
        <v>183407</v>
      </c>
      <c r="H180" s="7">
        <f ca="1">IFERROR(__xludf.DUMMYFUNCTION("""COMPUTED_VALUE"""),285.599999999999)</f>
        <v>285.599999999999</v>
      </c>
      <c r="I180" t="str">
        <v>AEE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IFERROR(__xludf.DUMMYFUNCTION("""COMPUTED_VALUE"""),"Tocantinia")</f>
        <v>Tocantinia</v>
      </c>
      <c r="C181" t="str">
        <f ca="1">IFERROR(__xludf.DUMMYFUNCTION("""COMPUTED_VALUE"""),"A.COM.DO COLEGIO FREI ANTONIO CONVENIADO")</f>
        <v>A.COM.DO COLEGIO FREI ANTONIO CONVENIADO</v>
      </c>
      <c r="D181" t="str">
        <f ca="1">IFERROR(__xludf.DUMMYFUNCTION("""COMPUTED_VALUE"""),"01066427000155")</f>
        <v>01066427000155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IFERROR(__xludf.DUMMYFUNCTION("""COMPUTED_VALUE"""),"68985")</f>
        <v>68985</v>
      </c>
      <c r="H181" s="7">
        <f ca="1">IFERROR(__xludf.DUMMYFUNCTION("""COMPUTED_VALUE"""),136)</f>
        <v>136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IFERROR(__xludf.DUMMYFUNCTION("""COMPUTED_VALUE"""),"Aparecida do Rio Negro")</f>
        <v>Aparecida do Rio Negro</v>
      </c>
      <c r="C182" t="str">
        <f ca="1">IFERROR(__xludf.DUMMYFUNCTION("""COMPUTED_VALUE"""),"ASS. DE AP. DO COL. EST. MEIRA MATOS")</f>
        <v>ASS. DE AP. DO COL. EST. MEIRA MATOS</v>
      </c>
      <c r="D182" t="str">
        <f ca="1">IFERROR(__xludf.DUMMYFUNCTION("""COMPUTED_VALUE"""),"01186452000172")</f>
        <v>01186452000172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IFERROR(__xludf.DUMMYFUNCTION("""COMPUTED_VALUE"""),"327972")</f>
        <v>327972</v>
      </c>
      <c r="H182" s="7">
        <f ca="1">IFERROR(__xludf.DUMMYFUNCTION("""COMPUTED_VALUE"""),190.4)</f>
        <v>190.4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IFERROR(__xludf.DUMMYFUNCTION("""COMPUTED_VALUE"""),"Lajeado")</f>
        <v>Lajeado</v>
      </c>
      <c r="C183" t="str">
        <f ca="1">IFERROR(__xludf.DUMMYFUNCTION("""COMPUTED_VALUE"""),"A.A. COM. E. E.N.SRA.DA PROVIDENCIA")</f>
        <v>A.A. COM. E. E.N.SRA.DA PROVIDENCIA</v>
      </c>
      <c r="D183" t="str">
        <f ca="1">IFERROR(__xludf.DUMMYFUNCTION("""COMPUTED_VALUE"""),"01138324000153")</f>
        <v>01138324000153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IFERROR(__xludf.DUMMYFUNCTION("""COMPUTED_VALUE"""),"69132")</f>
        <v>69132</v>
      </c>
      <c r="H183" s="7">
        <f ca="1">IFERROR(__xludf.DUMMYFUNCTION("""COMPUTED_VALUE"""),95.2)</f>
        <v>95.2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IFERROR(__xludf.DUMMYFUNCTION("""COMPUTED_VALUE"""),"Novo Acordo")</f>
        <v>Novo Acordo</v>
      </c>
      <c r="C184" t="str">
        <f ca="1">IFERROR(__xludf.DUMMYFUNCTION("""COMPUTED_VALUE"""),"ASS. A. AO COL. EST. D. PEDRO I/N.ACORDO")</f>
        <v>ASS. A. AO COL. EST. D. PEDRO I/N.ACORDO</v>
      </c>
      <c r="D184" t="str">
        <f ca="1">IFERROR(__xludf.DUMMYFUNCTION("""COMPUTED_VALUE"""),"01133690000110")</f>
        <v>01133690000110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IFERROR(__xludf.DUMMYFUNCTION("""COMPUTED_VALUE"""),"157856")</f>
        <v>157856</v>
      </c>
      <c r="H184" s="7">
        <f ca="1">IFERROR(__xludf.DUMMYFUNCTION("""COMPUTED_VALUE"""),1060.8)</f>
        <v>1060.8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IFERROR(__xludf.DUMMYFUNCTION("""COMPUTED_VALUE"""),"Novo Acordo")</f>
        <v>Novo Acordo</v>
      </c>
      <c r="C185" t="str">
        <f ca="1">IFERROR(__xludf.DUMMYFUNCTION("""COMPUTED_VALUE"""),"A.A. DA ESC. EST.PEDRO MACEDO / N.ACORDO")</f>
        <v>A.A. DA ESC. EST.PEDRO MACEDO / N.ACORDO</v>
      </c>
      <c r="D185" t="str">
        <f ca="1">IFERROR(__xludf.DUMMYFUNCTION("""COMPUTED_VALUE"""),"01136004000164")</f>
        <v>01136004000164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IFERROR(__xludf.DUMMYFUNCTION("""COMPUTED_VALUE"""),"171166")</f>
        <v>171166</v>
      </c>
      <c r="H185" s="7">
        <f ca="1">IFERROR(__xludf.DUMMYFUNCTION("""COMPUTED_VALUE"""),217.6)</f>
        <v>217.6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IFERROR(__xludf.DUMMYFUNCTION("""COMPUTED_VALUE"""),"A. DE CONSELHO ESCOLAR DO CEM 305 NORTE")</f>
        <v>A. DE CONSELHO ESCOLAR DO CEM 305 NORTE</v>
      </c>
      <c r="D186" t="str">
        <f ca="1">IFERROR(__xludf.DUMMYFUNCTION("""COMPUTED_VALUE"""),"04701394000166")</f>
        <v>04701394000166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IFERROR(__xludf.DUMMYFUNCTION("""COMPUTED_VALUE"""),"455261")</f>
        <v>455261</v>
      </c>
      <c r="H186" s="7">
        <f ca="1">IFERROR(__xludf.DUMMYFUNCTION("""COMPUTED_VALUE"""),163.2)</f>
        <v>163.19999999999999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IFERROR(__xludf.DUMMYFUNCTION("""COMPUTED_VALUE"""),"ASSOC. DE APOIO COL. EST. DE TAQUARALTO")</f>
        <v>ASSOC. DE APOIO COL. EST. DE TAQUARALTO</v>
      </c>
      <c r="D187" t="str">
        <f ca="1">IFERROR(__xludf.DUMMYFUNCTION("""COMPUTED_VALUE"""),"03233677000168")</f>
        <v>03233677000168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IFERROR(__xludf.DUMMYFUNCTION("""COMPUTED_VALUE"""),"455059")</f>
        <v>455059</v>
      </c>
      <c r="H187" s="7">
        <f ca="1">IFERROR(__xludf.DUMMYFUNCTION("""COMPUTED_VALUE"""),353.599999999999)</f>
        <v>353.599999999999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IFERROR(__xludf.DUMMYFUNCTION("""COMPUTED_VALUE"""),"A.AP. DO COL. EST. SANTA RITA DE CASSIA")</f>
        <v>A.AP. DO COL. EST. SANTA RITA DE CASSIA</v>
      </c>
      <c r="D188" t="str">
        <f ca="1">IFERROR(__xludf.DUMMYFUNCTION("""COMPUTED_VALUE"""),"01955414000137")</f>
        <v>01955414000137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IFERROR(__xludf.DUMMYFUNCTION("""COMPUTED_VALUE"""),"256579")</f>
        <v>256579</v>
      </c>
      <c r="H188" s="7">
        <f ca="1">IFERROR(__xludf.DUMMYFUNCTION("""COMPUTED_VALUE"""),122.399999999999)</f>
        <v>122.399999999999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IFERROR(__xludf.DUMMYFUNCTION("""COMPUTED_VALUE"""),"ACE COL. EST. DUQUE DE CAXIAS")</f>
        <v>ACE COL. EST. DUQUE DE CAXIAS</v>
      </c>
      <c r="D189" t="str">
        <f ca="1">IFERROR(__xludf.DUMMYFUNCTION("""COMPUTED_VALUE"""),"01588669000109")</f>
        <v>01588669000109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IFERROR(__xludf.DUMMYFUNCTION("""COMPUTED_VALUE"""),"254002")</f>
        <v>254002</v>
      </c>
      <c r="H189" s="7">
        <f ca="1">IFERROR(__xludf.DUMMYFUNCTION("""COMPUTED_VALUE"""),272)</f>
        <v>272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IFERROR(__xludf.DUMMYFUNCTION("""COMPUTED_VALUE"""),"A.A. AO COLEGIO ESTADUAL SAO JOSE")</f>
        <v>A.A. AO COLEGIO ESTADUAL SAO JOSE</v>
      </c>
      <c r="D190" t="str">
        <f ca="1">IFERROR(__xludf.DUMMYFUNCTION("""COMPUTED_VALUE"""),"01913809000177")</f>
        <v>01913809000177</v>
      </c>
      <c r="E190" t="str">
        <f ca="1">IFERROR(__xludf.DUMMYFUNCTION("""COMPUTED_VALUE"""),"001")</f>
        <v>001</v>
      </c>
      <c r="F190" t="str">
        <f ca="1">IFERROR(__xludf.DUMMYFUNCTION("""COMPUTED_VALUE"""),"1886")</f>
        <v>1886</v>
      </c>
      <c r="G190" t="str">
        <f ca="1">IFERROR(__xludf.DUMMYFUNCTION("""COMPUTED_VALUE"""),"325252")</f>
        <v>325252</v>
      </c>
      <c r="H190" s="7">
        <f ca="1">IFERROR(__xludf.DUMMYFUNCTION("""COMPUTED_VALUE"""),326.4)</f>
        <v>326.39999999999998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IFERROR(__xludf.DUMMYFUNCTION("""COMPUTED_VALUE"""),"A.A. COL GIRASSOL TEMPO INTEGRAL RAQUEL QUEIROZ")</f>
        <v>A.A. COL GIRASSOL TEMPO INTEGRAL RAQUEL QUEIROZ</v>
      </c>
      <c r="D191" t="str">
        <f ca="1">IFERROR(__xludf.DUMMYFUNCTION("""COMPUTED_VALUE"""),"13748657000183")</f>
        <v>13748657000183</v>
      </c>
      <c r="E191" t="str">
        <f ca="1">IFERROR(__xludf.DUMMYFUNCTION("""COMPUTED_VALUE"""),"001")</f>
        <v>001</v>
      </c>
      <c r="F191" t="str">
        <f ca="1">IFERROR(__xludf.DUMMYFUNCTION("""COMPUTED_VALUE"""),"1867")</f>
        <v>1867</v>
      </c>
      <c r="G191" t="str">
        <f ca="1">IFERROR(__xludf.DUMMYFUNCTION("""COMPUTED_VALUE"""),"856312")</f>
        <v>856312</v>
      </c>
      <c r="H191" s="7">
        <f ca="1">IFERROR(__xludf.DUMMYFUNCTION("""COMPUTED_VALUE"""),516.8)</f>
        <v>516.79999999999995</v>
      </c>
      <c r="I191" t="str">
        <v>AEE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7">
        <f ca="1">IFERROR(__xludf.DUMMYFUNCTION("""COMPUTED_VALUE"""),326.4)</f>
        <v>326.39999999999998</v>
      </c>
      <c r="I192" t="str">
        <v>AEE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7">
        <f ca="1">IFERROR(__xludf.DUMMYFUNCTION("""COMPUTED_VALUE"""),734.4)</f>
        <v>734.4</v>
      </c>
      <c r="I193" t="str">
        <v>AEE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IFERROR(__xludf.DUMMYFUNCTION("""COMPUTED_VALUE"""),"A.P.E M. DA ESC. EST. MADRE BELEM")</f>
        <v>A.P.E M. DA ESC. EST. MADRE BELEM</v>
      </c>
      <c r="D194" t="str">
        <f ca="1">IFERROR(__xludf.DUMMYFUNCTION("""COMPUTED_VALUE"""),"01034134000196")</f>
        <v>01034134000196</v>
      </c>
      <c r="E194" t="str">
        <f ca="1">IFERROR(__xludf.DUMMYFUNCTION("""COMPUTED_VALUE"""),"001")</f>
        <v>001</v>
      </c>
      <c r="F194" t="str">
        <f ca="1">IFERROR(__xludf.DUMMYFUNCTION("""COMPUTED_VALUE"""),"1886")</f>
        <v>1886</v>
      </c>
      <c r="G194" t="str">
        <f ca="1">IFERROR(__xludf.DUMMYFUNCTION("""COMPUTED_VALUE"""),"519855")</f>
        <v>519855</v>
      </c>
      <c r="H194" s="7">
        <f ca="1">IFERROR(__xludf.DUMMYFUNCTION("""COMPUTED_VALUE"""),163.2)</f>
        <v>163.19999999999999</v>
      </c>
      <c r="I194" t="str">
        <v>AEE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IFERROR(__xludf.DUMMYFUNCTION("""COMPUTED_VALUE"""),"ACE UN.ESC. FREDEDERICO J. PEDRERA NETO")</f>
        <v>ACE UN.ESC. FREDEDERICO J. PEDRERA NETO</v>
      </c>
      <c r="D195" t="str">
        <f ca="1">IFERROR(__xludf.DUMMYFUNCTION("""COMPUTED_VALUE"""),"01862534000190")</f>
        <v>01862534000190</v>
      </c>
      <c r="E195" t="str">
        <f ca="1">IFERROR(__xludf.DUMMYFUNCTION("""COMPUTED_VALUE"""),"001")</f>
        <v>001</v>
      </c>
      <c r="F195" t="str">
        <f ca="1">IFERROR(__xludf.DUMMYFUNCTION("""COMPUTED_VALUE"""),"1867")</f>
        <v>1867</v>
      </c>
      <c r="G195" t="str">
        <f ca="1">IFERROR(__xludf.DUMMYFUNCTION("""COMPUTED_VALUE"""),"1079972")</f>
        <v>1079972</v>
      </c>
      <c r="H195" s="7">
        <f ca="1">IFERROR(__xludf.DUMMYFUNCTION("""COMPUTED_VALUE"""),231.2)</f>
        <v>231.2</v>
      </c>
      <c r="I195" t="str">
        <v>AEE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IFERROR(__xludf.DUMMYFUNCTION("""COMPUTED_VALUE"""),"A.CONS.ESCOLAR E. EST.I GRAU LIBERDADE")</f>
        <v>A.CONS.ESCOLAR E. EST.I GRAU LIBERDADE</v>
      </c>
      <c r="D196" t="str">
        <f ca="1">IFERROR(__xludf.DUMMYFUNCTION("""COMPUTED_VALUE"""),"01936355000150")</f>
        <v>01936355000150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IFERROR(__xludf.DUMMYFUNCTION("""COMPUTED_VALUE"""),"257028")</f>
        <v>257028</v>
      </c>
      <c r="H196" s="7">
        <f ca="1">IFERROR(__xludf.DUMMYFUNCTION("""COMPUTED_VALUE"""),571.199999999999)</f>
        <v>571.19999999999902</v>
      </c>
      <c r="I196" t="str">
        <v>AEE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IFERROR(__xludf.DUMMYFUNCTION("""COMPUTED_VALUE"""),"ASSOC APOIO ESC EST MARIA DOS REIS ALVES BARROS")</f>
        <v>ASSOC APOIO ESC EST MARIA DOS REIS ALVES BARROS</v>
      </c>
      <c r="D197" t="str">
        <f ca="1">IFERROR(__xludf.DUMMYFUNCTION("""COMPUTED_VALUE"""),"08641263000191")</f>
        <v>08641263000191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IFERROR(__xludf.DUMMYFUNCTION("""COMPUTED_VALUE"""),"413666")</f>
        <v>413666</v>
      </c>
      <c r="H197" s="7">
        <f ca="1">IFERROR(__xludf.DUMMYFUNCTION("""COMPUTED_VALUE"""),1360)</f>
        <v>1360</v>
      </c>
      <c r="I197" t="str">
        <v>AEE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IFERROR(__xludf.DUMMYFUNCTION("""COMPUTED_VALUE"""),"A.COM. DA ESC. EST. NOVO HORIZONTE")</f>
        <v>A.COM. DA ESC. EST. NOVO HORIZONTE</v>
      </c>
      <c r="D198" t="str">
        <f ca="1">IFERROR(__xludf.DUMMYFUNCTION("""COMPUTED_VALUE"""),"01221539000133")</f>
        <v>01221539000133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IFERROR(__xludf.DUMMYFUNCTION("""COMPUTED_VALUE"""),"351687")</f>
        <v>351687</v>
      </c>
      <c r="H198" s="7">
        <f ca="1">IFERROR(__xludf.DUMMYFUNCTION("""COMPUTED_VALUE"""),870.4)</f>
        <v>870.4</v>
      </c>
      <c r="I198" t="str">
        <v>AEE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IFERROR(__xludf.DUMMYFUNCTION("""COMPUTED_VALUE"""),163.2)</f>
        <v>163.19999999999999</v>
      </c>
      <c r="I199" t="str">
        <v>AEE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IFERROR(__xludf.DUMMYFUNCTION("""COMPUTED_VALUE"""),136)</f>
        <v>136</v>
      </c>
      <c r="I200" t="str">
        <v>AEE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IFERROR(__xludf.DUMMYFUNCTION("""COMPUTED_VALUE"""),258.4)</f>
        <v>258.39999999999998</v>
      </c>
      <c r="I201" t="str">
        <v>AEE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IFERROR(__xludf.DUMMYFUNCTION("""COMPUTED_VALUE"""),"Rio Sono")</f>
        <v>Rio Sono</v>
      </c>
      <c r="C202" t="str">
        <f ca="1">IFERROR(__xludf.DUMMYFUNCTION("""COMPUTED_VALUE"""),"A. DE PAIS E MESTRES DO COL. EST.RIO SONO")</f>
        <v>A. DE PAIS E MESTRES DO COL. EST.RIO SONO</v>
      </c>
      <c r="D202" t="str">
        <f ca="1">IFERROR(__xludf.DUMMYFUNCTION("""COMPUTED_VALUE"""),"01184376000166")</f>
        <v>01184376000166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IFERROR(__xludf.DUMMYFUNCTION("""COMPUTED_VALUE"""),"530042")</f>
        <v>530042</v>
      </c>
      <c r="H202" s="7">
        <f ca="1">IFERROR(__xludf.DUMMYFUNCTION("""COMPUTED_VALUE"""),856.8)</f>
        <v>856.8</v>
      </c>
      <c r="I202" t="str">
        <v>AEE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IFERROR(__xludf.DUMMYFUNCTION("""COMPUTED_VALUE"""),"Santa Tereza do Tocantins")</f>
        <v>Santa Tereza do Tocantins</v>
      </c>
      <c r="C203" t="str">
        <f ca="1">IFERROR(__xludf.DUMMYFUNCTION("""COMPUTED_VALUE"""),"A.A. C.EST. MANOEL S.DOURADO")</f>
        <v>A.A. C.EST. MANOEL S.DOURADO</v>
      </c>
      <c r="D203" t="str">
        <f ca="1">IFERROR(__xludf.DUMMYFUNCTION("""COMPUTED_VALUE"""),"01136013000155")</f>
        <v>01136013000155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IFERROR(__xludf.DUMMYFUNCTION("""COMPUTED_VALUE"""),"313033")</f>
        <v>313033</v>
      </c>
      <c r="H203" s="7">
        <f ca="1">IFERROR(__xludf.DUMMYFUNCTION("""COMPUTED_VALUE"""),163.2)</f>
        <v>163.19999999999999</v>
      </c>
      <c r="I203" t="str">
        <v>AEE</v>
      </c>
    </row>
    <row r="204" spans="1:9" ht="12.75">
      <c r="A204" t="str">
        <f ca="1">IFERROR(__xludf.DUMMYFUNCTION("""COMPUTED_VALUE"""),"Paraíso")</f>
        <v>Paraíso</v>
      </c>
      <c r="B204" t="str">
        <f ca="1">IFERROR(__xludf.DUMMYFUNCTION("""COMPUTED_VALUE"""),"Barrolandia")</f>
        <v>Barrolandia</v>
      </c>
      <c r="C204" t="str">
        <f ca="1">IFERROR(__xludf.DUMMYFUNCTION("""COMPUTED_VALUE"""),"A..A. ESC. ESPECIAL AMOR DE DEUS")</f>
        <v>A..A. ESC. ESPECIAL AMOR DE DEUS</v>
      </c>
      <c r="D204" t="str">
        <f ca="1">IFERROR(__xludf.DUMMYFUNCTION("""COMPUTED_VALUE"""),"07935641000187")</f>
        <v>07935641000187</v>
      </c>
      <c r="E204" t="str">
        <f ca="1">IFERROR(__xludf.DUMMYFUNCTION("""COMPUTED_VALUE"""),"001")</f>
        <v>001</v>
      </c>
      <c r="F204" t="str">
        <f ca="1">IFERROR(__xludf.DUMMYFUNCTION("""COMPUTED_VALUE"""),"0804")</f>
        <v>0804</v>
      </c>
      <c r="G204" t="str">
        <f ca="1">IFERROR(__xludf.DUMMYFUNCTION("""COMPUTED_VALUE"""),"279501")</f>
        <v>279501</v>
      </c>
      <c r="H204" s="7">
        <f ca="1">IFERROR(__xludf.DUMMYFUNCTION("""COMPUTED_VALUE"""),163.2)</f>
        <v>163.19999999999999</v>
      </c>
      <c r="I204" t="str">
        <v>AEE</v>
      </c>
    </row>
    <row r="205" spans="1:9" ht="12.75">
      <c r="A205" t="str">
        <f ca="1">IFERROR(__xludf.DUMMYFUNCTION("""COMPUTED_VALUE"""),"Paraíso")</f>
        <v>Paraíso</v>
      </c>
      <c r="B205" t="str">
        <f ca="1">IFERROR(__xludf.DUMMYFUNCTION("""COMPUTED_VALUE"""),"Barrolandia")</f>
        <v>Barrolandia</v>
      </c>
      <c r="C205" t="str">
        <f ca="1">IFERROR(__xludf.DUMMYFUNCTION("""COMPUTED_VALUE"""),"ASS. APOIO DA ESC EST PAULINA CAMARA")</f>
        <v>ASS. APOIO DA ESC EST PAULINA CAMARA</v>
      </c>
      <c r="D205" t="str">
        <f ca="1">IFERROR(__xludf.DUMMYFUNCTION("""COMPUTED_VALUE"""),"01071402000140")</f>
        <v>01071402000140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IFERROR(__xludf.DUMMYFUNCTION("""COMPUTED_VALUE"""),"68926")</f>
        <v>68926</v>
      </c>
      <c r="H205" s="7">
        <f ca="1">IFERROR(__xludf.DUMMYFUNCTION("""COMPUTED_VALUE"""),163.2)</f>
        <v>163.19999999999999</v>
      </c>
      <c r="I205" t="str">
        <v>AEE</v>
      </c>
    </row>
    <row r="206" spans="1:9" ht="12.75">
      <c r="A206" t="str">
        <f ca="1">IFERROR(__xludf.DUMMYFUNCTION("""COMPUTED_VALUE"""),"Paraíso")</f>
        <v>Paraíso</v>
      </c>
      <c r="B206" t="str">
        <f ca="1">IFERROR(__xludf.DUMMYFUNCTION("""COMPUTED_VALUE"""),"Cristalandia")</f>
        <v>Cristalandia</v>
      </c>
      <c r="C206" t="str">
        <f ca="1">IFERROR(__xludf.DUMMYFUNCTION("""COMPUTED_VALUE"""),"APAE DE CRISTALÂNDIA")</f>
        <v>APAE DE CRISTALÂNDIA</v>
      </c>
      <c r="D206" t="str">
        <f ca="1">IFERROR(__xludf.DUMMYFUNCTION("""COMPUTED_VALUE"""),"01995319000167")</f>
        <v>01995319000167</v>
      </c>
      <c r="E206" t="str">
        <f ca="1">IFERROR(__xludf.DUMMYFUNCTION("""COMPUTED_VALUE"""),"001")</f>
        <v>001</v>
      </c>
      <c r="F206" t="str">
        <f ca="1">IFERROR(__xludf.DUMMYFUNCTION("""COMPUTED_VALUE"""),"3638")</f>
        <v>3638</v>
      </c>
      <c r="G206" t="str">
        <f ca="1">IFERROR(__xludf.DUMMYFUNCTION("""COMPUTED_VALUE"""),"71315")</f>
        <v>71315</v>
      </c>
      <c r="H206" s="7">
        <f ca="1">IFERROR(__xludf.DUMMYFUNCTION("""COMPUTED_VALUE"""),258.4)</f>
        <v>258.39999999999998</v>
      </c>
      <c r="I206" t="str">
        <v>AEE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IFERROR(__xludf.DUMMYFUNCTION("""COMPUTED_VALUE"""),"Cristalandia")</f>
        <v>Cristalandia</v>
      </c>
      <c r="C207" t="str">
        <f ca="1">IFERROR(__xludf.DUMMYFUNCTION("""COMPUTED_VALUE"""),"A.A. ESCOLA MUL.OTACILIO MARQUES ROSAL")</f>
        <v>A.A. ESCOLA MUL.OTACILIO MARQUES ROSAL</v>
      </c>
      <c r="D207" t="str">
        <f ca="1">IFERROR(__xludf.DUMMYFUNCTION("""COMPUTED_VALUE"""),"01071438000123")</f>
        <v>01071438000123</v>
      </c>
      <c r="E207" t="str">
        <f ca="1">IFERROR(__xludf.DUMMYFUNCTION("""COMPUTED_VALUE"""),"001")</f>
        <v>001</v>
      </c>
      <c r="F207" t="str">
        <f ca="1">IFERROR(__xludf.DUMMYFUNCTION("""COMPUTED_VALUE"""),"3638")</f>
        <v>3638</v>
      </c>
      <c r="G207" t="str">
        <f ca="1">IFERROR(__xludf.DUMMYFUNCTION("""COMPUTED_VALUE"""),"7120X")</f>
        <v>7120X</v>
      </c>
      <c r="H207" s="7">
        <f ca="1">IFERROR(__xludf.DUMMYFUNCTION("""COMPUTED_VALUE"""),136)</f>
        <v>136</v>
      </c>
      <c r="I207" t="str">
        <v>AEE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IFERROR(__xludf.DUMMYFUNCTION("""COMPUTED_VALUE"""),"Lagoa da Confusao")</f>
        <v>Lagoa da Confusao</v>
      </c>
      <c r="C208" t="str">
        <f ca="1">IFERROR(__xludf.DUMMYFUNCTION("""COMPUTED_VALUE"""),"A.A.  ESTUD COL. EST. LAGOA DA CONFUSAO")</f>
        <v>A.A.  ESTUD COL. EST. LAGOA DA CONFUSAO</v>
      </c>
      <c r="D208" t="str">
        <f ca="1">IFERROR(__xludf.DUMMYFUNCTION("""COMPUTED_VALUE"""),"01179116000100")</f>
        <v>01179116000100</v>
      </c>
      <c r="E208" t="str">
        <f ca="1">IFERROR(__xludf.DUMMYFUNCTION("""COMPUTED_VALUE"""),"001")</f>
        <v>001</v>
      </c>
      <c r="F208" t="str">
        <f ca="1">IFERROR(__xludf.DUMMYFUNCTION("""COMPUTED_VALUE"""),"3983")</f>
        <v>3983</v>
      </c>
      <c r="G208" t="str">
        <f ca="1">IFERROR(__xludf.DUMMYFUNCTION("""COMPUTED_VALUE"""),"84735")</f>
        <v>84735</v>
      </c>
      <c r="H208" s="7">
        <f ca="1">IFERROR(__xludf.DUMMYFUNCTION("""COMPUTED_VALUE"""),68)</f>
        <v>68</v>
      </c>
      <c r="I208" t="str">
        <v>AEE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IFERROR(__xludf.DUMMYFUNCTION("""COMPUTED_VALUE"""),"Lagoa da Confusao")</f>
        <v>Lagoa da Confusao</v>
      </c>
      <c r="C209" t="str">
        <f ca="1">IFERROR(__xludf.DUMMYFUNCTION("""COMPUTED_VALUE"""),"ASSOCIAÇÃO DA ESCOLA ESPECIAL LAGOA DA CONFUSÃO")</f>
        <v>ASSOCIAÇÃO DA ESCOLA ESPECIAL LAGOA DA CONFUSÃO</v>
      </c>
      <c r="D209" t="str">
        <f ca="1">IFERROR(__xludf.DUMMYFUNCTION("""COMPUTED_VALUE"""),"08755554000100")</f>
        <v>08755554000100</v>
      </c>
      <c r="E209" t="str">
        <f ca="1">IFERROR(__xludf.DUMMYFUNCTION("""COMPUTED_VALUE"""),"001")</f>
        <v>001</v>
      </c>
      <c r="F209" t="str">
        <f ca="1">IFERROR(__xludf.DUMMYFUNCTION("""COMPUTED_VALUE"""),"3983")</f>
        <v>3983</v>
      </c>
      <c r="G209" t="str">
        <f ca="1">IFERROR(__xludf.DUMMYFUNCTION("""COMPUTED_VALUE"""),"83712")</f>
        <v>83712</v>
      </c>
      <c r="H209" s="7">
        <f ca="1">IFERROR(__xludf.DUMMYFUNCTION("""COMPUTED_VALUE"""),244.799999999999)</f>
        <v>244.79999999999899</v>
      </c>
      <c r="I209" t="str">
        <v>AEE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IFERROR(__xludf.DUMMYFUNCTION("""COMPUTED_VALUE"""),"Paraiso do Tocantins")</f>
        <v>Paraiso do Tocantins</v>
      </c>
      <c r="C210" t="str">
        <f ca="1">IFERROR(__xludf.DUMMYFUNCTION("""COMPUTED_VALUE"""),"ASSOC. APOIO AO CEM JOSE ALVES DE ASSIS")</f>
        <v>ASSOC. APOIO AO CEM JOSE ALVES DE ASSIS</v>
      </c>
      <c r="D210" t="str">
        <f ca="1">IFERROR(__xludf.DUMMYFUNCTION("""COMPUTED_VALUE"""),"01181169000158")</f>
        <v>01181169000158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IFERROR(__xludf.DUMMYFUNCTION("""COMPUTED_VALUE"""),"286257")</f>
        <v>286257</v>
      </c>
      <c r="H210" s="7">
        <f ca="1">IFERROR(__xludf.DUMMYFUNCTION("""COMPUTED_VALUE"""),176.799999999999)</f>
        <v>176.79999999999899</v>
      </c>
      <c r="I210" t="str">
        <v>AEE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IFERROR(__xludf.DUMMYFUNCTION("""COMPUTED_VALUE"""),"Paraiso do Tocantins")</f>
        <v>Paraiso do Tocantins</v>
      </c>
      <c r="C211" t="str">
        <f ca="1">IFERROR(__xludf.DUMMYFUNCTION("""COMPUTED_VALUE"""),"AAE. ESPECIAL LUZ DA VIDA")</f>
        <v>AAE. ESPECIAL LUZ DA VIDA</v>
      </c>
      <c r="D211" t="str">
        <f ca="1">IFERROR(__xludf.DUMMYFUNCTION("""COMPUTED_VALUE"""),"07905330000175")</f>
        <v>07905330000175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IFERROR(__xludf.DUMMYFUNCTION("""COMPUTED_VALUE"""),"331724")</f>
        <v>331724</v>
      </c>
      <c r="H211" s="7">
        <f ca="1">IFERROR(__xludf.DUMMYFUNCTION("""COMPUTED_VALUE"""),340)</f>
        <v>340</v>
      </c>
      <c r="I211" t="str">
        <v>AEE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IFERROR(__xludf.DUMMYFUNCTION("""COMPUTED_VALUE"""),"Paraiso do Tocantins")</f>
        <v>Paraiso do Tocantins</v>
      </c>
      <c r="C212" t="str">
        <f ca="1">IFERROR(__xludf.DUMMYFUNCTION("""COMPUTED_VALUE"""),"ASS. DE APOIO ESC. EST. AMANCIO DE MORAES")</f>
        <v>ASS. DE APOIO ESC. EST. AMANCIO DE MORAES</v>
      </c>
      <c r="D212" t="str">
        <f ca="1">IFERROR(__xludf.DUMMYFUNCTION("""COMPUTED_VALUE"""),"01068375000156")</f>
        <v>01068375000156</v>
      </c>
      <c r="E212" t="str">
        <f ca="1">IFERROR(__xludf.DUMMYFUNCTION("""COMPUTED_VALUE"""),"104")</f>
        <v>104</v>
      </c>
      <c r="F212" t="str">
        <f ca="1">IFERROR(__xludf.DUMMYFUNCTION("""COMPUTED_VALUE"""),"1141")</f>
        <v>1141</v>
      </c>
      <c r="G212" t="str">
        <f ca="1">IFERROR(__xludf.DUMMYFUNCTION("""COMPUTED_VALUE"""),"308140")</f>
        <v>308140</v>
      </c>
      <c r="H212" s="7">
        <f ca="1">IFERROR(__xludf.DUMMYFUNCTION("""COMPUTED_VALUE"""),176.799999999999)</f>
        <v>176.79999999999899</v>
      </c>
      <c r="I212" t="str">
        <v>AEE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IFERROR(__xludf.DUMMYFUNCTION("""COMPUTED_VALUE"""),"Pium")</f>
        <v>Pium</v>
      </c>
      <c r="C213" t="str">
        <f ca="1">IFERROR(__xludf.DUMMYFUNCTION("""COMPUTED_VALUE"""),"A.A. COLEGIO ESTADUAL BARTOLOMEU BUENO")</f>
        <v>A.A. COLEGIO ESTADUAL BARTOLOMEU BUENO</v>
      </c>
      <c r="D213" t="str">
        <f ca="1">IFERROR(__xludf.DUMMYFUNCTION("""COMPUTED_VALUE"""),"01071436000134")</f>
        <v>01071436000134</v>
      </c>
      <c r="E213" t="str">
        <f ca="1">IFERROR(__xludf.DUMMYFUNCTION("""COMPUTED_VALUE"""),"001")</f>
        <v>001</v>
      </c>
      <c r="F213" t="str">
        <f ca="1">IFERROR(__xludf.DUMMYFUNCTION("""COMPUTED_VALUE"""),"0804")</f>
        <v>0804</v>
      </c>
      <c r="G213" t="str">
        <f ca="1">IFERROR(__xludf.DUMMYFUNCTION("""COMPUTED_VALUE"""),"286206")</f>
        <v>286206</v>
      </c>
      <c r="H213" s="7">
        <f ca="1">IFERROR(__xludf.DUMMYFUNCTION("""COMPUTED_VALUE"""),163.2)</f>
        <v>163.19999999999999</v>
      </c>
      <c r="I213" t="str">
        <v>AEE</v>
      </c>
    </row>
    <row r="214" spans="1:9" ht="12.75">
      <c r="A214" t="str">
        <f ca="1">IFERROR(__xludf.DUMMYFUNCTION("""COMPUTED_VALUE"""),"Pedro Afonso")</f>
        <v>Pedro Afonso</v>
      </c>
      <c r="B214" t="str">
        <f ca="1">IFERROR(__xludf.DUMMYFUNCTION("""COMPUTED_VALUE"""),"Itacaja")</f>
        <v>Itacaja</v>
      </c>
      <c r="C214" t="str">
        <f ca="1">IFERROR(__xludf.DUMMYFUNCTION("""COMPUTED_VALUE"""),"ASSOC. APOIO ESC. EST. ALMEIDA SARDINHA")</f>
        <v>ASSOC. APOIO ESC. EST. ALMEIDA SARDINHA</v>
      </c>
      <c r="D214" t="str">
        <f ca="1">IFERROR(__xludf.DUMMYFUNCTION("""COMPUTED_VALUE"""),"01138335000133")</f>
        <v>01138335000133</v>
      </c>
      <c r="E214" t="str">
        <f ca="1">IFERROR(__xludf.DUMMYFUNCTION("""COMPUTED_VALUE"""),"001")</f>
        <v>001</v>
      </c>
      <c r="F214" t="str">
        <f ca="1">IFERROR(__xludf.DUMMYFUNCTION("""COMPUTED_VALUE"""),"2094")</f>
        <v>2094</v>
      </c>
      <c r="G214" t="str">
        <f ca="1">IFERROR(__xludf.DUMMYFUNCTION("""COMPUTED_VALUE"""),"466484")</f>
        <v>466484</v>
      </c>
      <c r="H214" s="7">
        <f ca="1">IFERROR(__xludf.DUMMYFUNCTION("""COMPUTED_VALUE"""),108.8)</f>
        <v>108.8</v>
      </c>
      <c r="I214" t="str">
        <v>AEE</v>
      </c>
    </row>
    <row r="215" spans="1:9" ht="12.75">
      <c r="A215" t="str">
        <f ca="1">IFERROR(__xludf.DUMMYFUNCTION("""COMPUTED_VALUE"""),"Pedro Afonso")</f>
        <v>Pedro Afonso</v>
      </c>
      <c r="B215" t="str">
        <f ca="1">IFERROR(__xludf.DUMMYFUNCTION("""COMPUTED_VALUE"""),"Pedro Afonso")</f>
        <v>Pedro Afonso</v>
      </c>
      <c r="C215" t="str">
        <f ca="1">IFERROR(__xludf.DUMMYFUNCTION("""COMPUTED_VALUE"""),"A.A. E. EST.IS.DA REG.DE ENS.DE GUARAI")</f>
        <v>A.A. E. EST.IS.DA REG.DE ENS.DE GUARAI</v>
      </c>
      <c r="D215" t="str">
        <f ca="1">IFERROR(__xludf.DUMMYFUNCTION("""COMPUTED_VALUE"""),"02508361000179")</f>
        <v>02508361000179</v>
      </c>
      <c r="E215" t="str">
        <f ca="1">IFERROR(__xludf.DUMMYFUNCTION("""COMPUTED_VALUE"""),"001")</f>
        <v>001</v>
      </c>
      <c r="F215" t="str">
        <f ca="1">IFERROR(__xludf.DUMMYFUNCTION("""COMPUTED_VALUE"""),"1595")</f>
        <v>1595</v>
      </c>
      <c r="G215" t="str">
        <f ca="1">IFERROR(__xludf.DUMMYFUNCTION("""COMPUTED_VALUE"""),"110663")</f>
        <v>110663</v>
      </c>
      <c r="H215" s="7">
        <f ca="1">IFERROR(__xludf.DUMMYFUNCTION("""COMPUTED_VALUE"""),40.8)</f>
        <v>40.799999999999997</v>
      </c>
      <c r="I215" t="str">
        <v>AEE</v>
      </c>
    </row>
    <row r="216" spans="1:9" ht="12.75">
      <c r="A216" t="str">
        <f ca="1">IFERROR(__xludf.DUMMYFUNCTION("""COMPUTED_VALUE"""),"Pedro Afonso")</f>
        <v>Pedro Afonso</v>
      </c>
      <c r="B216" t="str">
        <f ca="1">IFERROR(__xludf.DUMMYFUNCTION("""COMPUTED_VALUE"""),"Pedro Afonso")</f>
        <v>Pedro Afonso</v>
      </c>
      <c r="C216" t="str">
        <f ca="1">IFERROR(__xludf.DUMMYFUNCTION("""COMPUTED_VALUE"""),"A.A. ESCOLAR DO COLEGIO EST.CRISTO REI")</f>
        <v>A.A. ESCOLAR DO COLEGIO EST.CRISTO REI</v>
      </c>
      <c r="D216" t="str">
        <f ca="1">IFERROR(__xludf.DUMMYFUNCTION("""COMPUTED_VALUE"""),"02250658000187")</f>
        <v>02250658000187</v>
      </c>
      <c r="E216" t="str">
        <f ca="1">IFERROR(__xludf.DUMMYFUNCTION("""COMPUTED_VALUE"""),"001")</f>
        <v>001</v>
      </c>
      <c r="F216" t="str">
        <f ca="1">IFERROR(__xludf.DUMMYFUNCTION("""COMPUTED_VALUE"""),"1595")</f>
        <v>1595</v>
      </c>
      <c r="G216" t="str">
        <f ca="1">IFERROR(__xludf.DUMMYFUNCTION("""COMPUTED_VALUE"""),"66141")</f>
        <v>66141</v>
      </c>
      <c r="H216" s="7">
        <f ca="1">IFERROR(__xludf.DUMMYFUNCTION("""COMPUTED_VALUE"""),136)</f>
        <v>136</v>
      </c>
      <c r="I216" t="str">
        <v>AEE</v>
      </c>
    </row>
    <row r="217" spans="1:9" ht="12.75">
      <c r="A217" t="str">
        <f ca="1">IFERROR(__xludf.DUMMYFUNCTION("""COMPUTED_VALUE"""),"Pedro Afonso")</f>
        <v>Pedro Afonso</v>
      </c>
      <c r="B217" t="str">
        <f ca="1">IFERROR(__xludf.DUMMYFUNCTION("""COMPUTED_VALUE"""),"Pedro Afonso")</f>
        <v>Pedro Afonso</v>
      </c>
      <c r="C217" t="str">
        <f ca="1">IFERROR(__xludf.DUMMYFUNCTION("""COMPUTED_VALUE"""),"ASSOCIAÇÃO DE PAIS E AMIGOS DOS EXCEPCIONAIS DE PEDRO AFONSO")</f>
        <v>ASSOCIAÇÃO DE PAIS E AMIGOS DOS EXCEPCIONAIS DE PEDRO AFONSO</v>
      </c>
      <c r="D217" t="str">
        <f ca="1">IFERROR(__xludf.DUMMYFUNCTION("""COMPUTED_VALUE"""),"04406588000139")</f>
        <v>04406588000139</v>
      </c>
      <c r="E217" t="str">
        <f ca="1">IFERROR(__xludf.DUMMYFUNCTION("""COMPUTED_VALUE"""),"001")</f>
        <v>001</v>
      </c>
      <c r="F217" t="str">
        <f ca="1">IFERROR(__xludf.DUMMYFUNCTION("""COMPUTED_VALUE"""),"1595")</f>
        <v>1595</v>
      </c>
      <c r="G217" t="str">
        <f ca="1">IFERROR(__xludf.DUMMYFUNCTION("""COMPUTED_VALUE"""),"119105")</f>
        <v>119105</v>
      </c>
      <c r="H217" s="7">
        <f ca="1">IFERROR(__xludf.DUMMYFUNCTION("""COMPUTED_VALUE"""),312.8)</f>
        <v>312.8</v>
      </c>
      <c r="I217" t="str">
        <v>AEE</v>
      </c>
    </row>
    <row r="218" spans="1:9" ht="12.75">
      <c r="A218" t="str">
        <f ca="1">IFERROR(__xludf.DUMMYFUNCTION("""COMPUTED_VALUE"""),"Pedro Afonso")</f>
        <v>Pedro Afonso</v>
      </c>
      <c r="B218" t="str">
        <f ca="1">IFERROR(__xludf.DUMMYFUNCTION("""COMPUTED_VALUE"""),"Pedro Afonso")</f>
        <v>Pedro Afonso</v>
      </c>
      <c r="C218" t="str">
        <f ca="1">IFERROR(__xludf.DUMMYFUNCTION("""COMPUTED_VALUE"""),"A. DE PAIS E MEST. DA ESC. EST. ANA AMORIM")</f>
        <v>A. DE PAIS E MEST. DA ESC. EST. ANA AMORIM</v>
      </c>
      <c r="D218" t="str">
        <f ca="1">IFERROR(__xludf.DUMMYFUNCTION("""COMPUTED_VALUE"""),"01990364000129")</f>
        <v>01990364000129</v>
      </c>
      <c r="E218" t="str">
        <f ca="1">IFERROR(__xludf.DUMMYFUNCTION("""COMPUTED_VALUE"""),"001")</f>
        <v>001</v>
      </c>
      <c r="F218" t="str">
        <f ca="1">IFERROR(__xludf.DUMMYFUNCTION("""COMPUTED_VALUE"""),"1595")</f>
        <v>1595</v>
      </c>
      <c r="G218" t="str">
        <f ca="1">IFERROR(__xludf.DUMMYFUNCTION("""COMPUTED_VALUE"""),"59722")</f>
        <v>59722</v>
      </c>
      <c r="H218" s="7">
        <f ca="1">IFERROR(__xludf.DUMMYFUNCTION("""COMPUTED_VALUE"""),190.4)</f>
        <v>190.4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IFERROR(__xludf.DUMMYFUNCTION("""COMPUTED_VALUE"""),"Brejinho de Nazare")</f>
        <v>Brejinho de Nazare</v>
      </c>
      <c r="C219" t="str">
        <f ca="1">IFERROR(__xludf.DUMMYFUNCTION("""COMPUTED_VALUE"""),"AS.DE APOIO A ESC. EST. JONAS PEREIRA LIMA")</f>
        <v>AS.DE APOIO A ESC. EST. JONAS PEREIRA LIMA</v>
      </c>
      <c r="D219" t="str">
        <f ca="1">IFERROR(__xludf.DUMMYFUNCTION("""COMPUTED_VALUE"""),"01148459000108")</f>
        <v>01148459000108</v>
      </c>
      <c r="E219" t="str">
        <f ca="1">IFERROR(__xludf.DUMMYFUNCTION("""COMPUTED_VALUE"""),"001")</f>
        <v>001</v>
      </c>
      <c r="F219" t="str">
        <f ca="1">IFERROR(__xludf.DUMMYFUNCTION("""COMPUTED_VALUE"""),"3976")</f>
        <v>3976</v>
      </c>
      <c r="G219" t="str">
        <f ca="1">IFERROR(__xludf.DUMMYFUNCTION("""COMPUTED_VALUE"""),"80489")</f>
        <v>80489</v>
      </c>
      <c r="H219" s="7">
        <f ca="1">IFERROR(__xludf.DUMMYFUNCTION("""COMPUTED_VALUE"""),217.6)</f>
        <v>217.6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IFERROR(__xludf.DUMMYFUNCTION("""COMPUTED_VALUE"""),"Fatima")</f>
        <v>Fatima</v>
      </c>
      <c r="C220" t="str">
        <f ca="1">IFERROR(__xludf.DUMMYFUNCTION("""COMPUTED_VALUE"""),"A.A. ESCOLA ESTADUAL CONCEICAO BRITO")</f>
        <v>A.A. ESCOLA ESTADUAL CONCEICAO BRITO</v>
      </c>
      <c r="D220" t="str">
        <f ca="1">IFERROR(__xludf.DUMMYFUNCTION("""COMPUTED_VALUE"""),"01268285000109")</f>
        <v>01268285000109</v>
      </c>
      <c r="E220" t="str">
        <f ca="1">IFERROR(__xludf.DUMMYFUNCTION("""COMPUTED_VALUE"""),"001")</f>
        <v>001</v>
      </c>
      <c r="F220" t="str">
        <f ca="1">IFERROR(__xludf.DUMMYFUNCTION("""COMPUTED_VALUE"""),"4107")</f>
        <v>4107</v>
      </c>
      <c r="G220" t="str">
        <f ca="1">IFERROR(__xludf.DUMMYFUNCTION("""COMPUTED_VALUE"""),"50911")</f>
        <v>50911</v>
      </c>
      <c r="H220" s="7">
        <f ca="1">IFERROR(__xludf.DUMMYFUNCTION("""COMPUTED_VALUE"""),122.399999999999)</f>
        <v>122.399999999999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IFERROR(__xludf.DUMMYFUNCTION("""COMPUTED_VALUE"""),"Fatima")</f>
        <v>Fatima</v>
      </c>
      <c r="C221" t="str">
        <f ca="1">IFERROR(__xludf.DUMMYFUNCTION("""COMPUTED_VALUE"""),"ASSOC. DE APOIO A ESCOLA ESPECIAL RENASCER")</f>
        <v>ASSOC. DE APOIO A ESCOLA ESPECIAL RENASCER</v>
      </c>
      <c r="D221" t="str">
        <f ca="1">IFERROR(__xludf.DUMMYFUNCTION("""COMPUTED_VALUE"""),"11726757000183")</f>
        <v>11726757000183</v>
      </c>
      <c r="E221" t="str">
        <f ca="1">IFERROR(__xludf.DUMMYFUNCTION("""COMPUTED_VALUE"""),"001")</f>
        <v>001</v>
      </c>
      <c r="F221" t="str">
        <f ca="1">IFERROR(__xludf.DUMMYFUNCTION("""COMPUTED_VALUE"""),"4107")</f>
        <v>4107</v>
      </c>
      <c r="G221" t="str">
        <f ca="1">IFERROR(__xludf.DUMMYFUNCTION("""COMPUTED_VALUE"""),"7991X")</f>
        <v>7991X</v>
      </c>
      <c r="H221" s="7">
        <f ca="1">IFERROR(__xludf.DUMMYFUNCTION("""COMPUTED_VALUE"""),244.799999999999)</f>
        <v>244.79999999999899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IFERROR(__xludf.DUMMYFUNCTION("""COMPUTED_VALUE"""),"Ipueiras")</f>
        <v>Ipueiras</v>
      </c>
      <c r="C222" t="str">
        <f ca="1">IFERROR(__xludf.DUMMYFUNCTION("""COMPUTED_VALUE"""),"ASSOC. DE APOIO DA ESC. EST. FELIX CAMOA")</f>
        <v>ASSOC. DE APOIO DA ESC. EST. FELIX CAMOA</v>
      </c>
      <c r="D222" t="str">
        <f ca="1">IFERROR(__xludf.DUMMYFUNCTION("""COMPUTED_VALUE"""),"01469443000199")</f>
        <v>01469443000199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IFERROR(__xludf.DUMMYFUNCTION("""COMPUTED_VALUE"""),"315052")</f>
        <v>315052</v>
      </c>
      <c r="H222" s="7">
        <f ca="1">IFERROR(__xludf.DUMMYFUNCTION("""COMPUTED_VALUE"""),54.4)</f>
        <v>54.4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IFERROR(__xludf.DUMMYFUNCTION("""COMPUTED_VALUE"""),"Monte do Carmo")</f>
        <v>Monte do Carmo</v>
      </c>
      <c r="C223" t="str">
        <f ca="1">IFERROR(__xludf.DUMMYFUNCTION("""COMPUTED_VALUE"""),"A.A.  DO COLEGIO EST. PADRE GAMA")</f>
        <v>A.A.  DO COLEGIO EST. PADRE GAMA</v>
      </c>
      <c r="D223" t="str">
        <f ca="1">IFERROR(__xludf.DUMMYFUNCTION("""COMPUTED_VALUE"""),"01071443000136")</f>
        <v>01071443000136</v>
      </c>
      <c r="E223" t="str">
        <f ca="1">IFERROR(__xludf.DUMMYFUNCTION("""COMPUTED_VALUE"""),"001")</f>
        <v>001</v>
      </c>
      <c r="F223" t="str">
        <f ca="1">IFERROR(__xludf.DUMMYFUNCTION("""COMPUTED_VALUE"""),"1117")</f>
        <v>1117</v>
      </c>
      <c r="G223" t="str">
        <f ca="1">IFERROR(__xludf.DUMMYFUNCTION("""COMPUTED_VALUE"""),"0312878")</f>
        <v>0312878</v>
      </c>
      <c r="H223" s="7">
        <f ca="1">IFERROR(__xludf.DUMMYFUNCTION("""COMPUTED_VALUE"""),149.6)</f>
        <v>149.6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IFERROR(__xludf.DUMMYFUNCTION("""COMPUTED_VALUE"""),"Monte do Carmo")</f>
        <v>Monte do Carmo</v>
      </c>
      <c r="C224" t="str">
        <f ca="1">IFERROR(__xludf.DUMMYFUNCTION("""COMPUTED_VALUE"""),"A.APOIO DA ESCOLA ESTADUAL MESTRA BELA")</f>
        <v>A.APOIO DA ESCOLA ESTADUAL MESTRA BELA</v>
      </c>
      <c r="D224" t="str">
        <f ca="1">IFERROR(__xludf.DUMMYFUNCTION("""COMPUTED_VALUE"""),"01071442000191")</f>
        <v>01071442000191</v>
      </c>
      <c r="E224" t="str">
        <f ca="1">IFERROR(__xludf.DUMMYFUNCTION("""COMPUTED_VALUE"""),"001")</f>
        <v>001</v>
      </c>
      <c r="F224" t="str">
        <f ca="1">IFERROR(__xludf.DUMMYFUNCTION("""COMPUTED_VALUE"""),"1117")</f>
        <v>1117</v>
      </c>
      <c r="G224" t="str">
        <f ca="1">IFERROR(__xludf.DUMMYFUNCTION("""COMPUTED_VALUE"""),"31286X")</f>
        <v>31286X</v>
      </c>
      <c r="H224" s="7">
        <f ca="1">IFERROR(__xludf.DUMMYFUNCTION("""COMPUTED_VALUE"""),136)</f>
        <v>136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IFERROR(__xludf.DUMMYFUNCTION("""COMPUTED_VALUE"""),"Natividade")</f>
        <v>Natividade</v>
      </c>
      <c r="C225" t="str">
        <f ca="1">IFERROR(__xludf.DUMMYFUNCTION("""COMPUTED_VALUE"""),"ASSOC. DE APOIO A ESC. ESPECIAL TIA CORACI DE SENA FERNANDES")</f>
        <v>ASSOC. DE APOIO A ESC. ESPECIAL TIA CORACI DE SENA FERNANDES</v>
      </c>
      <c r="D225" t="str">
        <f ca="1">IFERROR(__xludf.DUMMYFUNCTION("""COMPUTED_VALUE"""),"17163914000176")</f>
        <v>17163914000176</v>
      </c>
      <c r="E225" t="str">
        <f ca="1">IFERROR(__xludf.DUMMYFUNCTION("""COMPUTED_VALUE"""),"001")</f>
        <v>001</v>
      </c>
      <c r="F225" t="str">
        <f ca="1">IFERROR(__xludf.DUMMYFUNCTION("""COMPUTED_VALUE"""),"2334")</f>
        <v>2334</v>
      </c>
      <c r="G225" t="str">
        <f ca="1">IFERROR(__xludf.DUMMYFUNCTION("""COMPUTED_VALUE"""),"19860")</f>
        <v>19860</v>
      </c>
      <c r="H225" s="7">
        <f ca="1">IFERROR(__xludf.DUMMYFUNCTION("""COMPUTED_VALUE"""),204)</f>
        <v>204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IFERROR(__xludf.DUMMYFUNCTION("""COMPUTED_VALUE"""),"Natividade")</f>
        <v>Natividade</v>
      </c>
      <c r="C226" t="str">
        <f ca="1">IFERROR(__xludf.DUMMYFUNCTION("""COMPUTED_VALUE"""),"ASS. APOIO ESC. EST. JOAQUIM LINO SUARTE")</f>
        <v>ASS. APOIO ESC. EST. JOAQUIM LINO SUARTE</v>
      </c>
      <c r="D226" t="str">
        <f ca="1">IFERROR(__xludf.DUMMYFUNCTION("""COMPUTED_VALUE"""),"01133708000183")</f>
        <v>01133708000183</v>
      </c>
      <c r="E226" t="str">
        <f ca="1">IFERROR(__xludf.DUMMYFUNCTION("""COMPUTED_VALUE"""),"003")</f>
        <v>003</v>
      </c>
      <c r="F226" t="str">
        <f ca="1">IFERROR(__xludf.DUMMYFUNCTION("""COMPUTED_VALUE"""),"0037")</f>
        <v>0037</v>
      </c>
      <c r="G226" t="str">
        <f ca="1">IFERROR(__xludf.DUMMYFUNCTION("""COMPUTED_VALUE"""),"0702670")</f>
        <v>0702670</v>
      </c>
      <c r="H226" s="7">
        <f ca="1">IFERROR(__xludf.DUMMYFUNCTION("""COMPUTED_VALUE"""),190.4)</f>
        <v>190.4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IFERROR(__xludf.DUMMYFUNCTION("""COMPUTED_VALUE"""),"Natividade")</f>
        <v>Natividade</v>
      </c>
      <c r="C227" t="str">
        <f ca="1">IFERROR(__xludf.DUMMYFUNCTION("""COMPUTED_VALUE"""),"A.A. E. EST.NOSSA SENHORA DE FATIMA")</f>
        <v>A.A. E. EST.NOSSA SENHORA DE FATIMA</v>
      </c>
      <c r="D227" t="str">
        <f ca="1">IFERROR(__xludf.DUMMYFUNCTION("""COMPUTED_VALUE"""),"01064860000151")</f>
        <v>01064860000151</v>
      </c>
      <c r="E227" t="str">
        <f ca="1">IFERROR(__xludf.DUMMYFUNCTION("""COMPUTED_VALUE"""),"003")</f>
        <v>003</v>
      </c>
      <c r="F227" t="str">
        <f ca="1">IFERROR(__xludf.DUMMYFUNCTION("""COMPUTED_VALUE"""),"0037")</f>
        <v>0037</v>
      </c>
      <c r="G227" t="str">
        <f ca="1">IFERROR(__xludf.DUMMYFUNCTION("""COMPUTED_VALUE"""),"0702646")</f>
        <v>0702646</v>
      </c>
      <c r="H227" s="7">
        <f ca="1">IFERROR(__xludf.DUMMYFUNCTION("""COMPUTED_VALUE"""),149.6)</f>
        <v>149.6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IFERROR(__xludf.DUMMYFUNCTION("""COMPUTED_VALUE"""),"Pindorama do Tocantins")</f>
        <v>Pindorama do Tocantins</v>
      </c>
      <c r="C228" t="str">
        <f ca="1">IFERROR(__xludf.DUMMYFUNCTION("""COMPUTED_VALUE"""),"A.A. E. E. DEP.JOSE A. DE ASSIS")</f>
        <v>A.A. E. E. DEP.JOSE A. DE ASSIS</v>
      </c>
      <c r="D228" t="str">
        <f ca="1">IFERROR(__xludf.DUMMYFUNCTION("""COMPUTED_VALUE"""),"01066411000142")</f>
        <v>01066411000142</v>
      </c>
      <c r="E228" t="str">
        <f ca="1">IFERROR(__xludf.DUMMYFUNCTION("""COMPUTED_VALUE"""),"001")</f>
        <v>001</v>
      </c>
      <c r="F228" t="str">
        <f ca="1">IFERROR(__xludf.DUMMYFUNCTION("""COMPUTED_VALUE"""),"1117")</f>
        <v>1117</v>
      </c>
      <c r="G228" t="str">
        <f ca="1">IFERROR(__xludf.DUMMYFUNCTION("""COMPUTED_VALUE"""),"312770")</f>
        <v>312770</v>
      </c>
      <c r="H228" s="7">
        <f ca="1">IFERROR(__xludf.DUMMYFUNCTION("""COMPUTED_VALUE"""),122.399999999999)</f>
        <v>122.399999999999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IFERROR(__xludf.DUMMYFUNCTION("""COMPUTED_VALUE"""),"Ponte Alta do Tocantins")</f>
        <v>Ponte Alta do Tocantins</v>
      </c>
      <c r="C229" t="str">
        <f ca="1">IFERROR(__xludf.DUMMYFUNCTION("""COMPUTED_VALUE"""),"ASS. A. AO COL. EST. ODOLFO SOARES")</f>
        <v>ASS. A. AO COL. EST. ODOLFO SOARES</v>
      </c>
      <c r="D229" t="str">
        <f ca="1">IFERROR(__xludf.DUMMYFUNCTION("""COMPUTED_VALUE"""),"01342866000143")</f>
        <v>01342866000143</v>
      </c>
      <c r="E229" t="str">
        <f ca="1">IFERROR(__xludf.DUMMYFUNCTION("""COMPUTED_VALUE"""),"001")</f>
        <v>001</v>
      </c>
      <c r="F229" t="str">
        <f ca="1">IFERROR(__xludf.DUMMYFUNCTION("""COMPUTED_VALUE"""),"1117")</f>
        <v>1117</v>
      </c>
      <c r="G229" t="str">
        <f ca="1">IFERROR(__xludf.DUMMYFUNCTION("""COMPUTED_VALUE"""),"333921")</f>
        <v>333921</v>
      </c>
      <c r="H229" s="7">
        <f ca="1">IFERROR(__xludf.DUMMYFUNCTION("""COMPUTED_VALUE"""),380.8)</f>
        <v>380.8</v>
      </c>
      <c r="I229" t="str">
        <v>AEE</v>
      </c>
    </row>
    <row r="230" spans="1:9" ht="12.75">
      <c r="A230" t="str">
        <f ca="1">IFERROR(__xludf.DUMMYFUNCTION("""COMPUTED_VALUE"""),"Porto Nacional")</f>
        <v>Porto Nacional</v>
      </c>
      <c r="B230" t="str">
        <f ca="1">IFERROR(__xludf.DUMMYFUNCTION("""COMPUTED_VALUE"""),"Ponte Alta do Tocantins")</f>
        <v>Ponte Alta do Tocantins</v>
      </c>
      <c r="C230" t="str">
        <f ca="1">IFERROR(__xludf.DUMMYFUNCTION("""COMPUTED_VALUE"""),"ASS. DE APOIO A ESCOLA EST. ESPECIAL AMILSON FRAZÃO DOS REIS")</f>
        <v>ASS. DE APOIO A ESCOLA EST. ESPECIAL AMILSON FRAZÃO DOS REIS</v>
      </c>
      <c r="D230" t="str">
        <f ca="1">IFERROR(__xludf.DUMMYFUNCTION("""COMPUTED_VALUE"""),"20309905000155")</f>
        <v>20309905000155</v>
      </c>
      <c r="E230" t="str">
        <f ca="1">IFERROR(__xludf.DUMMYFUNCTION("""COMPUTED_VALUE"""),"001")</f>
        <v>001</v>
      </c>
      <c r="F230" t="str">
        <f ca="1">IFERROR(__xludf.DUMMYFUNCTION("""COMPUTED_VALUE"""),"1117")</f>
        <v>1117</v>
      </c>
      <c r="G230" t="str">
        <f ca="1">IFERROR(__xludf.DUMMYFUNCTION("""COMPUTED_VALUE"""),"567426")</f>
        <v>567426</v>
      </c>
      <c r="H230" s="7">
        <f ca="1">IFERROR(__xludf.DUMMYFUNCTION("""COMPUTED_VALUE"""),163.2)</f>
        <v>163.19999999999999</v>
      </c>
      <c r="I230" t="str">
        <v>AEE</v>
      </c>
    </row>
    <row r="231" spans="1:9" ht="12.75">
      <c r="A231" t="str">
        <f ca="1">IFERROR(__xludf.DUMMYFUNCTION("""COMPUTED_VALUE"""),"Porto Nacional")</f>
        <v>Porto Nacional</v>
      </c>
      <c r="B231" t="str">
        <f ca="1">IFERROR(__xludf.DUMMYFUNCTION("""COMPUTED_VALUE"""),"Porto Nacional")</f>
        <v>Porto Nacional</v>
      </c>
      <c r="C231" t="str">
        <f ca="1">IFERROR(__xludf.DUMMYFUNCTION("""COMPUTED_VALUE"""),"ASSOC. DE APOIO AO CEM FELIX CAMOA I")</f>
        <v>ASSOC. DE APOIO AO CEM FELIX CAMOA I</v>
      </c>
      <c r="D231" t="str">
        <f ca="1">IFERROR(__xludf.DUMMYFUNCTION("""COMPUTED_VALUE"""),"01112476000187")</f>
        <v>01112476000187</v>
      </c>
      <c r="E231" t="str">
        <f ca="1">IFERROR(__xludf.DUMMYFUNCTION("""COMPUTED_VALUE"""),"104")</f>
        <v>104</v>
      </c>
      <c r="F231" t="str">
        <f ca="1">IFERROR(__xludf.DUMMYFUNCTION("""COMPUTED_VALUE"""),"1829")</f>
        <v>1829</v>
      </c>
      <c r="G231" t="str">
        <f ca="1">IFERROR(__xludf.DUMMYFUNCTION("""COMPUTED_VALUE"""),"3050011")</f>
        <v>3050011</v>
      </c>
      <c r="H231" s="7">
        <f ca="1">IFERROR(__xludf.DUMMYFUNCTION("""COMPUTED_VALUE"""),163.2)</f>
        <v>163.19999999999999</v>
      </c>
      <c r="I231" t="str">
        <v>AEE</v>
      </c>
    </row>
    <row r="232" spans="1:9" ht="12.75">
      <c r="A232" t="str">
        <f ca="1">IFERROR(__xludf.DUMMYFUNCTION("""COMPUTED_VALUE"""),"Porto Nacional")</f>
        <v>Porto Nacional</v>
      </c>
      <c r="B232" t="str">
        <f ca="1">IFERROR(__xludf.DUMMYFUNCTION("""COMPUTED_VALUE"""),"Porto Nacional")</f>
        <v>Porto Nacional</v>
      </c>
      <c r="C232" t="str">
        <f ca="1">IFERROR(__xludf.DUMMYFUNCTION("""COMPUTED_VALUE"""),"ASSOC. DE A.DO CEM PROFº. FLORÊNCIO AIRES DA SILVA")</f>
        <v>ASSOC. DE A.DO CEM PROFº. FLORÊNCIO AIRES DA SILVA</v>
      </c>
      <c r="D232" t="str">
        <f ca="1">IFERROR(__xludf.DUMMYFUNCTION("""COMPUTED_VALUE"""),"01138326000142")</f>
        <v>01138326000142</v>
      </c>
      <c r="E232" t="str">
        <f ca="1">IFERROR(__xludf.DUMMYFUNCTION("""COMPUTED_VALUE"""),"001")</f>
        <v>001</v>
      </c>
      <c r="F232" t="str">
        <f ca="1">IFERROR(__xludf.DUMMYFUNCTION("""COMPUTED_VALUE"""),"1117")</f>
        <v>1117</v>
      </c>
      <c r="G232" t="str">
        <f ca="1">IFERROR(__xludf.DUMMYFUNCTION("""COMPUTED_VALUE"""),"5500X")</f>
        <v>5500X</v>
      </c>
      <c r="H232" s="7">
        <f ca="1">IFERROR(__xludf.DUMMYFUNCTION("""COMPUTED_VALUE"""),190.4)</f>
        <v>190.4</v>
      </c>
      <c r="I232" t="str">
        <v>AEE</v>
      </c>
    </row>
    <row r="233" spans="1:9" ht="12.75">
      <c r="A233" t="str">
        <f ca="1">IFERROR(__xludf.DUMMYFUNCTION("""COMPUTED_VALUE"""),"Porto Nacional")</f>
        <v>Porto Nacional</v>
      </c>
      <c r="B233" t="str">
        <f ca="1">IFERROR(__xludf.DUMMYFUNCTION("""COMPUTED_VALUE"""),"Porto Nacional")</f>
        <v>Porto Nacional</v>
      </c>
      <c r="C233" t="str">
        <f ca="1">IFERROR(__xludf.DUMMYFUNCTION("""COMPUTED_VALUE"""),"A. E. COM. ESC. CONV. ANGELICA R. ARANHA")</f>
        <v>A. E. COM. ESC. CONV. ANGELICA R. ARANHA</v>
      </c>
      <c r="D233" t="str">
        <f ca="1">IFERROR(__xludf.DUMMYFUNCTION("""COMPUTED_VALUE"""),"01075455000139")</f>
        <v>01075455000139</v>
      </c>
      <c r="E233" t="str">
        <f ca="1">IFERROR(__xludf.DUMMYFUNCTION("""COMPUTED_VALUE"""),"104")</f>
        <v>104</v>
      </c>
      <c r="F233" t="str">
        <f ca="1">IFERROR(__xludf.DUMMYFUNCTION("""COMPUTED_VALUE"""),"1829")</f>
        <v>1829</v>
      </c>
      <c r="G233" t="str">
        <f ca="1">IFERROR(__xludf.DUMMYFUNCTION("""COMPUTED_VALUE"""),"307313")</f>
        <v>307313</v>
      </c>
      <c r="H233" s="7">
        <f ca="1">IFERROR(__xludf.DUMMYFUNCTION("""COMPUTED_VALUE"""),149.6)</f>
        <v>149.6</v>
      </c>
      <c r="I233" t="str">
        <v>AEE</v>
      </c>
    </row>
    <row r="234" spans="1:9" ht="12.75">
      <c r="A234" t="str">
        <f ca="1">IFERROR(__xludf.DUMMYFUNCTION("""COMPUTED_VALUE"""),"Porto Nacional")</f>
        <v>Porto Nacional</v>
      </c>
      <c r="B234" t="str">
        <f ca="1">IFERROR(__xludf.DUMMYFUNCTION("""COMPUTED_VALUE"""),"Porto Nacional")</f>
        <v>Porto Nacional</v>
      </c>
      <c r="C234" t="str">
        <f ca="1">IFERROR(__xludf.DUMMYFUNCTION("""COMPUTED_VALUE"""),"A.A. ESC. EST. DR.PEDRO LUDOVICO TEIXEIRA")</f>
        <v>A.A. ESC. EST. DR.PEDRO LUDOVICO TEIXEIRA</v>
      </c>
      <c r="D234" t="str">
        <f ca="1">IFERROR(__xludf.DUMMYFUNCTION("""COMPUTED_VALUE"""),"01135997000150")</f>
        <v>01135997000150</v>
      </c>
      <c r="E234" t="str">
        <f ca="1">IFERROR(__xludf.DUMMYFUNCTION("""COMPUTED_VALUE"""),"104")</f>
        <v>104</v>
      </c>
      <c r="F234" t="str">
        <f ca="1">IFERROR(__xludf.DUMMYFUNCTION("""COMPUTED_VALUE"""),"1829")</f>
        <v>1829</v>
      </c>
      <c r="G234" t="str">
        <f ca="1">IFERROR(__xludf.DUMMYFUNCTION("""COMPUTED_VALUE"""),"305949")</f>
        <v>305949</v>
      </c>
      <c r="H234" s="7">
        <f ca="1">IFERROR(__xludf.DUMMYFUNCTION("""COMPUTED_VALUE"""),571.199999999999)</f>
        <v>571.19999999999902</v>
      </c>
      <c r="I234" t="str">
        <v>AEE</v>
      </c>
    </row>
    <row r="235" spans="1:9" ht="12.75">
      <c r="A235" t="str">
        <f ca="1">IFERROR(__xludf.DUMMYFUNCTION("""COMPUTED_VALUE"""),"Porto Nacional")</f>
        <v>Porto Nacional</v>
      </c>
      <c r="B235" t="str">
        <f ca="1">IFERROR(__xludf.DUMMYFUNCTION("""COMPUTED_VALUE"""),"Porto Nacional")</f>
        <v>Porto Nacional</v>
      </c>
      <c r="C235" t="str">
        <f ca="1">IFERROR(__xludf.DUMMYFUNCTION("""COMPUTED_VALUE"""),"A. ESCOL.COM. ESC. EST. MAL.ARTUR C.E SILVA")</f>
        <v>A. ESCOL.COM. ESC. EST. MAL.ARTUR C.E SILVA</v>
      </c>
      <c r="D235" t="str">
        <f ca="1">IFERROR(__xludf.DUMMYFUNCTION("""COMPUTED_VALUE"""),"01112763000197")</f>
        <v>01112763000197</v>
      </c>
      <c r="E235" t="str">
        <f ca="1">IFERROR(__xludf.DUMMYFUNCTION("""COMPUTED_VALUE"""),"104")</f>
        <v>104</v>
      </c>
      <c r="F235" t="str">
        <f ca="1">IFERROR(__xludf.DUMMYFUNCTION("""COMPUTED_VALUE"""),"1829")</f>
        <v>1829</v>
      </c>
      <c r="G235" t="str">
        <f ca="1">IFERROR(__xludf.DUMMYFUNCTION("""COMPUTED_VALUE"""),"307364")</f>
        <v>307364</v>
      </c>
      <c r="H235" s="7">
        <f ca="1">IFERROR(__xludf.DUMMYFUNCTION("""COMPUTED_VALUE"""),231.2)</f>
        <v>231.2</v>
      </c>
      <c r="I235" t="str">
        <v>AEE</v>
      </c>
    </row>
    <row r="236" spans="1:9" ht="12.75">
      <c r="A236" t="str">
        <f ca="1">IFERROR(__xludf.DUMMYFUNCTION("""COMPUTED_VALUE"""),"Porto Nacional")</f>
        <v>Porto Nacional</v>
      </c>
      <c r="B236" t="str">
        <f ca="1">IFERROR(__xludf.DUMMYFUNCTION("""COMPUTED_VALUE"""),"Porto Nacional")</f>
        <v>Porto Nacional</v>
      </c>
      <c r="C236" t="str">
        <f ca="1">IFERROR(__xludf.DUMMYFUNCTION("""COMPUTED_VALUE"""),"ASSOC.P.A.DOS EXCEP. DE PORTO NACIONAL")</f>
        <v>ASSOC.P.A.DOS EXCEP. DE PORTO NACIONAL</v>
      </c>
      <c r="D236" t="str">
        <f ca="1">IFERROR(__xludf.DUMMYFUNCTION("""COMPUTED_VALUE"""),"26752113000137")</f>
        <v>26752113000137</v>
      </c>
      <c r="E236" t="str">
        <f ca="1">IFERROR(__xludf.DUMMYFUNCTION("""COMPUTED_VALUE"""),"001")</f>
        <v>001</v>
      </c>
      <c r="F236" t="str">
        <f ca="1">IFERROR(__xludf.DUMMYFUNCTION("""COMPUTED_VALUE"""),"1117")</f>
        <v>1117</v>
      </c>
      <c r="G236" t="str">
        <f ca="1">IFERROR(__xludf.DUMMYFUNCTION("""COMPUTED_VALUE"""),"86657")</f>
        <v>86657</v>
      </c>
      <c r="H236" s="7">
        <f ca="1">IFERROR(__xludf.DUMMYFUNCTION("""COMPUTED_VALUE"""),231.2)</f>
        <v>231.2</v>
      </c>
      <c r="I236" t="str">
        <v>AEE</v>
      </c>
    </row>
    <row r="237" spans="1:9" ht="12.75">
      <c r="A237" t="str">
        <f ca="1">IFERROR(__xludf.DUMMYFUNCTION("""COMPUTED_VALUE"""),"Porto Nacional")</f>
        <v>Porto Nacional</v>
      </c>
      <c r="B237" t="str">
        <f ca="1">IFERROR(__xludf.DUMMYFUNCTION("""COMPUTED_VALUE"""),"Porto Nacional")</f>
        <v>Porto Nacional</v>
      </c>
      <c r="C237" t="str">
        <f ca="1">IFERROR(__xludf.DUMMYFUNCTION("""COMPUTED_VALUE"""),"A.A.  ESCOLA ESTADUAL ALFREDO NASSER")</f>
        <v>A.A.  ESCOLA ESTADUAL ALFREDO NASSER</v>
      </c>
      <c r="D237" t="str">
        <f ca="1">IFERROR(__xludf.DUMMYFUNCTION("""COMPUTED_VALUE"""),"01251862000150")</f>
        <v>01251862000150</v>
      </c>
      <c r="E237" t="str">
        <f ca="1">IFERROR(__xludf.DUMMYFUNCTION("""COMPUTED_VALUE"""),"104")</f>
        <v>104</v>
      </c>
      <c r="F237" t="str">
        <f ca="1">IFERROR(__xludf.DUMMYFUNCTION("""COMPUTED_VALUE"""),"1829")</f>
        <v>1829</v>
      </c>
      <c r="G237" t="str">
        <f ca="1">IFERROR(__xludf.DUMMYFUNCTION("""COMPUTED_VALUE"""),"307410")</f>
        <v>307410</v>
      </c>
      <c r="H237" s="7">
        <f ca="1">IFERROR(__xludf.DUMMYFUNCTION("""COMPUTED_VALUE"""),108.8)</f>
        <v>108.8</v>
      </c>
      <c r="I237" t="str">
        <v>AEE</v>
      </c>
    </row>
    <row r="238" spans="1:9" ht="12.75">
      <c r="A238" t="str">
        <f ca="1">IFERROR(__xludf.DUMMYFUNCTION("""COMPUTED_VALUE"""),"Porto Nacional")</f>
        <v>Porto Nacional</v>
      </c>
      <c r="B238" t="str">
        <f ca="1">IFERROR(__xludf.DUMMYFUNCTION("""COMPUTED_VALUE"""),"Porto Nacional")</f>
        <v>Porto Nacional</v>
      </c>
      <c r="C238" t="str">
        <f ca="1">IFERROR(__xludf.DUMMYFUNCTION("""COMPUTED_VALUE"""),"A. ESC. COM./ESC. EST. D.DOMINGOS CARREROT")</f>
        <v>A. ESC. COM./ESC. EST. D.DOMINGOS CARREROT</v>
      </c>
      <c r="D238" t="str">
        <f ca="1">IFERROR(__xludf.DUMMYFUNCTION("""COMPUTED_VALUE"""),"00900197000115")</f>
        <v>00900197000115</v>
      </c>
      <c r="E238" t="str">
        <f ca="1">IFERROR(__xludf.DUMMYFUNCTION("""COMPUTED_VALUE"""),"104")</f>
        <v>104</v>
      </c>
      <c r="F238" t="str">
        <f ca="1">IFERROR(__xludf.DUMMYFUNCTION("""COMPUTED_VALUE"""),"1829")</f>
        <v>1829</v>
      </c>
      <c r="G238" t="str">
        <f ca="1">IFERROR(__xludf.DUMMYFUNCTION("""COMPUTED_VALUE"""),"305914")</f>
        <v>305914</v>
      </c>
      <c r="H238" s="7">
        <f ca="1">IFERROR(__xludf.DUMMYFUNCTION("""COMPUTED_VALUE"""),217.6)</f>
        <v>217.6</v>
      </c>
      <c r="I238" t="str">
        <v>AEE</v>
      </c>
    </row>
    <row r="239" spans="1:9" ht="12.75">
      <c r="A239" t="str">
        <f ca="1">IFERROR(__xludf.DUMMYFUNCTION("""COMPUTED_VALUE"""),"Porto Nacional")</f>
        <v>Porto Nacional</v>
      </c>
      <c r="B239" t="str">
        <f ca="1">IFERROR(__xludf.DUMMYFUNCTION("""COMPUTED_VALUE"""),"Porto Nacional")</f>
        <v>Porto Nacional</v>
      </c>
      <c r="C239" t="str">
        <f ca="1">IFERROR(__xludf.DUMMYFUNCTION("""COMPUTED_VALUE"""),"A.A.  A ESCOLA D. PEDRO II")</f>
        <v>A.A.  A ESCOLA D. PEDRO II</v>
      </c>
      <c r="D239" t="str">
        <f ca="1">IFERROR(__xludf.DUMMYFUNCTION("""COMPUTED_VALUE"""),"01133697000131")</f>
        <v>01133697000131</v>
      </c>
      <c r="E239" t="str">
        <f ca="1">IFERROR(__xludf.DUMMYFUNCTION("""COMPUTED_VALUE"""),"001")</f>
        <v>001</v>
      </c>
      <c r="F239" t="str">
        <f ca="1">IFERROR(__xludf.DUMMYFUNCTION("""COMPUTED_VALUE"""),"1117")</f>
        <v>1117</v>
      </c>
      <c r="G239" t="str">
        <f ca="1">IFERROR(__xludf.DUMMYFUNCTION("""COMPUTED_VALUE"""),"0313092")</f>
        <v>0313092</v>
      </c>
      <c r="H239" s="7">
        <f ca="1">IFERROR(__xludf.DUMMYFUNCTION("""COMPUTED_VALUE"""),217.6)</f>
        <v>217.6</v>
      </c>
      <c r="I239" t="str">
        <v>AEE</v>
      </c>
    </row>
    <row r="240" spans="1:9" ht="12.75">
      <c r="A240" t="str">
        <f ca="1">IFERROR(__xludf.DUMMYFUNCTION("""COMPUTED_VALUE"""),"Porto Nacional")</f>
        <v>Porto Nacional</v>
      </c>
      <c r="B240" t="str">
        <f ca="1">IFERROR(__xludf.DUMMYFUNCTION("""COMPUTED_VALUE"""),"Porto Nacional")</f>
        <v>Porto Nacional</v>
      </c>
      <c r="C240" t="str">
        <f ca="1">IFERROR(__xludf.DUMMYFUNCTION("""COMPUTED_VALUE"""),"A.A. ESCOLA ESTADUAL IRMA ASPASIA")</f>
        <v>A.A. ESCOLA ESTADUAL IRMA ASPASIA</v>
      </c>
      <c r="D240" t="str">
        <f ca="1">IFERROR(__xludf.DUMMYFUNCTION("""COMPUTED_VALUE"""),"01136022000146")</f>
        <v>01136022000146</v>
      </c>
      <c r="E240" t="str">
        <f ca="1">IFERROR(__xludf.DUMMYFUNCTION("""COMPUTED_VALUE"""),"104")</f>
        <v>104</v>
      </c>
      <c r="F240" t="str">
        <f ca="1">IFERROR(__xludf.DUMMYFUNCTION("""COMPUTED_VALUE"""),"1829")</f>
        <v>1829</v>
      </c>
      <c r="G240" t="str">
        <f ca="1">IFERROR(__xludf.DUMMYFUNCTION("""COMPUTED_VALUE"""),"307453")</f>
        <v>307453</v>
      </c>
      <c r="H240" s="7">
        <f ca="1">IFERROR(__xludf.DUMMYFUNCTION("""COMPUTED_VALUE"""),204)</f>
        <v>204</v>
      </c>
      <c r="I240" t="str">
        <v>AEE</v>
      </c>
    </row>
    <row r="241" spans="1:9" ht="12.75">
      <c r="A241" t="str">
        <f ca="1">IFERROR(__xludf.DUMMYFUNCTION("""COMPUTED_VALUE"""),"Porto Nacional")</f>
        <v>Porto Nacional</v>
      </c>
      <c r="B241" t="str">
        <f ca="1">IFERROR(__xludf.DUMMYFUNCTION("""COMPUTED_VALUE"""),"Porto Nacional")</f>
        <v>Porto Nacional</v>
      </c>
      <c r="C241" t="str">
        <f ca="1">IFERROR(__xludf.DUMMYFUNCTION("""COMPUTED_VALUE"""),"A.A. DA ESC. EST. ALCIDES RODRIGUES AIRES")</f>
        <v>A.A. DA ESC. EST. ALCIDES RODRIGUES AIRES</v>
      </c>
      <c r="D241" t="str">
        <f ca="1">IFERROR(__xludf.DUMMYFUNCTION("""COMPUTED_VALUE"""),"03495455000113")</f>
        <v>03495455000113</v>
      </c>
      <c r="E241" t="str">
        <f ca="1">IFERROR(__xludf.DUMMYFUNCTION("""COMPUTED_VALUE"""),"001")</f>
        <v>001</v>
      </c>
      <c r="F241" t="str">
        <f ca="1">IFERROR(__xludf.DUMMYFUNCTION("""COMPUTED_VALUE"""),"1117")</f>
        <v>1117</v>
      </c>
      <c r="G241" t="str">
        <f ca="1">IFERROR(__xludf.DUMMYFUNCTION("""COMPUTED_VALUE"""),"77143")</f>
        <v>77143</v>
      </c>
      <c r="H241" s="7">
        <f ca="1">IFERROR(__xludf.DUMMYFUNCTION("""COMPUTED_VALUE"""),312.8)</f>
        <v>312.8</v>
      </c>
      <c r="I241" t="str">
        <v>AEE</v>
      </c>
    </row>
    <row r="242" spans="1:9" ht="12.75">
      <c r="A242" t="str">
        <f ca="1">IFERROR(__xludf.DUMMYFUNCTION("""COMPUTED_VALUE"""),"Porto Nacional")</f>
        <v>Porto Nacional</v>
      </c>
      <c r="B242" t="str">
        <f ca="1">IFERROR(__xludf.DUMMYFUNCTION("""COMPUTED_VALUE"""),"Porto Nacional")</f>
        <v>Porto Nacional</v>
      </c>
      <c r="C242" t="str">
        <f ca="1">IFERROR(__xludf.DUMMYFUNCTION("""COMPUTED_VALUE"""),"A.A. E. E. PROFA. CARMENIA MATOS MAIA")</f>
        <v>A.A. E. E. PROFA. CARMENIA MATOS MAIA</v>
      </c>
      <c r="D242" t="str">
        <f ca="1">IFERROR(__xludf.DUMMYFUNCTION("""COMPUTED_VALUE"""),"01118897000115")</f>
        <v>01118897000115</v>
      </c>
      <c r="E242" t="str">
        <f ca="1">IFERROR(__xludf.DUMMYFUNCTION("""COMPUTED_VALUE"""),"104")</f>
        <v>104</v>
      </c>
      <c r="F242" t="str">
        <f ca="1">IFERROR(__xludf.DUMMYFUNCTION("""COMPUTED_VALUE"""),"1829")</f>
        <v>1829</v>
      </c>
      <c r="G242" t="str">
        <f ca="1">IFERROR(__xludf.DUMMYFUNCTION("""COMPUTED_VALUE"""),"307399")</f>
        <v>307399</v>
      </c>
      <c r="H242" s="7">
        <f ca="1">IFERROR(__xludf.DUMMYFUNCTION("""COMPUTED_VALUE"""),408)</f>
        <v>408</v>
      </c>
      <c r="I242" t="str">
        <v>AEE</v>
      </c>
    </row>
    <row r="243" spans="1:9" ht="12.75">
      <c r="A243" t="str">
        <f ca="1">IFERROR(__xludf.DUMMYFUNCTION("""COMPUTED_VALUE"""),"Porto Nacional")</f>
        <v>Porto Nacional</v>
      </c>
      <c r="B243" t="str">
        <f ca="1">IFERROR(__xludf.DUMMYFUNCTION("""COMPUTED_VALUE"""),"Santa Rosa do Tocantins")</f>
        <v>Santa Rosa do Tocantins</v>
      </c>
      <c r="C243" t="str">
        <f ca="1">IFERROR(__xludf.DUMMYFUNCTION("""COMPUTED_VALUE"""),"A.A. E. E.PROF.ZACHARIAS NUNES DA SILVEIRA")</f>
        <v>A.A. E. E.PROF.ZACHARIAS NUNES DA SILVEIRA</v>
      </c>
      <c r="D243" t="str">
        <f ca="1">IFERROR(__xludf.DUMMYFUNCTION("""COMPUTED_VALUE"""),"01066420000133")</f>
        <v>01066420000133</v>
      </c>
      <c r="E243" t="str">
        <f ca="1">IFERROR(__xludf.DUMMYFUNCTION("""COMPUTED_VALUE"""),"104")</f>
        <v>104</v>
      </c>
      <c r="F243" t="str">
        <f ca="1">IFERROR(__xludf.DUMMYFUNCTION("""COMPUTED_VALUE"""),"1829")</f>
        <v>1829</v>
      </c>
      <c r="G243" t="str">
        <f ca="1">IFERROR(__xludf.DUMMYFUNCTION("""COMPUTED_VALUE"""),"0307461")</f>
        <v>0307461</v>
      </c>
      <c r="H243" s="7">
        <f ca="1">IFERROR(__xludf.DUMMYFUNCTION("""COMPUTED_VALUE"""),149.6)</f>
        <v>149.6</v>
      </c>
      <c r="I243" t="str">
        <v>AEE</v>
      </c>
    </row>
    <row r="244" spans="1:9" ht="12.75">
      <c r="A244" t="str">
        <f ca="1">IFERROR(__xludf.DUMMYFUNCTION("""COMPUTED_VALUE"""),"Tocantinópolis")</f>
        <v>Tocantinópolis</v>
      </c>
      <c r="B244" t="str">
        <f ca="1">IFERROR(__xludf.DUMMYFUNCTION("""COMPUTED_VALUE"""),"Angico")</f>
        <v>Angico</v>
      </c>
      <c r="C244" t="str">
        <f ca="1">IFERROR(__xludf.DUMMYFUNCTION("""COMPUTED_VALUE"""),"ASSOCIAÇÃO DE APOIO DO COL. EST. DULCE COELHO DE SOUSA")</f>
        <v>ASSOCIAÇÃO DE APOIO DO COL. EST. DULCE COELHO DE SOUSA</v>
      </c>
      <c r="D244" t="str">
        <f ca="1">IFERROR(__xludf.DUMMYFUNCTION("""COMPUTED_VALUE"""),"10800992000195")</f>
        <v>10800992000195</v>
      </c>
      <c r="E244" t="str">
        <f ca="1">IFERROR(__xludf.DUMMYFUNCTION("""COMPUTED_VALUE"""),"001")</f>
        <v>001</v>
      </c>
      <c r="F244" t="str">
        <f ca="1">IFERROR(__xludf.DUMMYFUNCTION("""COMPUTED_VALUE"""),"3973")</f>
        <v>3973</v>
      </c>
      <c r="G244" t="str">
        <f ca="1">IFERROR(__xludf.DUMMYFUNCTION("""COMPUTED_VALUE"""),"212792")</f>
        <v>212792</v>
      </c>
      <c r="H244" s="7">
        <f ca="1">IFERROR(__xludf.DUMMYFUNCTION("""COMPUTED_VALUE"""),326.4)</f>
        <v>326.39999999999998</v>
      </c>
      <c r="I244" t="str">
        <v>AEE</v>
      </c>
    </row>
    <row r="245" spans="1:9" ht="12.75">
      <c r="A245" t="str">
        <f ca="1">IFERROR(__xludf.DUMMYFUNCTION("""COMPUTED_VALUE"""),"Tocantinópolis")</f>
        <v>Tocantinópolis</v>
      </c>
      <c r="B245" t="str">
        <f ca="1">IFERROR(__xludf.DUMMYFUNCTION("""COMPUTED_VALUE"""),"Cachoeirinha")</f>
        <v>Cachoeirinha</v>
      </c>
      <c r="C245" t="str">
        <f ca="1">IFERROR(__xludf.DUMMYFUNCTION("""COMPUTED_VALUE"""),"A.A. E. EST. NOVA DA CACHOEIRINHA/RAIMUNDO NONATO TORRES")</f>
        <v>A.A. E. EST. NOVA DA CACHOEIRINHA/RAIMUNDO NONATO TORRES</v>
      </c>
      <c r="D245" t="str">
        <f ca="1">IFERROR(__xludf.DUMMYFUNCTION("""COMPUTED_VALUE"""),"01213535000103")</f>
        <v>01213535000103</v>
      </c>
      <c r="E245" t="str">
        <f ca="1">IFERROR(__xludf.DUMMYFUNCTION("""COMPUTED_VALUE"""),"001")</f>
        <v>001</v>
      </c>
      <c r="F245" t="str">
        <f ca="1">IFERROR(__xludf.DUMMYFUNCTION("""COMPUTED_VALUE"""),"0810")</f>
        <v>0810</v>
      </c>
      <c r="G245" t="str">
        <f ca="1">IFERROR(__xludf.DUMMYFUNCTION("""COMPUTED_VALUE"""),"0217689")</f>
        <v>0217689</v>
      </c>
      <c r="H245" s="7">
        <f ca="1">IFERROR(__xludf.DUMMYFUNCTION("""COMPUTED_VALUE"""),163.2)</f>
        <v>163.19999999999999</v>
      </c>
      <c r="I245" t="str">
        <v>AEE</v>
      </c>
    </row>
    <row r="246" spans="1:9" ht="12.75">
      <c r="A246" t="str">
        <f ca="1">IFERROR(__xludf.DUMMYFUNCTION("""COMPUTED_VALUE"""),"Tocantinópolis")</f>
        <v>Tocantinópolis</v>
      </c>
      <c r="B246" t="str">
        <f ca="1">IFERROR(__xludf.DUMMYFUNCTION("""COMPUTED_VALUE"""),"darcinopolis")</f>
        <v>darcinopolis</v>
      </c>
      <c r="C246" t="str">
        <f ca="1">IFERROR(__xludf.DUMMYFUNCTION("""COMPUTED_VALUE"""),"A. APOIO COL. EST. JOSE DE SOUZA PORTO")</f>
        <v>A. APOIO COL. EST. JOSE DE SOUZA PORTO</v>
      </c>
      <c r="D246" t="str">
        <f ca="1">IFERROR(__xludf.DUMMYFUNCTION("""COMPUTED_VALUE"""),"01213532000170")</f>
        <v>01213532000170</v>
      </c>
      <c r="E246" t="str">
        <f ca="1">IFERROR(__xludf.DUMMYFUNCTION("""COMPUTED_VALUE"""),"001")</f>
        <v>001</v>
      </c>
      <c r="F246" t="str">
        <f ca="1">IFERROR(__xludf.DUMMYFUNCTION("""COMPUTED_VALUE"""),"0810")</f>
        <v>0810</v>
      </c>
      <c r="G246" t="str">
        <f ca="1">IFERROR(__xludf.DUMMYFUNCTION("""COMPUTED_VALUE"""),"25739")</f>
        <v>25739</v>
      </c>
      <c r="H246" s="7">
        <f ca="1">IFERROR(__xludf.DUMMYFUNCTION("""COMPUTED_VALUE"""),340)</f>
        <v>340</v>
      </c>
      <c r="I246" t="str">
        <v>AEE</v>
      </c>
    </row>
    <row r="247" spans="1:9" ht="12.75">
      <c r="A247" t="str">
        <f ca="1">IFERROR(__xludf.DUMMYFUNCTION("""COMPUTED_VALUE"""),"Tocantinópolis")</f>
        <v>Tocantinópolis</v>
      </c>
      <c r="B247" t="str">
        <f ca="1">IFERROR(__xludf.DUMMYFUNCTION("""COMPUTED_VALUE"""),"Nazare")</f>
        <v>Nazare</v>
      </c>
      <c r="C247" t="str">
        <f ca="1">IFERROR(__xludf.DUMMYFUNCTION("""COMPUTED_VALUE"""),"A.DO COLEGIO EST.PRES.CASTELO BRANCO")</f>
        <v>A.DO COLEGIO EST.PRES.CASTELO BRANCO</v>
      </c>
      <c r="D247" t="str">
        <f ca="1">IFERROR(__xludf.DUMMYFUNCTION("""COMPUTED_VALUE"""),"01213522000134")</f>
        <v>01213522000134</v>
      </c>
      <c r="E247" t="str">
        <f ca="1">IFERROR(__xludf.DUMMYFUNCTION("""COMPUTED_VALUE"""),"001")</f>
        <v>001</v>
      </c>
      <c r="F247" t="str">
        <f ca="1">IFERROR(__xludf.DUMMYFUNCTION("""COMPUTED_VALUE"""),"0810")</f>
        <v>0810</v>
      </c>
      <c r="G247" t="str">
        <f ca="1">IFERROR(__xludf.DUMMYFUNCTION("""COMPUTED_VALUE"""),"217859")</f>
        <v>217859</v>
      </c>
      <c r="H247" s="7">
        <f ca="1">IFERROR(__xludf.DUMMYFUNCTION("""COMPUTED_VALUE"""),299.2)</f>
        <v>299.2</v>
      </c>
      <c r="I247" t="str">
        <v>AEE</v>
      </c>
    </row>
    <row r="248" spans="1:9" ht="12.75">
      <c r="A248" t="str">
        <f ca="1">IFERROR(__xludf.DUMMYFUNCTION("""COMPUTED_VALUE"""),"Tocantinópolis")</f>
        <v>Tocantinópolis</v>
      </c>
      <c r="B248" t="str">
        <f ca="1">IFERROR(__xludf.DUMMYFUNCTION("""COMPUTED_VALUE"""),"Palmeiras do Tocantins")</f>
        <v>Palmeiras do Tocantins</v>
      </c>
      <c r="C248" t="str">
        <f ca="1">IFERROR(__xludf.DUMMYFUNCTION("""COMPUTED_VALUE"""),"A.A. ESC. EST. RAIMUNDO NEIVA DE CARVALHO")</f>
        <v>A.A. ESC. EST. RAIMUNDO NEIVA DE CARVALHO</v>
      </c>
      <c r="D248" t="str">
        <f ca="1">IFERROR(__xludf.DUMMYFUNCTION("""COMPUTED_VALUE"""),"01213533000114")</f>
        <v>01213533000114</v>
      </c>
      <c r="E248" t="str">
        <f ca="1">IFERROR(__xludf.DUMMYFUNCTION("""COMPUTED_VALUE"""),"001")</f>
        <v>001</v>
      </c>
      <c r="F248" t="str">
        <f ca="1">IFERROR(__xludf.DUMMYFUNCTION("""COMPUTED_VALUE"""),"0810")</f>
        <v>0810</v>
      </c>
      <c r="G248" t="str">
        <f ca="1">IFERROR(__xludf.DUMMYFUNCTION("""COMPUTED_VALUE"""),"0027529")</f>
        <v>0027529</v>
      </c>
      <c r="H248" s="7">
        <f ca="1">IFERROR(__xludf.DUMMYFUNCTION("""COMPUTED_VALUE"""),217.6)</f>
        <v>217.6</v>
      </c>
      <c r="I248" t="str">
        <v>AEE</v>
      </c>
    </row>
    <row r="249" spans="1:9" ht="12.75">
      <c r="A249" t="str">
        <f ca="1">IFERROR(__xludf.DUMMYFUNCTION("""COMPUTED_VALUE"""),"Tocantinópolis")</f>
        <v>Tocantinópolis</v>
      </c>
      <c r="B249" t="str">
        <f ca="1">IFERROR(__xludf.DUMMYFUNCTION("""COMPUTED_VALUE"""),"Palmeiras do Tocantins")</f>
        <v>Palmeiras do Tocantins</v>
      </c>
      <c r="C249" t="str">
        <f ca="1">IFERROR(__xludf.DUMMYFUNCTION("""COMPUTED_VALUE"""),"A. DE APOIO DA E. E. PE. CESARE LELLI")</f>
        <v>A. DE APOIO DA E. E. PE. CESARE LELLI</v>
      </c>
      <c r="D249" t="str">
        <f ca="1">IFERROR(__xludf.DUMMYFUNCTION("""COMPUTED_VALUE"""),"03778873000118")</f>
        <v>03778873000118</v>
      </c>
      <c r="E249" t="str">
        <f ca="1">IFERROR(__xludf.DUMMYFUNCTION("""COMPUTED_VALUE"""),"001")</f>
        <v>001</v>
      </c>
      <c r="F249" t="str">
        <f ca="1">IFERROR(__xludf.DUMMYFUNCTION("""COMPUTED_VALUE"""),"0810")</f>
        <v>0810</v>
      </c>
      <c r="G249" t="str">
        <f ca="1">IFERROR(__xludf.DUMMYFUNCTION("""COMPUTED_VALUE"""),"82007")</f>
        <v>82007</v>
      </c>
      <c r="H249" s="7">
        <f ca="1">IFERROR(__xludf.DUMMYFUNCTION("""COMPUTED_VALUE"""),312.8)</f>
        <v>312.8</v>
      </c>
      <c r="I249" t="str">
        <v>AEE</v>
      </c>
    </row>
    <row r="250" spans="1:9" ht="12.75">
      <c r="A250" t="str">
        <f ca="1">IFERROR(__xludf.DUMMYFUNCTION("""COMPUTED_VALUE"""),"Tocantinópolis")</f>
        <v>Tocantinópolis</v>
      </c>
      <c r="B250" t="str">
        <f ca="1">IFERROR(__xludf.DUMMYFUNCTION("""COMPUTED_VALUE"""),"Tocantinopolis")</f>
        <v>Tocantinopolis</v>
      </c>
      <c r="C250" t="str">
        <f ca="1">IFERROR(__xludf.DUMMYFUNCTION("""COMPUTED_VALUE"""),"ASSOC.PAIS E MESTRES COL. EST. DEP.DARCY MARINHO")</f>
        <v>ASSOC.PAIS E MESTRES COL. EST. DEP.DARCY MARINHO</v>
      </c>
      <c r="D250" t="str">
        <f ca="1">IFERROR(__xludf.DUMMYFUNCTION("""COMPUTED_VALUE"""),"01230236000187")</f>
        <v>01230236000187</v>
      </c>
      <c r="E250" t="str">
        <f ca="1">IFERROR(__xludf.DUMMYFUNCTION("""COMPUTED_VALUE"""),"001")</f>
        <v>001</v>
      </c>
      <c r="F250" t="str">
        <f ca="1">IFERROR(__xludf.DUMMYFUNCTION("""COMPUTED_VALUE"""),"0810")</f>
        <v>0810</v>
      </c>
      <c r="G250" t="str">
        <f ca="1">IFERROR(__xludf.DUMMYFUNCTION("""COMPUTED_VALUE"""),"297410")</f>
        <v>297410</v>
      </c>
      <c r="H250" s="7">
        <f ca="1">IFERROR(__xludf.DUMMYFUNCTION("""COMPUTED_VALUE"""),326.4)</f>
        <v>326.39999999999998</v>
      </c>
      <c r="I250" t="str">
        <v>AEE</v>
      </c>
    </row>
    <row r="251" spans="1:9" ht="12.75">
      <c r="A251" t="str">
        <f ca="1">IFERROR(__xludf.DUMMYFUNCTION("""COMPUTED_VALUE"""),"Tocantinópolis")</f>
        <v>Tocantinópolis</v>
      </c>
      <c r="B251" t="str">
        <f ca="1">IFERROR(__xludf.DUMMYFUNCTION("""COMPUTED_VALUE"""),"Tocantinopolis")</f>
        <v>Tocantinopolis</v>
      </c>
      <c r="C251" t="str">
        <f ca="1">IFERROR(__xludf.DUMMYFUNCTION("""COMPUTED_VALUE"""),"ASSOC. APOIO AO COLÉGIODOM ORIONE")</f>
        <v>ASSOC. APOIO AO COLÉGIODOM ORIONE</v>
      </c>
      <c r="D251" t="str">
        <f ca="1">IFERROR(__xludf.DUMMYFUNCTION("""COMPUTED_VALUE"""),"13033002000129")</f>
        <v>13033002000129</v>
      </c>
      <c r="E251" t="str">
        <f ca="1">IFERROR(__xludf.DUMMYFUNCTION("""COMPUTED_VALUE"""),"001")</f>
        <v>001</v>
      </c>
      <c r="F251" t="str">
        <f ca="1">IFERROR(__xludf.DUMMYFUNCTION("""COMPUTED_VALUE"""),"0810")</f>
        <v>0810</v>
      </c>
      <c r="G251" t="str">
        <f ca="1">IFERROR(__xludf.DUMMYFUNCTION("""COMPUTED_VALUE"""),"254193")</f>
        <v>254193</v>
      </c>
      <c r="H251" s="7">
        <f ca="1">IFERROR(__xludf.DUMMYFUNCTION("""COMPUTED_VALUE"""),367.2)</f>
        <v>367.2</v>
      </c>
      <c r="I251" t="str">
        <v>AEE</v>
      </c>
    </row>
    <row r="252" spans="1:9" ht="12.75">
      <c r="A252" t="str">
        <f ca="1">IFERROR(__xludf.DUMMYFUNCTION("""COMPUTED_VALUE"""),"Tocantinópolis")</f>
        <v>Tocantinópolis</v>
      </c>
      <c r="B252" t="str">
        <f ca="1">IFERROR(__xludf.DUMMYFUNCTION("""COMPUTED_VALUE"""),"Tocantinopolis")</f>
        <v>Tocantinopolis</v>
      </c>
      <c r="C252" t="str">
        <f ca="1">IFERROR(__xludf.DUMMYFUNCTION("""COMPUTED_VALUE"""),"A.A. DO COL.PADRAO/JOSÉ CARNEIRO DE BRITO")</f>
        <v>A.A. DO COL.PADRAO/JOSÉ CARNEIRO DE BRITO</v>
      </c>
      <c r="D252" t="str">
        <f ca="1">IFERROR(__xludf.DUMMYFUNCTION("""COMPUTED_VALUE"""),"03880040000163")</f>
        <v>03880040000163</v>
      </c>
      <c r="E252" t="str">
        <f ca="1">IFERROR(__xludf.DUMMYFUNCTION("""COMPUTED_VALUE"""),"001")</f>
        <v>001</v>
      </c>
      <c r="F252" t="str">
        <f ca="1">IFERROR(__xludf.DUMMYFUNCTION("""COMPUTED_VALUE"""),"0810")</f>
        <v>0810</v>
      </c>
      <c r="G252" t="str">
        <f ca="1">IFERROR(__xludf.DUMMYFUNCTION("""COMPUTED_VALUE"""),"81884")</f>
        <v>81884</v>
      </c>
      <c r="H252" s="7">
        <f ca="1">IFERROR(__xludf.DUMMYFUNCTION("""COMPUTED_VALUE"""),272)</f>
        <v>272</v>
      </c>
      <c r="I252" t="str">
        <v>AEE</v>
      </c>
    </row>
    <row r="253" spans="1:9" ht="12.75">
      <c r="A253" t="str">
        <f ca="1">IFERROR(__xludf.DUMMYFUNCTION("""COMPUTED_VALUE"""),"Tocantinópolis")</f>
        <v>Tocantinópolis</v>
      </c>
      <c r="B253" t="str">
        <f ca="1">IFERROR(__xludf.DUMMYFUNCTION("""COMPUTED_VALUE"""),"Tocantinopolis")</f>
        <v>Tocantinopolis</v>
      </c>
      <c r="C253" t="str">
        <f ca="1">IFERROR(__xludf.DUMMYFUNCTION("""COMPUTED_VALUE"""),"A.A. ESC. E. E.PROF.ALDENORA A.CORREIA")</f>
        <v>A.A. ESC. E. E.PROF.ALDENORA A.CORREIA</v>
      </c>
      <c r="D253" t="str">
        <f ca="1">IFERROR(__xludf.DUMMYFUNCTION("""COMPUTED_VALUE"""),"01213527000167")</f>
        <v>01213527000167</v>
      </c>
      <c r="E253" t="str">
        <f ca="1">IFERROR(__xludf.DUMMYFUNCTION("""COMPUTED_VALUE"""),"001")</f>
        <v>001</v>
      </c>
      <c r="F253" t="str">
        <f ca="1">IFERROR(__xludf.DUMMYFUNCTION("""COMPUTED_VALUE"""),"0810")</f>
        <v>0810</v>
      </c>
      <c r="G253" t="str">
        <f ca="1">IFERROR(__xludf.DUMMYFUNCTION("""COMPUTED_VALUE"""),"58319")</f>
        <v>58319</v>
      </c>
      <c r="H253" s="7">
        <f ca="1">IFERROR(__xludf.DUMMYFUNCTION("""COMPUTED_VALUE"""),108.8)</f>
        <v>108.8</v>
      </c>
      <c r="I253" t="str">
        <v>AEE</v>
      </c>
    </row>
    <row r="254" spans="1:9" ht="12.75">
      <c r="A254" t="str">
        <f ca="1">IFERROR(__xludf.DUMMYFUNCTION("""COMPUTED_VALUE"""),"Tocantinópolis")</f>
        <v>Tocantinópolis</v>
      </c>
      <c r="B254" t="str">
        <f ca="1">IFERROR(__xludf.DUMMYFUNCTION("""COMPUTED_VALUE"""),"Tocantinopolis")</f>
        <v>Tocantinopolis</v>
      </c>
      <c r="C254" t="str">
        <f ca="1">IFERROR(__xludf.DUMMYFUNCTION("""COMPUTED_VALUE"""),"A. PAIS DA ESC. EST. XV DE NOVEMBRO")</f>
        <v>A. PAIS DA ESC. EST. XV DE NOVEMBRO</v>
      </c>
      <c r="D254" t="str">
        <f ca="1">IFERROR(__xludf.DUMMYFUNCTION("""COMPUTED_VALUE"""),"01213520000145")</f>
        <v>01213520000145</v>
      </c>
      <c r="E254" t="str">
        <f ca="1">IFERROR(__xludf.DUMMYFUNCTION("""COMPUTED_VALUE"""),"001")</f>
        <v>001</v>
      </c>
      <c r="F254" t="str">
        <f ca="1">IFERROR(__xludf.DUMMYFUNCTION("""COMPUTED_VALUE"""),"0810")</f>
        <v>0810</v>
      </c>
      <c r="G254" t="str">
        <f ca="1">IFERROR(__xludf.DUMMYFUNCTION("""COMPUTED_VALUE"""),"58238")</f>
        <v>58238</v>
      </c>
      <c r="H254" s="7">
        <f ca="1">IFERROR(__xludf.DUMMYFUNCTION("""COMPUTED_VALUE"""),258.4)</f>
        <v>258.39999999999998</v>
      </c>
      <c r="I254" t="str">
        <v>AEE</v>
      </c>
    </row>
    <row r="255" spans="1:9" ht="12.75">
      <c r="A255" t="str">
        <f ca="1">IFERROR(__xludf.DUMMYFUNCTION("""COMPUTED_VALUE"""),"Tocantinópolis")</f>
        <v>Tocantinópolis</v>
      </c>
      <c r="B255" t="str">
        <f ca="1">IFERROR(__xludf.DUMMYFUNCTION("""COMPUTED_VALUE"""),"Tocantinopolis")</f>
        <v>Tocantinopolis</v>
      </c>
      <c r="C255" t="str">
        <f ca="1">IFERROR(__xludf.DUMMYFUNCTION("""COMPUTED_VALUE"""),"A. ESCOLAR COM. PE. GIULIANO MORETTI")</f>
        <v>A. ESCOLAR COM. PE. GIULIANO MORETTI</v>
      </c>
      <c r="D255" t="str">
        <f ca="1">IFERROR(__xludf.DUMMYFUNCTION("""COMPUTED_VALUE"""),"00900202000190")</f>
        <v>00900202000190</v>
      </c>
      <c r="E255" t="str">
        <f ca="1">IFERROR(__xludf.DUMMYFUNCTION("""COMPUTED_VALUE"""),"001")</f>
        <v>001</v>
      </c>
      <c r="F255" t="str">
        <f ca="1">IFERROR(__xludf.DUMMYFUNCTION("""COMPUTED_VALUE"""),"0810")</f>
        <v>0810</v>
      </c>
      <c r="G255" t="str">
        <f ca="1">IFERROR(__xludf.DUMMYFUNCTION("""COMPUTED_VALUE"""),"217484")</f>
        <v>217484</v>
      </c>
      <c r="H255" s="7">
        <f ca="1">IFERROR(__xludf.DUMMYFUNCTION("""COMPUTED_VALUE"""),816)</f>
        <v>816</v>
      </c>
      <c r="I255" t="str">
        <v>AEE</v>
      </c>
    </row>
    <row r="256" spans="1:9" ht="12.75">
      <c r="A256" t="str">
        <f ca="1">IFERROR(__xludf.DUMMYFUNCTION("""COMPUTED_VALUE"""),"Tocantinópolis")</f>
        <v>Tocantinópolis</v>
      </c>
      <c r="B256" t="str">
        <f ca="1">IFERROR(__xludf.DUMMYFUNCTION("""COMPUTED_VALUE"""),"Tocantinopolis")</f>
        <v>Tocantinopolis</v>
      </c>
      <c r="C256" t="str">
        <f ca="1">IFERROR(__xludf.DUMMYFUNCTION("""COMPUTED_VALUE"""),"A. DA ESCOLA PAROQUIAL CRISTO REI")</f>
        <v>A. DA ESCOLA PAROQUIAL CRISTO REI</v>
      </c>
      <c r="D256" t="str">
        <f ca="1">IFERROR(__xludf.DUMMYFUNCTION("""COMPUTED_VALUE"""),"02026329000157")</f>
        <v>02026329000157</v>
      </c>
      <c r="E256" t="str">
        <f ca="1">IFERROR(__xludf.DUMMYFUNCTION("""COMPUTED_VALUE"""),"001")</f>
        <v>001</v>
      </c>
      <c r="F256" t="str">
        <f ca="1">IFERROR(__xludf.DUMMYFUNCTION("""COMPUTED_VALUE"""),"0810")</f>
        <v>0810</v>
      </c>
      <c r="G256" t="str">
        <f ca="1">IFERROR(__xludf.DUMMYFUNCTION("""COMPUTED_VALUE"""),"58149")</f>
        <v>58149</v>
      </c>
      <c r="H256" s="7">
        <f ca="1">IFERROR(__xludf.DUMMYFUNCTION("""COMPUTED_VALUE"""),462.4)</f>
        <v>462.4</v>
      </c>
      <c r="I256" t="str">
        <v>AEE</v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A,B,C,D,E,F,G,Q WHERE Q&gt;0 label Q 'ENSINO MEDIO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PARCIAL")</f>
        <v>ENSINO MEDIO PARCIAL</v>
      </c>
      <c r="I1" s="192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IFERROR(__xludf.DUMMYFUNCTION("""COMPUTED_VALUE"""),320)</f>
        <v>320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IFERROR(__xludf.DUMMYFUNCTION("""COMPUTED_VALUE"""),16400)</f>
        <v>16400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IFERROR(__xludf.DUMMYFUNCTION("""COMPUTED_VALUE"""),5080)</f>
        <v>5080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IFERROR(__xludf.DUMMYFUNCTION("""COMPUTED_VALUE"""),4370)</f>
        <v>4370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IFERROR(__xludf.DUMMYFUNCTION("""COMPUTED_VALUE"""),5960)</f>
        <v>5960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IFERROR(__xludf.DUMMYFUNCTION("""COMPUTED_VALUE"""),14690)</f>
        <v>14690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IFERROR(__xludf.DUMMYFUNCTION("""COMPUTED_VALUE"""),4590)</f>
        <v>4590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IFERROR(__xludf.DUMMYFUNCTION("""COMPUTED_VALUE"""),2970)</f>
        <v>2970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IFERROR(__xludf.DUMMYFUNCTION("""COMPUTED_VALUE"""),8560)</f>
        <v>8560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IFERROR(__xludf.DUMMYFUNCTION("""COMPUTED_VALUE"""),4230)</f>
        <v>4230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IFERROR(__xludf.DUMMYFUNCTION("""COMPUTED_VALUE"""),2840)</f>
        <v>2840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IFERROR(__xludf.DUMMYFUNCTION("""COMPUTED_VALUE"""),2260)</f>
        <v>2260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IFERROR(__xludf.DUMMYFUNCTION("""COMPUTED_VALUE"""),1760)</f>
        <v>1760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IFERROR(__xludf.DUMMYFUNCTION("""COMPUTED_VALUE"""),2170)</f>
        <v>2170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IFERROR(__xludf.DUMMYFUNCTION("""COMPUTED_VALUE"""),510)</f>
        <v>510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IFERROR(__xludf.DUMMYFUNCTION("""COMPUTED_VALUE"""),4660)</f>
        <v>4660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IFERROR(__xludf.DUMMYFUNCTION("""COMPUTED_VALUE"""),1030)</f>
        <v>1030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IFERROR(__xludf.DUMMYFUNCTION("""COMPUTED_VALUE"""),720)</f>
        <v>720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IFERROR(__xludf.DUMMYFUNCTION("""COMPUTED_VALUE"""),1270)</f>
        <v>1270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IFERROR(__xludf.DUMMYFUNCTION("""COMPUTED_VALUE"""),4600)</f>
        <v>4600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IFERROR(__xludf.DUMMYFUNCTION("""COMPUTED_VALUE"""),870)</f>
        <v>870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IFERROR(__xludf.DUMMYFUNCTION("""COMPUTED_VALUE"""),2140)</f>
        <v>2140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IFERROR(__xludf.DUMMYFUNCTION("""COMPUTED_VALUE"""),970)</f>
        <v>970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IFERROR(__xludf.DUMMYFUNCTION("""COMPUTED_VALUE"""),4630)</f>
        <v>4630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IFERROR(__xludf.DUMMYFUNCTION("""COMPUTED_VALUE"""),7480)</f>
        <v>7480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IFERROR(__xludf.DUMMYFUNCTION("""COMPUTED_VALUE"""),830)</f>
        <v>830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IFERROR(__xludf.DUMMYFUNCTION("""COMPUTED_VALUE"""),1920)</f>
        <v>1920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IFERROR(__xludf.DUMMYFUNCTION("""COMPUTED_VALUE"""),2280)</f>
        <v>2280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IFERROR(__xludf.DUMMYFUNCTION("""COMPUTED_VALUE"""),790)</f>
        <v>790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IFERROR(__xludf.DUMMYFUNCTION("""COMPUTED_VALUE"""),4630)</f>
        <v>4630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IFERROR(__xludf.DUMMYFUNCTION("""COMPUTED_VALUE"""),3610)</f>
        <v>3610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IFERROR(__xludf.DUMMYFUNCTION("""COMPUTED_VALUE"""),330)</f>
        <v>330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IFERROR(__xludf.DUMMYFUNCTION("""COMPUTED_VALUE"""),360)</f>
        <v>360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IFERROR(__xludf.DUMMYFUNCTION("""COMPUTED_VALUE"""),6020)</f>
        <v>6020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IFERROR(__xludf.DUMMYFUNCTION("""COMPUTED_VALUE"""),520)</f>
        <v>520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IFERROR(__xludf.DUMMYFUNCTION("""COMPUTED_VALUE"""),310)</f>
        <v>310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IFERROR(__xludf.DUMMYFUNCTION("""COMPUTED_VALUE"""),2200)</f>
        <v>2200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IFERROR(__xludf.DUMMYFUNCTION("""COMPUTED_VALUE"""),1210)</f>
        <v>1210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IFERROR(__xludf.DUMMYFUNCTION("""COMPUTED_VALUE"""),440)</f>
        <v>440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IFERROR(__xludf.DUMMYFUNCTION("""COMPUTED_VALUE"""),1530)</f>
        <v>1530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IFERROR(__xludf.DUMMYFUNCTION("""COMPUTED_VALUE"""),5940)</f>
        <v>5940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IFERROR(__xludf.DUMMYFUNCTION("""COMPUTED_VALUE"""),430)</f>
        <v>430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IFERROR(__xludf.DUMMYFUNCTION("""COMPUTED_VALUE"""),510)</f>
        <v>510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IFERROR(__xludf.DUMMYFUNCTION("""COMPUTED_VALUE"""),1180)</f>
        <v>1180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IFERROR(__xludf.DUMMYFUNCTION("""COMPUTED_VALUE"""),1070)</f>
        <v>1070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IFERROR(__xludf.DUMMYFUNCTION("""COMPUTED_VALUE"""),340)</f>
        <v>340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IFERROR(__xludf.DUMMYFUNCTION("""COMPUTED_VALUE"""),2250)</f>
        <v>2250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IFERROR(__xludf.DUMMYFUNCTION("""COMPUTED_VALUE"""),1950)</f>
        <v>1950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IFERROR(__xludf.DUMMYFUNCTION("""COMPUTED_VALUE"""),2050)</f>
        <v>2050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IFERROR(__xludf.DUMMYFUNCTION("""COMPUTED_VALUE"""),2160)</f>
        <v>2160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IFERROR(__xludf.DUMMYFUNCTION("""COMPUTED_VALUE"""),480)</f>
        <v>480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IFERROR(__xludf.DUMMYFUNCTION("""COMPUTED_VALUE"""),2060)</f>
        <v>2060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IFERROR(__xludf.DUMMYFUNCTION("""COMPUTED_VALUE"""),2690)</f>
        <v>2690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IFERROR(__xludf.DUMMYFUNCTION("""COMPUTED_VALUE"""),1770)</f>
        <v>1770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IFERROR(__xludf.DUMMYFUNCTION("""COMPUTED_VALUE"""),3110)</f>
        <v>3110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IFERROR(__xludf.DUMMYFUNCTION("""COMPUTED_VALUE"""),690)</f>
        <v>690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IFERROR(__xludf.DUMMYFUNCTION("""COMPUTED_VALUE"""),1490)</f>
        <v>1490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IFERROR(__xludf.DUMMYFUNCTION("""COMPUTED_VALUE"""),590)</f>
        <v>590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IFERROR(__xludf.DUMMYFUNCTION("""COMPUTED_VALUE"""),1610)</f>
        <v>1610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IFERROR(__xludf.DUMMYFUNCTION("""COMPUTED_VALUE"""),2110)</f>
        <v>2110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IFERROR(__xludf.DUMMYFUNCTION("""COMPUTED_VALUE"""),790)</f>
        <v>790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IFERROR(__xludf.DUMMYFUNCTION("""COMPUTED_VALUE"""),700)</f>
        <v>700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IFERROR(__xludf.DUMMYFUNCTION("""COMPUTED_VALUE"""),3160)</f>
        <v>3160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IFERROR(__xludf.DUMMYFUNCTION("""COMPUTED_VALUE"""),340)</f>
        <v>340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IFERROR(__xludf.DUMMYFUNCTION("""COMPUTED_VALUE"""),380)</f>
        <v>380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IFERROR(__xludf.DUMMYFUNCTION("""COMPUTED_VALUE"""),2260)</f>
        <v>2260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IFERROR(__xludf.DUMMYFUNCTION("""COMPUTED_VALUE"""),1390)</f>
        <v>1390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IFERROR(__xludf.DUMMYFUNCTION("""COMPUTED_VALUE"""),1390)</f>
        <v>1390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IFERROR(__xludf.DUMMYFUNCTION("""COMPUTED_VALUE"""),560)</f>
        <v>560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IFERROR(__xludf.DUMMYFUNCTION("""COMPUTED_VALUE"""),3060)</f>
        <v>3060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IFERROR(__xludf.DUMMYFUNCTION("""COMPUTED_VALUE"""),8520)</f>
        <v>8520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IFERROR(__xludf.DUMMYFUNCTION("""COMPUTED_VALUE"""),1720)</f>
        <v>1720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IFERROR(__xludf.DUMMYFUNCTION("""COMPUTED_VALUE"""),2070)</f>
        <v>2070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IFERROR(__xludf.DUMMYFUNCTION("""COMPUTED_VALUE"""),980)</f>
        <v>980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IFERROR(__xludf.DUMMYFUNCTION("""COMPUTED_VALUE"""),1930)</f>
        <v>1930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IFERROR(__xludf.DUMMYFUNCTION("""COMPUTED_VALUE"""),1420)</f>
        <v>1420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IFERROR(__xludf.DUMMYFUNCTION("""COMPUTED_VALUE"""),740)</f>
        <v>740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IFERROR(__xludf.DUMMYFUNCTION("""COMPUTED_VALUE"""),1860)</f>
        <v>1860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IFERROR(__xludf.DUMMYFUNCTION("""COMPUTED_VALUE"""),1870)</f>
        <v>1870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IFERROR(__xludf.DUMMYFUNCTION("""COMPUTED_VALUE"""),3510)</f>
        <v>3510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IFERROR(__xludf.DUMMYFUNCTION("""COMPUTED_VALUE"""),240)</f>
        <v>240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IFERROR(__xludf.DUMMYFUNCTION("""COMPUTED_VALUE"""),5420)</f>
        <v>5420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IFERROR(__xludf.DUMMYFUNCTION("""COMPUTED_VALUE"""),620)</f>
        <v>620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IFERROR(__xludf.DUMMYFUNCTION("""COMPUTED_VALUE"""),1670)</f>
        <v>1670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IFERROR(__xludf.DUMMYFUNCTION("""COMPUTED_VALUE"""),1210)</f>
        <v>1210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IFERROR(__xludf.DUMMYFUNCTION("""COMPUTED_VALUE"""),650)</f>
        <v>650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IFERROR(__xludf.DUMMYFUNCTION("""COMPUTED_VALUE"""),3570)</f>
        <v>3570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IFERROR(__xludf.DUMMYFUNCTION("""COMPUTED_VALUE"""),660)</f>
        <v>660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IFERROR(__xludf.DUMMYFUNCTION("""COMPUTED_VALUE"""),5180)</f>
        <v>5180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IFERROR(__xludf.DUMMYFUNCTION("""COMPUTED_VALUE"""),330)</f>
        <v>330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IFERROR(__xludf.DUMMYFUNCTION("""COMPUTED_VALUE"""),210)</f>
        <v>210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IFERROR(__xludf.DUMMYFUNCTION("""COMPUTED_VALUE"""),520)</f>
        <v>520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IFERROR(__xludf.DUMMYFUNCTION("""COMPUTED_VALUE"""),190)</f>
        <v>190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IFERROR(__xludf.DUMMYFUNCTION("""COMPUTED_VALUE"""),1900)</f>
        <v>1900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IFERROR(__xludf.DUMMYFUNCTION("""COMPUTED_VALUE"""),2080)</f>
        <v>2080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IFERROR(__xludf.DUMMYFUNCTION("""COMPUTED_VALUE"""),8120)</f>
        <v>8120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IFERROR(__xludf.DUMMYFUNCTION("""COMPUTED_VALUE"""),770)</f>
        <v>770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IFERROR(__xludf.DUMMYFUNCTION("""COMPUTED_VALUE"""),1830)</f>
        <v>1830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IFERROR(__xludf.DUMMYFUNCTION("""COMPUTED_VALUE"""),930)</f>
        <v>930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IFERROR(__xludf.DUMMYFUNCTION("""COMPUTED_VALUE"""),1580)</f>
        <v>1580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IFERROR(__xludf.DUMMYFUNCTION("""COMPUTED_VALUE"""),3130)</f>
        <v>3130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IFERROR(__xludf.DUMMYFUNCTION("""COMPUTED_VALUE"""),2760)</f>
        <v>2760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IFERROR(__xludf.DUMMYFUNCTION("""COMPUTED_VALUE"""),1520)</f>
        <v>1520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IFERROR(__xludf.DUMMYFUNCTION("""COMPUTED_VALUE"""),530)</f>
        <v>530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IFERROR(__xludf.DUMMYFUNCTION("""COMPUTED_VALUE"""),1380)</f>
        <v>1380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IFERROR(__xludf.DUMMYFUNCTION("""COMPUTED_VALUE"""),1610)</f>
        <v>1610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IFERROR(__xludf.DUMMYFUNCTION("""COMPUTED_VALUE"""),2490)</f>
        <v>2490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IFERROR(__xludf.DUMMYFUNCTION("""COMPUTED_VALUE"""),7860)</f>
        <v>7860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IFERROR(__xludf.DUMMYFUNCTION("""COMPUTED_VALUE"""),6610)</f>
        <v>6610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IFERROR(__xludf.DUMMYFUNCTION("""COMPUTED_VALUE"""),1130)</f>
        <v>1130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IFERROR(__xludf.DUMMYFUNCTION("""COMPUTED_VALUE"""),1660)</f>
        <v>1660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IFERROR(__xludf.DUMMYFUNCTION("""COMPUTED_VALUE"""),4630)</f>
        <v>4630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IFERROR(__xludf.DUMMYFUNCTION("""COMPUTED_VALUE"""),1300)</f>
        <v>1300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IFERROR(__xludf.DUMMYFUNCTION("""COMPUTED_VALUE"""),1470)</f>
        <v>1470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IFERROR(__xludf.DUMMYFUNCTION("""COMPUTED_VALUE"""),2860)</f>
        <v>2860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IFERROR(__xludf.DUMMYFUNCTION("""COMPUTED_VALUE"""),1190)</f>
        <v>1190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IFERROR(__xludf.DUMMYFUNCTION("""COMPUTED_VALUE"""),160)</f>
        <v>160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IFERROR(__xludf.DUMMYFUNCTION("""COMPUTED_VALUE"""),510)</f>
        <v>510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IFERROR(__xludf.DUMMYFUNCTION("""COMPUTED_VALUE"""),320)</f>
        <v>320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IFERROR(__xludf.DUMMYFUNCTION("""COMPUTED_VALUE"""),3680)</f>
        <v>3680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IFERROR(__xludf.DUMMYFUNCTION("""COMPUTED_VALUE"""),640)</f>
        <v>640</v>
      </c>
      <c r="I131" t="str">
        <v>ENSINO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IFERROR(__xludf.DUMMYFUNCTION("""COMPUTED_VALUE"""),860)</f>
        <v>860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IFERROR(__xludf.DUMMYFUNCTION("""COMPUTED_VALUE"""),2090)</f>
        <v>2090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IFERROR(__xludf.DUMMYFUNCTION("""COMPUTED_VALUE"""),1610)</f>
        <v>1610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IFERROR(__xludf.DUMMYFUNCTION("""COMPUTED_VALUE"""),250)</f>
        <v>250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IFERROR(__xludf.DUMMYFUNCTION("""COMPUTED_VALUE"""),1700)</f>
        <v>1700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IFERROR(__xludf.DUMMYFUNCTION("""COMPUTED_VALUE"""),2380)</f>
        <v>2380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IFERROR(__xludf.DUMMYFUNCTION("""COMPUTED_VALUE"""),2380)</f>
        <v>2380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IFERROR(__xludf.DUMMYFUNCTION("""COMPUTED_VALUE"""),1000)</f>
        <v>1000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IFERROR(__xludf.DUMMYFUNCTION("""COMPUTED_VALUE"""),4760)</f>
        <v>4760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IFERROR(__xludf.DUMMYFUNCTION("""COMPUTED_VALUE"""),960)</f>
        <v>960</v>
      </c>
      <c r="I141" t="str">
        <v>ENSINO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IFERROR(__xludf.DUMMYFUNCTION("""COMPUTED_VALUE"""),1840)</f>
        <v>1840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IFERROR(__xludf.DUMMYFUNCTION("""COMPUTED_VALUE"""),2250)</f>
        <v>2250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IFERROR(__xludf.DUMMYFUNCTION("""COMPUTED_VALUE"""),2380)</f>
        <v>2380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IFERROR(__xludf.DUMMYFUNCTION("""COMPUTED_VALUE"""),1200)</f>
        <v>1200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IFERROR(__xludf.DUMMYFUNCTION("""COMPUTED_VALUE"""),1210)</f>
        <v>1210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IFERROR(__xludf.DUMMYFUNCTION("""COMPUTED_VALUE"""),3980)</f>
        <v>3980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IFERROR(__xludf.DUMMYFUNCTION("""COMPUTED_VALUE"""),11480)</f>
        <v>11480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IFERROR(__xludf.DUMMYFUNCTION("""COMPUTED_VALUE"""),30120)</f>
        <v>30120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IFERROR(__xludf.DUMMYFUNCTION("""COMPUTED_VALUE"""),12770)</f>
        <v>12770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IFERROR(__xludf.DUMMYFUNCTION("""COMPUTED_VALUE"""),2670)</f>
        <v>2670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IFERROR(__xludf.DUMMYFUNCTION("""COMPUTED_VALUE"""),17320)</f>
        <v>17320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IFERROR(__xludf.DUMMYFUNCTION("""COMPUTED_VALUE"""),2680)</f>
        <v>2680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IFERROR(__xludf.DUMMYFUNCTION("""COMPUTED_VALUE"""),14160)</f>
        <v>14160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IFERROR(__xludf.DUMMYFUNCTION("""COMPUTED_VALUE"""),9660)</f>
        <v>9660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IFERROR(__xludf.DUMMYFUNCTION("""COMPUTED_VALUE"""),8630)</f>
        <v>8630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IFERROR(__xludf.DUMMYFUNCTION("""COMPUTED_VALUE"""),9100)</f>
        <v>9100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IFERROR(__xludf.DUMMYFUNCTION("""COMPUTED_VALUE"""),11700)</f>
        <v>11700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IFERROR(__xludf.DUMMYFUNCTION("""COMPUTED_VALUE"""),7840)</f>
        <v>7840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IFERROR(__xludf.DUMMYFUNCTION("""COMPUTED_VALUE"""),1820)</f>
        <v>1820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IFERROR(__xludf.DUMMYFUNCTION("""COMPUTED_VALUE"""),2910)</f>
        <v>2910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IFERROR(__xludf.DUMMYFUNCTION("""COMPUTED_VALUE"""),3410)</f>
        <v>3410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IFERROR(__xludf.DUMMYFUNCTION("""COMPUTED_VALUE"""),1530)</f>
        <v>1530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IFERROR(__xludf.DUMMYFUNCTION("""COMPUTED_VALUE"""),1810)</f>
        <v>1810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IFERROR(__xludf.DUMMYFUNCTION("""COMPUTED_VALUE"""),490)</f>
        <v>490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IFERROR(__xludf.DUMMYFUNCTION("""COMPUTED_VALUE"""),1300)</f>
        <v>1300</v>
      </c>
      <c r="I166" t="str">
        <v>ENSINO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IFERROR(__xludf.DUMMYFUNCTION("""COMPUTED_VALUE"""),1090)</f>
        <v>1090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IFERROR(__xludf.DUMMYFUNCTION("""COMPUTED_VALUE"""),1250)</f>
        <v>1250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IFERROR(__xludf.DUMMYFUNCTION("""COMPUTED_VALUE"""),3060)</f>
        <v>3060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IFERROR(__xludf.DUMMYFUNCTION("""COMPUTED_VALUE"""),1070)</f>
        <v>1070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IFERROR(__xludf.DUMMYFUNCTION("""COMPUTED_VALUE"""),2040)</f>
        <v>2040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IFERROR(__xludf.DUMMYFUNCTION("""COMPUTED_VALUE"""),1820)</f>
        <v>1820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IFERROR(__xludf.DUMMYFUNCTION("""COMPUTED_VALUE"""),1490)</f>
        <v>1490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IFERROR(__xludf.DUMMYFUNCTION("""COMPUTED_VALUE"""),2350)</f>
        <v>2350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IFERROR(__xludf.DUMMYFUNCTION("""COMPUTED_VALUE"""),4940)</f>
        <v>4940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IFERROR(__xludf.DUMMYFUNCTION("""COMPUTED_VALUE"""),1910)</f>
        <v>1910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IFERROR(__xludf.DUMMYFUNCTION("""COMPUTED_VALUE"""),940)</f>
        <v>940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IFERROR(__xludf.DUMMYFUNCTION("""COMPUTED_VALUE"""),3080)</f>
        <v>3080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IFERROR(__xludf.DUMMYFUNCTION("""COMPUTED_VALUE"""),5250)</f>
        <v>5250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IFERROR(__xludf.DUMMYFUNCTION("""COMPUTED_VALUE"""),1860)</f>
        <v>1860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IFERROR(__xludf.DUMMYFUNCTION("""COMPUTED_VALUE"""),3370)</f>
        <v>3370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IFERROR(__xludf.DUMMYFUNCTION("""COMPUTED_VALUE"""),210)</f>
        <v>210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IFERROR(__xludf.DUMMYFUNCTION("""COMPUTED_VALUE"""),1080)</f>
        <v>1080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IFERROR(__xludf.DUMMYFUNCTION("""COMPUTED_VALUE"""),3780)</f>
        <v>3780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IFERROR(__xludf.DUMMYFUNCTION("""COMPUTED_VALUE"""),2890)</f>
        <v>2890</v>
      </c>
      <c r="I185" t="str">
        <v>ENSINO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IFERROR(__xludf.DUMMYFUNCTION("""COMPUTED_VALUE"""),900)</f>
        <v>900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IFERROR(__xludf.DUMMYFUNCTION("""COMPUTED_VALUE"""),2010)</f>
        <v>2010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IFERROR(__xludf.DUMMYFUNCTION("""COMPUTED_VALUE"""),1100)</f>
        <v>1100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IFERROR(__xludf.DUMMYFUNCTION("""COMPUTED_VALUE"""),2130)</f>
        <v>2130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IFERROR(__xludf.DUMMYFUNCTION("""COMPUTED_VALUE"""),500)</f>
        <v>500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IFERROR(__xludf.DUMMYFUNCTION("""COMPUTED_VALUE"""),350)</f>
        <v>350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IFERROR(__xludf.DUMMYFUNCTION("""COMPUTED_VALUE"""),5320)</f>
        <v>5320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IFERROR(__xludf.DUMMYFUNCTION("""COMPUTED_VALUE"""),90)</f>
        <v>90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IFERROR(__xludf.DUMMYFUNCTION("""COMPUTED_VALUE"""),1890)</f>
        <v>1890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IFERROR(__xludf.DUMMYFUNCTION("""COMPUTED_VALUE"""),1180)</f>
        <v>1180</v>
      </c>
      <c r="I195" t="str">
        <v>ENSINO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IFERROR(__xludf.DUMMYFUNCTION("""COMPUTED_VALUE"""),580)</f>
        <v>580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IFERROR(__xludf.DUMMYFUNCTION("""COMPUTED_VALUE"""),1320)</f>
        <v>1320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IFERROR(__xludf.DUMMYFUNCTION("""COMPUTED_VALUE"""),720)</f>
        <v>720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IFERROR(__xludf.DUMMYFUNCTION("""COMPUTED_VALUE"""),1480)</f>
        <v>1480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IFERROR(__xludf.DUMMYFUNCTION("""COMPUTED_VALUE"""),2340)</f>
        <v>2340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IFERROR(__xludf.DUMMYFUNCTION("""COMPUTED_VALUE"""),440)</f>
        <v>440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IFERROR(__xludf.DUMMYFUNCTION("""COMPUTED_VALUE"""),530)</f>
        <v>530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IFERROR(__xludf.DUMMYFUNCTION("""COMPUTED_VALUE"""),340)</f>
        <v>340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IFERROR(__xludf.DUMMYFUNCTION("""COMPUTED_VALUE"""),6440)</f>
        <v>6440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IFERROR(__xludf.DUMMYFUNCTION("""COMPUTED_VALUE"""),2360)</f>
        <v>2360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IFERROR(__xludf.DUMMYFUNCTION("""COMPUTED_VALUE"""),700)</f>
        <v>700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IFERROR(__xludf.DUMMYFUNCTION("""COMPUTED_VALUE"""),4900)</f>
        <v>4900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IFERROR(__xludf.DUMMYFUNCTION("""COMPUTED_VALUE"""),1440)</f>
        <v>1440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IFERROR(__xludf.DUMMYFUNCTION("""COMPUTED_VALUE"""),470)</f>
        <v>470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IFERROR(__xludf.DUMMYFUNCTION("""COMPUTED_VALUE"""),520)</f>
        <v>520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IFERROR(__xludf.DUMMYFUNCTION("""COMPUTED_VALUE"""),3230)</f>
        <v>3230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IFERROR(__xludf.DUMMYFUNCTION("""COMPUTED_VALUE"""),2100)</f>
        <v>2100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IFERROR(__xludf.DUMMYFUNCTION("""COMPUTED_VALUE"""),1740)</f>
        <v>1740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IFERROR(__xludf.DUMMYFUNCTION("""COMPUTED_VALUE"""),870)</f>
        <v>870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IFERROR(__xludf.DUMMYFUNCTION("""COMPUTED_VALUE"""),1810)</f>
        <v>1810</v>
      </c>
      <c r="I215" t="str">
        <v>ENSINO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IFERROR(__xludf.DUMMYFUNCTION("""COMPUTED_VALUE"""),2390)</f>
        <v>2390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IFERROR(__xludf.DUMMYFUNCTION("""COMPUTED_VALUE"""),700)</f>
        <v>700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IFERROR(__xludf.DUMMYFUNCTION("""COMPUTED_VALUE"""),1320)</f>
        <v>1320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IFERROR(__xludf.DUMMYFUNCTION("""COMPUTED_VALUE"""),910)</f>
        <v>910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IFERROR(__xludf.DUMMYFUNCTION("""COMPUTED_VALUE"""),2520)</f>
        <v>2520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IFERROR(__xludf.DUMMYFUNCTION("""COMPUTED_VALUE"""),2120)</f>
        <v>2120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IFERROR(__xludf.DUMMYFUNCTION("""COMPUTED_VALUE"""),1660)</f>
        <v>1660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IFERROR(__xludf.DUMMYFUNCTION("""COMPUTED_VALUE"""),1560)</f>
        <v>1560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IFERROR(__xludf.DUMMYFUNCTION("""COMPUTED_VALUE"""),900)</f>
        <v>900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IFERROR(__xludf.DUMMYFUNCTION("""COMPUTED_VALUE"""),470)</f>
        <v>470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IFERROR(__xludf.DUMMYFUNCTION("""COMPUTED_VALUE"""),290)</f>
        <v>290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IFERROR(__xludf.DUMMYFUNCTION("""COMPUTED_VALUE"""),2590)</f>
        <v>2590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IFERROR(__xludf.DUMMYFUNCTION("""COMPUTED_VALUE"""),860)</f>
        <v>860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IFERROR(__xludf.DUMMYFUNCTION("""COMPUTED_VALUE"""),3770)</f>
        <v>3770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IFERROR(__xludf.DUMMYFUNCTION("""COMPUTED_VALUE"""),2460)</f>
        <v>2460</v>
      </c>
      <c r="I230" t="str">
        <v>ENSINO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IFERROR(__xludf.DUMMYFUNCTION("""COMPUTED_VALUE"""),650)</f>
        <v>650</v>
      </c>
      <c r="I231" t="str">
        <v>ENSINO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A,B,C,D,E,F,G,R WHERE R&gt;0 label R 'ENSINO MEDIO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INTEGRAL")</f>
        <v>ENSINO MEDIO INTEGRAL</v>
      </c>
      <c r="I1" s="192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7">
        <f ca="1">IFERROR(__xludf.DUMMYFUNCTION("""COMPUTED_VALUE"""),3562)</f>
        <v>3562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7">
        <f ca="1">IFERROR(__xludf.DUMMYFUNCTION("""COMPUTED_VALUE"""),5206)</f>
        <v>5206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7">
        <f ca="1">IFERROR(__xludf.DUMMYFUNCTION("""COMPUTED_VALUE"""),8274.8)</f>
        <v>8274.7999999999993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7">
        <f ca="1">IFERROR(__xludf.DUMMYFUNCTION("""COMPUTED_VALUE"""),10850.4)</f>
        <v>10850.4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7">
        <f ca="1">IFERROR(__xludf.DUMMYFUNCTION("""COMPUTED_VALUE"""),712.4)</f>
        <v>712.4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7">
        <f ca="1">IFERROR(__xludf.DUMMYFUNCTION("""COMPUTED_VALUE"""),8220)</f>
        <v>8220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7">
        <f ca="1">IFERROR(__xludf.DUMMYFUNCTION("""COMPUTED_VALUE"""),2356.4)</f>
        <v>2356.4</v>
      </c>
      <c r="I10" t="str">
        <v>ENSINO MEDIO INTEGRAL</v>
      </c>
    </row>
    <row r="11" spans="1:9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7">
        <f ca="1">IFERROR(__xludf.DUMMYFUNCTION("""COMPUTED_VALUE"""),575.4)</f>
        <v>575.4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7">
        <f ca="1">IFERROR(__xludf.DUMMYFUNCTION("""COMPUTED_VALUE"""),767.199999999999)</f>
        <v>767.19999999999902</v>
      </c>
      <c r="I12" t="str">
        <v>ENSINO MEDIO INTEGRAL</v>
      </c>
    </row>
    <row r="13" spans="1:9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7">
        <f ca="1">IFERROR(__xludf.DUMMYFUNCTION("""COMPUTED_VALUE"""),2767.39999999999)</f>
        <v>2767.3999999999901</v>
      </c>
      <c r="I13" t="str">
        <v>ENSINO MEDIO INTEGRAL</v>
      </c>
    </row>
    <row r="14" spans="1:9" ht="12.75">
      <c r="A14" t="str">
        <f ca="1">IFERROR(__xludf.DUMMYFUNCTION("""COMPUTED_VALUE"""),"Pedro Afonso")</f>
        <v>Pedro Afonso</v>
      </c>
      <c r="B14" t="str">
        <f ca="1">IFERROR(__xludf.DUMMYFUNCTION("""COMPUTED_VALUE"""),"Tupirama")</f>
        <v>Tupirama</v>
      </c>
      <c r="C14" t="str">
        <f ca="1">IFERROR(__xludf.DUMMYFUNCTION("""COMPUTED_VALUE"""),"A.A. A ESCOLA EST. MARIA DA GLORIA")</f>
        <v>A.A. A ESCOLA EST. MARIA DA GLORIA</v>
      </c>
      <c r="D14" t="str">
        <f ca="1">IFERROR(__xludf.DUMMYFUNCTION("""COMPUTED_VALUE"""),"02096555000104")</f>
        <v>02096555000104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IFERROR(__xludf.DUMMYFUNCTION("""COMPUTED_VALUE"""),"50482")</f>
        <v>50482</v>
      </c>
      <c r="H14" s="7">
        <f ca="1">IFERROR(__xludf.DUMMYFUNCTION("""COMPUTED_VALUE"""),2383.79999999999)</f>
        <v>2383.7999999999902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IFERROR(__xludf.DUMMYFUNCTION("""COMPUTED_VALUE"""),"Monte do Carmo")</f>
        <v>Monte do Carmo</v>
      </c>
      <c r="C15" t="str">
        <f ca="1">IFERROR(__xludf.DUMMYFUNCTION("""COMPUTED_VALUE"""),"A.A. DA ESC. EST. BRIGADAS CHE GUEVARA")</f>
        <v>A.A. DA ESC. EST. BRIGADAS CHE GUEVARA</v>
      </c>
      <c r="D15" t="str">
        <f ca="1">IFERROR(__xludf.DUMMYFUNCTION("""COMPUTED_VALUE"""),"08593650000108")</f>
        <v>08593650000108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IFERROR(__xludf.DUMMYFUNCTION("""COMPUTED_VALUE"""),"263060")</f>
        <v>263060</v>
      </c>
      <c r="H15" s="7">
        <f ca="1">IFERROR(__xludf.DUMMYFUNCTION("""COMPUTED_VALUE"""),1287.8)</f>
        <v>1287.8</v>
      </c>
      <c r="I15" t="str">
        <v>ENSINO MEDIO INTEGRAL</v>
      </c>
    </row>
    <row r="16" spans="1:9" ht="12.75">
      <c r="A16" t="str">
        <f ca="1">IFERROR(__xludf.DUMMYFUNCTION("""COMPUTED_VALUE"""),"Porto Nacional")</f>
        <v>Porto Nacional</v>
      </c>
      <c r="B16" t="str">
        <f ca="1">IFERROR(__xludf.DUMMYFUNCTION("""COMPUTED_VALUE"""),"Porto Nacional")</f>
        <v>Porto Nacional</v>
      </c>
      <c r="C16" t="str">
        <f ca="1">IFERROR(__xludf.DUMMYFUNCTION("""COMPUTED_VALUE"""),"ASSOCIAÇÃO DE APOIO DA ESCOLA FAMÍLIA AGRÍCOLA")</f>
        <v>ASSOCIAÇÃO DE APOIO DA ESCOLA FAMÍLIA AGRÍCOLA</v>
      </c>
      <c r="D16" t="str">
        <f ca="1">IFERROR(__xludf.DUMMYFUNCTION("""COMPUTED_VALUE"""),"01197155000122")</f>
        <v>01197155000122</v>
      </c>
      <c r="E16" t="str">
        <f ca="1">IFERROR(__xludf.DUMMYFUNCTION("""COMPUTED_VALUE"""),"001")</f>
        <v>001</v>
      </c>
      <c r="F16" t="str">
        <f ca="1">IFERROR(__xludf.DUMMYFUNCTION("""COMPUTED_VALUE"""),"1117")</f>
        <v>1117</v>
      </c>
      <c r="G16" t="str">
        <f ca="1">IFERROR(__xludf.DUMMYFUNCTION("""COMPUTED_VALUE"""),"313483")</f>
        <v>313483</v>
      </c>
      <c r="H16" s="7">
        <f ca="1">IFERROR(__xludf.DUMMYFUNCTION("""COMPUTED_VALUE"""),5918.4)</f>
        <v>5918.4</v>
      </c>
      <c r="I16" t="str">
        <v>ENSINO MEDIO INTEGRAL</v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A,B,C,D,E,F,G,S WHERE S&gt;0 label S 'JOVEM AÇÃO'"")"),"REGIONAL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IFERROR(__xludf.DUMMYFUNCTION("""COMPUTED_VALUE"""),"JOVEM AÇÃO")</f>
        <v>JOVEM AÇÃO</v>
      </c>
      <c r="I1" s="192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IFERROR(__xludf.DUMMYFUNCTION("""COMPUTED_VALUE"""),11571.2)</f>
        <v>11571.2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IFERROR(__xludf.DUMMYFUNCTION("""COMPUTED_VALUE"""),7065.6)</f>
        <v>7065.6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IFERROR(__xludf.DUMMYFUNCTION("""COMPUTED_VALUE"""),10649.6)</f>
        <v>10649.6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IFERROR(__xludf.DUMMYFUNCTION("""COMPUTED_VALUE"""),7014.4)</f>
        <v>7014.4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IFERROR(__xludf.DUMMYFUNCTION("""COMPUTED_VALUE"""),15155.2)</f>
        <v>15155.2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IFERROR(__xludf.DUMMYFUNCTION("""COMPUTED_VALUE"""),8857.6)</f>
        <v>8857.6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IFERROR(__xludf.DUMMYFUNCTION("""COMPUTED_VALUE"""),2560)</f>
        <v>2560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7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7">
        <f ca="1">IFERROR(__xludf.DUMMYFUNCTION("""COMPUTED_VALUE"""),9881.6)</f>
        <v>9881.6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7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7">
        <f ca="1">IFERROR(__xludf.DUMMYFUNCTION("""COMPUTED_VALUE"""),4454.4)</f>
        <v>4454.3999999999996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7">
        <f ca="1">IFERROR(__xludf.DUMMYFUNCTION("""COMPUTED_VALUE"""),6348.8)</f>
        <v>6348.8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IFERROR(__xludf.DUMMYFUNCTION("""COMPUTED_VALUE"""),6758.4)</f>
        <v>6758.4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7">
        <f ca="1">IFERROR(__xludf.DUMMYFUNCTION("""COMPUTED_VALUE"""),11724.8)</f>
        <v>11724.8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7">
        <f ca="1">IFERROR(__xludf.DUMMYFUNCTION("""COMPUTED_VALUE"""),14950.4)</f>
        <v>14950.4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7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7">
        <f ca="1">IFERROR(__xludf.DUMMYFUNCTION("""COMPUTED_VALUE"""),5580.8)</f>
        <v>5580.8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IFERROR(__xludf.DUMMYFUNCTION("""COMPUTED_VALUE"""),7680)</f>
        <v>7680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7">
        <f ca="1">IFERROR(__xludf.DUMMYFUNCTION("""COMPUTED_VALUE"""),11161.6)</f>
        <v>11161.6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7">
        <f ca="1">IFERROR(__xludf.DUMMYFUNCTION("""COMPUTED_VALUE"""),35686.4)</f>
        <v>35686.400000000001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7">
        <f ca="1">IFERROR(__xludf.DUMMYFUNCTION("""COMPUTED_VALUE"""),9472)</f>
        <v>9472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7">
        <f ca="1">IFERROR(__xludf.DUMMYFUNCTION("""COMPUTED_VALUE"""),38297.6)</f>
        <v>38297.599999999999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7">
        <f ca="1">IFERROR(__xludf.DUMMYFUNCTION("""COMPUTED_VALUE"""),5324.8)</f>
        <v>5324.8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7">
        <f ca="1">IFERROR(__xludf.DUMMYFUNCTION("""COMPUTED_VALUE"""),8960)</f>
        <v>8960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7">
        <f ca="1">IFERROR(__xludf.DUMMYFUNCTION("""COMPUTED_VALUE"""),11878.4)</f>
        <v>11878.4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7">
        <f ca="1">IFERROR(__xludf.DUMMYFUNCTION("""COMPUTED_VALUE"""),8499.2)</f>
        <v>8499.2000000000007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7">
        <f ca="1">IFERROR(__xludf.DUMMYFUNCTION("""COMPUTED_VALUE"""),13926.4)</f>
        <v>13926.4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7">
        <f ca="1">IFERROR(__xludf.DUMMYFUNCTION("""COMPUTED_VALUE"""),9830.4)</f>
        <v>9830.4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7">
        <f ca="1">IFERROR(__xludf.DUMMYFUNCTION("""COMPUTED_VALUE"""),9113.6)</f>
        <v>9113.6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A,B,C,D,E,F,G,T WHERE T&gt;0 label T 'EJA'"")"),"REGIONAL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IFERROR(__xludf.DUMMYFUNCTION("""COMPUTED_VALUE"""),"EJA")</f>
        <v>EJA</v>
      </c>
      <c r="I1" s="192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IFERROR(__xludf.DUMMYFUNCTION("""COMPUTED_VALUE"""),262.4)</f>
        <v>262.39999999999998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IFERROR(__xludf.DUMMYFUNCTION("""COMPUTED_VALUE"""),1016.8)</f>
        <v>1016.8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IFERROR(__xludf.DUMMYFUNCTION("""COMPUTED_VALUE"""),1418.6)</f>
        <v>1418.6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IFERROR(__xludf.DUMMYFUNCTION("""COMPUTED_VALUE"""),1197.19999999999)</f>
        <v>1197.19999999999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IFERROR(__xludf.DUMMYFUNCTION("""COMPUTED_VALUE"""),844.599999999999)</f>
        <v>844.599999999999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IFERROR(__xludf.DUMMYFUNCTION("""COMPUTED_VALUE"""),1057.8)</f>
        <v>1057.8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IFERROR(__xludf.DUMMYFUNCTION("""COMPUTED_VALUE"""),98.3999999999999)</f>
        <v>98.399999999999906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IFERROR(__xludf.DUMMYFUNCTION("""COMPUTED_VALUE"""),65.6)</f>
        <v>65.599999999999994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IFERROR(__xludf.DUMMYFUNCTION("""COMPUTED_VALUE"""),180.399999999999)</f>
        <v>180.39999999999901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IFERROR(__xludf.DUMMYFUNCTION("""COMPUTED_VALUE"""),852.8)</f>
        <v>852.8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IFERROR(__xludf.DUMMYFUNCTION("""COMPUTED_VALUE"""),155.799999999999)</f>
        <v>155.79999999999899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IFERROR(__xludf.DUMMYFUNCTION("""COMPUTED_VALUE"""),754.4)</f>
        <v>754.4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IFERROR(__xludf.DUMMYFUNCTION("""COMPUTED_VALUE"""),508.4)</f>
        <v>508.4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IFERROR(__xludf.DUMMYFUNCTION("""COMPUTED_VALUE"""),500.199999999999)</f>
        <v>500.19999999999902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IFERROR(__xludf.DUMMYFUNCTION("""COMPUTED_VALUE"""),98.3999999999999)</f>
        <v>98.399999999999906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IFERROR(__xludf.DUMMYFUNCTION("""COMPUTED_VALUE"""),1500.6)</f>
        <v>1500.6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IFERROR(__xludf.DUMMYFUNCTION("""COMPUTED_VALUE"""),49.1999999999999)</f>
        <v>49.199999999999903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IFERROR(__xludf.DUMMYFUNCTION("""COMPUTED_VALUE"""),1221.8)</f>
        <v>1221.8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IFERROR(__xludf.DUMMYFUNCTION("""COMPUTED_VALUE"""),82)</f>
        <v>82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IFERROR(__xludf.DUMMYFUNCTION("""COMPUTED_VALUE"""),295.2)</f>
        <v>295.2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IFERROR(__xludf.DUMMYFUNCTION("""COMPUTED_VALUE"""),114.799999999999)</f>
        <v>114.799999999999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IFERROR(__xludf.DUMMYFUNCTION("""COMPUTED_VALUE"""),623.199999999999)</f>
        <v>623.19999999999902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IFERROR(__xludf.DUMMYFUNCTION("""COMPUTED_VALUE"""),196.799999999999)</f>
        <v>196.79999999999899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IFERROR(__xludf.DUMMYFUNCTION("""COMPUTED_VALUE"""),311.599999999999)</f>
        <v>311.599999999999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IFERROR(__xludf.DUMMYFUNCTION("""COMPUTED_VALUE"""),213.2)</f>
        <v>213.2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7">
        <f ca="1">IFERROR(__xludf.DUMMYFUNCTION("""COMPUTED_VALUE"""),147.6)</f>
        <v>147.6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7">
        <f ca="1">IFERROR(__xludf.DUMMYFUNCTION("""COMPUTED_VALUE"""),114.799999999999)</f>
        <v>114.799999999999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7">
        <f ca="1">IFERROR(__xludf.DUMMYFUNCTION("""COMPUTED_VALUE"""),491.999999999999)</f>
        <v>491.99999999999898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7">
        <f ca="1">IFERROR(__xludf.DUMMYFUNCTION("""COMPUTED_VALUE"""),754.4)</f>
        <v>754.4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7">
        <f ca="1">IFERROR(__xludf.DUMMYFUNCTION("""COMPUTED_VALUE"""),1131.6)</f>
        <v>1131.5999999999999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7">
        <f ca="1">IFERROR(__xludf.DUMMYFUNCTION("""COMPUTED_VALUE"""),98.3999999999999)</f>
        <v>98.399999999999906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7">
        <f ca="1">IFERROR(__xludf.DUMMYFUNCTION("""COMPUTED_VALUE"""),483.799999999999)</f>
        <v>483.79999999999899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7">
        <f ca="1">IFERROR(__xludf.DUMMYFUNCTION("""COMPUTED_VALUE"""),409.999999999999)</f>
        <v>409.99999999999898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7">
        <f ca="1">IFERROR(__xludf.DUMMYFUNCTION("""COMPUTED_VALUE"""),713.4)</f>
        <v>713.4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7">
        <f ca="1">IFERROR(__xludf.DUMMYFUNCTION("""COMPUTED_VALUE"""),155.799999999999)</f>
        <v>155.79999999999899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7">
        <f ca="1">IFERROR(__xludf.DUMMYFUNCTION("""COMPUTED_VALUE"""),131.2)</f>
        <v>131.19999999999999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7">
        <f ca="1">IFERROR(__xludf.DUMMYFUNCTION("""COMPUTED_VALUE"""),762.599999999999)</f>
        <v>762.599999999999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7">
        <f ca="1">IFERROR(__xludf.DUMMYFUNCTION("""COMPUTED_VALUE"""),336.2)</f>
        <v>336.2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7">
        <f ca="1">IFERROR(__xludf.DUMMYFUNCTION("""COMPUTED_VALUE"""),139.399999999999)</f>
        <v>139.39999999999901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7">
        <f ca="1">IFERROR(__xludf.DUMMYFUNCTION("""COMPUTED_VALUE"""),131.2)</f>
        <v>131.19999999999999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7">
        <f ca="1">IFERROR(__xludf.DUMMYFUNCTION("""COMPUTED_VALUE"""),180.399999999999)</f>
        <v>180.39999999999901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7">
        <f ca="1">IFERROR(__xludf.DUMMYFUNCTION("""COMPUTED_VALUE"""),754.4)</f>
        <v>754.4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7">
        <f ca="1">IFERROR(__xludf.DUMMYFUNCTION("""COMPUTED_VALUE"""),1516.99999999999)</f>
        <v>1516.99999999999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7">
        <f ca="1">IFERROR(__xludf.DUMMYFUNCTION("""COMPUTED_VALUE"""),500.199999999999)</f>
        <v>500.19999999999902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7">
        <f ca="1">IFERROR(__xludf.DUMMYFUNCTION("""COMPUTED_VALUE"""),254.2)</f>
        <v>254.2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7">
        <f ca="1">IFERROR(__xludf.DUMMYFUNCTION("""COMPUTED_VALUE"""),180.399999999999)</f>
        <v>180.39999999999901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7">
        <f ca="1">IFERROR(__xludf.DUMMYFUNCTION("""COMPUTED_VALUE"""),533)</f>
        <v>533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7">
        <f ca="1">IFERROR(__xludf.DUMMYFUNCTION("""COMPUTED_VALUE"""),590.4)</f>
        <v>590.4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7">
        <f ca="1">IFERROR(__xludf.DUMMYFUNCTION("""COMPUTED_VALUE"""),516.599999999999)</f>
        <v>516.599999999999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7">
        <f ca="1">IFERROR(__xludf.DUMMYFUNCTION("""COMPUTED_VALUE"""),582.199999999999)</f>
        <v>582.19999999999902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7">
        <f ca="1">IFERROR(__xludf.DUMMYFUNCTION("""COMPUTED_VALUE"""),122.999999999999)</f>
        <v>122.99999999999901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7">
        <f ca="1">IFERROR(__xludf.DUMMYFUNCTION("""COMPUTED_VALUE"""),360.799999999999)</f>
        <v>360.79999999999899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7">
        <f ca="1">IFERROR(__xludf.DUMMYFUNCTION("""COMPUTED_VALUE"""),1393.99999999999)</f>
        <v>1393.99999999999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7">
        <f ca="1">IFERROR(__xludf.DUMMYFUNCTION("""COMPUTED_VALUE"""),926.599999999999)</f>
        <v>926.599999999999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7">
        <f ca="1">IFERROR(__xludf.DUMMYFUNCTION("""COMPUTED_VALUE"""),426.4)</f>
        <v>426.4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7">
        <f ca="1">IFERROR(__xludf.DUMMYFUNCTION("""COMPUTED_VALUE"""),2025.39999999999)</f>
        <v>2025.3999999999901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7">
        <f ca="1">IFERROR(__xludf.DUMMYFUNCTION("""COMPUTED_VALUE"""),147.6)</f>
        <v>147.6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7">
        <f ca="1">IFERROR(__xludf.DUMMYFUNCTION("""COMPUTED_VALUE"""),139.399999999999)</f>
        <v>139.39999999999901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7">
        <f ca="1">IFERROR(__xludf.DUMMYFUNCTION("""COMPUTED_VALUE"""),65.6)</f>
        <v>65.599999999999994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7">
        <f ca="1">IFERROR(__xludf.DUMMYFUNCTION("""COMPUTED_VALUE"""),368.999999999999)</f>
        <v>368.99999999999898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7">
        <f ca="1">IFERROR(__xludf.DUMMYFUNCTION("""COMPUTED_VALUE"""),590.4)</f>
        <v>590.4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7">
        <f ca="1">IFERROR(__xludf.DUMMYFUNCTION("""COMPUTED_VALUE"""),41)</f>
        <v>41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7">
        <f ca="1">IFERROR(__xludf.DUMMYFUNCTION("""COMPUTED_VALUE"""),2886.39999999999)</f>
        <v>2886.3999999999901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7">
        <f ca="1">IFERROR(__xludf.DUMMYFUNCTION("""COMPUTED_VALUE"""),606.8)</f>
        <v>606.79999999999995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7">
        <f ca="1">IFERROR(__xludf.DUMMYFUNCTION("""COMPUTED_VALUE"""),426.4)</f>
        <v>426.4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7">
        <f ca="1">IFERROR(__xludf.DUMMYFUNCTION("""COMPUTED_VALUE"""),131.2)</f>
        <v>131.19999999999999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7">
        <f ca="1">IFERROR(__xludf.DUMMYFUNCTION("""COMPUTED_VALUE"""),155.799999999999)</f>
        <v>155.79999999999899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7">
        <f ca="1">IFERROR(__xludf.DUMMYFUNCTION("""COMPUTED_VALUE"""),114.799999999999)</f>
        <v>114.799999999999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7">
        <f ca="1">IFERROR(__xludf.DUMMYFUNCTION("""COMPUTED_VALUE"""),1869.6)</f>
        <v>1869.6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7">
        <f ca="1">IFERROR(__xludf.DUMMYFUNCTION("""COMPUTED_VALUE"""),442.799999999999)</f>
        <v>442.79999999999899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7">
        <f ca="1">IFERROR(__xludf.DUMMYFUNCTION("""COMPUTED_VALUE"""),1131.6)</f>
        <v>1131.5999999999999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7">
        <f ca="1">IFERROR(__xludf.DUMMYFUNCTION("""COMPUTED_VALUE"""),729.8)</f>
        <v>729.8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7">
        <f ca="1">IFERROR(__xludf.DUMMYFUNCTION("""COMPUTED_VALUE"""),877.4)</f>
        <v>877.4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7">
        <f ca="1">IFERROR(__xludf.DUMMYFUNCTION("""COMPUTED_VALUE"""),1213.6)</f>
        <v>1213.5999999999999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7">
        <f ca="1">IFERROR(__xludf.DUMMYFUNCTION("""COMPUTED_VALUE"""),1074.19999999999)</f>
        <v>1074.19999999999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7">
        <f ca="1">IFERROR(__xludf.DUMMYFUNCTION("""COMPUTED_VALUE"""),983.999999999999)</f>
        <v>983.99999999999898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7">
        <f ca="1">IFERROR(__xludf.DUMMYFUNCTION("""COMPUTED_VALUE"""),1574.39999999999)</f>
        <v>1574.3999999999901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7">
        <f ca="1">IFERROR(__xludf.DUMMYFUNCTION("""COMPUTED_VALUE"""),295.2)</f>
        <v>295.2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7">
        <f ca="1">IFERROR(__xludf.DUMMYFUNCTION("""COMPUTED_VALUE"""),73.8)</f>
        <v>73.8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7">
        <f ca="1">IFERROR(__xludf.DUMMYFUNCTION("""COMPUTED_VALUE"""),237.799999999999)</f>
        <v>237.79999999999899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7">
        <f ca="1">IFERROR(__xludf.DUMMYFUNCTION("""COMPUTED_VALUE"""),229.599999999999)</f>
        <v>229.599999999999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7">
        <f ca="1">IFERROR(__xludf.DUMMYFUNCTION("""COMPUTED_VALUE"""),254.2)</f>
        <v>254.2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7">
        <f ca="1">IFERROR(__xludf.DUMMYFUNCTION("""COMPUTED_VALUE"""),122.999999999999)</f>
        <v>122.99999999999901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7">
        <f ca="1">IFERROR(__xludf.DUMMYFUNCTION("""COMPUTED_VALUE"""),106.6)</f>
        <v>106.6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7">
        <f ca="1">IFERROR(__xludf.DUMMYFUNCTION("""COMPUTED_VALUE"""),65.6)</f>
        <v>65.599999999999994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7">
        <f ca="1">IFERROR(__xludf.DUMMYFUNCTION("""COMPUTED_VALUE"""),122.999999999999)</f>
        <v>122.99999999999901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7">
        <f ca="1">IFERROR(__xludf.DUMMYFUNCTION("""COMPUTED_VALUE"""),106.6)</f>
        <v>106.6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7">
        <f ca="1">IFERROR(__xludf.DUMMYFUNCTION("""COMPUTED_VALUE"""),639.599999999999)</f>
        <v>639.599999999999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7">
        <f ca="1">IFERROR(__xludf.DUMMYFUNCTION("""COMPUTED_VALUE"""),549.4)</f>
        <v>549.4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7">
        <f ca="1">IFERROR(__xludf.DUMMYFUNCTION("""COMPUTED_VALUE"""),106.6)</f>
        <v>106.6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7">
        <f ca="1">IFERROR(__xludf.DUMMYFUNCTION("""COMPUTED_VALUE"""),328)</f>
        <v>328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7">
        <f ca="1">IFERROR(__xludf.DUMMYFUNCTION("""COMPUTED_VALUE"""),885.599999999999)</f>
        <v>885.599999999999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7">
        <f ca="1">IFERROR(__xludf.DUMMYFUNCTION("""COMPUTED_VALUE"""),754.4)</f>
        <v>754.4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7">
        <f ca="1">IFERROR(__xludf.DUMMYFUNCTION("""COMPUTED_VALUE"""),106.6)</f>
        <v>106.6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IFERROR(__xludf.DUMMYFUNCTION("""COMPUTED_VALUE"""),"Fatima")</f>
        <v>Fatima</v>
      </c>
      <c r="C98" t="str">
        <f ca="1">IFERROR(__xludf.DUMMYFUNCTION("""COMPUTED_VALUE"""),"ASSOC. DE APOIO A ESCOLA ESPECIAL RENASCER")</f>
        <v>ASSOC. DE APOIO A ESCOLA ESPECIAL RENASCER</v>
      </c>
      <c r="D98" t="str">
        <f ca="1">IFERROR(__xludf.DUMMYFUNCTION("""COMPUTED_VALUE"""),"11726757000183")</f>
        <v>11726757000183</v>
      </c>
      <c r="E98" t="str">
        <f ca="1">IFERROR(__xludf.DUMMYFUNCTION("""COMPUTED_VALUE"""),"001")</f>
        <v>001</v>
      </c>
      <c r="F98" t="str">
        <f ca="1">IFERROR(__xludf.DUMMYFUNCTION("""COMPUTED_VALUE"""),"4107")</f>
        <v>4107</v>
      </c>
      <c r="G98" t="str">
        <f ca="1">IFERROR(__xludf.DUMMYFUNCTION("""COMPUTED_VALUE"""),"7991X")</f>
        <v>7991X</v>
      </c>
      <c r="H98" s="7">
        <f ca="1">IFERROR(__xludf.DUMMYFUNCTION("""COMPUTED_VALUE"""),270.599999999999)</f>
        <v>270.599999999999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IFERROR(__xludf.DUMMYFUNCTION("""COMPUTED_VALUE"""),"Ipueiras")</f>
        <v>Ipueiras</v>
      </c>
      <c r="C99" t="str">
        <f ca="1">IFERROR(__xludf.DUMMYFUNCTION("""COMPUTED_VALUE"""),"ASSOC. DE APOIO DA ESC. EST. FELIX CAMOA")</f>
        <v>ASSOC. DE APOIO DA ESC. EST. FELIX CAMOA</v>
      </c>
      <c r="D99" t="str">
        <f ca="1">IFERROR(__xludf.DUMMYFUNCTION("""COMPUTED_VALUE"""),"01469443000199")</f>
        <v>01469443000199</v>
      </c>
      <c r="E99" t="str">
        <f ca="1">IFERROR(__xludf.DUMMYFUNCTION("""COMPUTED_VALUE"""),"001")</f>
        <v>001</v>
      </c>
      <c r="F99" t="str">
        <f ca="1">IFERROR(__xludf.DUMMYFUNCTION("""COMPUTED_VALUE"""),"1117")</f>
        <v>1117</v>
      </c>
      <c r="G99" t="str">
        <f ca="1">IFERROR(__xludf.DUMMYFUNCTION("""COMPUTED_VALUE"""),"315052")</f>
        <v>315052</v>
      </c>
      <c r="H99" s="7">
        <f ca="1">IFERROR(__xludf.DUMMYFUNCTION("""COMPUTED_VALUE"""),122.999999999999)</f>
        <v>122.99999999999901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IFERROR(__xludf.DUMMYFUNCTION("""COMPUTED_VALUE"""),"Monte do Carmo")</f>
        <v>Monte do Carmo</v>
      </c>
      <c r="C100" t="str">
        <f ca="1">IFERROR(__xludf.DUMMYFUNCTION("""COMPUTED_VALUE"""),"A.A.  DO COLEGIO EST. PADRE GAMA")</f>
        <v>A.A.  DO COLEGIO EST. PADRE GAMA</v>
      </c>
      <c r="D100" t="str">
        <f ca="1">IFERROR(__xludf.DUMMYFUNCTION("""COMPUTED_VALUE"""),"01071443000136")</f>
        <v>01071443000136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IFERROR(__xludf.DUMMYFUNCTION("""COMPUTED_VALUE"""),"0312878")</f>
        <v>0312878</v>
      </c>
      <c r="H100" s="7">
        <f ca="1">IFERROR(__xludf.DUMMYFUNCTION("""COMPUTED_VALUE"""),188.6)</f>
        <v>188.6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IFERROR(__xludf.DUMMYFUNCTION("""COMPUTED_VALUE"""),"Natividade")</f>
        <v>Natividade</v>
      </c>
      <c r="C101" t="str">
        <f ca="1">IFERROR(__xludf.DUMMYFUNCTION("""COMPUTED_VALUE"""),"ASSOC. DE APOIO A ESC. ESPECIAL TIA CORACI DE SENA FERNANDES")</f>
        <v>ASSOC. DE APOIO A ESC. ESPECIAL TIA CORACI DE SENA FERNANDES</v>
      </c>
      <c r="D101" t="str">
        <f ca="1">IFERROR(__xludf.DUMMYFUNCTION("""COMPUTED_VALUE"""),"17163914000176")</f>
        <v>17163914000176</v>
      </c>
      <c r="E101" t="str">
        <f ca="1">IFERROR(__xludf.DUMMYFUNCTION("""COMPUTED_VALUE"""),"001")</f>
        <v>001</v>
      </c>
      <c r="F101" t="str">
        <f ca="1">IFERROR(__xludf.DUMMYFUNCTION("""COMPUTED_VALUE"""),"2334")</f>
        <v>2334</v>
      </c>
      <c r="G101" t="str">
        <f ca="1">IFERROR(__xludf.DUMMYFUNCTION("""COMPUTED_VALUE"""),"19860")</f>
        <v>19860</v>
      </c>
      <c r="H101" s="7">
        <f ca="1">IFERROR(__xludf.DUMMYFUNCTION("""COMPUTED_VALUE"""),368.999999999999)</f>
        <v>368.99999999999898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IFERROR(__xludf.DUMMYFUNCTION("""COMPUTED_VALUE"""),"Oliveira de Fatima")</f>
        <v>Oliveira de Fatima</v>
      </c>
      <c r="C102" t="str">
        <f ca="1">IFERROR(__xludf.DUMMYFUNCTION("""COMPUTED_VALUE"""),"ASS. DE APOIO DA ESC. EST.RIACHUELO")</f>
        <v>ASS. DE APOIO DA ESC. EST.RIACHUELO</v>
      </c>
      <c r="D102" t="str">
        <f ca="1">IFERROR(__xludf.DUMMYFUNCTION("""COMPUTED_VALUE"""),"01696068000110")</f>
        <v>01696068000110</v>
      </c>
      <c r="E102" t="str">
        <f ca="1">IFERROR(__xludf.DUMMYFUNCTION("""COMPUTED_VALUE"""),"001")</f>
        <v>001</v>
      </c>
      <c r="F102" t="str">
        <f ca="1">IFERROR(__xludf.DUMMYFUNCTION("""COMPUTED_VALUE"""),"4107")</f>
        <v>4107</v>
      </c>
      <c r="G102" t="str">
        <f ca="1">IFERROR(__xludf.DUMMYFUNCTION("""COMPUTED_VALUE"""),"319511")</f>
        <v>319511</v>
      </c>
      <c r="H102" s="7">
        <f ca="1">IFERROR(__xludf.DUMMYFUNCTION("""COMPUTED_VALUE"""),90.1999999999999)</f>
        <v>90.199999999999903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IFERROR(__xludf.DUMMYFUNCTION("""COMPUTED_VALUE"""),"Ponte Alta do Tocantins")</f>
        <v>Ponte Alta do Tocantins</v>
      </c>
      <c r="C103" t="str">
        <f ca="1">IFERROR(__xludf.DUMMYFUNCTION("""COMPUTED_VALUE"""),"ASS. DE APOIO A ESCOLA EST. ESPECIAL AMILSON FRAZÃO DOS REIS")</f>
        <v>ASS. DE APOIO A ESCOLA EST. ESPECIAL AMILSON FRAZÃO DOS REIS</v>
      </c>
      <c r="D103" t="str">
        <f ca="1">IFERROR(__xludf.DUMMYFUNCTION("""COMPUTED_VALUE"""),"20309905000155")</f>
        <v>20309905000155</v>
      </c>
      <c r="E103" t="str">
        <f ca="1">IFERROR(__xludf.DUMMYFUNCTION("""COMPUTED_VALUE"""),"001")</f>
        <v>001</v>
      </c>
      <c r="F103" t="str">
        <f ca="1">IFERROR(__xludf.DUMMYFUNCTION("""COMPUTED_VALUE"""),"1117")</f>
        <v>1117</v>
      </c>
      <c r="G103" t="str">
        <f ca="1">IFERROR(__xludf.DUMMYFUNCTION("""COMPUTED_VALUE"""),"567426")</f>
        <v>567426</v>
      </c>
      <c r="H103" s="7">
        <f ca="1">IFERROR(__xludf.DUMMYFUNCTION("""COMPUTED_VALUE"""),393.599999999999)</f>
        <v>393.599999999999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IFERROR(__xludf.DUMMYFUNCTION("""COMPUTED_VALUE"""),"Porto Nacional")</f>
        <v>Porto Nacional</v>
      </c>
      <c r="C104" t="str">
        <f ca="1">IFERROR(__xludf.DUMMYFUNCTION("""COMPUTED_VALUE"""),"ASSOC. DE A.DO CEM PROFº. FLORÊNCIO AIRES DA SILVA")</f>
        <v>ASSOC. DE A.DO CEM PROFº. FLORÊNCIO AIRES DA SILVA</v>
      </c>
      <c r="D104" t="str">
        <f ca="1">IFERROR(__xludf.DUMMYFUNCTION("""COMPUTED_VALUE"""),"01138326000142")</f>
        <v>01138326000142</v>
      </c>
      <c r="E104" t="str">
        <f ca="1">IFERROR(__xludf.DUMMYFUNCTION("""COMPUTED_VALUE"""),"001")</f>
        <v>001</v>
      </c>
      <c r="F104" t="str">
        <f ca="1">IFERROR(__xludf.DUMMYFUNCTION("""COMPUTED_VALUE"""),"1117")</f>
        <v>1117</v>
      </c>
      <c r="G104" t="str">
        <f ca="1">IFERROR(__xludf.DUMMYFUNCTION("""COMPUTED_VALUE"""),"5500X")</f>
        <v>5500X</v>
      </c>
      <c r="H104" s="7">
        <f ca="1">IFERROR(__xludf.DUMMYFUNCTION("""COMPUTED_VALUE"""),442.799999999999)</f>
        <v>442.79999999999899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IFERROR(__xludf.DUMMYFUNCTION("""COMPUTED_VALUE"""),"Porto Nacional")</f>
        <v>Porto Nacional</v>
      </c>
      <c r="C105" t="str">
        <f ca="1">IFERROR(__xludf.DUMMYFUNCTION("""COMPUTED_VALUE"""),"A. ESCOL.COM. ESC. EST. MAL.ARTUR C.E SILVA")</f>
        <v>A. ESCOL.COM. ESC. EST. MAL.ARTUR C.E SILVA</v>
      </c>
      <c r="D105" t="str">
        <f ca="1">IFERROR(__xludf.DUMMYFUNCTION("""COMPUTED_VALUE"""),"01112763000197")</f>
        <v>01112763000197</v>
      </c>
      <c r="E105" t="str">
        <f ca="1">IFERROR(__xludf.DUMMYFUNCTION("""COMPUTED_VALUE"""),"104")</f>
        <v>104</v>
      </c>
      <c r="F105" t="str">
        <f ca="1">IFERROR(__xludf.DUMMYFUNCTION("""COMPUTED_VALUE"""),"1829")</f>
        <v>1829</v>
      </c>
      <c r="G105" t="str">
        <f ca="1">IFERROR(__xludf.DUMMYFUNCTION("""COMPUTED_VALUE"""),"307364")</f>
        <v>307364</v>
      </c>
      <c r="H105" s="7">
        <f ca="1">IFERROR(__xludf.DUMMYFUNCTION("""COMPUTED_VALUE"""),656)</f>
        <v>656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IFERROR(__xludf.DUMMYFUNCTION("""COMPUTED_VALUE"""),"ASSOC.P.A.DOS EXCEP. DE PORTO NACIONAL")</f>
        <v>ASSOC.P.A.DOS EXCEP. DE PORTO NACIONAL</v>
      </c>
      <c r="D106" t="str">
        <f ca="1">IFERROR(__xludf.DUMMYFUNCTION("""COMPUTED_VALUE"""),"26752113000137")</f>
        <v>26752113000137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IFERROR(__xludf.DUMMYFUNCTION("""COMPUTED_VALUE"""),"86657")</f>
        <v>86657</v>
      </c>
      <c r="H106" s="7">
        <f ca="1">IFERROR(__xludf.DUMMYFUNCTION("""COMPUTED_VALUE"""),672.4)</f>
        <v>672.4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IFERROR(__xludf.DUMMYFUNCTION("""COMPUTED_VALUE"""),"A.A. DA ESC. EST. ALCIDES RODRIGUES AIRES")</f>
        <v>A.A. DA ESC. EST. ALCIDES RODRIGUES AIRES</v>
      </c>
      <c r="D107" t="str">
        <f ca="1">IFERROR(__xludf.DUMMYFUNCTION("""COMPUTED_VALUE"""),"03495455000113")</f>
        <v>03495455000113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IFERROR(__xludf.DUMMYFUNCTION("""COMPUTED_VALUE"""),"77143")</f>
        <v>77143</v>
      </c>
      <c r="H107" s="7">
        <f ca="1">IFERROR(__xludf.DUMMYFUNCTION("""COMPUTED_VALUE"""),360.799999999999)</f>
        <v>360.79999999999899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IFERROR(__xludf.DUMMYFUNCTION("""COMPUTED_VALUE"""),"Santa Rosa do Tocantins")</f>
        <v>Santa Rosa do Tocantins</v>
      </c>
      <c r="C108" t="str">
        <f ca="1">IFERROR(__xludf.DUMMYFUNCTION("""COMPUTED_VALUE"""),"A.A. E. E. TENENTE SALVADOR RIBEIRO")</f>
        <v>A.A. E. E. TENENTE SALVADOR RIBEIRO</v>
      </c>
      <c r="D108" t="str">
        <f ca="1">IFERROR(__xludf.DUMMYFUNCTION("""COMPUTED_VALUE"""),"01066424000111")</f>
        <v>01066424000111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IFERROR(__xludf.DUMMYFUNCTION("""COMPUTED_VALUE"""),"332623")</f>
        <v>332623</v>
      </c>
      <c r="H108" s="7">
        <f ca="1">IFERROR(__xludf.DUMMYFUNCTION("""COMPUTED_VALUE"""),114.799999999999)</f>
        <v>114.799999999999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IFERROR(__xludf.DUMMYFUNCTION("""COMPUTED_VALUE"""),"Silvanopolis")</f>
        <v>Silvanopolis</v>
      </c>
      <c r="C109" t="str">
        <f ca="1">IFERROR(__xludf.DUMMYFUNCTION("""COMPUTED_VALUE"""),"A.A. A ESC. EST. JOAO PIRES QUERIDO")</f>
        <v>A.A. A ESC. EST. JOAO PIRES QUERIDO</v>
      </c>
      <c r="D109" t="str">
        <f ca="1">IFERROR(__xludf.DUMMYFUNCTION("""COMPUTED_VALUE"""),"01284632000197")</f>
        <v>01284632000197</v>
      </c>
      <c r="E109" t="str">
        <f ca="1">IFERROR(__xludf.DUMMYFUNCTION("""COMPUTED_VALUE"""),"001")</f>
        <v>001</v>
      </c>
      <c r="F109" t="str">
        <f ca="1">IFERROR(__xludf.DUMMYFUNCTION("""COMPUTED_VALUE"""),"3980")</f>
        <v>3980</v>
      </c>
      <c r="G109" t="str">
        <f ca="1">IFERROR(__xludf.DUMMYFUNCTION("""COMPUTED_VALUE"""),"051187")</f>
        <v>051187</v>
      </c>
      <c r="H109" s="7">
        <f ca="1">IFERROR(__xludf.DUMMYFUNCTION("""COMPUTED_VALUE"""),106.6)</f>
        <v>106.6</v>
      </c>
      <c r="I109" t="str">
        <v>EJA</v>
      </c>
    </row>
    <row r="110" spans="1:9" ht="12.75">
      <c r="A110" t="str">
        <f ca="1">IFERROR(__xludf.DUMMYFUNCTION("""COMPUTED_VALUE"""),"Tocantinópolis")</f>
        <v>Tocantinópolis</v>
      </c>
      <c r="B110" t="str">
        <f ca="1">IFERROR(__xludf.DUMMYFUNCTION("""COMPUTED_VALUE"""),"Itaguatins")</f>
        <v>Itaguatins</v>
      </c>
      <c r="C110" t="str">
        <f ca="1">IFERROR(__xludf.DUMMYFUNCTION("""COMPUTED_VALUE"""),"ASS. DE APOIO ESC. EST. OLAVO BILAC")</f>
        <v>ASS. DE APOIO ESC. EST. OLAVO BILAC</v>
      </c>
      <c r="D110" t="str">
        <f ca="1">IFERROR(__xludf.DUMMYFUNCTION("""COMPUTED_VALUE"""),"01358337000138")</f>
        <v>01358337000138</v>
      </c>
      <c r="E110" t="str">
        <f ca="1">IFERROR(__xludf.DUMMYFUNCTION("""COMPUTED_VALUE"""),"001")</f>
        <v>001</v>
      </c>
      <c r="F110" t="str">
        <f ca="1">IFERROR(__xludf.DUMMYFUNCTION("""COMPUTED_VALUE"""),"0810")</f>
        <v>0810</v>
      </c>
      <c r="G110" t="str">
        <f ca="1">IFERROR(__xludf.DUMMYFUNCTION("""COMPUTED_VALUE"""),"218391")</f>
        <v>218391</v>
      </c>
      <c r="H110" s="7">
        <f ca="1">IFERROR(__xludf.DUMMYFUNCTION("""COMPUTED_VALUE"""),122.999999999999)</f>
        <v>122.99999999999901</v>
      </c>
      <c r="I110" t="str">
        <v>EJA</v>
      </c>
    </row>
    <row r="111" spans="1:9" ht="12.75">
      <c r="A111" t="str">
        <f ca="1">IFERROR(__xludf.DUMMYFUNCTION("""COMPUTED_VALUE"""),"Tocantinópolis")</f>
        <v>Tocantinópolis</v>
      </c>
      <c r="B111" t="str">
        <f ca="1">IFERROR(__xludf.DUMMYFUNCTION("""COMPUTED_VALUE"""),"Nazare")</f>
        <v>Nazare</v>
      </c>
      <c r="C111" t="str">
        <f ca="1">IFERROR(__xludf.DUMMYFUNCTION("""COMPUTED_VALUE"""),"ASSOC. DE APOIO A ESC. EST.ESPECIAL BEM VIVER")</f>
        <v>ASSOC. DE APOIO A ESC. EST.ESPECIAL BEM VIVER</v>
      </c>
      <c r="D111" t="str">
        <f ca="1">IFERROR(__xludf.DUMMYFUNCTION("""COMPUTED_VALUE"""),"10520927000106")</f>
        <v>10520927000106</v>
      </c>
      <c r="E111" t="str">
        <f ca="1">IFERROR(__xludf.DUMMYFUNCTION("""COMPUTED_VALUE"""),"001")</f>
        <v>001</v>
      </c>
      <c r="F111" t="str">
        <f ca="1">IFERROR(__xludf.DUMMYFUNCTION("""COMPUTED_VALUE"""),"0810")</f>
        <v>0810</v>
      </c>
      <c r="G111" t="str">
        <f ca="1">IFERROR(__xludf.DUMMYFUNCTION("""COMPUTED_VALUE"""),"200336")</f>
        <v>200336</v>
      </c>
      <c r="H111" s="7">
        <f ca="1">IFERROR(__xludf.DUMMYFUNCTION("""COMPUTED_VALUE"""),475.599999999999)</f>
        <v>475.599999999999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IFERROR(__xludf.DUMMYFUNCTION("""COMPUTED_VALUE"""),"Nazare")</f>
        <v>Nazare</v>
      </c>
      <c r="C112" t="str">
        <f ca="1">IFERROR(__xludf.DUMMYFUNCTION("""COMPUTED_VALUE"""),"A.A.  DA ESCOLA ESTADUAL PIACAVA")</f>
        <v>A.A.  DA ESCOLA ESTADUAL PIACAVA</v>
      </c>
      <c r="D112" t="str">
        <f ca="1">IFERROR(__xludf.DUMMYFUNCTION("""COMPUTED_VALUE"""),"01230239000110")</f>
        <v>01230239000110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IFERROR(__xludf.DUMMYFUNCTION("""COMPUTED_VALUE"""),"217883")</f>
        <v>217883</v>
      </c>
      <c r="H112" s="7">
        <f ca="1">IFERROR(__xludf.DUMMYFUNCTION("""COMPUTED_VALUE"""),196.799999999999)</f>
        <v>196.79999999999899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IFERROR(__xludf.DUMMYFUNCTION("""COMPUTED_VALUE"""),"Tocantinopolis")</f>
        <v>Tocantinopolis</v>
      </c>
      <c r="C113" t="str">
        <f ca="1">IFERROR(__xludf.DUMMYFUNCTION("""COMPUTED_VALUE"""),"A.A. DO COL.PADRAO/JOSÉ CARNEIRO DE BRITO")</f>
        <v>A.A. DO COL.PADRAO/JOSÉ CARNEIRO DE BRITO</v>
      </c>
      <c r="D113" t="str">
        <f ca="1">IFERROR(__xludf.DUMMYFUNCTION("""COMPUTED_VALUE"""),"03880040000163")</f>
        <v>03880040000163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IFERROR(__xludf.DUMMYFUNCTION("""COMPUTED_VALUE"""),"81884")</f>
        <v>81884</v>
      </c>
      <c r="H113" s="7">
        <f ca="1">IFERROR(__xludf.DUMMYFUNCTION("""COMPUTED_VALUE"""),500.199999999999)</f>
        <v>500.19999999999902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IFERROR(__xludf.DUMMYFUNCTION("""COMPUTED_VALUE"""),"Tocantinopolis")</f>
        <v>Tocantinopolis</v>
      </c>
      <c r="C114" t="str">
        <f ca="1">IFERROR(__xludf.DUMMYFUNCTION("""COMPUTED_VALUE"""),"ASSOCIAÇÃO DE APOIO A ESCOLA ESPECIAL UM PASSO DIFERENTE -APAE")</f>
        <v>ASSOCIAÇÃO DE APOIO A ESCOLA ESPECIAL UM PASSO DIFERENTE -APAE</v>
      </c>
      <c r="D114" t="str">
        <f ca="1">IFERROR(__xludf.DUMMYFUNCTION("""COMPUTED_VALUE"""),"08012610000117")</f>
        <v>08012610000117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IFERROR(__xludf.DUMMYFUNCTION("""COMPUTED_VALUE"""),"204250")</f>
        <v>204250</v>
      </c>
      <c r="H114" s="7">
        <f ca="1">IFERROR(__xludf.DUMMYFUNCTION("""COMPUTED_VALUE"""),696.999999999999)</f>
        <v>696.99999999999898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 ESCOLAR COM. PE. GIULIANO MORETTI")</f>
        <v>A. ESCOLAR COM. PE. GIULIANO MORETTI</v>
      </c>
      <c r="D115" t="str">
        <f ca="1">IFERROR(__xludf.DUMMYFUNCTION("""COMPUTED_VALUE"""),"00900202000190")</f>
        <v>00900202000190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IFERROR(__xludf.DUMMYFUNCTION("""COMPUTED_VALUE"""),"217484")</f>
        <v>217484</v>
      </c>
      <c r="H115" s="7">
        <f ca="1">IFERROR(__xludf.DUMMYFUNCTION("""COMPUTED_VALUE"""),475.599999999999)</f>
        <v>475.599999999999</v>
      </c>
      <c r="I115" t="str">
        <v>EJA</v>
      </c>
    </row>
    <row r="116" spans="1:9" ht="12.75">
      <c r="I116" t="str">
        <v/>
      </c>
    </row>
    <row r="117" spans="1:9" ht="12.75">
      <c r="I117" t="str">
        <v/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Z1312"/>
  <sheetViews>
    <sheetView workbookViewId="0"/>
  </sheetViews>
  <sheetFormatPr defaultColWidth="12.5703125" defaultRowHeight="15.75" customHeight="1"/>
  <cols>
    <col min="1" max="1" width="15.7109375" customWidth="1"/>
    <col min="2" max="2" width="22.42578125" customWidth="1"/>
    <col min="3" max="3" width="58" customWidth="1"/>
    <col min="4" max="4" width="18" customWidth="1"/>
    <col min="5" max="5" width="8.7109375" customWidth="1"/>
    <col min="6" max="6" width="9" customWidth="1"/>
    <col min="7" max="7" width="14.140625" customWidth="1"/>
    <col min="8" max="8" width="23.5703125" customWidth="1"/>
    <col min="9" max="9" width="18.140625" customWidth="1"/>
  </cols>
  <sheetData>
    <row r="1" spans="1:26" ht="81.75" customHeight="1">
      <c r="A1" s="193"/>
      <c r="B1" s="194"/>
      <c r="C1" s="195" t="s">
        <v>75</v>
      </c>
      <c r="D1" s="196"/>
      <c r="E1" s="197"/>
      <c r="F1" s="197"/>
      <c r="G1" s="198"/>
      <c r="H1" s="199" t="s">
        <v>76</v>
      </c>
      <c r="I1" s="200">
        <f ca="1">SUBTOTAL(9,I3:I1020)</f>
        <v>2181322.1999999993</v>
      </c>
    </row>
    <row r="2" spans="1:26" ht="62.25" customHeight="1">
      <c r="A2" s="201" t="s">
        <v>5</v>
      </c>
      <c r="B2" s="201" t="s">
        <v>6</v>
      </c>
      <c r="C2" s="201" t="str">
        <f ca="1">"UNIDADES EXECUTORAS = " &amp; COUNTA(C5:C410)</f>
        <v>UNIDADES EXECUTORAS = 406</v>
      </c>
      <c r="D2" s="201" t="s">
        <v>9</v>
      </c>
      <c r="E2" s="202" t="s">
        <v>1</v>
      </c>
      <c r="F2" s="202" t="s">
        <v>2</v>
      </c>
      <c r="G2" s="203" t="s">
        <v>3</v>
      </c>
      <c r="H2" s="204" t="s">
        <v>77</v>
      </c>
      <c r="I2" s="205" t="s">
        <v>78</v>
      </c>
    </row>
    <row r="3" spans="1:26" ht="14.25" customHeight="1">
      <c r="A3" s="206" t="str">
        <f ca="1">IFERROR(__xludf.DUMMYFUNCTION("QUERY({BASE_FNDE1!A1:I1312;BASE_FNDE2!A2:I1312;BASE_FNDE3!A2:I1312;BASE_FNDE4!A2:I1312;BASE_FNDE5!A2:I1312;BASE_FNDE6!A2:I1312;BASE_FNDE7!A2:I1312;BASE_FNDE8!A2:I1312;BASE_FNDE9!A2:I1312;BASE_FNDE10!A2:I1312}, ""SELECT Col1,Col2,Col3,Col4,Col5,Col6,Col7,C"&amp;"ol9,Col8 WHERE Col8&gt;0 ORDER BY Col1,Col2,Col4"")"),"REGIONAL ")</f>
        <v xml:space="preserve">REGIONAL </v>
      </c>
      <c r="B3" s="206" t="str">
        <f ca="1">IFERROR(__xludf.DUMMYFUNCTION("""COMPUTED_VALUE"""),"MUNICÍPIO")</f>
        <v>MUNICÍPIO</v>
      </c>
      <c r="C3" s="206" t="str">
        <f ca="1">IFERROR(__xludf.DUMMYFUNCTION("""COMPUTED_VALUE"""),"")</f>
        <v/>
      </c>
      <c r="D3" s="207" t="str">
        <f ca="1">IFERROR(__xludf.DUMMYFUNCTION("""COMPUTED_VALUE"""),"CNPJ")</f>
        <v>CNPJ</v>
      </c>
      <c r="E3" s="207" t="str">
        <f ca="1">IFERROR(__xludf.DUMMYFUNCTION("""COMPUTED_VALUE"""),"BANCO")</f>
        <v>BANCO</v>
      </c>
      <c r="F3" s="207" t="str">
        <f ca="1">IFERROR(__xludf.DUMMYFUNCTION("""COMPUTED_VALUE"""),"AGENCIA")</f>
        <v>AGENCIA</v>
      </c>
      <c r="G3" s="208" t="str">
        <f ca="1">IFERROR(__xludf.DUMMYFUNCTION("""COMPUTED_VALUE"""),"C. CORRENTE")</f>
        <v>C. CORRENTE</v>
      </c>
      <c r="H3" s="206" t="str">
        <f ca="1">IFERROR(__xludf.DUMMYFUNCTION("""COMPUTED_VALUE"""),"ETAPA")</f>
        <v>ETAPA</v>
      </c>
      <c r="I3" s="206" t="str">
        <f ca="1">IFERROR(__xludf.DUMMYFUNCTION("""COMPUTED_VALUE"""),"PRE")</f>
        <v>PRE</v>
      </c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</row>
    <row r="4" spans="1:26" ht="18.75" customHeight="1">
      <c r="A4" s="210" t="str">
        <f ca="1">IFERROR(__xludf.DUMMYFUNCTION("""COMPUTED_VALUE"""),"Araguaina")</f>
        <v>Araguaina</v>
      </c>
      <c r="B4" s="210" t="str">
        <f ca="1">IFERROR(__xludf.DUMMYFUNCTION("""COMPUTED_VALUE"""),"Ananas")</f>
        <v>Ananas</v>
      </c>
      <c r="C4" s="211" t="str">
        <f ca="1">IFERROR(__xludf.DUMMYFUNCTION("""COMPUTED_VALUE"""),"ASS. APOIO COL. EST. GETULIO VARGAS")</f>
        <v>ASS. APOIO COL. EST. GETULIO VARGAS</v>
      </c>
      <c r="D4" s="212" t="str">
        <f ca="1">IFERROR(__xludf.DUMMYFUNCTION("""COMPUTED_VALUE"""),"01296368000101")</f>
        <v>01296368000101</v>
      </c>
      <c r="E4" s="212" t="str">
        <f ca="1">IFERROR(__xludf.DUMMYFUNCTION("""COMPUTED_VALUE"""),"001")</f>
        <v>001</v>
      </c>
      <c r="F4" s="212" t="str">
        <f ca="1">IFERROR(__xludf.DUMMYFUNCTION("""COMPUTED_VALUE"""),"3973")</f>
        <v>3973</v>
      </c>
      <c r="G4" s="213" t="str">
        <f ca="1">IFERROR(__xludf.DUMMYFUNCTION("""COMPUTED_VALUE"""),"55778")</f>
        <v>55778</v>
      </c>
      <c r="H4" s="211" t="str">
        <f ca="1">IFERROR(__xludf.DUMMYFUNCTION("""COMPUTED_VALUE"""),"ENS FUND PARCIAL")</f>
        <v>ENS FUND PARCIAL</v>
      </c>
      <c r="I4" s="214">
        <f ca="1">IFERROR(__xludf.DUMMYFUNCTION("""COMPUTED_VALUE"""),3060)</f>
        <v>3060</v>
      </c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</row>
    <row r="5" spans="1:26" ht="18.75" customHeight="1">
      <c r="A5" s="210" t="str">
        <f ca="1">IFERROR(__xludf.DUMMYFUNCTION("""COMPUTED_VALUE"""),"Araguaina")</f>
        <v>Araguaina</v>
      </c>
      <c r="B5" s="210" t="str">
        <f ca="1">IFERROR(__xludf.DUMMYFUNCTION("""COMPUTED_VALUE"""),"Ananas")</f>
        <v>Ananas</v>
      </c>
      <c r="C5" s="211" t="str">
        <f ca="1">IFERROR(__xludf.DUMMYFUNCTION("""COMPUTED_VALUE"""),"ASS. APOIO COL. EST. GETULIO VARGAS")</f>
        <v>ASS. APOIO COL. EST. GETULIO VARGAS</v>
      </c>
      <c r="D5" s="212" t="str">
        <f ca="1">IFERROR(__xludf.DUMMYFUNCTION("""COMPUTED_VALUE"""),"01296368000101")</f>
        <v>01296368000101</v>
      </c>
      <c r="E5" s="212" t="str">
        <f ca="1">IFERROR(__xludf.DUMMYFUNCTION("""COMPUTED_VALUE"""),"001")</f>
        <v>001</v>
      </c>
      <c r="F5" s="212" t="str">
        <f ca="1">IFERROR(__xludf.DUMMYFUNCTION("""COMPUTED_VALUE"""),"3973")</f>
        <v>3973</v>
      </c>
      <c r="G5" s="213" t="str">
        <f ca="1">IFERROR(__xludf.DUMMYFUNCTION("""COMPUTED_VALUE"""),"55778")</f>
        <v>55778</v>
      </c>
      <c r="H5" s="211" t="str">
        <f ca="1">IFERROR(__xludf.DUMMYFUNCTION("""COMPUTED_VALUE"""),"AEE")</f>
        <v>AEE</v>
      </c>
      <c r="I5" s="214">
        <f ca="1">IFERROR(__xludf.DUMMYFUNCTION("""COMPUTED_VALUE"""),190.4)</f>
        <v>190.4</v>
      </c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</row>
    <row r="6" spans="1:26" ht="18.75" customHeight="1">
      <c r="A6" s="210" t="str">
        <f ca="1">IFERROR(__xludf.DUMMYFUNCTION("""COMPUTED_VALUE"""),"Araguaina")</f>
        <v>Araguaina</v>
      </c>
      <c r="B6" s="210" t="str">
        <f ca="1">IFERROR(__xludf.DUMMYFUNCTION("""COMPUTED_VALUE"""),"Ananas")</f>
        <v>Ananas</v>
      </c>
      <c r="C6" s="211" t="str">
        <f ca="1">IFERROR(__xludf.DUMMYFUNCTION("""COMPUTED_VALUE"""),"ASS. APOIO COL. EST. GETULIO VARGAS")</f>
        <v>ASS. APOIO COL. EST. GETULIO VARGAS</v>
      </c>
      <c r="D6" s="212" t="str">
        <f ca="1">IFERROR(__xludf.DUMMYFUNCTION("""COMPUTED_VALUE"""),"01296368000101")</f>
        <v>01296368000101</v>
      </c>
      <c r="E6" s="212" t="str">
        <f ca="1">IFERROR(__xludf.DUMMYFUNCTION("""COMPUTED_VALUE"""),"001")</f>
        <v>001</v>
      </c>
      <c r="F6" s="212" t="str">
        <f ca="1">IFERROR(__xludf.DUMMYFUNCTION("""COMPUTED_VALUE"""),"3973")</f>
        <v>3973</v>
      </c>
      <c r="G6" s="213" t="str">
        <f ca="1">IFERROR(__xludf.DUMMYFUNCTION("""COMPUTED_VALUE"""),"55778")</f>
        <v>55778</v>
      </c>
      <c r="H6" s="211" t="str">
        <f ca="1">IFERROR(__xludf.DUMMYFUNCTION("""COMPUTED_VALUE"""),"EJA")</f>
        <v>EJA</v>
      </c>
      <c r="I6" s="214">
        <f ca="1">IFERROR(__xludf.DUMMYFUNCTION("""COMPUTED_VALUE"""),262.4)</f>
        <v>262.39999999999998</v>
      </c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</row>
    <row r="7" spans="1:26" ht="18.75" customHeight="1">
      <c r="A7" s="210" t="str">
        <f ca="1">IFERROR(__xludf.DUMMYFUNCTION("""COMPUTED_VALUE"""),"Araguaina")</f>
        <v>Araguaina</v>
      </c>
      <c r="B7" s="210" t="str">
        <f ca="1">IFERROR(__xludf.DUMMYFUNCTION("""COMPUTED_VALUE"""),"Ananas")</f>
        <v>Ananas</v>
      </c>
      <c r="C7" s="211" t="str">
        <f ca="1">IFERROR(__xludf.DUMMYFUNCTION("""COMPUTED_VALUE"""),"A.A. DA ESC.PAR.SAO PEDRO/CONVENIADA")</f>
        <v>A.A. DA ESC.PAR.SAO PEDRO/CONVENIADA</v>
      </c>
      <c r="D7" s="212" t="str">
        <f ca="1">IFERROR(__xludf.DUMMYFUNCTION("""COMPUTED_VALUE"""),"01911081000144")</f>
        <v>01911081000144</v>
      </c>
      <c r="E7" s="212" t="str">
        <f ca="1">IFERROR(__xludf.DUMMYFUNCTION("""COMPUTED_VALUE"""),"001")</f>
        <v>001</v>
      </c>
      <c r="F7" s="212" t="str">
        <f ca="1">IFERROR(__xludf.DUMMYFUNCTION("""COMPUTED_VALUE"""),"3973")</f>
        <v>3973</v>
      </c>
      <c r="G7" s="213" t="str">
        <f ca="1">IFERROR(__xludf.DUMMYFUNCTION("""COMPUTED_VALUE"""),"67350")</f>
        <v>67350</v>
      </c>
      <c r="H7" s="211" t="str">
        <f ca="1">IFERROR(__xludf.DUMMYFUNCTION("""COMPUTED_VALUE"""),"ENS FUND PARCIAL")</f>
        <v>ENS FUND PARCIAL</v>
      </c>
      <c r="I7" s="214">
        <f ca="1">IFERROR(__xludf.DUMMYFUNCTION("""COMPUTED_VALUE"""),3320)</f>
        <v>3320</v>
      </c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</row>
    <row r="8" spans="1:26" ht="18.75" customHeight="1">
      <c r="A8" s="210" t="str">
        <f ca="1">IFERROR(__xludf.DUMMYFUNCTION("""COMPUTED_VALUE"""),"Araguaina")</f>
        <v>Araguaina</v>
      </c>
      <c r="B8" s="210" t="str">
        <f ca="1">IFERROR(__xludf.DUMMYFUNCTION("""COMPUTED_VALUE"""),"Ananas")</f>
        <v>Ananas</v>
      </c>
      <c r="C8" s="211" t="str">
        <f ca="1">IFERROR(__xludf.DUMMYFUNCTION("""COMPUTED_VALUE"""),"A.A. DA ESC.PAR.SAO PEDRO/CONVENIADA")</f>
        <v>A.A. DA ESC.PAR.SAO PEDRO/CONVENIADA</v>
      </c>
      <c r="D8" s="212" t="str">
        <f ca="1">IFERROR(__xludf.DUMMYFUNCTION("""COMPUTED_VALUE"""),"01911081000144")</f>
        <v>01911081000144</v>
      </c>
      <c r="E8" s="212" t="str">
        <f ca="1">IFERROR(__xludf.DUMMYFUNCTION("""COMPUTED_VALUE"""),"001")</f>
        <v>001</v>
      </c>
      <c r="F8" s="212" t="str">
        <f ca="1">IFERROR(__xludf.DUMMYFUNCTION("""COMPUTED_VALUE"""),"3973")</f>
        <v>3973</v>
      </c>
      <c r="G8" s="213" t="str">
        <f ca="1">IFERROR(__xludf.DUMMYFUNCTION("""COMPUTED_VALUE"""),"67350")</f>
        <v>67350</v>
      </c>
      <c r="H8" s="211" t="str">
        <f ca="1">IFERROR(__xludf.DUMMYFUNCTION("""COMPUTED_VALUE"""),"AEE")</f>
        <v>AEE</v>
      </c>
      <c r="I8" s="214">
        <f ca="1">IFERROR(__xludf.DUMMYFUNCTION("""COMPUTED_VALUE"""),285.599999999999)</f>
        <v>285.599999999999</v>
      </c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</row>
    <row r="9" spans="1:26" ht="18.75" customHeight="1">
      <c r="A9" s="210" t="str">
        <f ca="1">IFERROR(__xludf.DUMMYFUNCTION("""COMPUTED_VALUE"""),"Araguaina")</f>
        <v>Araguaina</v>
      </c>
      <c r="B9" s="210" t="str">
        <f ca="1">IFERROR(__xludf.DUMMYFUNCTION("""COMPUTED_VALUE"""),"Ananas")</f>
        <v>Ananas</v>
      </c>
      <c r="C9" s="211" t="str">
        <f ca="1">IFERROR(__xludf.DUMMYFUNCTION("""COMPUTED_VALUE"""),"A.A. ESC. EST. PRES. COSTA E SILVA")</f>
        <v>A.A. ESC. EST. PRES. COSTA E SILVA</v>
      </c>
      <c r="D9" s="212" t="str">
        <f ca="1">IFERROR(__xludf.DUMMYFUNCTION("""COMPUTED_VALUE"""),"02026325000179")</f>
        <v>02026325000179</v>
      </c>
      <c r="E9" s="212" t="str">
        <f ca="1">IFERROR(__xludf.DUMMYFUNCTION("""COMPUTED_VALUE"""),"001")</f>
        <v>001</v>
      </c>
      <c r="F9" s="212" t="str">
        <f ca="1">IFERROR(__xludf.DUMMYFUNCTION("""COMPUTED_VALUE"""),"3973")</f>
        <v>3973</v>
      </c>
      <c r="G9" s="213" t="str">
        <f ca="1">IFERROR(__xludf.DUMMYFUNCTION("""COMPUTED_VALUE"""),"55786")</f>
        <v>55786</v>
      </c>
      <c r="H9" s="211" t="str">
        <f ca="1">IFERROR(__xludf.DUMMYFUNCTION("""COMPUTED_VALUE"""),"ENS FUND PARCIAL")</f>
        <v>ENS FUND PARCIAL</v>
      </c>
      <c r="I9" s="214">
        <f ca="1">IFERROR(__xludf.DUMMYFUNCTION("""COMPUTED_VALUE"""),470)</f>
        <v>470</v>
      </c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</row>
    <row r="10" spans="1:26" ht="18.75" customHeight="1">
      <c r="A10" s="210" t="str">
        <f ca="1">IFERROR(__xludf.DUMMYFUNCTION("""COMPUTED_VALUE"""),"Araguaina")</f>
        <v>Araguaina</v>
      </c>
      <c r="B10" s="210" t="str">
        <f ca="1">IFERROR(__xludf.DUMMYFUNCTION("""COMPUTED_VALUE"""),"Ananas")</f>
        <v>Ananas</v>
      </c>
      <c r="C10" s="211" t="str">
        <f ca="1">IFERROR(__xludf.DUMMYFUNCTION("""COMPUTED_VALUE"""),"A.A. ESC. EST. PRES. COSTA E SILVA")</f>
        <v>A.A. ESC. EST. PRES. COSTA E SILVA</v>
      </c>
      <c r="D10" s="212" t="str">
        <f ca="1">IFERROR(__xludf.DUMMYFUNCTION("""COMPUTED_VALUE"""),"02026325000179")</f>
        <v>02026325000179</v>
      </c>
      <c r="E10" s="212" t="str">
        <f ca="1">IFERROR(__xludf.DUMMYFUNCTION("""COMPUTED_VALUE"""),"001")</f>
        <v>001</v>
      </c>
      <c r="F10" s="212" t="str">
        <f ca="1">IFERROR(__xludf.DUMMYFUNCTION("""COMPUTED_VALUE"""),"3973")</f>
        <v>3973</v>
      </c>
      <c r="G10" s="213" t="str">
        <f ca="1">IFERROR(__xludf.DUMMYFUNCTION("""COMPUTED_VALUE"""),"55786")</f>
        <v>55786</v>
      </c>
      <c r="H10" s="211" t="str">
        <f ca="1">IFERROR(__xludf.DUMMYFUNCTION("""COMPUTED_VALUE"""),"ENSINO MEDIO PARCIAL")</f>
        <v>ENSINO MEDIO PARCIAL</v>
      </c>
      <c r="I10" s="214">
        <f ca="1">IFERROR(__xludf.DUMMYFUNCTION("""COMPUTED_VALUE"""),320)</f>
        <v>320</v>
      </c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</row>
    <row r="11" spans="1:26" ht="18.75" customHeight="1">
      <c r="A11" s="210" t="str">
        <f ca="1">IFERROR(__xludf.DUMMYFUNCTION("""COMPUTED_VALUE"""),"Araguaina")</f>
        <v>Araguaina</v>
      </c>
      <c r="B11" s="210" t="str">
        <f ca="1">IFERROR(__xludf.DUMMYFUNCTION("""COMPUTED_VALUE"""),"Ananas")</f>
        <v>Ananas</v>
      </c>
      <c r="C11" s="211" t="str">
        <f ca="1">IFERROR(__xludf.DUMMYFUNCTION("""COMPUTED_VALUE"""),"ASSOC. DE APOIO DO CENTRO DE ENSINO MÉDIO CABO APARICIO ARAÚJO PAZ")</f>
        <v>ASSOC. DE APOIO DO CENTRO DE ENSINO MÉDIO CABO APARICIO ARAÚJO PAZ</v>
      </c>
      <c r="D11" s="212" t="str">
        <f ca="1">IFERROR(__xludf.DUMMYFUNCTION("""COMPUTED_VALUE"""),"05537116000188")</f>
        <v>05537116000188</v>
      </c>
      <c r="E11" s="212" t="str">
        <f ca="1">IFERROR(__xludf.DUMMYFUNCTION("""COMPUTED_VALUE"""),"001")</f>
        <v>001</v>
      </c>
      <c r="F11" s="212" t="str">
        <f ca="1">IFERROR(__xludf.DUMMYFUNCTION("""COMPUTED_VALUE"""),"3973")</f>
        <v>3973</v>
      </c>
      <c r="G11" s="213" t="str">
        <f ca="1">IFERROR(__xludf.DUMMYFUNCTION("""COMPUTED_VALUE"""),"114510")</f>
        <v>114510</v>
      </c>
      <c r="H11" s="211" t="str">
        <f ca="1">IFERROR(__xludf.DUMMYFUNCTION("""COMPUTED_VALUE"""),"ENSINO MEDIO PARCIAL")</f>
        <v>ENSINO MEDIO PARCIAL</v>
      </c>
      <c r="I11" s="214">
        <f ca="1">IFERROR(__xludf.DUMMYFUNCTION("""COMPUTED_VALUE"""),3940)</f>
        <v>3940</v>
      </c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</row>
    <row r="12" spans="1:26" ht="18.75" customHeight="1">
      <c r="A12" s="210" t="str">
        <f ca="1">IFERROR(__xludf.DUMMYFUNCTION("""COMPUTED_VALUE"""),"Araguaina")</f>
        <v>Araguaina</v>
      </c>
      <c r="B12" s="210" t="str">
        <f ca="1">IFERROR(__xludf.DUMMYFUNCTION("""COMPUTED_VALUE"""),"Aragominas")</f>
        <v>Aragominas</v>
      </c>
      <c r="C12" s="211" t="str">
        <f ca="1">IFERROR(__xludf.DUMMYFUNCTION("""COMPUTED_VALUE"""),"ASSOCIAÇÃO DE APOIO DO COL. EST.GETULIO VARGAS")</f>
        <v>ASSOCIAÇÃO DE APOIO DO COL. EST.GETULIO VARGAS</v>
      </c>
      <c r="D12" s="212" t="str">
        <f ca="1">IFERROR(__xludf.DUMMYFUNCTION("""COMPUTED_VALUE"""),"01918914000107")</f>
        <v>01918914000107</v>
      </c>
      <c r="E12" s="212" t="str">
        <f ca="1">IFERROR(__xludf.DUMMYFUNCTION("""COMPUTED_VALUE"""),"001")</f>
        <v>001</v>
      </c>
      <c r="F12" s="212" t="str">
        <f ca="1">IFERROR(__xludf.DUMMYFUNCTION("""COMPUTED_VALUE"""),"0638")</f>
        <v>0638</v>
      </c>
      <c r="G12" s="213" t="str">
        <f ca="1">IFERROR(__xludf.DUMMYFUNCTION("""COMPUTED_VALUE"""),"83224")</f>
        <v>83224</v>
      </c>
      <c r="H12" s="211" t="str">
        <f ca="1">IFERROR(__xludf.DUMMYFUNCTION("""COMPUTED_VALUE"""),"ENS FUND PARCIAL")</f>
        <v>ENS FUND PARCIAL</v>
      </c>
      <c r="I12" s="214">
        <f ca="1">IFERROR(__xludf.DUMMYFUNCTION("""COMPUTED_VALUE"""),1590)</f>
        <v>1590</v>
      </c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</row>
    <row r="13" spans="1:26" ht="18.75" customHeight="1">
      <c r="A13" s="210" t="str">
        <f ca="1">IFERROR(__xludf.DUMMYFUNCTION("""COMPUTED_VALUE"""),"Araguaina")</f>
        <v>Araguaina</v>
      </c>
      <c r="B13" s="210" t="str">
        <f ca="1">IFERROR(__xludf.DUMMYFUNCTION("""COMPUTED_VALUE"""),"Aragominas")</f>
        <v>Aragominas</v>
      </c>
      <c r="C13" s="211" t="str">
        <f ca="1">IFERROR(__xludf.DUMMYFUNCTION("""COMPUTED_VALUE"""),"ASSOCIAÇÃO DE APOIO DO COL. EST.GETULIO VARGAS")</f>
        <v>ASSOCIAÇÃO DE APOIO DO COL. EST.GETULIO VARGAS</v>
      </c>
      <c r="D13" s="212" t="str">
        <f ca="1">IFERROR(__xludf.DUMMYFUNCTION("""COMPUTED_VALUE"""),"01918914000107")</f>
        <v>01918914000107</v>
      </c>
      <c r="E13" s="212" t="str">
        <f ca="1">IFERROR(__xludf.DUMMYFUNCTION("""COMPUTED_VALUE"""),"001")</f>
        <v>001</v>
      </c>
      <c r="F13" s="212" t="str">
        <f ca="1">IFERROR(__xludf.DUMMYFUNCTION("""COMPUTED_VALUE"""),"0638")</f>
        <v>0638</v>
      </c>
      <c r="G13" s="213" t="str">
        <f ca="1">IFERROR(__xludf.DUMMYFUNCTION("""COMPUTED_VALUE"""),"83224")</f>
        <v>83224</v>
      </c>
      <c r="H13" s="211" t="str">
        <f ca="1">IFERROR(__xludf.DUMMYFUNCTION("""COMPUTED_VALUE"""),"AEE")</f>
        <v>AEE</v>
      </c>
      <c r="I13" s="214">
        <f ca="1">IFERROR(__xludf.DUMMYFUNCTION("""COMPUTED_VALUE"""),176.799999999999)</f>
        <v>176.79999999999899</v>
      </c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</row>
    <row r="14" spans="1:26" ht="18.75" customHeight="1">
      <c r="A14" s="210" t="str">
        <f ca="1">IFERROR(__xludf.DUMMYFUNCTION("""COMPUTED_VALUE"""),"Araguaina")</f>
        <v>Araguaina</v>
      </c>
      <c r="B14" s="210" t="str">
        <f ca="1">IFERROR(__xludf.DUMMYFUNCTION("""COMPUTED_VALUE"""),"Aragominas")</f>
        <v>Aragominas</v>
      </c>
      <c r="C14" s="211" t="str">
        <f ca="1">IFERROR(__xludf.DUMMYFUNCTION("""COMPUTED_VALUE"""),"ASSOCIAÇÃO DE APOIO DO COL. EST.GETULIO VARGAS")</f>
        <v>ASSOCIAÇÃO DE APOIO DO COL. EST.GETULIO VARGAS</v>
      </c>
      <c r="D14" s="212" t="str">
        <f ca="1">IFERROR(__xludf.DUMMYFUNCTION("""COMPUTED_VALUE"""),"01918914000107")</f>
        <v>01918914000107</v>
      </c>
      <c r="E14" s="212" t="str">
        <f ca="1">IFERROR(__xludf.DUMMYFUNCTION("""COMPUTED_VALUE"""),"001")</f>
        <v>001</v>
      </c>
      <c r="F14" s="212" t="str">
        <f ca="1">IFERROR(__xludf.DUMMYFUNCTION("""COMPUTED_VALUE"""),"0638")</f>
        <v>0638</v>
      </c>
      <c r="G14" s="213" t="str">
        <f ca="1">IFERROR(__xludf.DUMMYFUNCTION("""COMPUTED_VALUE"""),"83224")</f>
        <v>83224</v>
      </c>
      <c r="H14" s="211" t="str">
        <f ca="1">IFERROR(__xludf.DUMMYFUNCTION("""COMPUTED_VALUE"""),"ENSINO MEDIO PARCIAL")</f>
        <v>ENSINO MEDIO PARCIAL</v>
      </c>
      <c r="I14" s="214">
        <f ca="1">IFERROR(__xludf.DUMMYFUNCTION("""COMPUTED_VALUE"""),1100)</f>
        <v>1100</v>
      </c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</row>
    <row r="15" spans="1:26" ht="18.75" customHeight="1">
      <c r="A15" s="210" t="str">
        <f ca="1">IFERROR(__xludf.DUMMYFUNCTION("""COMPUTED_VALUE"""),"Araguaina")</f>
        <v>Araguaina</v>
      </c>
      <c r="B15" s="210" t="str">
        <f ca="1">IFERROR(__xludf.DUMMYFUNCTION("""COMPUTED_VALUE"""),"Araguaina")</f>
        <v>Araguaina</v>
      </c>
      <c r="C15" s="211" t="str">
        <f ca="1">IFERROR(__xludf.DUMMYFUNCTION("""COMPUTED_VALUE"""),"ASSOC. DE PAIS, ALUNOS E MESTRES COL. EST. POLIVALENTE CASTELO BRANCO")</f>
        <v>ASSOC. DE PAIS, ALUNOS E MESTRES COL. EST. POLIVALENTE CASTELO BRANCO</v>
      </c>
      <c r="D15" s="212" t="str">
        <f ca="1">IFERROR(__xludf.DUMMYFUNCTION("""COMPUTED_VALUE"""),"00918900000112")</f>
        <v>00918900000112</v>
      </c>
      <c r="E15" s="212" t="str">
        <f ca="1">IFERROR(__xludf.DUMMYFUNCTION("""COMPUTED_VALUE"""),"001")</f>
        <v>001</v>
      </c>
      <c r="F15" s="212" t="str">
        <f ca="1">IFERROR(__xludf.DUMMYFUNCTION("""COMPUTED_VALUE"""),"0638")</f>
        <v>0638</v>
      </c>
      <c r="G15" s="213" t="str">
        <f ca="1">IFERROR(__xludf.DUMMYFUNCTION("""COMPUTED_VALUE"""),"12599")</f>
        <v>12599</v>
      </c>
      <c r="H15" s="211" t="str">
        <f ca="1">IFERROR(__xludf.DUMMYFUNCTION("""COMPUTED_VALUE"""),"AEE")</f>
        <v>AEE</v>
      </c>
      <c r="I15" s="214">
        <f ca="1">IFERROR(__xludf.DUMMYFUNCTION("""COMPUTED_VALUE"""),176.799999999999)</f>
        <v>176.79999999999899</v>
      </c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</row>
    <row r="16" spans="1:26" ht="18.75" customHeight="1">
      <c r="A16" s="210" t="str">
        <f ca="1">IFERROR(__xludf.DUMMYFUNCTION("""COMPUTED_VALUE"""),"Araguaina")</f>
        <v>Araguaina</v>
      </c>
      <c r="B16" s="210" t="str">
        <f ca="1">IFERROR(__xludf.DUMMYFUNCTION("""COMPUTED_VALUE"""),"Araguaina")</f>
        <v>Araguaina</v>
      </c>
      <c r="C16" s="211" t="str">
        <f ca="1">IFERROR(__xludf.DUMMYFUNCTION("""COMPUTED_VALUE"""),"ASSOC. DE PAIS, ALUNOS E MESTRES COL. EST. POLIVALENTE CASTELO BRANCO")</f>
        <v>ASSOC. DE PAIS, ALUNOS E MESTRES COL. EST. POLIVALENTE CASTELO BRANCO</v>
      </c>
      <c r="D16" s="212" t="str">
        <f ca="1">IFERROR(__xludf.DUMMYFUNCTION("""COMPUTED_VALUE"""),"00918900000112")</f>
        <v>00918900000112</v>
      </c>
      <c r="E16" s="212" t="str">
        <f ca="1">IFERROR(__xludf.DUMMYFUNCTION("""COMPUTED_VALUE"""),"001")</f>
        <v>001</v>
      </c>
      <c r="F16" s="212" t="str">
        <f ca="1">IFERROR(__xludf.DUMMYFUNCTION("""COMPUTED_VALUE"""),"0638")</f>
        <v>0638</v>
      </c>
      <c r="G16" s="213" t="str">
        <f ca="1">IFERROR(__xludf.DUMMYFUNCTION("""COMPUTED_VALUE"""),"12599")</f>
        <v>12599</v>
      </c>
      <c r="H16" s="211" t="str">
        <f ca="1">IFERROR(__xludf.DUMMYFUNCTION("""COMPUTED_VALUE"""),"JOVEM AÇÃO")</f>
        <v>JOVEM AÇÃO</v>
      </c>
      <c r="I16" s="214">
        <f ca="1">IFERROR(__xludf.DUMMYFUNCTION("""COMPUTED_VALUE"""),7065.6)</f>
        <v>7065.6</v>
      </c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</row>
    <row r="17" spans="1:26" ht="18.75" customHeight="1">
      <c r="A17" s="210" t="str">
        <f ca="1">IFERROR(__xludf.DUMMYFUNCTION("""COMPUTED_VALUE"""),"Araguaina")</f>
        <v>Araguaina</v>
      </c>
      <c r="B17" s="210" t="str">
        <f ca="1">IFERROR(__xludf.DUMMYFUNCTION("""COMPUTED_VALUE"""),"Araguaina")</f>
        <v>Araguaina</v>
      </c>
      <c r="C17" s="211" t="str">
        <f ca="1">IFERROR(__xludf.DUMMYFUNCTION("""COMPUTED_VALUE"""),"A.A.  ESCOLA ESPIRITA ANDRE LUIZ")</f>
        <v>A.A.  ESCOLA ESPIRITA ANDRE LUIZ</v>
      </c>
      <c r="D17" s="212" t="str">
        <f ca="1">IFERROR(__xludf.DUMMYFUNCTION("""COMPUTED_VALUE"""),"01066416000175")</f>
        <v>01066416000175</v>
      </c>
      <c r="E17" s="212" t="str">
        <f ca="1">IFERROR(__xludf.DUMMYFUNCTION("""COMPUTED_VALUE"""),"001")</f>
        <v>001</v>
      </c>
      <c r="F17" s="212" t="str">
        <f ca="1">IFERROR(__xludf.DUMMYFUNCTION("""COMPUTED_VALUE"""),"0638")</f>
        <v>0638</v>
      </c>
      <c r="G17" s="213" t="str">
        <f ca="1">IFERROR(__xludf.DUMMYFUNCTION("""COMPUTED_VALUE"""),"463582")</f>
        <v>463582</v>
      </c>
      <c r="H17" s="211" t="str">
        <f ca="1">IFERROR(__xludf.DUMMYFUNCTION("""COMPUTED_VALUE"""),"ENS FUND INTEGRAL")</f>
        <v>ENS FUND INTEGRAL</v>
      </c>
      <c r="I17" s="214">
        <f ca="1">IFERROR(__xludf.DUMMYFUNCTION("""COMPUTED_VALUE"""),5754)</f>
        <v>5754</v>
      </c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</row>
    <row r="18" spans="1:26" ht="18.75" customHeight="1">
      <c r="A18" s="210" t="str">
        <f ca="1">IFERROR(__xludf.DUMMYFUNCTION("""COMPUTED_VALUE"""),"Araguaina")</f>
        <v>Araguaina</v>
      </c>
      <c r="B18" s="210" t="str">
        <f ca="1">IFERROR(__xludf.DUMMYFUNCTION("""COMPUTED_VALUE"""),"Araguaina")</f>
        <v>Araguaina</v>
      </c>
      <c r="C18" s="211" t="str">
        <f ca="1">IFERROR(__xludf.DUMMYFUNCTION("""COMPUTED_VALUE"""),"A.A.  ESCOLA ESPIRITA ANDRE LUIZ")</f>
        <v>A.A.  ESCOLA ESPIRITA ANDRE LUIZ</v>
      </c>
      <c r="D18" s="212" t="str">
        <f ca="1">IFERROR(__xludf.DUMMYFUNCTION("""COMPUTED_VALUE"""),"01066416000175")</f>
        <v>01066416000175</v>
      </c>
      <c r="E18" s="212" t="str">
        <f ca="1">IFERROR(__xludf.DUMMYFUNCTION("""COMPUTED_VALUE"""),"001")</f>
        <v>001</v>
      </c>
      <c r="F18" s="212" t="str">
        <f ca="1">IFERROR(__xludf.DUMMYFUNCTION("""COMPUTED_VALUE"""),"0638")</f>
        <v>0638</v>
      </c>
      <c r="G18" s="213" t="str">
        <f ca="1">IFERROR(__xludf.DUMMYFUNCTION("""COMPUTED_VALUE"""),"463582")</f>
        <v>463582</v>
      </c>
      <c r="H18" s="211" t="str">
        <f ca="1">IFERROR(__xludf.DUMMYFUNCTION("""COMPUTED_VALUE"""),"AEE")</f>
        <v>AEE</v>
      </c>
      <c r="I18" s="214">
        <f ca="1">IFERROR(__xludf.DUMMYFUNCTION("""COMPUTED_VALUE"""),244.799999999999)</f>
        <v>244.79999999999899</v>
      </c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</row>
    <row r="19" spans="1:26" ht="18.75" customHeight="1">
      <c r="A19" s="210" t="str">
        <f ca="1">IFERROR(__xludf.DUMMYFUNCTION("""COMPUTED_VALUE"""),"Araguaina")</f>
        <v>Araguaina</v>
      </c>
      <c r="B19" s="210" t="str">
        <f ca="1">IFERROR(__xludf.DUMMYFUNCTION("""COMPUTED_VALUE"""),"Araguaina")</f>
        <v>Araguaina</v>
      </c>
      <c r="C19" s="211" t="str">
        <f ca="1">IFERROR(__xludf.DUMMYFUNCTION("""COMPUTED_VALUE"""),"A.A. ESCOLA ESTADUAL MAL. RONDON")</f>
        <v>A.A. ESCOLA ESTADUAL MAL. RONDON</v>
      </c>
      <c r="D19" s="212" t="str">
        <f ca="1">IFERROR(__xludf.DUMMYFUNCTION("""COMPUTED_VALUE"""),"01068349000128")</f>
        <v>01068349000128</v>
      </c>
      <c r="E19" s="212" t="str">
        <f ca="1">IFERROR(__xludf.DUMMYFUNCTION("""COMPUTED_VALUE"""),"001")</f>
        <v>001</v>
      </c>
      <c r="F19" s="212" t="str">
        <f ca="1">IFERROR(__xludf.DUMMYFUNCTION("""COMPUTED_VALUE"""),"0638")</f>
        <v>0638</v>
      </c>
      <c r="G19" s="213" t="str">
        <f ca="1">IFERROR(__xludf.DUMMYFUNCTION("""COMPUTED_VALUE"""),"046368X")</f>
        <v>046368X</v>
      </c>
      <c r="H19" s="211" t="str">
        <f ca="1">IFERROR(__xludf.DUMMYFUNCTION("""COMPUTED_VALUE"""),"ENS FUND PARCIAL")</f>
        <v>ENS FUND PARCIAL</v>
      </c>
      <c r="I19" s="214">
        <f ca="1">IFERROR(__xludf.DUMMYFUNCTION("""COMPUTED_VALUE"""),4860)</f>
        <v>4860</v>
      </c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</row>
    <row r="20" spans="1:26" ht="18.75" customHeight="1">
      <c r="A20" s="210" t="str">
        <f ca="1">IFERROR(__xludf.DUMMYFUNCTION("""COMPUTED_VALUE"""),"Araguaina")</f>
        <v>Araguaina</v>
      </c>
      <c r="B20" s="210" t="str">
        <f ca="1">IFERROR(__xludf.DUMMYFUNCTION("""COMPUTED_VALUE"""),"Araguaina")</f>
        <v>Araguaina</v>
      </c>
      <c r="C20" s="211" t="str">
        <f ca="1">IFERROR(__xludf.DUMMYFUNCTION("""COMPUTED_VALUE"""),"A.A. ESCOLA ESTADUAL MAL. RONDON")</f>
        <v>A.A. ESCOLA ESTADUAL MAL. RONDON</v>
      </c>
      <c r="D20" s="212" t="str">
        <f ca="1">IFERROR(__xludf.DUMMYFUNCTION("""COMPUTED_VALUE"""),"01068349000128")</f>
        <v>01068349000128</v>
      </c>
      <c r="E20" s="212" t="str">
        <f ca="1">IFERROR(__xludf.DUMMYFUNCTION("""COMPUTED_VALUE"""),"001")</f>
        <v>001</v>
      </c>
      <c r="F20" s="212" t="str">
        <f ca="1">IFERROR(__xludf.DUMMYFUNCTION("""COMPUTED_VALUE"""),"0638")</f>
        <v>0638</v>
      </c>
      <c r="G20" s="213" t="str">
        <f ca="1">IFERROR(__xludf.DUMMYFUNCTION("""COMPUTED_VALUE"""),"046368X")</f>
        <v>046368X</v>
      </c>
      <c r="H20" s="211" t="str">
        <f ca="1">IFERROR(__xludf.DUMMYFUNCTION("""COMPUTED_VALUE"""),"AEE")</f>
        <v>AEE</v>
      </c>
      <c r="I20" s="214">
        <f ca="1">IFERROR(__xludf.DUMMYFUNCTION("""COMPUTED_VALUE"""),258.4)</f>
        <v>258.39999999999998</v>
      </c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</row>
    <row r="21" spans="1:26" ht="18.75" customHeight="1">
      <c r="A21" s="210" t="str">
        <f ca="1">IFERROR(__xludf.DUMMYFUNCTION("""COMPUTED_VALUE"""),"Araguaina")</f>
        <v>Araguaina</v>
      </c>
      <c r="B21" s="210" t="str">
        <f ca="1">IFERROR(__xludf.DUMMYFUNCTION("""COMPUTED_VALUE"""),"Araguaina")</f>
        <v>Araguaina</v>
      </c>
      <c r="C21" s="211" t="str">
        <f ca="1">IFERROR(__xludf.DUMMYFUNCTION("""COMPUTED_VALUE"""),"A.A. ESCOLA ESTADUAL MAL. RONDON")</f>
        <v>A.A. ESCOLA ESTADUAL MAL. RONDON</v>
      </c>
      <c r="D21" s="212" t="str">
        <f ca="1">IFERROR(__xludf.DUMMYFUNCTION("""COMPUTED_VALUE"""),"01068349000128")</f>
        <v>01068349000128</v>
      </c>
      <c r="E21" s="212" t="str">
        <f ca="1">IFERROR(__xludf.DUMMYFUNCTION("""COMPUTED_VALUE"""),"001")</f>
        <v>001</v>
      </c>
      <c r="F21" s="212" t="str">
        <f ca="1">IFERROR(__xludf.DUMMYFUNCTION("""COMPUTED_VALUE"""),"0638")</f>
        <v>0638</v>
      </c>
      <c r="G21" s="213" t="str">
        <f ca="1">IFERROR(__xludf.DUMMYFUNCTION("""COMPUTED_VALUE"""),"046368X")</f>
        <v>046368X</v>
      </c>
      <c r="H21" s="211" t="str">
        <f ca="1">IFERROR(__xludf.DUMMYFUNCTION("""COMPUTED_VALUE"""),"EJA")</f>
        <v>EJA</v>
      </c>
      <c r="I21" s="214">
        <f ca="1">IFERROR(__xludf.DUMMYFUNCTION("""COMPUTED_VALUE"""),844.599999999999)</f>
        <v>844.599999999999</v>
      </c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</row>
    <row r="22" spans="1:26" ht="18.75" customHeight="1">
      <c r="A22" s="210" t="str">
        <f ca="1">IFERROR(__xludf.DUMMYFUNCTION("""COMPUTED_VALUE"""),"Araguaina")</f>
        <v>Araguaina</v>
      </c>
      <c r="B22" s="210" t="str">
        <f ca="1">IFERROR(__xludf.DUMMYFUNCTION("""COMPUTED_VALUE"""),"Araguaina")</f>
        <v>Araguaina</v>
      </c>
      <c r="C22" s="211" t="str">
        <f ca="1">IFERROR(__xludf.DUMMYFUNCTION("""COMPUTED_VALUE"""),"A.A. DO CAIC JORGE HUMBERTO CAMARGO")</f>
        <v>A.A. DO CAIC JORGE HUMBERTO CAMARGO</v>
      </c>
      <c r="D22" s="212" t="str">
        <f ca="1">IFERROR(__xludf.DUMMYFUNCTION("""COMPUTED_VALUE"""),"01071395000186")</f>
        <v>01071395000186</v>
      </c>
      <c r="E22" s="212" t="str">
        <f ca="1">IFERROR(__xludf.DUMMYFUNCTION("""COMPUTED_VALUE"""),"001")</f>
        <v>001</v>
      </c>
      <c r="F22" s="212" t="str">
        <f ca="1">IFERROR(__xludf.DUMMYFUNCTION("""COMPUTED_VALUE"""),"0638")</f>
        <v>0638</v>
      </c>
      <c r="G22" s="213" t="str">
        <f ca="1">IFERROR(__xludf.DUMMYFUNCTION("""COMPUTED_VALUE"""),"55099X")</f>
        <v>55099X</v>
      </c>
      <c r="H22" s="211" t="str">
        <f ca="1">IFERROR(__xludf.DUMMYFUNCTION("""COMPUTED_VALUE"""),"ENS FUND INTEGRAL")</f>
        <v>ENS FUND INTEGRAL</v>
      </c>
      <c r="I22" s="214">
        <f ca="1">IFERROR(__xludf.DUMMYFUNCTION("""COMPUTED_VALUE"""),36990)</f>
        <v>36990</v>
      </c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</row>
    <row r="23" spans="1:26" ht="18.75" customHeight="1">
      <c r="A23" s="210" t="str">
        <f ca="1">IFERROR(__xludf.DUMMYFUNCTION("""COMPUTED_VALUE"""),"Araguaina")</f>
        <v>Araguaina</v>
      </c>
      <c r="B23" s="210" t="str">
        <f ca="1">IFERROR(__xludf.DUMMYFUNCTION("""COMPUTED_VALUE"""),"Araguaina")</f>
        <v>Araguaina</v>
      </c>
      <c r="C23" s="211" t="str">
        <f ca="1">IFERROR(__xludf.DUMMYFUNCTION("""COMPUTED_VALUE"""),"A.A. DO CAIC JORGE HUMBERTO CAMARGO")</f>
        <v>A.A. DO CAIC JORGE HUMBERTO CAMARGO</v>
      </c>
      <c r="D23" s="212" t="str">
        <f ca="1">IFERROR(__xludf.DUMMYFUNCTION("""COMPUTED_VALUE"""),"01071395000186")</f>
        <v>01071395000186</v>
      </c>
      <c r="E23" s="212" t="str">
        <f ca="1">IFERROR(__xludf.DUMMYFUNCTION("""COMPUTED_VALUE"""),"001")</f>
        <v>001</v>
      </c>
      <c r="F23" s="212" t="str">
        <f ca="1">IFERROR(__xludf.DUMMYFUNCTION("""COMPUTED_VALUE"""),"0638")</f>
        <v>0638</v>
      </c>
      <c r="G23" s="213" t="str">
        <f ca="1">IFERROR(__xludf.DUMMYFUNCTION("""COMPUTED_VALUE"""),"55099X")</f>
        <v>55099X</v>
      </c>
      <c r="H23" s="211" t="str">
        <f ca="1">IFERROR(__xludf.DUMMYFUNCTION("""COMPUTED_VALUE"""),"AEE")</f>
        <v>AEE</v>
      </c>
      <c r="I23" s="214">
        <f ca="1">IFERROR(__xludf.DUMMYFUNCTION("""COMPUTED_VALUE"""),598.4)</f>
        <v>598.4</v>
      </c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</row>
    <row r="24" spans="1:26" ht="18.75" customHeight="1">
      <c r="A24" s="210" t="str">
        <f ca="1">IFERROR(__xludf.DUMMYFUNCTION("""COMPUTED_VALUE"""),"Araguaina")</f>
        <v>Araguaina</v>
      </c>
      <c r="B24" s="210" t="str">
        <f ca="1">IFERROR(__xludf.DUMMYFUNCTION("""COMPUTED_VALUE"""),"Araguaina")</f>
        <v>Araguaina</v>
      </c>
      <c r="C24" s="211" t="str">
        <f ca="1">IFERROR(__xludf.DUMMYFUNCTION("""COMPUTED_VALUE"""),"A.A. ESC. EST. JOAO GUILHERME L. KUNZE")</f>
        <v>A.A. ESC. EST. JOAO GUILHERME L. KUNZE</v>
      </c>
      <c r="D24" s="212" t="str">
        <f ca="1">IFERROR(__xludf.DUMMYFUNCTION("""COMPUTED_VALUE"""),"01071400000150")</f>
        <v>01071400000150</v>
      </c>
      <c r="E24" s="212" t="str">
        <f ca="1">IFERROR(__xludf.DUMMYFUNCTION("""COMPUTED_VALUE"""),"001")</f>
        <v>001</v>
      </c>
      <c r="F24" s="212" t="str">
        <f ca="1">IFERROR(__xludf.DUMMYFUNCTION("""COMPUTED_VALUE"""),"0638")</f>
        <v>0638</v>
      </c>
      <c r="G24" s="213" t="str">
        <f ca="1">IFERROR(__xludf.DUMMYFUNCTION("""COMPUTED_VALUE"""),"0463639")</f>
        <v>0463639</v>
      </c>
      <c r="H24" s="211" t="str">
        <f ca="1">IFERROR(__xludf.DUMMYFUNCTION("""COMPUTED_VALUE"""),"ENS FUND PARCIAL")</f>
        <v>ENS FUND PARCIAL</v>
      </c>
      <c r="I24" s="214">
        <f ca="1">IFERROR(__xludf.DUMMYFUNCTION("""COMPUTED_VALUE"""),3170)</f>
        <v>3170</v>
      </c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</row>
    <row r="25" spans="1:26" ht="18.75" customHeight="1">
      <c r="A25" s="210" t="str">
        <f ca="1">IFERROR(__xludf.DUMMYFUNCTION("""COMPUTED_VALUE"""),"Araguaina")</f>
        <v>Araguaina</v>
      </c>
      <c r="B25" s="210" t="str">
        <f ca="1">IFERROR(__xludf.DUMMYFUNCTION("""COMPUTED_VALUE"""),"Araguaina")</f>
        <v>Araguaina</v>
      </c>
      <c r="C25" s="211" t="str">
        <f ca="1">IFERROR(__xludf.DUMMYFUNCTION("""COMPUTED_VALUE"""),"A.A. ESC. EST. JOAO GUILHERME L. KUNZE")</f>
        <v>A.A. ESC. EST. JOAO GUILHERME L. KUNZE</v>
      </c>
      <c r="D25" s="212" t="str">
        <f ca="1">IFERROR(__xludf.DUMMYFUNCTION("""COMPUTED_VALUE"""),"01071400000150")</f>
        <v>01071400000150</v>
      </c>
      <c r="E25" s="212" t="str">
        <f ca="1">IFERROR(__xludf.DUMMYFUNCTION("""COMPUTED_VALUE"""),"001")</f>
        <v>001</v>
      </c>
      <c r="F25" s="212" t="str">
        <f ca="1">IFERROR(__xludf.DUMMYFUNCTION("""COMPUTED_VALUE"""),"0638")</f>
        <v>0638</v>
      </c>
      <c r="G25" s="213" t="str">
        <f ca="1">IFERROR(__xludf.DUMMYFUNCTION("""COMPUTED_VALUE"""),"0463639")</f>
        <v>0463639</v>
      </c>
      <c r="H25" s="211" t="str">
        <f ca="1">IFERROR(__xludf.DUMMYFUNCTION("""COMPUTED_VALUE"""),"AEE")</f>
        <v>AEE</v>
      </c>
      <c r="I25" s="214">
        <f ca="1">IFERROR(__xludf.DUMMYFUNCTION("""COMPUTED_VALUE"""),217.6)</f>
        <v>217.6</v>
      </c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</row>
    <row r="26" spans="1:26" ht="18.75" customHeight="1">
      <c r="A26" s="210" t="str">
        <f ca="1">IFERROR(__xludf.DUMMYFUNCTION("""COMPUTED_VALUE"""),"Araguaina")</f>
        <v>Araguaina</v>
      </c>
      <c r="B26" s="210" t="str">
        <f ca="1">IFERROR(__xludf.DUMMYFUNCTION("""COMPUTED_VALUE"""),"Araguaina")</f>
        <v>Araguaina</v>
      </c>
      <c r="C26" s="211" t="str">
        <f ca="1">IFERROR(__xludf.DUMMYFUNCTION("""COMPUTED_VALUE"""),"A.A. C.E.  PROF. SILVANDIRA SOUSA LIMA")</f>
        <v>A.A. C.E.  PROF. SILVANDIRA SOUSA LIMA</v>
      </c>
      <c r="D26" s="212" t="str">
        <f ca="1">IFERROR(__xludf.DUMMYFUNCTION("""COMPUTED_VALUE"""),"01071403000194")</f>
        <v>01071403000194</v>
      </c>
      <c r="E26" s="212" t="str">
        <f ca="1">IFERROR(__xludf.DUMMYFUNCTION("""COMPUTED_VALUE"""),"001")</f>
        <v>001</v>
      </c>
      <c r="F26" s="212" t="str">
        <f ca="1">IFERROR(__xludf.DUMMYFUNCTION("""COMPUTED_VALUE"""),"0638")</f>
        <v>0638</v>
      </c>
      <c r="G26" s="213" t="str">
        <f ca="1">IFERROR(__xludf.DUMMYFUNCTION("""COMPUTED_VALUE"""),"0463922")</f>
        <v>0463922</v>
      </c>
      <c r="H26" s="211" t="str">
        <f ca="1">IFERROR(__xludf.DUMMYFUNCTION("""COMPUTED_VALUE"""),"ENS FUND PARCIAL")</f>
        <v>ENS FUND PARCIAL</v>
      </c>
      <c r="I26" s="214">
        <f ca="1">IFERROR(__xludf.DUMMYFUNCTION("""COMPUTED_VALUE"""),5980)</f>
        <v>5980</v>
      </c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</row>
    <row r="27" spans="1:26" ht="18.75" customHeight="1">
      <c r="A27" s="210" t="str">
        <f ca="1">IFERROR(__xludf.DUMMYFUNCTION("""COMPUTED_VALUE"""),"Araguaina")</f>
        <v>Araguaina</v>
      </c>
      <c r="B27" s="210" t="str">
        <f ca="1">IFERROR(__xludf.DUMMYFUNCTION("""COMPUTED_VALUE"""),"Araguaina")</f>
        <v>Araguaina</v>
      </c>
      <c r="C27" s="211" t="str">
        <f ca="1">IFERROR(__xludf.DUMMYFUNCTION("""COMPUTED_VALUE"""),"A.A. C.E.  PROF. SILVANDIRA SOUSA LIMA")</f>
        <v>A.A. C.E.  PROF. SILVANDIRA SOUSA LIMA</v>
      </c>
      <c r="D27" s="212" t="str">
        <f ca="1">IFERROR(__xludf.DUMMYFUNCTION("""COMPUTED_VALUE"""),"01071403000194")</f>
        <v>01071403000194</v>
      </c>
      <c r="E27" s="212" t="str">
        <f ca="1">IFERROR(__xludf.DUMMYFUNCTION("""COMPUTED_VALUE"""),"001")</f>
        <v>001</v>
      </c>
      <c r="F27" s="212" t="str">
        <f ca="1">IFERROR(__xludf.DUMMYFUNCTION("""COMPUTED_VALUE"""),"0638")</f>
        <v>0638</v>
      </c>
      <c r="G27" s="213" t="str">
        <f ca="1">IFERROR(__xludf.DUMMYFUNCTION("""COMPUTED_VALUE"""),"0463922")</f>
        <v>0463922</v>
      </c>
      <c r="H27" s="211" t="str">
        <f ca="1">IFERROR(__xludf.DUMMYFUNCTION("""COMPUTED_VALUE"""),"AEE")</f>
        <v>AEE</v>
      </c>
      <c r="I27" s="214">
        <f ca="1">IFERROR(__xludf.DUMMYFUNCTION("""COMPUTED_VALUE"""),272)</f>
        <v>272</v>
      </c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</row>
    <row r="28" spans="1:26" ht="18.75" customHeight="1">
      <c r="A28" s="210" t="str">
        <f ca="1">IFERROR(__xludf.DUMMYFUNCTION("""COMPUTED_VALUE"""),"Araguaina")</f>
        <v>Araguaina</v>
      </c>
      <c r="B28" s="210" t="str">
        <f ca="1">IFERROR(__xludf.DUMMYFUNCTION("""COMPUTED_VALUE"""),"Araguaina")</f>
        <v>Araguaina</v>
      </c>
      <c r="C28" s="211" t="str">
        <f ca="1">IFERROR(__xludf.DUMMYFUNCTION("""COMPUTED_VALUE"""),"A.A. C.E.  PROF. SILVANDIRA SOUSA LIMA")</f>
        <v>A.A. C.E.  PROF. SILVANDIRA SOUSA LIMA</v>
      </c>
      <c r="D28" s="212" t="str">
        <f ca="1">IFERROR(__xludf.DUMMYFUNCTION("""COMPUTED_VALUE"""),"01071403000194")</f>
        <v>01071403000194</v>
      </c>
      <c r="E28" s="212" t="str">
        <f ca="1">IFERROR(__xludf.DUMMYFUNCTION("""COMPUTED_VALUE"""),"001")</f>
        <v>001</v>
      </c>
      <c r="F28" s="212" t="str">
        <f ca="1">IFERROR(__xludf.DUMMYFUNCTION("""COMPUTED_VALUE"""),"0638")</f>
        <v>0638</v>
      </c>
      <c r="G28" s="213" t="str">
        <f ca="1">IFERROR(__xludf.DUMMYFUNCTION("""COMPUTED_VALUE"""),"0463922")</f>
        <v>0463922</v>
      </c>
      <c r="H28" s="211" t="str">
        <f ca="1">IFERROR(__xludf.DUMMYFUNCTION("""COMPUTED_VALUE"""),"ENSINO MEDIO PARCIAL")</f>
        <v>ENSINO MEDIO PARCIAL</v>
      </c>
      <c r="I28" s="214">
        <f ca="1">IFERROR(__xludf.DUMMYFUNCTION("""COMPUTED_VALUE"""),8560)</f>
        <v>8560</v>
      </c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</row>
    <row r="29" spans="1:26" ht="18.75" customHeight="1">
      <c r="A29" s="210" t="str">
        <f ca="1">IFERROR(__xludf.DUMMYFUNCTION("""COMPUTED_VALUE"""),"Araguaina")</f>
        <v>Araguaina</v>
      </c>
      <c r="B29" s="210" t="str">
        <f ca="1">IFERROR(__xludf.DUMMYFUNCTION("""COMPUTED_VALUE"""),"Araguaina")</f>
        <v>Araguaina</v>
      </c>
      <c r="C29" s="211" t="str">
        <f ca="1">IFERROR(__xludf.DUMMYFUNCTION("""COMPUTED_VALUE"""),"A.A. ESCOLA ESTADUAL VILA NOVA")</f>
        <v>A.A. ESCOLA ESTADUAL VILA NOVA</v>
      </c>
      <c r="D29" s="212" t="str">
        <f ca="1">IFERROR(__xludf.DUMMYFUNCTION("""COMPUTED_VALUE"""),"01071404000139")</f>
        <v>01071404000139</v>
      </c>
      <c r="E29" s="212" t="str">
        <f ca="1">IFERROR(__xludf.DUMMYFUNCTION("""COMPUTED_VALUE"""),"001")</f>
        <v>001</v>
      </c>
      <c r="F29" s="212" t="str">
        <f ca="1">IFERROR(__xludf.DUMMYFUNCTION("""COMPUTED_VALUE"""),"0638")</f>
        <v>0638</v>
      </c>
      <c r="G29" s="213" t="str">
        <f ca="1">IFERROR(__xludf.DUMMYFUNCTION("""COMPUTED_VALUE"""),"0463744")</f>
        <v>0463744</v>
      </c>
      <c r="H29" s="211" t="str">
        <f ca="1">IFERROR(__xludf.DUMMYFUNCTION("""COMPUTED_VALUE"""),"EJA")</f>
        <v>EJA</v>
      </c>
      <c r="I29" s="214">
        <f ca="1">IFERROR(__xludf.DUMMYFUNCTION("""COMPUTED_VALUE"""),1057.8)</f>
        <v>1057.8</v>
      </c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</row>
    <row r="30" spans="1:26" ht="18.75" customHeight="1">
      <c r="A30" s="210" t="str">
        <f ca="1">IFERROR(__xludf.DUMMYFUNCTION("""COMPUTED_VALUE"""),"Araguaina")</f>
        <v>Araguaina</v>
      </c>
      <c r="B30" s="210" t="str">
        <f ca="1">IFERROR(__xludf.DUMMYFUNCTION("""COMPUTED_VALUE"""),"Araguaina")</f>
        <v>Araguaina</v>
      </c>
      <c r="C30" s="211" t="str">
        <f ca="1">IFERROR(__xludf.DUMMYFUNCTION("""COMPUTED_VALUE"""),"A.A. C.E.  ADOLFO BEZERRA DE MENEZES")</f>
        <v>A.A. C.E.  ADOLFO BEZERRA DE MENEZES</v>
      </c>
      <c r="D30" s="212" t="str">
        <f ca="1">IFERROR(__xludf.DUMMYFUNCTION("""COMPUTED_VALUE"""),"01071435000190")</f>
        <v>01071435000190</v>
      </c>
      <c r="E30" s="212" t="str">
        <f ca="1">IFERROR(__xludf.DUMMYFUNCTION("""COMPUTED_VALUE"""),"001")</f>
        <v>001</v>
      </c>
      <c r="F30" s="212" t="str">
        <f ca="1">IFERROR(__xludf.DUMMYFUNCTION("""COMPUTED_VALUE"""),"0638")</f>
        <v>0638</v>
      </c>
      <c r="G30" s="213" t="str">
        <f ca="1">IFERROR(__xludf.DUMMYFUNCTION("""COMPUTED_VALUE"""),"463426")</f>
        <v>463426</v>
      </c>
      <c r="H30" s="211" t="str">
        <f ca="1">IFERROR(__xludf.DUMMYFUNCTION("""COMPUTED_VALUE"""),"ENS FUND PARCIAL")</f>
        <v>ENS FUND PARCIAL</v>
      </c>
      <c r="I30" s="214">
        <f ca="1">IFERROR(__xludf.DUMMYFUNCTION("""COMPUTED_VALUE"""),5510)</f>
        <v>5510</v>
      </c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</row>
    <row r="31" spans="1:26" ht="18.75" customHeight="1">
      <c r="A31" s="210" t="str">
        <f ca="1">IFERROR(__xludf.DUMMYFUNCTION("""COMPUTED_VALUE"""),"Araguaina")</f>
        <v>Araguaina</v>
      </c>
      <c r="B31" s="210" t="str">
        <f ca="1">IFERROR(__xludf.DUMMYFUNCTION("""COMPUTED_VALUE"""),"Araguaina")</f>
        <v>Araguaina</v>
      </c>
      <c r="C31" s="211" t="str">
        <f ca="1">IFERROR(__xludf.DUMMYFUNCTION("""COMPUTED_VALUE"""),"A.A. C.E.  ADOLFO BEZERRA DE MENEZES")</f>
        <v>A.A. C.E.  ADOLFO BEZERRA DE MENEZES</v>
      </c>
      <c r="D31" s="212" t="str">
        <f ca="1">IFERROR(__xludf.DUMMYFUNCTION("""COMPUTED_VALUE"""),"01071435000190")</f>
        <v>01071435000190</v>
      </c>
      <c r="E31" s="212" t="str">
        <f ca="1">IFERROR(__xludf.DUMMYFUNCTION("""COMPUTED_VALUE"""),"001")</f>
        <v>001</v>
      </c>
      <c r="F31" s="212" t="str">
        <f ca="1">IFERROR(__xludf.DUMMYFUNCTION("""COMPUTED_VALUE"""),"0638")</f>
        <v>0638</v>
      </c>
      <c r="G31" s="213" t="str">
        <f ca="1">IFERROR(__xludf.DUMMYFUNCTION("""COMPUTED_VALUE"""),"463426")</f>
        <v>463426</v>
      </c>
      <c r="H31" s="211" t="str">
        <f ca="1">IFERROR(__xludf.DUMMYFUNCTION("""COMPUTED_VALUE"""),"AEE")</f>
        <v>AEE</v>
      </c>
      <c r="I31" s="214">
        <f ca="1">IFERROR(__xludf.DUMMYFUNCTION("""COMPUTED_VALUE"""),299.2)</f>
        <v>299.2</v>
      </c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</row>
    <row r="32" spans="1:26" ht="18.75" customHeight="1">
      <c r="A32" s="210" t="str">
        <f ca="1">IFERROR(__xludf.DUMMYFUNCTION("""COMPUTED_VALUE"""),"Araguaina")</f>
        <v>Araguaina</v>
      </c>
      <c r="B32" s="210" t="str">
        <f ca="1">IFERROR(__xludf.DUMMYFUNCTION("""COMPUTED_VALUE"""),"Araguaina")</f>
        <v>Araguaina</v>
      </c>
      <c r="C32" s="211" t="str">
        <f ca="1">IFERROR(__xludf.DUMMYFUNCTION("""COMPUTED_VALUE"""),"A.A. C.E.  ADOLFO BEZERRA DE MENEZES")</f>
        <v>A.A. C.E.  ADOLFO BEZERRA DE MENEZES</v>
      </c>
      <c r="D32" s="212" t="str">
        <f ca="1">IFERROR(__xludf.DUMMYFUNCTION("""COMPUTED_VALUE"""),"01071435000190")</f>
        <v>01071435000190</v>
      </c>
      <c r="E32" s="212" t="str">
        <f ca="1">IFERROR(__xludf.DUMMYFUNCTION("""COMPUTED_VALUE"""),"001")</f>
        <v>001</v>
      </c>
      <c r="F32" s="212" t="str">
        <f ca="1">IFERROR(__xludf.DUMMYFUNCTION("""COMPUTED_VALUE"""),"0638")</f>
        <v>0638</v>
      </c>
      <c r="G32" s="213" t="str">
        <f ca="1">IFERROR(__xludf.DUMMYFUNCTION("""COMPUTED_VALUE"""),"463426")</f>
        <v>463426</v>
      </c>
      <c r="H32" s="211" t="str">
        <f ca="1">IFERROR(__xludf.DUMMYFUNCTION("""COMPUTED_VALUE"""),"ENSINO MEDIO PARCIAL")</f>
        <v>ENSINO MEDIO PARCIAL</v>
      </c>
      <c r="I32" s="214">
        <f ca="1">IFERROR(__xludf.DUMMYFUNCTION("""COMPUTED_VALUE"""),4370)</f>
        <v>4370</v>
      </c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</row>
    <row r="33" spans="1:26" ht="18.75" customHeight="1">
      <c r="A33" s="210" t="str">
        <f ca="1">IFERROR(__xludf.DUMMYFUNCTION("""COMPUTED_VALUE"""),"Araguaina")</f>
        <v>Araguaina</v>
      </c>
      <c r="B33" s="210" t="str">
        <f ca="1">IFERROR(__xludf.DUMMYFUNCTION("""COMPUTED_VALUE"""),"Araguaina")</f>
        <v>Araguaina</v>
      </c>
      <c r="C33" s="211" t="str">
        <f ca="1">IFERROR(__xludf.DUMMYFUNCTION("""COMPUTED_VALUE"""),"A.A. C.E.  ADOLFO BEZERRA DE MENEZES")</f>
        <v>A.A. C.E.  ADOLFO BEZERRA DE MENEZES</v>
      </c>
      <c r="D33" s="212" t="str">
        <f ca="1">IFERROR(__xludf.DUMMYFUNCTION("""COMPUTED_VALUE"""),"01071435000190")</f>
        <v>01071435000190</v>
      </c>
      <c r="E33" s="212" t="str">
        <f ca="1">IFERROR(__xludf.DUMMYFUNCTION("""COMPUTED_VALUE"""),"001")</f>
        <v>001</v>
      </c>
      <c r="F33" s="212" t="str">
        <f ca="1">IFERROR(__xludf.DUMMYFUNCTION("""COMPUTED_VALUE"""),"0638")</f>
        <v>0638</v>
      </c>
      <c r="G33" s="213" t="str">
        <f ca="1">IFERROR(__xludf.DUMMYFUNCTION("""COMPUTED_VALUE"""),"463426")</f>
        <v>463426</v>
      </c>
      <c r="H33" s="211" t="str">
        <f ca="1">IFERROR(__xludf.DUMMYFUNCTION("""COMPUTED_VALUE"""),"EJA")</f>
        <v>EJA</v>
      </c>
      <c r="I33" s="214">
        <f ca="1">IFERROR(__xludf.DUMMYFUNCTION("""COMPUTED_VALUE"""),1016.8)</f>
        <v>1016.8</v>
      </c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</row>
    <row r="34" spans="1:26" ht="18.75" customHeight="1">
      <c r="A34" s="210" t="str">
        <f ca="1">IFERROR(__xludf.DUMMYFUNCTION("""COMPUTED_VALUE"""),"Araguaina")</f>
        <v>Araguaina</v>
      </c>
      <c r="B34" s="210" t="str">
        <f ca="1">IFERROR(__xludf.DUMMYFUNCTION("""COMPUTED_VALUE"""),"Araguaina")</f>
        <v>Araguaina</v>
      </c>
      <c r="C34" s="211" t="str">
        <f ca="1">IFERROR(__xludf.DUMMYFUNCTION("""COMPUTED_VALUE"""),"A.A. COLEGIO ESTADUAL RUI BARBOSA")</f>
        <v>A.A. COLEGIO ESTADUAL RUI BARBOSA</v>
      </c>
      <c r="D34" s="212" t="str">
        <f ca="1">IFERROR(__xludf.DUMMYFUNCTION("""COMPUTED_VALUE"""),"01071440000100")</f>
        <v>01071440000100</v>
      </c>
      <c r="E34" s="212" t="str">
        <f ca="1">IFERROR(__xludf.DUMMYFUNCTION("""COMPUTED_VALUE"""),"001")</f>
        <v>001</v>
      </c>
      <c r="F34" s="212" t="str">
        <f ca="1">IFERROR(__xludf.DUMMYFUNCTION("""COMPUTED_VALUE"""),"0638")</f>
        <v>0638</v>
      </c>
      <c r="G34" s="213" t="str">
        <f ca="1">IFERROR(__xludf.DUMMYFUNCTION("""COMPUTED_VALUE"""),"0463787")</f>
        <v>0463787</v>
      </c>
      <c r="H34" s="211" t="str">
        <f ca="1">IFERROR(__xludf.DUMMYFUNCTION("""COMPUTED_VALUE"""),"AEE")</f>
        <v>AEE</v>
      </c>
      <c r="I34" s="214">
        <f ca="1">IFERROR(__xludf.DUMMYFUNCTION("""COMPUTED_VALUE"""),176.799999999999)</f>
        <v>176.79999999999899</v>
      </c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</row>
    <row r="35" spans="1:26" ht="18.75" customHeight="1">
      <c r="A35" s="210" t="str">
        <f ca="1">IFERROR(__xludf.DUMMYFUNCTION("""COMPUTED_VALUE"""),"Araguaina")</f>
        <v>Araguaina</v>
      </c>
      <c r="B35" s="210" t="str">
        <f ca="1">IFERROR(__xludf.DUMMYFUNCTION("""COMPUTED_VALUE"""),"Araguaina")</f>
        <v>Araguaina</v>
      </c>
      <c r="C35" s="211" t="str">
        <f ca="1">IFERROR(__xludf.DUMMYFUNCTION("""COMPUTED_VALUE"""),"A.A. COLEGIO ESTADUAL RUI BARBOSA")</f>
        <v>A.A. COLEGIO ESTADUAL RUI BARBOSA</v>
      </c>
      <c r="D35" s="212" t="str">
        <f ca="1">IFERROR(__xludf.DUMMYFUNCTION("""COMPUTED_VALUE"""),"01071440000100")</f>
        <v>01071440000100</v>
      </c>
      <c r="E35" s="212" t="str">
        <f ca="1">IFERROR(__xludf.DUMMYFUNCTION("""COMPUTED_VALUE"""),"001")</f>
        <v>001</v>
      </c>
      <c r="F35" s="212" t="str">
        <f ca="1">IFERROR(__xludf.DUMMYFUNCTION("""COMPUTED_VALUE"""),"0638")</f>
        <v>0638</v>
      </c>
      <c r="G35" s="213" t="str">
        <f ca="1">IFERROR(__xludf.DUMMYFUNCTION("""COMPUTED_VALUE"""),"0463787")</f>
        <v>0463787</v>
      </c>
      <c r="H35" s="211" t="str">
        <f ca="1">IFERROR(__xludf.DUMMYFUNCTION("""COMPUTED_VALUE"""),"JOVEM AÇÃO")</f>
        <v>JOVEM AÇÃO</v>
      </c>
      <c r="I35" s="214">
        <f ca="1">IFERROR(__xludf.DUMMYFUNCTION("""COMPUTED_VALUE"""),7014.4)</f>
        <v>7014.4</v>
      </c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</row>
    <row r="36" spans="1:26" ht="18.75" customHeight="1">
      <c r="A36" s="210" t="str">
        <f ca="1">IFERROR(__xludf.DUMMYFUNCTION("""COMPUTED_VALUE"""),"Araguaina")</f>
        <v>Araguaina</v>
      </c>
      <c r="B36" s="210" t="str">
        <f ca="1">IFERROR(__xludf.DUMMYFUNCTION("""COMPUTED_VALUE"""),"Araguaina")</f>
        <v>Araguaina</v>
      </c>
      <c r="C36" s="211" t="str">
        <f ca="1">IFERROR(__xludf.DUMMYFUNCTION("""COMPUTED_VALUE"""),"A. APOIO DO COLEGIO DE APLICACAO")</f>
        <v>A. APOIO DO COLEGIO DE APLICACAO</v>
      </c>
      <c r="D36" s="212" t="str">
        <f ca="1">IFERROR(__xludf.DUMMYFUNCTION("""COMPUTED_VALUE"""),"01086986000127")</f>
        <v>01086986000127</v>
      </c>
      <c r="E36" s="212" t="str">
        <f ca="1">IFERROR(__xludf.DUMMYFUNCTION("""COMPUTED_VALUE"""),"001")</f>
        <v>001</v>
      </c>
      <c r="F36" s="212" t="str">
        <f ca="1">IFERROR(__xludf.DUMMYFUNCTION("""COMPUTED_VALUE"""),"0638")</f>
        <v>0638</v>
      </c>
      <c r="G36" s="213" t="str">
        <f ca="1">IFERROR(__xludf.DUMMYFUNCTION("""COMPUTED_VALUE"""),"0465275")</f>
        <v>0465275</v>
      </c>
      <c r="H36" s="211" t="str">
        <f ca="1">IFERROR(__xludf.DUMMYFUNCTION("""COMPUTED_VALUE"""),"ENS FUND PARCIAL")</f>
        <v>ENS FUND PARCIAL</v>
      </c>
      <c r="I36" s="214">
        <f ca="1">IFERROR(__xludf.DUMMYFUNCTION("""COMPUTED_VALUE"""),5240)</f>
        <v>5240</v>
      </c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</row>
    <row r="37" spans="1:26" ht="18.75" customHeight="1">
      <c r="A37" s="210" t="str">
        <f ca="1">IFERROR(__xludf.DUMMYFUNCTION("""COMPUTED_VALUE"""),"Araguaina")</f>
        <v>Araguaina</v>
      </c>
      <c r="B37" s="210" t="str">
        <f ca="1">IFERROR(__xludf.DUMMYFUNCTION("""COMPUTED_VALUE"""),"Araguaina")</f>
        <v>Araguaina</v>
      </c>
      <c r="C37" s="211" t="str">
        <f ca="1">IFERROR(__xludf.DUMMYFUNCTION("""COMPUTED_VALUE"""),"A. APOIO DO COLEGIO DE APLICACAO")</f>
        <v>A. APOIO DO COLEGIO DE APLICACAO</v>
      </c>
      <c r="D37" s="212" t="str">
        <f ca="1">IFERROR(__xludf.DUMMYFUNCTION("""COMPUTED_VALUE"""),"01086986000127")</f>
        <v>01086986000127</v>
      </c>
      <c r="E37" s="212" t="str">
        <f ca="1">IFERROR(__xludf.DUMMYFUNCTION("""COMPUTED_VALUE"""),"001")</f>
        <v>001</v>
      </c>
      <c r="F37" s="212" t="str">
        <f ca="1">IFERROR(__xludf.DUMMYFUNCTION("""COMPUTED_VALUE"""),"0638")</f>
        <v>0638</v>
      </c>
      <c r="G37" s="213" t="str">
        <f ca="1">IFERROR(__xludf.DUMMYFUNCTION("""COMPUTED_VALUE"""),"0465275")</f>
        <v>0465275</v>
      </c>
      <c r="H37" s="211" t="str">
        <f ca="1">IFERROR(__xludf.DUMMYFUNCTION("""COMPUTED_VALUE"""),"AEE")</f>
        <v>AEE</v>
      </c>
      <c r="I37" s="214">
        <f ca="1">IFERROR(__xludf.DUMMYFUNCTION("""COMPUTED_VALUE"""),326.4)</f>
        <v>326.39999999999998</v>
      </c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</row>
    <row r="38" spans="1:26" ht="18.75" customHeight="1">
      <c r="A38" s="210" t="str">
        <f ca="1">IFERROR(__xludf.DUMMYFUNCTION("""COMPUTED_VALUE"""),"Araguaina")</f>
        <v>Araguaina</v>
      </c>
      <c r="B38" s="210" t="str">
        <f ca="1">IFERROR(__xludf.DUMMYFUNCTION("""COMPUTED_VALUE"""),"Araguaina")</f>
        <v>Araguaina</v>
      </c>
      <c r="C38" s="211" t="str">
        <f ca="1">IFERROR(__xludf.DUMMYFUNCTION("""COMPUTED_VALUE"""),"A. APOIO DO COLEGIO DE APLICACAO")</f>
        <v>A. APOIO DO COLEGIO DE APLICACAO</v>
      </c>
      <c r="D38" s="212" t="str">
        <f ca="1">IFERROR(__xludf.DUMMYFUNCTION("""COMPUTED_VALUE"""),"01086986000127")</f>
        <v>01086986000127</v>
      </c>
      <c r="E38" s="212" t="str">
        <f ca="1">IFERROR(__xludf.DUMMYFUNCTION("""COMPUTED_VALUE"""),"001")</f>
        <v>001</v>
      </c>
      <c r="F38" s="212" t="str">
        <f ca="1">IFERROR(__xludf.DUMMYFUNCTION("""COMPUTED_VALUE"""),"0638")</f>
        <v>0638</v>
      </c>
      <c r="G38" s="213" t="str">
        <f ca="1">IFERROR(__xludf.DUMMYFUNCTION("""COMPUTED_VALUE"""),"0465275")</f>
        <v>0465275</v>
      </c>
      <c r="H38" s="211" t="str">
        <f ca="1">IFERROR(__xludf.DUMMYFUNCTION("""COMPUTED_VALUE"""),"ENSINO MEDIO PARCIAL")</f>
        <v>ENSINO MEDIO PARCIAL</v>
      </c>
      <c r="I38" s="214">
        <f ca="1">IFERROR(__xludf.DUMMYFUNCTION("""COMPUTED_VALUE"""),5080)</f>
        <v>5080</v>
      </c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</row>
    <row r="39" spans="1:26" ht="18.75" customHeight="1">
      <c r="A39" s="210" t="str">
        <f ca="1">IFERROR(__xludf.DUMMYFUNCTION("""COMPUTED_VALUE"""),"Araguaina")</f>
        <v>Araguaina</v>
      </c>
      <c r="B39" s="210" t="str">
        <f ca="1">IFERROR(__xludf.DUMMYFUNCTION("""COMPUTED_VALUE"""),"Araguaina")</f>
        <v>Araguaina</v>
      </c>
      <c r="C39" s="211" t="str">
        <f ca="1">IFERROR(__xludf.DUMMYFUNCTION("""COMPUTED_VALUE"""),"A.A. ESC. HENRIQUE CIRQUEIRA AMORIM")</f>
        <v>A.A. ESC. HENRIQUE CIRQUEIRA AMORIM</v>
      </c>
      <c r="D39" s="212" t="str">
        <f ca="1">IFERROR(__xludf.DUMMYFUNCTION("""COMPUTED_VALUE"""),"01088234000103")</f>
        <v>01088234000103</v>
      </c>
      <c r="E39" s="212" t="str">
        <f ca="1">IFERROR(__xludf.DUMMYFUNCTION("""COMPUTED_VALUE"""),"001")</f>
        <v>001</v>
      </c>
      <c r="F39" s="212" t="str">
        <f ca="1">IFERROR(__xludf.DUMMYFUNCTION("""COMPUTED_VALUE"""),"0638")</f>
        <v>0638</v>
      </c>
      <c r="G39" s="213" t="str">
        <f ca="1">IFERROR(__xludf.DUMMYFUNCTION("""COMPUTED_VALUE"""),"0465194")</f>
        <v>0465194</v>
      </c>
      <c r="H39" s="211" t="str">
        <f ca="1">IFERROR(__xludf.DUMMYFUNCTION("""COMPUTED_VALUE"""),"ENS FUND PARCIAL")</f>
        <v>ENS FUND PARCIAL</v>
      </c>
      <c r="I39" s="214">
        <f ca="1">IFERROR(__xludf.DUMMYFUNCTION("""COMPUTED_VALUE"""),3080)</f>
        <v>3080</v>
      </c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</row>
    <row r="40" spans="1:26" ht="18.75" customHeight="1">
      <c r="A40" s="210" t="str">
        <f ca="1">IFERROR(__xludf.DUMMYFUNCTION("""COMPUTED_VALUE"""),"Araguaina")</f>
        <v>Araguaina</v>
      </c>
      <c r="B40" s="210" t="str">
        <f ca="1">IFERROR(__xludf.DUMMYFUNCTION("""COMPUTED_VALUE"""),"Araguaina")</f>
        <v>Araguaina</v>
      </c>
      <c r="C40" s="211" t="str">
        <f ca="1">IFERROR(__xludf.DUMMYFUNCTION("""COMPUTED_VALUE"""),"A.A. ESC. HENRIQUE CIRQUEIRA AMORIM")</f>
        <v>A.A. ESC. HENRIQUE CIRQUEIRA AMORIM</v>
      </c>
      <c r="D40" s="212" t="str">
        <f ca="1">IFERROR(__xludf.DUMMYFUNCTION("""COMPUTED_VALUE"""),"01088234000103")</f>
        <v>01088234000103</v>
      </c>
      <c r="E40" s="212" t="str">
        <f ca="1">IFERROR(__xludf.DUMMYFUNCTION("""COMPUTED_VALUE"""),"001")</f>
        <v>001</v>
      </c>
      <c r="F40" s="212" t="str">
        <f ca="1">IFERROR(__xludf.DUMMYFUNCTION("""COMPUTED_VALUE"""),"0638")</f>
        <v>0638</v>
      </c>
      <c r="G40" s="213" t="str">
        <f ca="1">IFERROR(__xludf.DUMMYFUNCTION("""COMPUTED_VALUE"""),"0465194")</f>
        <v>0465194</v>
      </c>
      <c r="H40" s="211" t="str">
        <f ca="1">IFERROR(__xludf.DUMMYFUNCTION("""COMPUTED_VALUE"""),"ENSINO MEDIO PARCIAL")</f>
        <v>ENSINO MEDIO PARCIAL</v>
      </c>
      <c r="I40" s="214">
        <f ca="1">IFERROR(__xludf.DUMMYFUNCTION("""COMPUTED_VALUE"""),2260)</f>
        <v>2260</v>
      </c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</row>
    <row r="41" spans="1:26" ht="18.75" customHeight="1">
      <c r="A41" s="210" t="str">
        <f ca="1">IFERROR(__xludf.DUMMYFUNCTION("""COMPUTED_VALUE"""),"Araguaina")</f>
        <v>Araguaina</v>
      </c>
      <c r="B41" s="210" t="str">
        <f ca="1">IFERROR(__xludf.DUMMYFUNCTION("""COMPUTED_VALUE"""),"Araguaina")</f>
        <v>Araguaina</v>
      </c>
      <c r="C41" s="211" t="str">
        <f ca="1">IFERROR(__xludf.DUMMYFUNCTION("""COMPUTED_VALUE"""),"A. DE A.DA ESCOLA ESTADUAL MODELO")</f>
        <v>A. DE A.DA ESCOLA ESTADUAL MODELO</v>
      </c>
      <c r="D41" s="212" t="str">
        <f ca="1">IFERROR(__xludf.DUMMYFUNCTION("""COMPUTED_VALUE"""),"01133696000197")</f>
        <v>01133696000197</v>
      </c>
      <c r="E41" s="212" t="str">
        <f ca="1">IFERROR(__xludf.DUMMYFUNCTION("""COMPUTED_VALUE"""),"001")</f>
        <v>001</v>
      </c>
      <c r="F41" s="212" t="str">
        <f ca="1">IFERROR(__xludf.DUMMYFUNCTION("""COMPUTED_VALUE"""),"0638")</f>
        <v>0638</v>
      </c>
      <c r="G41" s="213" t="str">
        <f ca="1">IFERROR(__xludf.DUMMYFUNCTION("""COMPUTED_VALUE"""),"484520")</f>
        <v>484520</v>
      </c>
      <c r="H41" s="211" t="str">
        <f ca="1">IFERROR(__xludf.DUMMYFUNCTION("""COMPUTED_VALUE"""),"ENS FUND PARCIAL")</f>
        <v>ENS FUND PARCIAL</v>
      </c>
      <c r="I41" s="214">
        <f ca="1">IFERROR(__xludf.DUMMYFUNCTION("""COMPUTED_VALUE"""),9800)</f>
        <v>9800</v>
      </c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</row>
    <row r="42" spans="1:26" ht="18.75" customHeight="1">
      <c r="A42" s="210" t="str">
        <f ca="1">IFERROR(__xludf.DUMMYFUNCTION("""COMPUTED_VALUE"""),"Araguaina")</f>
        <v>Araguaina</v>
      </c>
      <c r="B42" s="210" t="str">
        <f ca="1">IFERROR(__xludf.DUMMYFUNCTION("""COMPUTED_VALUE"""),"Araguaina")</f>
        <v>Araguaina</v>
      </c>
      <c r="C42" s="211" t="str">
        <f ca="1">IFERROR(__xludf.DUMMYFUNCTION("""COMPUTED_VALUE"""),"A. DE A.DA ESCOLA ESTADUAL MODELO")</f>
        <v>A. DE A.DA ESCOLA ESTADUAL MODELO</v>
      </c>
      <c r="D42" s="212" t="str">
        <f ca="1">IFERROR(__xludf.DUMMYFUNCTION("""COMPUTED_VALUE"""),"01133696000197")</f>
        <v>01133696000197</v>
      </c>
      <c r="E42" s="212" t="str">
        <f ca="1">IFERROR(__xludf.DUMMYFUNCTION("""COMPUTED_VALUE"""),"001")</f>
        <v>001</v>
      </c>
      <c r="F42" s="212" t="str">
        <f ca="1">IFERROR(__xludf.DUMMYFUNCTION("""COMPUTED_VALUE"""),"0638")</f>
        <v>0638</v>
      </c>
      <c r="G42" s="213" t="str">
        <f ca="1">IFERROR(__xludf.DUMMYFUNCTION("""COMPUTED_VALUE"""),"484520")</f>
        <v>484520</v>
      </c>
      <c r="H42" s="211" t="str">
        <f ca="1">IFERROR(__xludf.DUMMYFUNCTION("""COMPUTED_VALUE"""),"AEE")</f>
        <v>AEE</v>
      </c>
      <c r="I42" s="214">
        <f ca="1">IFERROR(__xludf.DUMMYFUNCTION("""COMPUTED_VALUE"""),734.4)</f>
        <v>734.4</v>
      </c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</row>
    <row r="43" spans="1:26" ht="18.75" customHeight="1">
      <c r="A43" s="210" t="str">
        <f ca="1">IFERROR(__xludf.DUMMYFUNCTION("""COMPUTED_VALUE"""),"Araguaina")</f>
        <v>Araguaina</v>
      </c>
      <c r="B43" s="210" t="str">
        <f ca="1">IFERROR(__xludf.DUMMYFUNCTION("""COMPUTED_VALUE"""),"Araguaina")</f>
        <v>Araguaina</v>
      </c>
      <c r="C43" s="211" t="str">
        <f ca="1">IFERROR(__xludf.DUMMYFUNCTION("""COMPUTED_VALUE"""),"ASSOC. A. COL. EST. BENJAMIM JOSÉ DE ALMEIDA")</f>
        <v>ASSOC. A. COL. EST. BENJAMIM JOSÉ DE ALMEIDA</v>
      </c>
      <c r="D43" s="212" t="str">
        <f ca="1">IFERROR(__xludf.DUMMYFUNCTION("""COMPUTED_VALUE"""),"01136023000190")</f>
        <v>01136023000190</v>
      </c>
      <c r="E43" s="212" t="str">
        <f ca="1">IFERROR(__xludf.DUMMYFUNCTION("""COMPUTED_VALUE"""),"001")</f>
        <v>001</v>
      </c>
      <c r="F43" s="212" t="str">
        <f ca="1">IFERROR(__xludf.DUMMYFUNCTION("""COMPUTED_VALUE"""),"0638")</f>
        <v>0638</v>
      </c>
      <c r="G43" s="213" t="str">
        <f ca="1">IFERROR(__xludf.DUMMYFUNCTION("""COMPUTED_VALUE"""),"55149X")</f>
        <v>55149X</v>
      </c>
      <c r="H43" s="211" t="str">
        <f ca="1">IFERROR(__xludf.DUMMYFUNCTION("""COMPUTED_VALUE"""),"AEE")</f>
        <v>AEE</v>
      </c>
      <c r="I43" s="214">
        <f ca="1">IFERROR(__xludf.DUMMYFUNCTION("""COMPUTED_VALUE"""),176.799999999999)</f>
        <v>176.79999999999899</v>
      </c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</row>
    <row r="44" spans="1:26" ht="18.75" customHeight="1">
      <c r="A44" s="210" t="str">
        <f ca="1">IFERROR(__xludf.DUMMYFUNCTION("""COMPUTED_VALUE"""),"Araguaina")</f>
        <v>Araguaina</v>
      </c>
      <c r="B44" s="210" t="str">
        <f ca="1">IFERROR(__xludf.DUMMYFUNCTION("""COMPUTED_VALUE"""),"Araguaina")</f>
        <v>Araguaina</v>
      </c>
      <c r="C44" s="211" t="str">
        <f ca="1">IFERROR(__xludf.DUMMYFUNCTION("""COMPUTED_VALUE"""),"ASSOC. A. COL. EST. BENJAMIM JOSÉ DE ALMEIDA")</f>
        <v>ASSOC. A. COL. EST. BENJAMIM JOSÉ DE ALMEIDA</v>
      </c>
      <c r="D44" s="212" t="str">
        <f ca="1">IFERROR(__xludf.DUMMYFUNCTION("""COMPUTED_VALUE"""),"01136023000190")</f>
        <v>01136023000190</v>
      </c>
      <c r="E44" s="212" t="str">
        <f ca="1">IFERROR(__xludf.DUMMYFUNCTION("""COMPUTED_VALUE"""),"001")</f>
        <v>001</v>
      </c>
      <c r="F44" s="212" t="str">
        <f ca="1">IFERROR(__xludf.DUMMYFUNCTION("""COMPUTED_VALUE"""),"0638")</f>
        <v>0638</v>
      </c>
      <c r="G44" s="213" t="str">
        <f ca="1">IFERROR(__xludf.DUMMYFUNCTION("""COMPUTED_VALUE"""),"55149X")</f>
        <v>55149X</v>
      </c>
      <c r="H44" s="211" t="str">
        <f ca="1">IFERROR(__xludf.DUMMYFUNCTION("""COMPUTED_VALUE"""),"JOVEM AÇÃO")</f>
        <v>JOVEM AÇÃO</v>
      </c>
      <c r="I44" s="214">
        <f ca="1">IFERROR(__xludf.DUMMYFUNCTION("""COMPUTED_VALUE"""),11571.2)</f>
        <v>11571.2</v>
      </c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</row>
    <row r="45" spans="1:26" ht="18.75" customHeight="1">
      <c r="A45" s="210" t="str">
        <f ca="1">IFERROR(__xludf.DUMMYFUNCTION("""COMPUTED_VALUE"""),"Araguaina")</f>
        <v>Araguaina</v>
      </c>
      <c r="B45" s="210" t="str">
        <f ca="1">IFERROR(__xludf.DUMMYFUNCTION("""COMPUTED_VALUE"""),"Araguaina")</f>
        <v>Araguaina</v>
      </c>
      <c r="C45" s="211" t="str">
        <f ca="1">IFERROR(__xludf.DUMMYFUNCTION("""COMPUTED_VALUE"""),"A.A. C.E. ADEMAR V. FERREIRA SOBRINHO")</f>
        <v>A.A. C.E. ADEMAR V. FERREIRA SOBRINHO</v>
      </c>
      <c r="D45" s="212" t="str">
        <f ca="1">IFERROR(__xludf.DUMMYFUNCTION("""COMPUTED_VALUE"""),"01143808000190")</f>
        <v>01143808000190</v>
      </c>
      <c r="E45" s="212" t="str">
        <f ca="1">IFERROR(__xludf.DUMMYFUNCTION("""COMPUTED_VALUE"""),"001")</f>
        <v>001</v>
      </c>
      <c r="F45" s="212" t="str">
        <f ca="1">IFERROR(__xludf.DUMMYFUNCTION("""COMPUTED_VALUE"""),"0638")</f>
        <v>0638</v>
      </c>
      <c r="G45" s="213" t="str">
        <f ca="1">IFERROR(__xludf.DUMMYFUNCTION("""COMPUTED_VALUE"""),"0464244")</f>
        <v>0464244</v>
      </c>
      <c r="H45" s="211" t="str">
        <f ca="1">IFERROR(__xludf.DUMMYFUNCTION("""COMPUTED_VALUE"""),"ENS FUND PARCIAL")</f>
        <v>ENS FUND PARCIAL</v>
      </c>
      <c r="I45" s="214">
        <f ca="1">IFERROR(__xludf.DUMMYFUNCTION("""COMPUTED_VALUE"""),4120)</f>
        <v>4120</v>
      </c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</row>
    <row r="46" spans="1:26" ht="18.75" customHeight="1">
      <c r="A46" s="210" t="str">
        <f ca="1">IFERROR(__xludf.DUMMYFUNCTION("""COMPUTED_VALUE"""),"Araguaina")</f>
        <v>Araguaina</v>
      </c>
      <c r="B46" s="210" t="str">
        <f ca="1">IFERROR(__xludf.DUMMYFUNCTION("""COMPUTED_VALUE"""),"Araguaina")</f>
        <v>Araguaina</v>
      </c>
      <c r="C46" s="211" t="str">
        <f ca="1">IFERROR(__xludf.DUMMYFUNCTION("""COMPUTED_VALUE"""),"A.A. C.E. ADEMAR V. FERREIRA SOBRINHO")</f>
        <v>A.A. C.E. ADEMAR V. FERREIRA SOBRINHO</v>
      </c>
      <c r="D46" s="212" t="str">
        <f ca="1">IFERROR(__xludf.DUMMYFUNCTION("""COMPUTED_VALUE"""),"01143808000190")</f>
        <v>01143808000190</v>
      </c>
      <c r="E46" s="212" t="str">
        <f ca="1">IFERROR(__xludf.DUMMYFUNCTION("""COMPUTED_VALUE"""),"001")</f>
        <v>001</v>
      </c>
      <c r="F46" s="212" t="str">
        <f ca="1">IFERROR(__xludf.DUMMYFUNCTION("""COMPUTED_VALUE"""),"0638")</f>
        <v>0638</v>
      </c>
      <c r="G46" s="213" t="str">
        <f ca="1">IFERROR(__xludf.DUMMYFUNCTION("""COMPUTED_VALUE"""),"0464244")</f>
        <v>0464244</v>
      </c>
      <c r="H46" s="211" t="str">
        <f ca="1">IFERROR(__xludf.DUMMYFUNCTION("""COMPUTED_VALUE"""),"AEE")</f>
        <v>AEE</v>
      </c>
      <c r="I46" s="214">
        <f ca="1">IFERROR(__xludf.DUMMYFUNCTION("""COMPUTED_VALUE"""),272)</f>
        <v>272</v>
      </c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</row>
    <row r="47" spans="1:26" ht="18.75" customHeight="1">
      <c r="A47" s="210" t="str">
        <f ca="1">IFERROR(__xludf.DUMMYFUNCTION("""COMPUTED_VALUE"""),"Araguaina")</f>
        <v>Araguaina</v>
      </c>
      <c r="B47" s="210" t="str">
        <f ca="1">IFERROR(__xludf.DUMMYFUNCTION("""COMPUTED_VALUE"""),"Araguaina")</f>
        <v>Araguaina</v>
      </c>
      <c r="C47" s="211" t="str">
        <f ca="1">IFERROR(__xludf.DUMMYFUNCTION("""COMPUTED_VALUE"""),"A.A. ESC. EST. DEP.FED.JOSE A. DE ASSIS")</f>
        <v>A.A. ESC. EST. DEP.FED.JOSE A. DE ASSIS</v>
      </c>
      <c r="D47" s="212" t="str">
        <f ca="1">IFERROR(__xludf.DUMMYFUNCTION("""COMPUTED_VALUE"""),"01186464000105")</f>
        <v>01186464000105</v>
      </c>
      <c r="E47" s="212" t="str">
        <f ca="1">IFERROR(__xludf.DUMMYFUNCTION("""COMPUTED_VALUE"""),"001")</f>
        <v>001</v>
      </c>
      <c r="F47" s="212" t="str">
        <f ca="1">IFERROR(__xludf.DUMMYFUNCTION("""COMPUTED_VALUE"""),"0638")</f>
        <v>0638</v>
      </c>
      <c r="G47" s="213" t="str">
        <f ca="1">IFERROR(__xludf.DUMMYFUNCTION("""COMPUTED_VALUE"""),"465089")</f>
        <v>465089</v>
      </c>
      <c r="H47" s="211" t="str">
        <f ca="1">IFERROR(__xludf.DUMMYFUNCTION("""COMPUTED_VALUE"""),"ENS FUND PARCIAL")</f>
        <v>ENS FUND PARCIAL</v>
      </c>
      <c r="I47" s="214">
        <f ca="1">IFERROR(__xludf.DUMMYFUNCTION("""COMPUTED_VALUE"""),1780)</f>
        <v>1780</v>
      </c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</row>
    <row r="48" spans="1:26" ht="18.75" customHeight="1">
      <c r="A48" s="210" t="str">
        <f ca="1">IFERROR(__xludf.DUMMYFUNCTION("""COMPUTED_VALUE"""),"Araguaina")</f>
        <v>Araguaina</v>
      </c>
      <c r="B48" s="210" t="str">
        <f ca="1">IFERROR(__xludf.DUMMYFUNCTION("""COMPUTED_VALUE"""),"Araguaina")</f>
        <v>Araguaina</v>
      </c>
      <c r="C48" s="211" t="str">
        <f ca="1">IFERROR(__xludf.DUMMYFUNCTION("""COMPUTED_VALUE"""),"A.A. ESC. EST. DEP.FED.JOSE A. DE ASSIS")</f>
        <v>A.A. ESC. EST. DEP.FED.JOSE A. DE ASSIS</v>
      </c>
      <c r="D48" s="212" t="str">
        <f ca="1">IFERROR(__xludf.DUMMYFUNCTION("""COMPUTED_VALUE"""),"01186464000105")</f>
        <v>01186464000105</v>
      </c>
      <c r="E48" s="212" t="str">
        <f ca="1">IFERROR(__xludf.DUMMYFUNCTION("""COMPUTED_VALUE"""),"001")</f>
        <v>001</v>
      </c>
      <c r="F48" s="212" t="str">
        <f ca="1">IFERROR(__xludf.DUMMYFUNCTION("""COMPUTED_VALUE"""),"0638")</f>
        <v>0638</v>
      </c>
      <c r="G48" s="213" t="str">
        <f ca="1">IFERROR(__xludf.DUMMYFUNCTION("""COMPUTED_VALUE"""),"465089")</f>
        <v>465089</v>
      </c>
      <c r="H48" s="211" t="str">
        <f ca="1">IFERROR(__xludf.DUMMYFUNCTION("""COMPUTED_VALUE"""),"AEE")</f>
        <v>AEE</v>
      </c>
      <c r="I48" s="214">
        <f ca="1">IFERROR(__xludf.DUMMYFUNCTION("""COMPUTED_VALUE"""),204)</f>
        <v>204</v>
      </c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</row>
    <row r="49" spans="1:26" ht="18.75" customHeight="1">
      <c r="A49" s="210" t="str">
        <f ca="1">IFERROR(__xludf.DUMMYFUNCTION("""COMPUTED_VALUE"""),"Araguaina")</f>
        <v>Araguaina</v>
      </c>
      <c r="B49" s="210" t="str">
        <f ca="1">IFERROR(__xludf.DUMMYFUNCTION("""COMPUTED_VALUE"""),"Araguaina")</f>
        <v>Araguaina</v>
      </c>
      <c r="C49" s="211" t="str">
        <f ca="1">IFERROR(__xludf.DUMMYFUNCTION("""COMPUTED_VALUE"""),"A.A. ESC. EST. DEP.FED.JOSE A. DE ASSIS")</f>
        <v>A.A. ESC. EST. DEP.FED.JOSE A. DE ASSIS</v>
      </c>
      <c r="D49" s="212" t="str">
        <f ca="1">IFERROR(__xludf.DUMMYFUNCTION("""COMPUTED_VALUE"""),"01186464000105")</f>
        <v>01186464000105</v>
      </c>
      <c r="E49" s="212" t="str">
        <f ca="1">IFERROR(__xludf.DUMMYFUNCTION("""COMPUTED_VALUE"""),"001")</f>
        <v>001</v>
      </c>
      <c r="F49" s="212" t="str">
        <f ca="1">IFERROR(__xludf.DUMMYFUNCTION("""COMPUTED_VALUE"""),"0638")</f>
        <v>0638</v>
      </c>
      <c r="G49" s="213" t="str">
        <f ca="1">IFERROR(__xludf.DUMMYFUNCTION("""COMPUTED_VALUE"""),"465089")</f>
        <v>465089</v>
      </c>
      <c r="H49" s="211" t="str">
        <f ca="1">IFERROR(__xludf.DUMMYFUNCTION("""COMPUTED_VALUE"""),"ENSINO MEDIO PARCIAL")</f>
        <v>ENSINO MEDIO PARCIAL</v>
      </c>
      <c r="I49" s="214">
        <f ca="1">IFERROR(__xludf.DUMMYFUNCTION("""COMPUTED_VALUE"""),4230)</f>
        <v>4230</v>
      </c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</row>
    <row r="50" spans="1:26" ht="18.75" customHeight="1">
      <c r="A50" s="210" t="str">
        <f ca="1">IFERROR(__xludf.DUMMYFUNCTION("""COMPUTED_VALUE"""),"Araguaina")</f>
        <v>Araguaina</v>
      </c>
      <c r="B50" s="210" t="str">
        <f ca="1">IFERROR(__xludf.DUMMYFUNCTION("""COMPUTED_VALUE"""),"Araguaina")</f>
        <v>Araguaina</v>
      </c>
      <c r="C50" s="211" t="str">
        <f ca="1">IFERROR(__xludf.DUMMYFUNCTION("""COMPUTED_VALUE"""),"A.A. ESC. EST.WELDER M.ABREU SALES")</f>
        <v>A.A. ESC. EST.WELDER M.ABREU SALES</v>
      </c>
      <c r="D50" s="212" t="str">
        <f ca="1">IFERROR(__xludf.DUMMYFUNCTION("""COMPUTED_VALUE"""),"01190182000173")</f>
        <v>01190182000173</v>
      </c>
      <c r="E50" s="212" t="str">
        <f ca="1">IFERROR(__xludf.DUMMYFUNCTION("""COMPUTED_VALUE"""),"001")</f>
        <v>001</v>
      </c>
      <c r="F50" s="212" t="str">
        <f ca="1">IFERROR(__xludf.DUMMYFUNCTION("""COMPUTED_VALUE"""),"0638")</f>
        <v>0638</v>
      </c>
      <c r="G50" s="213" t="str">
        <f ca="1">IFERROR(__xludf.DUMMYFUNCTION("""COMPUTED_VALUE"""),"0465054")</f>
        <v>0465054</v>
      </c>
      <c r="H50" s="211" t="str">
        <f ca="1">IFERROR(__xludf.DUMMYFUNCTION("""COMPUTED_VALUE"""),"ENS FUND PARCIAL")</f>
        <v>ENS FUND PARCIAL</v>
      </c>
      <c r="I50" s="214">
        <f ca="1">IFERROR(__xludf.DUMMYFUNCTION("""COMPUTED_VALUE"""),5210)</f>
        <v>5210</v>
      </c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</row>
    <row r="51" spans="1:26" ht="18.75" customHeight="1">
      <c r="A51" s="210" t="str">
        <f ca="1">IFERROR(__xludf.DUMMYFUNCTION("""COMPUTED_VALUE"""),"Araguaina")</f>
        <v>Araguaina</v>
      </c>
      <c r="B51" s="210" t="str">
        <f ca="1">IFERROR(__xludf.DUMMYFUNCTION("""COMPUTED_VALUE"""),"Araguaina")</f>
        <v>Araguaina</v>
      </c>
      <c r="C51" s="211" t="str">
        <f ca="1">IFERROR(__xludf.DUMMYFUNCTION("""COMPUTED_VALUE"""),"A.A. ESC. EST.WELDER M.ABREU SALES")</f>
        <v>A.A. ESC. EST.WELDER M.ABREU SALES</v>
      </c>
      <c r="D51" s="212" t="str">
        <f ca="1">IFERROR(__xludf.DUMMYFUNCTION("""COMPUTED_VALUE"""),"01190182000173")</f>
        <v>01190182000173</v>
      </c>
      <c r="E51" s="212" t="str">
        <f ca="1">IFERROR(__xludf.DUMMYFUNCTION("""COMPUTED_VALUE"""),"001")</f>
        <v>001</v>
      </c>
      <c r="F51" s="212" t="str">
        <f ca="1">IFERROR(__xludf.DUMMYFUNCTION("""COMPUTED_VALUE"""),"0638")</f>
        <v>0638</v>
      </c>
      <c r="G51" s="213" t="str">
        <f ca="1">IFERROR(__xludf.DUMMYFUNCTION("""COMPUTED_VALUE"""),"0465054")</f>
        <v>0465054</v>
      </c>
      <c r="H51" s="211" t="str">
        <f ca="1">IFERROR(__xludf.DUMMYFUNCTION("""COMPUTED_VALUE"""),"AEE")</f>
        <v>AEE</v>
      </c>
      <c r="I51" s="214">
        <f ca="1">IFERROR(__xludf.DUMMYFUNCTION("""COMPUTED_VALUE"""),190.4)</f>
        <v>190.4</v>
      </c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</row>
    <row r="52" spans="1:26" ht="18.75" customHeight="1">
      <c r="A52" s="210" t="str">
        <f ca="1">IFERROR(__xludf.DUMMYFUNCTION("""COMPUTED_VALUE"""),"Araguaina")</f>
        <v>Araguaina</v>
      </c>
      <c r="B52" s="210" t="str">
        <f ca="1">IFERROR(__xludf.DUMMYFUNCTION("""COMPUTED_VALUE"""),"Araguaina")</f>
        <v>Araguaina</v>
      </c>
      <c r="C52" s="211" t="str">
        <f ca="1">IFERROR(__xludf.DUMMYFUNCTION("""COMPUTED_VALUE"""),"A.A. ESC. E.NORTE GOIANO DE ARAGUAINA")</f>
        <v>A.A. ESC. E.NORTE GOIANO DE ARAGUAINA</v>
      </c>
      <c r="D52" s="212" t="str">
        <f ca="1">IFERROR(__xludf.DUMMYFUNCTION("""COMPUTED_VALUE"""),"01195483000190")</f>
        <v>01195483000190</v>
      </c>
      <c r="E52" s="212" t="str">
        <f ca="1">IFERROR(__xludf.DUMMYFUNCTION("""COMPUTED_VALUE"""),"001")</f>
        <v>001</v>
      </c>
      <c r="F52" s="212" t="str">
        <f ca="1">IFERROR(__xludf.DUMMYFUNCTION("""COMPUTED_VALUE"""),"0638")</f>
        <v>0638</v>
      </c>
      <c r="G52" s="213" t="str">
        <f ca="1">IFERROR(__xludf.DUMMYFUNCTION("""COMPUTED_VALUE"""),"0464724")</f>
        <v>0464724</v>
      </c>
      <c r="H52" s="211" t="str">
        <f ca="1">IFERROR(__xludf.DUMMYFUNCTION("""COMPUTED_VALUE"""),"ENS FUND PARCIAL")</f>
        <v>ENS FUND PARCIAL</v>
      </c>
      <c r="I52" s="214">
        <f ca="1">IFERROR(__xludf.DUMMYFUNCTION("""COMPUTED_VALUE"""),2630)</f>
        <v>2630</v>
      </c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</row>
    <row r="53" spans="1:26" ht="18.75" customHeight="1">
      <c r="A53" s="210" t="str">
        <f ca="1">IFERROR(__xludf.DUMMYFUNCTION("""COMPUTED_VALUE"""),"Araguaina")</f>
        <v>Araguaina</v>
      </c>
      <c r="B53" s="210" t="str">
        <f ca="1">IFERROR(__xludf.DUMMYFUNCTION("""COMPUTED_VALUE"""),"Araguaina")</f>
        <v>Araguaina</v>
      </c>
      <c r="C53" s="211" t="str">
        <f ca="1">IFERROR(__xludf.DUMMYFUNCTION("""COMPUTED_VALUE"""),"A.A. ESC. E.NORTE GOIANO DE ARAGUAINA")</f>
        <v>A.A. ESC. E.NORTE GOIANO DE ARAGUAINA</v>
      </c>
      <c r="D53" s="212" t="str">
        <f ca="1">IFERROR(__xludf.DUMMYFUNCTION("""COMPUTED_VALUE"""),"01195483000190")</f>
        <v>01195483000190</v>
      </c>
      <c r="E53" s="212" t="str">
        <f ca="1">IFERROR(__xludf.DUMMYFUNCTION("""COMPUTED_VALUE"""),"001")</f>
        <v>001</v>
      </c>
      <c r="F53" s="212" t="str">
        <f ca="1">IFERROR(__xludf.DUMMYFUNCTION("""COMPUTED_VALUE"""),"0638")</f>
        <v>0638</v>
      </c>
      <c r="G53" s="213" t="str">
        <f ca="1">IFERROR(__xludf.DUMMYFUNCTION("""COMPUTED_VALUE"""),"0464724")</f>
        <v>0464724</v>
      </c>
      <c r="H53" s="211" t="str">
        <f ca="1">IFERROR(__xludf.DUMMYFUNCTION("""COMPUTED_VALUE"""),"AEE")</f>
        <v>AEE</v>
      </c>
      <c r="I53" s="214">
        <f ca="1">IFERROR(__xludf.DUMMYFUNCTION("""COMPUTED_VALUE"""),163.2)</f>
        <v>163.19999999999999</v>
      </c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</row>
    <row r="54" spans="1:26" ht="18.75" customHeight="1">
      <c r="A54" s="210" t="str">
        <f ca="1">IFERROR(__xludf.DUMMYFUNCTION("""COMPUTED_VALUE"""),"Araguaina")</f>
        <v>Araguaina</v>
      </c>
      <c r="B54" s="210" t="str">
        <f ca="1">IFERROR(__xludf.DUMMYFUNCTION("""COMPUTED_VALUE"""),"Araguaina")</f>
        <v>Araguaina</v>
      </c>
      <c r="C54" s="211" t="str">
        <f ca="1">IFERROR(__xludf.DUMMYFUNCTION("""COMPUTED_VALUE"""),"A.A. ESCOLA EST.PROF.ALFREDO NASSER")</f>
        <v>A.A. ESCOLA EST.PROF.ALFREDO NASSER</v>
      </c>
      <c r="D54" s="212" t="str">
        <f ca="1">IFERROR(__xludf.DUMMYFUNCTION("""COMPUTED_VALUE"""),"01223632000187")</f>
        <v>01223632000187</v>
      </c>
      <c r="E54" s="212" t="str">
        <f ca="1">IFERROR(__xludf.DUMMYFUNCTION("""COMPUTED_VALUE"""),"001")</f>
        <v>001</v>
      </c>
      <c r="F54" s="212" t="str">
        <f ca="1">IFERROR(__xludf.DUMMYFUNCTION("""COMPUTED_VALUE"""),"0638")</f>
        <v>0638</v>
      </c>
      <c r="G54" s="213" t="str">
        <f ca="1">IFERROR(__xludf.DUMMYFUNCTION("""COMPUTED_VALUE"""),"0465135")</f>
        <v>0465135</v>
      </c>
      <c r="H54" s="211" t="str">
        <f ca="1">IFERROR(__xludf.DUMMYFUNCTION("""COMPUTED_VALUE"""),"ENS FUND PARCIAL")</f>
        <v>ENS FUND PARCIAL</v>
      </c>
      <c r="I54" s="214">
        <f ca="1">IFERROR(__xludf.DUMMYFUNCTION("""COMPUTED_VALUE"""),7310)</f>
        <v>7310</v>
      </c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</row>
    <row r="55" spans="1:26" ht="18.75" customHeight="1">
      <c r="A55" s="210" t="str">
        <f ca="1">IFERROR(__xludf.DUMMYFUNCTION("""COMPUTED_VALUE"""),"Araguaina")</f>
        <v>Araguaina</v>
      </c>
      <c r="B55" s="210" t="str">
        <f ca="1">IFERROR(__xludf.DUMMYFUNCTION("""COMPUTED_VALUE"""),"Araguaina")</f>
        <v>Araguaina</v>
      </c>
      <c r="C55" s="211" t="str">
        <f ca="1">IFERROR(__xludf.DUMMYFUNCTION("""COMPUTED_VALUE"""),"A.A. COL. ESTADUAL GUILHERME DOURADO")</f>
        <v>A.A. COL. ESTADUAL GUILHERME DOURADO</v>
      </c>
      <c r="D55" s="212" t="str">
        <f ca="1">IFERROR(__xludf.DUMMYFUNCTION("""COMPUTED_VALUE"""),"01257074000170")</f>
        <v>01257074000170</v>
      </c>
      <c r="E55" s="212" t="str">
        <f ca="1">IFERROR(__xludf.DUMMYFUNCTION("""COMPUTED_VALUE"""),"001")</f>
        <v>001</v>
      </c>
      <c r="F55" s="212" t="str">
        <f ca="1">IFERROR(__xludf.DUMMYFUNCTION("""COMPUTED_VALUE"""),"0638")</f>
        <v>0638</v>
      </c>
      <c r="G55" s="213" t="str">
        <f ca="1">IFERROR(__xludf.DUMMYFUNCTION("""COMPUTED_VALUE"""),"0068659")</f>
        <v>0068659</v>
      </c>
      <c r="H55" s="211" t="str">
        <f ca="1">IFERROR(__xludf.DUMMYFUNCTION("""COMPUTED_VALUE"""),"AEE")</f>
        <v>AEE</v>
      </c>
      <c r="I55" s="214">
        <f ca="1">IFERROR(__xludf.DUMMYFUNCTION("""COMPUTED_VALUE"""),108.8)</f>
        <v>108.8</v>
      </c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</row>
    <row r="56" spans="1:26" ht="18.75" customHeight="1">
      <c r="A56" s="210" t="str">
        <f ca="1">IFERROR(__xludf.DUMMYFUNCTION("""COMPUTED_VALUE"""),"Araguaina")</f>
        <v>Araguaina</v>
      </c>
      <c r="B56" s="210" t="str">
        <f ca="1">IFERROR(__xludf.DUMMYFUNCTION("""COMPUTED_VALUE"""),"Araguaina")</f>
        <v>Araguaina</v>
      </c>
      <c r="C56" s="211" t="str">
        <f ca="1">IFERROR(__xludf.DUMMYFUNCTION("""COMPUTED_VALUE"""),"A.A. COL. ESTADUAL GUILHERME DOURADO")</f>
        <v>A.A. COL. ESTADUAL GUILHERME DOURADO</v>
      </c>
      <c r="D56" s="212" t="str">
        <f ca="1">IFERROR(__xludf.DUMMYFUNCTION("""COMPUTED_VALUE"""),"01257074000170")</f>
        <v>01257074000170</v>
      </c>
      <c r="E56" s="212" t="str">
        <f ca="1">IFERROR(__xludf.DUMMYFUNCTION("""COMPUTED_VALUE"""),"001")</f>
        <v>001</v>
      </c>
      <c r="F56" s="212" t="str">
        <f ca="1">IFERROR(__xludf.DUMMYFUNCTION("""COMPUTED_VALUE"""),"0638")</f>
        <v>0638</v>
      </c>
      <c r="G56" s="213" t="str">
        <f ca="1">IFERROR(__xludf.DUMMYFUNCTION("""COMPUTED_VALUE"""),"0068659")</f>
        <v>0068659</v>
      </c>
      <c r="H56" s="211" t="str">
        <f ca="1">IFERROR(__xludf.DUMMYFUNCTION("""COMPUTED_VALUE"""),"ENSINO MEDIO PARCIAL")</f>
        <v>ENSINO MEDIO PARCIAL</v>
      </c>
      <c r="I56" s="214">
        <f ca="1">IFERROR(__xludf.DUMMYFUNCTION("""COMPUTED_VALUE"""),14690)</f>
        <v>14690</v>
      </c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</row>
    <row r="57" spans="1:26" ht="18.75" customHeight="1">
      <c r="A57" s="210" t="str">
        <f ca="1">IFERROR(__xludf.DUMMYFUNCTION("""COMPUTED_VALUE"""),"Araguaina")</f>
        <v>Araguaina</v>
      </c>
      <c r="B57" s="210" t="str">
        <f ca="1">IFERROR(__xludf.DUMMYFUNCTION("""COMPUTED_VALUE"""),"Araguaina")</f>
        <v>Araguaina</v>
      </c>
      <c r="C57" s="211" t="str">
        <f ca="1">IFERROR(__xludf.DUMMYFUNCTION("""COMPUTED_VALUE"""),"A. APOIO ESCOLA EST. CAMPOS BRASIL")</f>
        <v>A. APOIO ESCOLA EST. CAMPOS BRASIL</v>
      </c>
      <c r="D57" s="212" t="str">
        <f ca="1">IFERROR(__xludf.DUMMYFUNCTION("""COMPUTED_VALUE"""),"01291177000157")</f>
        <v>01291177000157</v>
      </c>
      <c r="E57" s="212" t="str">
        <f ca="1">IFERROR(__xludf.DUMMYFUNCTION("""COMPUTED_VALUE"""),"001")</f>
        <v>001</v>
      </c>
      <c r="F57" s="212" t="str">
        <f ca="1">IFERROR(__xludf.DUMMYFUNCTION("""COMPUTED_VALUE"""),"0638")</f>
        <v>0638</v>
      </c>
      <c r="G57" s="213" t="str">
        <f ca="1">IFERROR(__xludf.DUMMYFUNCTION("""COMPUTED_VALUE"""),"466093")</f>
        <v>466093</v>
      </c>
      <c r="H57" s="211" t="str">
        <f ca="1">IFERROR(__xludf.DUMMYFUNCTION("""COMPUTED_VALUE"""),"ENS FUND PARCIAL")</f>
        <v>ENS FUND PARCIAL</v>
      </c>
      <c r="I57" s="214">
        <f ca="1">IFERROR(__xludf.DUMMYFUNCTION("""COMPUTED_VALUE"""),5590)</f>
        <v>5590</v>
      </c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</row>
    <row r="58" spans="1:26" ht="18.75" customHeight="1">
      <c r="A58" s="210" t="str">
        <f ca="1">IFERROR(__xludf.DUMMYFUNCTION("""COMPUTED_VALUE"""),"Araguaina")</f>
        <v>Araguaina</v>
      </c>
      <c r="B58" s="210" t="str">
        <f ca="1">IFERROR(__xludf.DUMMYFUNCTION("""COMPUTED_VALUE"""),"Araguaina")</f>
        <v>Araguaina</v>
      </c>
      <c r="C58" s="211" t="str">
        <f ca="1">IFERROR(__xludf.DUMMYFUNCTION("""COMPUTED_VALUE"""),"A. APOIO ESCOLA EST. CAMPOS BRASIL")</f>
        <v>A. APOIO ESCOLA EST. CAMPOS BRASIL</v>
      </c>
      <c r="D58" s="212" t="str">
        <f ca="1">IFERROR(__xludf.DUMMYFUNCTION("""COMPUTED_VALUE"""),"01291177000157")</f>
        <v>01291177000157</v>
      </c>
      <c r="E58" s="212" t="str">
        <f ca="1">IFERROR(__xludf.DUMMYFUNCTION("""COMPUTED_VALUE"""),"001")</f>
        <v>001</v>
      </c>
      <c r="F58" s="212" t="str">
        <f ca="1">IFERROR(__xludf.DUMMYFUNCTION("""COMPUTED_VALUE"""),"0638")</f>
        <v>0638</v>
      </c>
      <c r="G58" s="213" t="str">
        <f ca="1">IFERROR(__xludf.DUMMYFUNCTION("""COMPUTED_VALUE"""),"466093")</f>
        <v>466093</v>
      </c>
      <c r="H58" s="211" t="str">
        <f ca="1">IFERROR(__xludf.DUMMYFUNCTION("""COMPUTED_VALUE"""),"AEE")</f>
        <v>AEE</v>
      </c>
      <c r="I58" s="214">
        <f ca="1">IFERROR(__xludf.DUMMYFUNCTION("""COMPUTED_VALUE"""),489.599999999999)</f>
        <v>489.599999999999</v>
      </c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</row>
    <row r="59" spans="1:26" ht="18.75" customHeight="1">
      <c r="A59" s="210" t="str">
        <f ca="1">IFERROR(__xludf.DUMMYFUNCTION("""COMPUTED_VALUE"""),"Araguaina")</f>
        <v>Araguaina</v>
      </c>
      <c r="B59" s="210" t="str">
        <f ca="1">IFERROR(__xludf.DUMMYFUNCTION("""COMPUTED_VALUE"""),"Araguaina")</f>
        <v>Araguaina</v>
      </c>
      <c r="C59" s="211" t="str">
        <f ca="1">IFERROR(__xludf.DUMMYFUNCTION("""COMPUTED_VALUE"""),"A. APOIO ESCOLA EST. CAMPOS BRASIL")</f>
        <v>A. APOIO ESCOLA EST. CAMPOS BRASIL</v>
      </c>
      <c r="D59" s="212" t="str">
        <f ca="1">IFERROR(__xludf.DUMMYFUNCTION("""COMPUTED_VALUE"""),"01291177000157")</f>
        <v>01291177000157</v>
      </c>
      <c r="E59" s="212" t="str">
        <f ca="1">IFERROR(__xludf.DUMMYFUNCTION("""COMPUTED_VALUE"""),"001")</f>
        <v>001</v>
      </c>
      <c r="F59" s="212" t="str">
        <f ca="1">IFERROR(__xludf.DUMMYFUNCTION("""COMPUTED_VALUE"""),"0638")</f>
        <v>0638</v>
      </c>
      <c r="G59" s="213" t="str">
        <f ca="1">IFERROR(__xludf.DUMMYFUNCTION("""COMPUTED_VALUE"""),"466093")</f>
        <v>466093</v>
      </c>
      <c r="H59" s="211" t="str">
        <f ca="1">IFERROR(__xludf.DUMMYFUNCTION("""COMPUTED_VALUE"""),"ENSINO MEDIO PARCIAL")</f>
        <v>ENSINO MEDIO PARCIAL</v>
      </c>
      <c r="I59" s="214">
        <f ca="1">IFERROR(__xludf.DUMMYFUNCTION("""COMPUTED_VALUE"""),5960)</f>
        <v>5960</v>
      </c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</row>
    <row r="60" spans="1:26" ht="18.75" customHeight="1">
      <c r="A60" s="210" t="str">
        <f ca="1">IFERROR(__xludf.DUMMYFUNCTION("""COMPUTED_VALUE"""),"Araguaina")</f>
        <v>Araguaina</v>
      </c>
      <c r="B60" s="210" t="str">
        <f ca="1">IFERROR(__xludf.DUMMYFUNCTION("""COMPUTED_VALUE"""),"Araguaina")</f>
        <v>Araguaina</v>
      </c>
      <c r="C60" s="211" t="str">
        <f ca="1">IFERROR(__xludf.DUMMYFUNCTION("""COMPUTED_VALUE"""),"A.APOIO COL. ESTADUAL JORGE AMADO")</f>
        <v>A.APOIO COL. ESTADUAL JORGE AMADO</v>
      </c>
      <c r="D60" s="212" t="str">
        <f ca="1">IFERROR(__xludf.DUMMYFUNCTION("""COMPUTED_VALUE"""),"01291218000105")</f>
        <v>01291218000105</v>
      </c>
      <c r="E60" s="212" t="str">
        <f ca="1">IFERROR(__xludf.DUMMYFUNCTION("""COMPUTED_VALUE"""),"001")</f>
        <v>001</v>
      </c>
      <c r="F60" s="212" t="str">
        <f ca="1">IFERROR(__xludf.DUMMYFUNCTION("""COMPUTED_VALUE"""),"0638")</f>
        <v>0638</v>
      </c>
      <c r="G60" s="213" t="str">
        <f ca="1">IFERROR(__xludf.DUMMYFUNCTION("""COMPUTED_VALUE"""),"0467006")</f>
        <v>0467006</v>
      </c>
      <c r="H60" s="211" t="str">
        <f ca="1">IFERROR(__xludf.DUMMYFUNCTION("""COMPUTED_VALUE"""),"ENS FUND PARCIAL")</f>
        <v>ENS FUND PARCIAL</v>
      </c>
      <c r="I60" s="214">
        <f ca="1">IFERROR(__xludf.DUMMYFUNCTION("""COMPUTED_VALUE"""),2250)</f>
        <v>2250</v>
      </c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</row>
    <row r="61" spans="1:26" ht="18.75" customHeight="1">
      <c r="A61" s="210" t="str">
        <f ca="1">IFERROR(__xludf.DUMMYFUNCTION("""COMPUTED_VALUE"""),"Araguaina")</f>
        <v>Araguaina</v>
      </c>
      <c r="B61" s="210" t="str">
        <f ca="1">IFERROR(__xludf.DUMMYFUNCTION("""COMPUTED_VALUE"""),"Araguaina")</f>
        <v>Araguaina</v>
      </c>
      <c r="C61" s="211" t="str">
        <f ca="1">IFERROR(__xludf.DUMMYFUNCTION("""COMPUTED_VALUE"""),"A.APOIO COL. ESTADUAL JORGE AMADO")</f>
        <v>A.APOIO COL. ESTADUAL JORGE AMADO</v>
      </c>
      <c r="D61" s="212" t="str">
        <f ca="1">IFERROR(__xludf.DUMMYFUNCTION("""COMPUTED_VALUE"""),"01291218000105")</f>
        <v>01291218000105</v>
      </c>
      <c r="E61" s="212" t="str">
        <f ca="1">IFERROR(__xludf.DUMMYFUNCTION("""COMPUTED_VALUE"""),"001")</f>
        <v>001</v>
      </c>
      <c r="F61" s="212" t="str">
        <f ca="1">IFERROR(__xludf.DUMMYFUNCTION("""COMPUTED_VALUE"""),"0638")</f>
        <v>0638</v>
      </c>
      <c r="G61" s="213" t="str">
        <f ca="1">IFERROR(__xludf.DUMMYFUNCTION("""COMPUTED_VALUE"""),"0467006")</f>
        <v>0467006</v>
      </c>
      <c r="H61" s="211" t="str">
        <f ca="1">IFERROR(__xludf.DUMMYFUNCTION("""COMPUTED_VALUE"""),"AEE")</f>
        <v>AEE</v>
      </c>
      <c r="I61" s="214">
        <f ca="1">IFERROR(__xludf.DUMMYFUNCTION("""COMPUTED_VALUE"""),244.799999999999)</f>
        <v>244.79999999999899</v>
      </c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</row>
    <row r="62" spans="1:26" ht="18.75" customHeight="1">
      <c r="A62" s="210" t="str">
        <f ca="1">IFERROR(__xludf.DUMMYFUNCTION("""COMPUTED_VALUE"""),"Araguaina")</f>
        <v>Araguaina</v>
      </c>
      <c r="B62" s="210" t="str">
        <f ca="1">IFERROR(__xludf.DUMMYFUNCTION("""COMPUTED_VALUE"""),"Araguaina")</f>
        <v>Araguaina</v>
      </c>
      <c r="C62" s="211" t="str">
        <f ca="1">IFERROR(__xludf.DUMMYFUNCTION("""COMPUTED_VALUE"""),"A.APOIO COL. ESTADUAL JORGE AMADO")</f>
        <v>A.APOIO COL. ESTADUAL JORGE AMADO</v>
      </c>
      <c r="D62" s="212" t="str">
        <f ca="1">IFERROR(__xludf.DUMMYFUNCTION("""COMPUTED_VALUE"""),"01291218000105")</f>
        <v>01291218000105</v>
      </c>
      <c r="E62" s="212" t="str">
        <f ca="1">IFERROR(__xludf.DUMMYFUNCTION("""COMPUTED_VALUE"""),"001")</f>
        <v>001</v>
      </c>
      <c r="F62" s="212" t="str">
        <f ca="1">IFERROR(__xludf.DUMMYFUNCTION("""COMPUTED_VALUE"""),"0638")</f>
        <v>0638</v>
      </c>
      <c r="G62" s="213" t="str">
        <f ca="1">IFERROR(__xludf.DUMMYFUNCTION("""COMPUTED_VALUE"""),"0467006")</f>
        <v>0467006</v>
      </c>
      <c r="H62" s="211" t="str">
        <f ca="1">IFERROR(__xludf.DUMMYFUNCTION("""COMPUTED_VALUE"""),"ENSINO MEDIO PARCIAL")</f>
        <v>ENSINO MEDIO PARCIAL</v>
      </c>
      <c r="I62" s="214">
        <f ca="1">IFERROR(__xludf.DUMMYFUNCTION("""COMPUTED_VALUE"""),2970)</f>
        <v>2970</v>
      </c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</row>
    <row r="63" spans="1:26" ht="18.75" customHeight="1">
      <c r="A63" s="210" t="str">
        <f ca="1">IFERROR(__xludf.DUMMYFUNCTION("""COMPUTED_VALUE"""),"Araguaina")</f>
        <v>Araguaina</v>
      </c>
      <c r="B63" s="210" t="str">
        <f ca="1">IFERROR(__xludf.DUMMYFUNCTION("""COMPUTED_VALUE"""),"Araguaina")</f>
        <v>Araguaina</v>
      </c>
      <c r="C63" s="211" t="str">
        <f ca="1">IFERROR(__xludf.DUMMYFUNCTION("""COMPUTED_VALUE"""),"ASS. COM. COL EST. SANCHA FERREIRA")</f>
        <v>ASS. COM. COL EST. SANCHA FERREIRA</v>
      </c>
      <c r="D63" s="212" t="str">
        <f ca="1">IFERROR(__xludf.DUMMYFUNCTION("""COMPUTED_VALUE"""),"01338702000142")</f>
        <v>01338702000142</v>
      </c>
      <c r="E63" s="212" t="str">
        <f ca="1">IFERROR(__xludf.DUMMYFUNCTION("""COMPUTED_VALUE"""),"001")</f>
        <v>001</v>
      </c>
      <c r="F63" s="212" t="str">
        <f ca="1">IFERROR(__xludf.DUMMYFUNCTION("""COMPUTED_VALUE"""),"0638")</f>
        <v>0638</v>
      </c>
      <c r="G63" s="213" t="str">
        <f ca="1">IFERROR(__xludf.DUMMYFUNCTION("""COMPUTED_VALUE"""),"0466913")</f>
        <v>0466913</v>
      </c>
      <c r="H63" s="211" t="str">
        <f ca="1">IFERROR(__xludf.DUMMYFUNCTION("""COMPUTED_VALUE"""),"ENS FUND INTEGRAL")</f>
        <v>ENS FUND INTEGRAL</v>
      </c>
      <c r="I63" s="214">
        <f ca="1">IFERROR(__xludf.DUMMYFUNCTION("""COMPUTED_VALUE"""),4904.59999999999)</f>
        <v>4904.5999999999904</v>
      </c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</row>
    <row r="64" spans="1:26" ht="18.75" customHeight="1">
      <c r="A64" s="210" t="str">
        <f ca="1">IFERROR(__xludf.DUMMYFUNCTION("""COMPUTED_VALUE"""),"Araguaina")</f>
        <v>Araguaina</v>
      </c>
      <c r="B64" s="210" t="str">
        <f ca="1">IFERROR(__xludf.DUMMYFUNCTION("""COMPUTED_VALUE"""),"Araguaina")</f>
        <v>Araguaina</v>
      </c>
      <c r="C64" s="211" t="str">
        <f ca="1">IFERROR(__xludf.DUMMYFUNCTION("""COMPUTED_VALUE"""),"ASS. COM. COL EST. SANCHA FERREIRA")</f>
        <v>ASS. COM. COL EST. SANCHA FERREIRA</v>
      </c>
      <c r="D64" s="212" t="str">
        <f ca="1">IFERROR(__xludf.DUMMYFUNCTION("""COMPUTED_VALUE"""),"01338702000142")</f>
        <v>01338702000142</v>
      </c>
      <c r="E64" s="212" t="str">
        <f ca="1">IFERROR(__xludf.DUMMYFUNCTION("""COMPUTED_VALUE"""),"001")</f>
        <v>001</v>
      </c>
      <c r="F64" s="212" t="str">
        <f ca="1">IFERROR(__xludf.DUMMYFUNCTION("""COMPUTED_VALUE"""),"0638")</f>
        <v>0638</v>
      </c>
      <c r="G64" s="213" t="str">
        <f ca="1">IFERROR(__xludf.DUMMYFUNCTION("""COMPUTED_VALUE"""),"0466913")</f>
        <v>0466913</v>
      </c>
      <c r="H64" s="211" t="str">
        <f ca="1">IFERROR(__xludf.DUMMYFUNCTION("""COMPUTED_VALUE"""),"AEE")</f>
        <v>AEE</v>
      </c>
      <c r="I64" s="214">
        <f ca="1">IFERROR(__xludf.DUMMYFUNCTION("""COMPUTED_VALUE"""),149.6)</f>
        <v>149.6</v>
      </c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</row>
    <row r="65" spans="1:26" ht="18.75" customHeight="1">
      <c r="A65" s="210" t="str">
        <f ca="1">IFERROR(__xludf.DUMMYFUNCTION("""COMPUTED_VALUE"""),"Araguaina")</f>
        <v>Araguaina</v>
      </c>
      <c r="B65" s="210" t="str">
        <f ca="1">IFERROR(__xludf.DUMMYFUNCTION("""COMPUTED_VALUE"""),"Araguaina")</f>
        <v>Araguaina</v>
      </c>
      <c r="C65" s="211" t="str">
        <f ca="1">IFERROR(__xludf.DUMMYFUNCTION("""COMPUTED_VALUE"""),"A.A. ESC. E.FRANCISCO MAXIMO DE SOUZA")</f>
        <v>A.A. ESC. E.FRANCISCO MAXIMO DE SOUZA</v>
      </c>
      <c r="D65" s="212" t="str">
        <f ca="1">IFERROR(__xludf.DUMMYFUNCTION("""COMPUTED_VALUE"""),"01345127000105")</f>
        <v>01345127000105</v>
      </c>
      <c r="E65" s="212" t="str">
        <f ca="1">IFERROR(__xludf.DUMMYFUNCTION("""COMPUTED_VALUE"""),"001")</f>
        <v>001</v>
      </c>
      <c r="F65" s="212" t="str">
        <f ca="1">IFERROR(__xludf.DUMMYFUNCTION("""COMPUTED_VALUE"""),"0638")</f>
        <v>0638</v>
      </c>
      <c r="G65" s="213" t="str">
        <f ca="1">IFERROR(__xludf.DUMMYFUNCTION("""COMPUTED_VALUE"""),"0463167")</f>
        <v>0463167</v>
      </c>
      <c r="H65" s="211" t="str">
        <f ca="1">IFERROR(__xludf.DUMMYFUNCTION("""COMPUTED_VALUE"""),"ENS FUND PARCIAL")</f>
        <v>ENS FUND PARCIAL</v>
      </c>
      <c r="I65" s="214">
        <f ca="1">IFERROR(__xludf.DUMMYFUNCTION("""COMPUTED_VALUE"""),3300)</f>
        <v>3300</v>
      </c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</row>
    <row r="66" spans="1:26" ht="18.75" customHeight="1">
      <c r="A66" s="210" t="str">
        <f ca="1">IFERROR(__xludf.DUMMYFUNCTION("""COMPUTED_VALUE"""),"Araguaina")</f>
        <v>Araguaina</v>
      </c>
      <c r="B66" s="210" t="str">
        <f ca="1">IFERROR(__xludf.DUMMYFUNCTION("""COMPUTED_VALUE"""),"Araguaina")</f>
        <v>Araguaina</v>
      </c>
      <c r="C66" s="211" t="str">
        <f ca="1">IFERROR(__xludf.DUMMYFUNCTION("""COMPUTED_VALUE"""),"A.A. ESC. E.FRANCISCO MAXIMO DE SOUZA")</f>
        <v>A.A. ESC. E.FRANCISCO MAXIMO DE SOUZA</v>
      </c>
      <c r="D66" s="212" t="str">
        <f ca="1">IFERROR(__xludf.DUMMYFUNCTION("""COMPUTED_VALUE"""),"01345127000105")</f>
        <v>01345127000105</v>
      </c>
      <c r="E66" s="212" t="str">
        <f ca="1">IFERROR(__xludf.DUMMYFUNCTION("""COMPUTED_VALUE"""),"001")</f>
        <v>001</v>
      </c>
      <c r="F66" s="212" t="str">
        <f ca="1">IFERROR(__xludf.DUMMYFUNCTION("""COMPUTED_VALUE"""),"0638")</f>
        <v>0638</v>
      </c>
      <c r="G66" s="213" t="str">
        <f ca="1">IFERROR(__xludf.DUMMYFUNCTION("""COMPUTED_VALUE"""),"0463167")</f>
        <v>0463167</v>
      </c>
      <c r="H66" s="211" t="str">
        <f ca="1">IFERROR(__xludf.DUMMYFUNCTION("""COMPUTED_VALUE"""),"AEE")</f>
        <v>AEE</v>
      </c>
      <c r="I66" s="214">
        <f ca="1">IFERROR(__xludf.DUMMYFUNCTION("""COMPUTED_VALUE"""),516.8)</f>
        <v>516.79999999999995</v>
      </c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</row>
    <row r="67" spans="1:26" ht="18.75" customHeight="1">
      <c r="A67" s="210" t="str">
        <f ca="1">IFERROR(__xludf.DUMMYFUNCTION("""COMPUTED_VALUE"""),"Araguaina")</f>
        <v>Araguaina</v>
      </c>
      <c r="B67" s="210" t="str">
        <f ca="1">IFERROR(__xludf.DUMMYFUNCTION("""COMPUTED_VALUE"""),"Araguaina")</f>
        <v>Araguaina</v>
      </c>
      <c r="C67" s="211" t="str">
        <f ca="1">IFERROR(__xludf.DUMMYFUNCTION("""COMPUTED_VALUE"""),"A.A. ESC. E.FRANCISCO MAXIMO DE SOUZA")</f>
        <v>A.A. ESC. E.FRANCISCO MAXIMO DE SOUZA</v>
      </c>
      <c r="D67" s="212" t="str">
        <f ca="1">IFERROR(__xludf.DUMMYFUNCTION("""COMPUTED_VALUE"""),"01345127000105")</f>
        <v>01345127000105</v>
      </c>
      <c r="E67" s="212" t="str">
        <f ca="1">IFERROR(__xludf.DUMMYFUNCTION("""COMPUTED_VALUE"""),"001")</f>
        <v>001</v>
      </c>
      <c r="F67" s="212" t="str">
        <f ca="1">IFERROR(__xludf.DUMMYFUNCTION("""COMPUTED_VALUE"""),"0638")</f>
        <v>0638</v>
      </c>
      <c r="G67" s="213" t="str">
        <f ca="1">IFERROR(__xludf.DUMMYFUNCTION("""COMPUTED_VALUE"""),"0463167")</f>
        <v>0463167</v>
      </c>
      <c r="H67" s="211" t="str">
        <f ca="1">IFERROR(__xludf.DUMMYFUNCTION("""COMPUTED_VALUE"""),"ENSINO MEDIO PARCIAL")</f>
        <v>ENSINO MEDIO PARCIAL</v>
      </c>
      <c r="I67" s="214">
        <f ca="1">IFERROR(__xludf.DUMMYFUNCTION("""COMPUTED_VALUE"""),2840)</f>
        <v>2840</v>
      </c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</row>
    <row r="68" spans="1:26" ht="18.75" customHeight="1">
      <c r="A68" s="210" t="str">
        <f ca="1">IFERROR(__xludf.DUMMYFUNCTION("""COMPUTED_VALUE"""),"Araguaina")</f>
        <v>Araguaina</v>
      </c>
      <c r="B68" s="210" t="str">
        <f ca="1">IFERROR(__xludf.DUMMYFUNCTION("""COMPUTED_VALUE"""),"Araguaina")</f>
        <v>Araguaina</v>
      </c>
      <c r="C68" s="211" t="str">
        <f ca="1">IFERROR(__xludf.DUMMYFUNCTION("""COMPUTED_VALUE"""),"A.A. ESC. E.FRANCISCO MAXIMO DE SOUZA")</f>
        <v>A.A. ESC. E.FRANCISCO MAXIMO DE SOUZA</v>
      </c>
      <c r="D68" s="212" t="str">
        <f ca="1">IFERROR(__xludf.DUMMYFUNCTION("""COMPUTED_VALUE"""),"01345127000105")</f>
        <v>01345127000105</v>
      </c>
      <c r="E68" s="212" t="str">
        <f ca="1">IFERROR(__xludf.DUMMYFUNCTION("""COMPUTED_VALUE"""),"001")</f>
        <v>001</v>
      </c>
      <c r="F68" s="212" t="str">
        <f ca="1">IFERROR(__xludf.DUMMYFUNCTION("""COMPUTED_VALUE"""),"0638")</f>
        <v>0638</v>
      </c>
      <c r="G68" s="213" t="str">
        <f ca="1">IFERROR(__xludf.DUMMYFUNCTION("""COMPUTED_VALUE"""),"0463167")</f>
        <v>0463167</v>
      </c>
      <c r="H68" s="211" t="str">
        <f ca="1">IFERROR(__xludf.DUMMYFUNCTION("""COMPUTED_VALUE"""),"EJA")</f>
        <v>EJA</v>
      </c>
      <c r="I68" s="214">
        <f ca="1">IFERROR(__xludf.DUMMYFUNCTION("""COMPUTED_VALUE"""),1197.19999999999)</f>
        <v>1197.19999999999</v>
      </c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</row>
    <row r="69" spans="1:26" ht="18.75" customHeight="1">
      <c r="A69" s="210" t="str">
        <f ca="1">IFERROR(__xludf.DUMMYFUNCTION("""COMPUTED_VALUE"""),"Araguaina")</f>
        <v>Araguaina</v>
      </c>
      <c r="B69" s="210" t="str">
        <f ca="1">IFERROR(__xludf.DUMMYFUNCTION("""COMPUTED_VALUE"""),"Araguaina")</f>
        <v>Araguaina</v>
      </c>
      <c r="C69" s="211" t="str">
        <f ca="1">IFERROR(__xludf.DUMMYFUNCTION("""COMPUTED_VALUE"""),"A.A. ESC. EST. MANOEL GOMES DA CUNHA")</f>
        <v>A.A. ESC. EST. MANOEL GOMES DA CUNHA</v>
      </c>
      <c r="D69" s="212" t="str">
        <f ca="1">IFERROR(__xludf.DUMMYFUNCTION("""COMPUTED_VALUE"""),"01443216000194")</f>
        <v>01443216000194</v>
      </c>
      <c r="E69" s="212" t="str">
        <f ca="1">IFERROR(__xludf.DUMMYFUNCTION("""COMPUTED_VALUE"""),"001")</f>
        <v>001</v>
      </c>
      <c r="F69" s="212" t="str">
        <f ca="1">IFERROR(__xludf.DUMMYFUNCTION("""COMPUTED_VALUE"""),"0638")</f>
        <v>0638</v>
      </c>
      <c r="G69" s="213" t="str">
        <f ca="1">IFERROR(__xludf.DUMMYFUNCTION("""COMPUTED_VALUE"""),"0468355")</f>
        <v>0468355</v>
      </c>
      <c r="H69" s="211" t="str">
        <f ca="1">IFERROR(__xludf.DUMMYFUNCTION("""COMPUTED_VALUE"""),"ENS FUND PARCIAL")</f>
        <v>ENS FUND PARCIAL</v>
      </c>
      <c r="I69" s="214">
        <f ca="1">IFERROR(__xludf.DUMMYFUNCTION("""COMPUTED_VALUE"""),1890)</f>
        <v>1890</v>
      </c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</row>
    <row r="70" spans="1:26" ht="18.75" customHeight="1">
      <c r="A70" s="210" t="str">
        <f ca="1">IFERROR(__xludf.DUMMYFUNCTION("""COMPUTED_VALUE"""),"Araguaina")</f>
        <v>Araguaina</v>
      </c>
      <c r="B70" s="210" t="str">
        <f ca="1">IFERROR(__xludf.DUMMYFUNCTION("""COMPUTED_VALUE"""),"Araguaina")</f>
        <v>Araguaina</v>
      </c>
      <c r="C70" s="211" t="str">
        <f ca="1">IFERROR(__xludf.DUMMYFUNCTION("""COMPUTED_VALUE"""),"A.A. ESC. EST. MANOEL GOMES DA CUNHA")</f>
        <v>A.A. ESC. EST. MANOEL GOMES DA CUNHA</v>
      </c>
      <c r="D70" s="212" t="str">
        <f ca="1">IFERROR(__xludf.DUMMYFUNCTION("""COMPUTED_VALUE"""),"01443216000194")</f>
        <v>01443216000194</v>
      </c>
      <c r="E70" s="212" t="str">
        <f ca="1">IFERROR(__xludf.DUMMYFUNCTION("""COMPUTED_VALUE"""),"001")</f>
        <v>001</v>
      </c>
      <c r="F70" s="212" t="str">
        <f ca="1">IFERROR(__xludf.DUMMYFUNCTION("""COMPUTED_VALUE"""),"0638")</f>
        <v>0638</v>
      </c>
      <c r="G70" s="213" t="str">
        <f ca="1">IFERROR(__xludf.DUMMYFUNCTION("""COMPUTED_VALUE"""),"0468355")</f>
        <v>0468355</v>
      </c>
      <c r="H70" s="211" t="str">
        <f ca="1">IFERROR(__xludf.DUMMYFUNCTION("""COMPUTED_VALUE"""),"AEE")</f>
        <v>AEE</v>
      </c>
      <c r="I70" s="214">
        <f ca="1">IFERROR(__xludf.DUMMYFUNCTION("""COMPUTED_VALUE"""),149.6)</f>
        <v>149.6</v>
      </c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</row>
    <row r="71" spans="1:26" ht="18.75" customHeight="1">
      <c r="A71" s="210" t="str">
        <f ca="1">IFERROR(__xludf.DUMMYFUNCTION("""COMPUTED_VALUE"""),"Araguaina")</f>
        <v>Araguaina</v>
      </c>
      <c r="B71" s="210" t="str">
        <f ca="1">IFERROR(__xludf.DUMMYFUNCTION("""COMPUTED_VALUE"""),"Araguaina")</f>
        <v>Araguaina</v>
      </c>
      <c r="C71" s="211" t="str">
        <f ca="1">IFERROR(__xludf.DUMMYFUNCTION("""COMPUTED_VALUE"""),"A.A. ESC. EST. MANOEL GOMES DA CUNHA")</f>
        <v>A.A. ESC. EST. MANOEL GOMES DA CUNHA</v>
      </c>
      <c r="D71" s="212" t="str">
        <f ca="1">IFERROR(__xludf.DUMMYFUNCTION("""COMPUTED_VALUE"""),"01443216000194")</f>
        <v>01443216000194</v>
      </c>
      <c r="E71" s="212" t="str">
        <f ca="1">IFERROR(__xludf.DUMMYFUNCTION("""COMPUTED_VALUE"""),"001")</f>
        <v>001</v>
      </c>
      <c r="F71" s="212" t="str">
        <f ca="1">IFERROR(__xludf.DUMMYFUNCTION("""COMPUTED_VALUE"""),"0638")</f>
        <v>0638</v>
      </c>
      <c r="G71" s="213" t="str">
        <f ca="1">IFERROR(__xludf.DUMMYFUNCTION("""COMPUTED_VALUE"""),"0468355")</f>
        <v>0468355</v>
      </c>
      <c r="H71" s="211" t="str">
        <f ca="1">IFERROR(__xludf.DUMMYFUNCTION("""COMPUTED_VALUE"""),"ENSINO MEDIO PARCIAL")</f>
        <v>ENSINO MEDIO PARCIAL</v>
      </c>
      <c r="I71" s="214">
        <f ca="1">IFERROR(__xludf.DUMMYFUNCTION("""COMPUTED_VALUE"""),1760)</f>
        <v>1760</v>
      </c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</row>
    <row r="72" spans="1:26" ht="18.75" customHeight="1">
      <c r="A72" s="210" t="str">
        <f ca="1">IFERROR(__xludf.DUMMYFUNCTION("""COMPUTED_VALUE"""),"Araguaina")</f>
        <v>Araguaina</v>
      </c>
      <c r="B72" s="210" t="str">
        <f ca="1">IFERROR(__xludf.DUMMYFUNCTION("""COMPUTED_VALUE"""),"Araguaina")</f>
        <v>Araguaina</v>
      </c>
      <c r="C72" s="211" t="str">
        <f ca="1">IFERROR(__xludf.DUMMYFUNCTION("""COMPUTED_VALUE"""),"ASSOC. APOIO COL. EST. CEM PAULO FREIRE")</f>
        <v>ASSOC. APOIO COL. EST. CEM PAULO FREIRE</v>
      </c>
      <c r="D72" s="212" t="str">
        <f ca="1">IFERROR(__xludf.DUMMYFUNCTION("""COMPUTED_VALUE"""),"01738420000132")</f>
        <v>01738420000132</v>
      </c>
      <c r="E72" s="212" t="str">
        <f ca="1">IFERROR(__xludf.DUMMYFUNCTION("""COMPUTED_VALUE"""),"001")</f>
        <v>001</v>
      </c>
      <c r="F72" s="212" t="str">
        <f ca="1">IFERROR(__xludf.DUMMYFUNCTION("""COMPUTED_VALUE"""),"0638")</f>
        <v>0638</v>
      </c>
      <c r="G72" s="213" t="str">
        <f ca="1">IFERROR(__xludf.DUMMYFUNCTION("""COMPUTED_VALUE"""),"551589")</f>
        <v>551589</v>
      </c>
      <c r="H72" s="211" t="str">
        <f ca="1">IFERROR(__xludf.DUMMYFUNCTION("""COMPUTED_VALUE"""),"AEE")</f>
        <v>AEE</v>
      </c>
      <c r="I72" s="214">
        <f ca="1">IFERROR(__xludf.DUMMYFUNCTION("""COMPUTED_VALUE"""),136)</f>
        <v>136</v>
      </c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</row>
    <row r="73" spans="1:26" ht="18.75" customHeight="1">
      <c r="A73" s="210" t="str">
        <f ca="1">IFERROR(__xludf.DUMMYFUNCTION("""COMPUTED_VALUE"""),"Araguaina")</f>
        <v>Araguaina</v>
      </c>
      <c r="B73" s="210" t="str">
        <f ca="1">IFERROR(__xludf.DUMMYFUNCTION("""COMPUTED_VALUE"""),"Araguaina")</f>
        <v>Araguaina</v>
      </c>
      <c r="C73" s="211" t="str">
        <f ca="1">IFERROR(__xludf.DUMMYFUNCTION("""COMPUTED_VALUE"""),"ASSOC. APOIO COL. EST. CEM PAULO FREIRE")</f>
        <v>ASSOC. APOIO COL. EST. CEM PAULO FREIRE</v>
      </c>
      <c r="D73" s="212" t="str">
        <f ca="1">IFERROR(__xludf.DUMMYFUNCTION("""COMPUTED_VALUE"""),"01738420000132")</f>
        <v>01738420000132</v>
      </c>
      <c r="E73" s="212" t="str">
        <f ca="1">IFERROR(__xludf.DUMMYFUNCTION("""COMPUTED_VALUE"""),"001")</f>
        <v>001</v>
      </c>
      <c r="F73" s="212" t="str">
        <f ca="1">IFERROR(__xludf.DUMMYFUNCTION("""COMPUTED_VALUE"""),"0638")</f>
        <v>0638</v>
      </c>
      <c r="G73" s="213" t="str">
        <f ca="1">IFERROR(__xludf.DUMMYFUNCTION("""COMPUTED_VALUE"""),"551589")</f>
        <v>551589</v>
      </c>
      <c r="H73" s="211" t="str">
        <f ca="1">IFERROR(__xludf.DUMMYFUNCTION("""COMPUTED_VALUE"""),"JOVEM AÇÃO")</f>
        <v>JOVEM AÇÃO</v>
      </c>
      <c r="I73" s="214">
        <f ca="1">IFERROR(__xludf.DUMMYFUNCTION("""COMPUTED_VALUE"""),10649.6)</f>
        <v>10649.6</v>
      </c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</row>
    <row r="74" spans="1:26" ht="18.75" customHeight="1">
      <c r="A74" s="210" t="str">
        <f ca="1">IFERROR(__xludf.DUMMYFUNCTION("""COMPUTED_VALUE"""),"Araguaina")</f>
        <v>Araguaina</v>
      </c>
      <c r="B74" s="210" t="str">
        <f ca="1">IFERROR(__xludf.DUMMYFUNCTION("""COMPUTED_VALUE"""),"Araguaina")</f>
        <v>Araguaina</v>
      </c>
      <c r="C74" s="211" t="str">
        <f ca="1">IFERROR(__xludf.DUMMYFUNCTION("""COMPUTED_VALUE"""),"A. DE AP. DA E.PAROQUIAL LUIZ AUGUSTO")</f>
        <v>A. DE AP. DA E.PAROQUIAL LUIZ AUGUSTO</v>
      </c>
      <c r="D74" s="212" t="str">
        <f ca="1">IFERROR(__xludf.DUMMYFUNCTION("""COMPUTED_VALUE"""),"01912262000195")</f>
        <v>01912262000195</v>
      </c>
      <c r="E74" s="212" t="str">
        <f ca="1">IFERROR(__xludf.DUMMYFUNCTION("""COMPUTED_VALUE"""),"001")</f>
        <v>001</v>
      </c>
      <c r="F74" s="212" t="str">
        <f ca="1">IFERROR(__xludf.DUMMYFUNCTION("""COMPUTED_VALUE"""),"0638")</f>
        <v>0638</v>
      </c>
      <c r="G74" s="213" t="str">
        <f ca="1">IFERROR(__xludf.DUMMYFUNCTION("""COMPUTED_VALUE"""),"486000")</f>
        <v>486000</v>
      </c>
      <c r="H74" s="211" t="str">
        <f ca="1">IFERROR(__xludf.DUMMYFUNCTION("""COMPUTED_VALUE"""),"ENS FUND PARCIAL")</f>
        <v>ENS FUND PARCIAL</v>
      </c>
      <c r="I74" s="214">
        <f ca="1">IFERROR(__xludf.DUMMYFUNCTION("""COMPUTED_VALUE"""),16340)</f>
        <v>16340</v>
      </c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</row>
    <row r="75" spans="1:26" ht="18.75" customHeight="1">
      <c r="A75" s="210" t="str">
        <f ca="1">IFERROR(__xludf.DUMMYFUNCTION("""COMPUTED_VALUE"""),"Araguaina")</f>
        <v>Araguaina</v>
      </c>
      <c r="B75" s="210" t="str">
        <f ca="1">IFERROR(__xludf.DUMMYFUNCTION("""COMPUTED_VALUE"""),"Araguaina")</f>
        <v>Araguaina</v>
      </c>
      <c r="C75" s="211" t="str">
        <f ca="1">IFERROR(__xludf.DUMMYFUNCTION("""COMPUTED_VALUE"""),"A. DE AP. DA E.PAROQUIAL LUIZ AUGUSTO")</f>
        <v>A. DE AP. DA E.PAROQUIAL LUIZ AUGUSTO</v>
      </c>
      <c r="D75" s="212" t="str">
        <f ca="1">IFERROR(__xludf.DUMMYFUNCTION("""COMPUTED_VALUE"""),"01912262000195")</f>
        <v>01912262000195</v>
      </c>
      <c r="E75" s="212" t="str">
        <f ca="1">IFERROR(__xludf.DUMMYFUNCTION("""COMPUTED_VALUE"""),"001")</f>
        <v>001</v>
      </c>
      <c r="F75" s="212" t="str">
        <f ca="1">IFERROR(__xludf.DUMMYFUNCTION("""COMPUTED_VALUE"""),"0638")</f>
        <v>0638</v>
      </c>
      <c r="G75" s="213" t="str">
        <f ca="1">IFERROR(__xludf.DUMMYFUNCTION("""COMPUTED_VALUE"""),"486000")</f>
        <v>486000</v>
      </c>
      <c r="H75" s="211" t="str">
        <f ca="1">IFERROR(__xludf.DUMMYFUNCTION("""COMPUTED_VALUE"""),"AEE")</f>
        <v>AEE</v>
      </c>
      <c r="I75" s="214">
        <f ca="1">IFERROR(__xludf.DUMMYFUNCTION("""COMPUTED_VALUE"""),571.199999999999)</f>
        <v>571.19999999999902</v>
      </c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</row>
    <row r="76" spans="1:26" ht="18.75" customHeight="1">
      <c r="A76" s="210" t="str">
        <f ca="1">IFERROR(__xludf.DUMMYFUNCTION("""COMPUTED_VALUE"""),"Araguaina")</f>
        <v>Araguaina</v>
      </c>
      <c r="B76" s="210" t="str">
        <f ca="1">IFERROR(__xludf.DUMMYFUNCTION("""COMPUTED_VALUE"""),"Araguaina")</f>
        <v>Araguaina</v>
      </c>
      <c r="C76" s="211" t="str">
        <f ca="1">IFERROR(__xludf.DUMMYFUNCTION("""COMPUTED_VALUE"""),"ASSOC. A.  DO COLÉGIO DA POLICIA MILITAR - UNIDADE III")</f>
        <v>ASSOC. A.  DO COLÉGIO DA POLICIA MILITAR - UNIDADE III</v>
      </c>
      <c r="D76" s="212" t="str">
        <f ca="1">IFERROR(__xludf.DUMMYFUNCTION("""COMPUTED_VALUE"""),"02480178000102")</f>
        <v>02480178000102</v>
      </c>
      <c r="E76" s="212" t="str">
        <f ca="1">IFERROR(__xludf.DUMMYFUNCTION("""COMPUTED_VALUE"""),"001")</f>
        <v>001</v>
      </c>
      <c r="F76" s="212" t="str">
        <f ca="1">IFERROR(__xludf.DUMMYFUNCTION("""COMPUTED_VALUE"""),"0638")</f>
        <v>0638</v>
      </c>
      <c r="G76" s="213" t="str">
        <f ca="1">IFERROR(__xludf.DUMMYFUNCTION("""COMPUTED_VALUE"""),"552291")</f>
        <v>552291</v>
      </c>
      <c r="H76" s="211" t="str">
        <f ca="1">IFERROR(__xludf.DUMMYFUNCTION("""COMPUTED_VALUE"""),"ENSINO MEDIO PARCIAL")</f>
        <v>ENSINO MEDIO PARCIAL</v>
      </c>
      <c r="I76" s="214">
        <f ca="1">IFERROR(__xludf.DUMMYFUNCTION("""COMPUTED_VALUE"""),16400)</f>
        <v>16400</v>
      </c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</row>
    <row r="77" spans="1:26" ht="18.75" customHeight="1">
      <c r="A77" s="210" t="str">
        <f ca="1">IFERROR(__xludf.DUMMYFUNCTION("""COMPUTED_VALUE"""),"Araguaina")</f>
        <v>Araguaina</v>
      </c>
      <c r="B77" s="210" t="str">
        <f ca="1">IFERROR(__xludf.DUMMYFUNCTION("""COMPUTED_VALUE"""),"Araguaina")</f>
        <v>Araguaina</v>
      </c>
      <c r="C77" s="211" t="str">
        <f ca="1">IFERROR(__xludf.DUMMYFUNCTION("""COMPUTED_VALUE"""),"A.A. DAS ESCOLAS ISOLADAS E REUNIDAS DA DRE ARAGUAINA")</f>
        <v>A.A. DAS ESCOLAS ISOLADAS E REUNIDAS DA DRE ARAGUAINA</v>
      </c>
      <c r="D77" s="212" t="str">
        <f ca="1">IFERROR(__xludf.DUMMYFUNCTION("""COMPUTED_VALUE"""),"02629601000193")</f>
        <v>02629601000193</v>
      </c>
      <c r="E77" s="212" t="str">
        <f ca="1">IFERROR(__xludf.DUMMYFUNCTION("""COMPUTED_VALUE"""),"001")</f>
        <v>001</v>
      </c>
      <c r="F77" s="212" t="str">
        <f ca="1">IFERROR(__xludf.DUMMYFUNCTION("""COMPUTED_VALUE"""),"0638")</f>
        <v>0638</v>
      </c>
      <c r="G77" s="213" t="str">
        <f ca="1">IFERROR(__xludf.DUMMYFUNCTION("""COMPUTED_VALUE"""),"352403")</f>
        <v>352403</v>
      </c>
      <c r="H77" s="211" t="str">
        <f ca="1">IFERROR(__xludf.DUMMYFUNCTION("""COMPUTED_VALUE"""),"INDIGENA")</f>
        <v>INDIGENA</v>
      </c>
      <c r="I77" s="214">
        <f ca="1">IFERROR(__xludf.DUMMYFUNCTION("""COMPUTED_VALUE"""),8858)</f>
        <v>8858</v>
      </c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</row>
    <row r="78" spans="1:26" ht="18.75" customHeight="1">
      <c r="A78" s="210" t="str">
        <f ca="1">IFERROR(__xludf.DUMMYFUNCTION("""COMPUTED_VALUE"""),"Araguaina")</f>
        <v>Araguaina</v>
      </c>
      <c r="B78" s="210" t="str">
        <f ca="1">IFERROR(__xludf.DUMMYFUNCTION("""COMPUTED_VALUE"""),"Araguaina")</f>
        <v>Araguaina</v>
      </c>
      <c r="C78" s="211" t="str">
        <f ca="1">IFERROR(__xludf.DUMMYFUNCTION("""COMPUTED_VALUE"""),"ASS. APOIO COL. EST. JARDIM PAULISTA")</f>
        <v>ASS. APOIO COL. EST. JARDIM PAULISTA</v>
      </c>
      <c r="D78" s="212" t="str">
        <f ca="1">IFERROR(__xludf.DUMMYFUNCTION("""COMPUTED_VALUE"""),"05502542000186")</f>
        <v>05502542000186</v>
      </c>
      <c r="E78" s="212" t="str">
        <f ca="1">IFERROR(__xludf.DUMMYFUNCTION("""COMPUTED_VALUE"""),"001")</f>
        <v>001</v>
      </c>
      <c r="F78" s="212" t="str">
        <f ca="1">IFERROR(__xludf.DUMMYFUNCTION("""COMPUTED_VALUE"""),"0638")</f>
        <v>0638</v>
      </c>
      <c r="G78" s="213" t="str">
        <f ca="1">IFERROR(__xludf.DUMMYFUNCTION("""COMPUTED_VALUE"""),"243876")</f>
        <v>243876</v>
      </c>
      <c r="H78" s="211" t="str">
        <f ca="1">IFERROR(__xludf.DUMMYFUNCTION("""COMPUTED_VALUE"""),"ENS FUND PARCIAL")</f>
        <v>ENS FUND PARCIAL</v>
      </c>
      <c r="I78" s="214">
        <f ca="1">IFERROR(__xludf.DUMMYFUNCTION("""COMPUTED_VALUE"""),4350)</f>
        <v>4350</v>
      </c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</row>
    <row r="79" spans="1:26" ht="18.75" customHeight="1">
      <c r="A79" s="210" t="str">
        <f ca="1">IFERROR(__xludf.DUMMYFUNCTION("""COMPUTED_VALUE"""),"Araguaina")</f>
        <v>Araguaina</v>
      </c>
      <c r="B79" s="210" t="str">
        <f ca="1">IFERROR(__xludf.DUMMYFUNCTION("""COMPUTED_VALUE"""),"Araguaina")</f>
        <v>Araguaina</v>
      </c>
      <c r="C79" s="211" t="str">
        <f ca="1">IFERROR(__xludf.DUMMYFUNCTION("""COMPUTED_VALUE"""),"ASS. APOIO COL. EST. JARDIM PAULISTA")</f>
        <v>ASS. APOIO COL. EST. JARDIM PAULISTA</v>
      </c>
      <c r="D79" s="212" t="str">
        <f ca="1">IFERROR(__xludf.DUMMYFUNCTION("""COMPUTED_VALUE"""),"05502542000186")</f>
        <v>05502542000186</v>
      </c>
      <c r="E79" s="212" t="str">
        <f ca="1">IFERROR(__xludf.DUMMYFUNCTION("""COMPUTED_VALUE"""),"001")</f>
        <v>001</v>
      </c>
      <c r="F79" s="212" t="str">
        <f ca="1">IFERROR(__xludf.DUMMYFUNCTION("""COMPUTED_VALUE"""),"0638")</f>
        <v>0638</v>
      </c>
      <c r="G79" s="213" t="str">
        <f ca="1">IFERROR(__xludf.DUMMYFUNCTION("""COMPUTED_VALUE"""),"243876")</f>
        <v>243876</v>
      </c>
      <c r="H79" s="211" t="str">
        <f ca="1">IFERROR(__xludf.DUMMYFUNCTION("""COMPUTED_VALUE"""),"AEE")</f>
        <v>AEE</v>
      </c>
      <c r="I79" s="214">
        <f ca="1">IFERROR(__xludf.DUMMYFUNCTION("""COMPUTED_VALUE"""),217.6)</f>
        <v>217.6</v>
      </c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</row>
    <row r="80" spans="1:26" ht="18.75" customHeight="1">
      <c r="A80" s="210" t="str">
        <f ca="1">IFERROR(__xludf.DUMMYFUNCTION("""COMPUTED_VALUE"""),"Araguaina")</f>
        <v>Araguaina</v>
      </c>
      <c r="B80" s="210" t="str">
        <f ca="1">IFERROR(__xludf.DUMMYFUNCTION("""COMPUTED_VALUE"""),"Araguaina")</f>
        <v>Araguaina</v>
      </c>
      <c r="C80" s="211" t="str">
        <f ca="1">IFERROR(__xludf.DUMMYFUNCTION("""COMPUTED_VALUE"""),"ASS. APOIO COL. EST. JARDIM PAULISTA")</f>
        <v>ASS. APOIO COL. EST. JARDIM PAULISTA</v>
      </c>
      <c r="D80" s="212" t="str">
        <f ca="1">IFERROR(__xludf.DUMMYFUNCTION("""COMPUTED_VALUE"""),"05502542000186")</f>
        <v>05502542000186</v>
      </c>
      <c r="E80" s="212" t="str">
        <f ca="1">IFERROR(__xludf.DUMMYFUNCTION("""COMPUTED_VALUE"""),"001")</f>
        <v>001</v>
      </c>
      <c r="F80" s="212" t="str">
        <f ca="1">IFERROR(__xludf.DUMMYFUNCTION("""COMPUTED_VALUE"""),"0638")</f>
        <v>0638</v>
      </c>
      <c r="G80" s="213" t="str">
        <f ca="1">IFERROR(__xludf.DUMMYFUNCTION("""COMPUTED_VALUE"""),"243876")</f>
        <v>243876</v>
      </c>
      <c r="H80" s="211" t="str">
        <f ca="1">IFERROR(__xludf.DUMMYFUNCTION("""COMPUTED_VALUE"""),"ENSINO MEDIO PARCIAL")</f>
        <v>ENSINO MEDIO PARCIAL</v>
      </c>
      <c r="I80" s="214">
        <f ca="1">IFERROR(__xludf.DUMMYFUNCTION("""COMPUTED_VALUE"""),4590)</f>
        <v>4590</v>
      </c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</row>
    <row r="81" spans="1:26" ht="18.75" customHeight="1">
      <c r="A81" s="210" t="str">
        <f ca="1">IFERROR(__xludf.DUMMYFUNCTION("""COMPUTED_VALUE"""),"Araguaina")</f>
        <v>Araguaina</v>
      </c>
      <c r="B81" s="210" t="str">
        <f ca="1">IFERROR(__xludf.DUMMYFUNCTION("""COMPUTED_VALUE"""),"Araguaina")</f>
        <v>Araguaina</v>
      </c>
      <c r="C81" s="211" t="str">
        <f ca="1">IFERROR(__xludf.DUMMYFUNCTION("""COMPUTED_VALUE"""),"ASSOCIAÇÃO DE APOIO DA ESCOLA ESPECIAL RAIO DE LUZ APAE ARAGUAÍNA")</f>
        <v>ASSOCIAÇÃO DE APOIO DA ESCOLA ESPECIAL RAIO DE LUZ APAE ARAGUAÍNA</v>
      </c>
      <c r="D81" s="212" t="str">
        <f ca="1">IFERROR(__xludf.DUMMYFUNCTION("""COMPUTED_VALUE"""),"07953043000130")</f>
        <v>07953043000130</v>
      </c>
      <c r="E81" s="212" t="str">
        <f ca="1">IFERROR(__xludf.DUMMYFUNCTION("""COMPUTED_VALUE"""),"001")</f>
        <v>001</v>
      </c>
      <c r="F81" s="212" t="str">
        <f ca="1">IFERROR(__xludf.DUMMYFUNCTION("""COMPUTED_VALUE"""),"0638")</f>
        <v>0638</v>
      </c>
      <c r="G81" s="213" t="str">
        <f ca="1">IFERROR(__xludf.DUMMYFUNCTION("""COMPUTED_VALUE"""),"379921")</f>
        <v>379921</v>
      </c>
      <c r="H81" s="211" t="str">
        <f ca="1">IFERROR(__xludf.DUMMYFUNCTION("""COMPUTED_VALUE"""),"PRÉ-ESCOLA")</f>
        <v>PRÉ-ESCOLA</v>
      </c>
      <c r="I81" s="214">
        <f ca="1">IFERROR(__xludf.DUMMYFUNCTION("""COMPUTED_VALUE"""),288)</f>
        <v>288</v>
      </c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</row>
    <row r="82" spans="1:26" ht="18.75" customHeight="1">
      <c r="A82" s="210" t="str">
        <f ca="1">IFERROR(__xludf.DUMMYFUNCTION("""COMPUTED_VALUE"""),"Araguaina")</f>
        <v>Araguaina</v>
      </c>
      <c r="B82" s="210" t="str">
        <f ca="1">IFERROR(__xludf.DUMMYFUNCTION("""COMPUTED_VALUE"""),"Araguaina")</f>
        <v>Araguaina</v>
      </c>
      <c r="C82" s="211" t="str">
        <f ca="1">IFERROR(__xludf.DUMMYFUNCTION("""COMPUTED_VALUE"""),"ASSOCIAÇÃO DE APOIO DA ESCOLA ESPECIAL RAIO DE LUZ APAE ARAGUAÍNA")</f>
        <v>ASSOCIAÇÃO DE APOIO DA ESCOLA ESPECIAL RAIO DE LUZ APAE ARAGUAÍNA</v>
      </c>
      <c r="D82" s="212" t="str">
        <f ca="1">IFERROR(__xludf.DUMMYFUNCTION("""COMPUTED_VALUE"""),"07953043000130")</f>
        <v>07953043000130</v>
      </c>
      <c r="E82" s="212" t="str">
        <f ca="1">IFERROR(__xludf.DUMMYFUNCTION("""COMPUTED_VALUE"""),"001")</f>
        <v>001</v>
      </c>
      <c r="F82" s="212" t="str">
        <f ca="1">IFERROR(__xludf.DUMMYFUNCTION("""COMPUTED_VALUE"""),"0638")</f>
        <v>0638</v>
      </c>
      <c r="G82" s="213" t="str">
        <f ca="1">IFERROR(__xludf.DUMMYFUNCTION("""COMPUTED_VALUE"""),"379921")</f>
        <v>379921</v>
      </c>
      <c r="H82" s="211" t="str">
        <f ca="1">IFERROR(__xludf.DUMMYFUNCTION("""COMPUTED_VALUE"""),"ENS FUND PARCIAL")</f>
        <v>ENS FUND PARCIAL</v>
      </c>
      <c r="I82" s="214">
        <f ca="1">IFERROR(__xludf.DUMMYFUNCTION("""COMPUTED_VALUE"""),220)</f>
        <v>220</v>
      </c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</row>
    <row r="83" spans="1:26" ht="18.75" customHeight="1">
      <c r="A83" s="210" t="str">
        <f ca="1">IFERROR(__xludf.DUMMYFUNCTION("""COMPUTED_VALUE"""),"Araguaina")</f>
        <v>Araguaina</v>
      </c>
      <c r="B83" s="210" t="str">
        <f ca="1">IFERROR(__xludf.DUMMYFUNCTION("""COMPUTED_VALUE"""),"Araguaina")</f>
        <v>Araguaina</v>
      </c>
      <c r="C83" s="211" t="str">
        <f ca="1">IFERROR(__xludf.DUMMYFUNCTION("""COMPUTED_VALUE"""),"ASSOCIAÇÃO DE APOIO DA ESCOLA ESPECIAL RAIO DE LUZ APAE ARAGUAÍNA")</f>
        <v>ASSOCIAÇÃO DE APOIO DA ESCOLA ESPECIAL RAIO DE LUZ APAE ARAGUAÍNA</v>
      </c>
      <c r="D83" s="212" t="str">
        <f ca="1">IFERROR(__xludf.DUMMYFUNCTION("""COMPUTED_VALUE"""),"07953043000130")</f>
        <v>07953043000130</v>
      </c>
      <c r="E83" s="212" t="str">
        <f ca="1">IFERROR(__xludf.DUMMYFUNCTION("""COMPUTED_VALUE"""),"001")</f>
        <v>001</v>
      </c>
      <c r="F83" s="212" t="str">
        <f ca="1">IFERROR(__xludf.DUMMYFUNCTION("""COMPUTED_VALUE"""),"0638")</f>
        <v>0638</v>
      </c>
      <c r="G83" s="213" t="str">
        <f ca="1">IFERROR(__xludf.DUMMYFUNCTION("""COMPUTED_VALUE"""),"379921")</f>
        <v>379921</v>
      </c>
      <c r="H83" s="211" t="str">
        <f ca="1">IFERROR(__xludf.DUMMYFUNCTION("""COMPUTED_VALUE"""),"AEE")</f>
        <v>AEE</v>
      </c>
      <c r="I83" s="214">
        <f ca="1">IFERROR(__xludf.DUMMYFUNCTION("""COMPUTED_VALUE"""),734.4)</f>
        <v>734.4</v>
      </c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</row>
    <row r="84" spans="1:26" ht="18.75" customHeight="1">
      <c r="A84" s="210" t="str">
        <f ca="1">IFERROR(__xludf.DUMMYFUNCTION("""COMPUTED_VALUE"""),"Araguaina")</f>
        <v>Araguaina</v>
      </c>
      <c r="B84" s="210" t="str">
        <f ca="1">IFERROR(__xludf.DUMMYFUNCTION("""COMPUTED_VALUE"""),"Araguaina")</f>
        <v>Araguaina</v>
      </c>
      <c r="C84" s="211" t="str">
        <f ca="1">IFERROR(__xludf.DUMMYFUNCTION("""COMPUTED_VALUE"""),"ASSOCIAÇÃO DE APOIO DA ESCOLA ESPECIAL RAIO DE LUZ APAE ARAGUAÍNA")</f>
        <v>ASSOCIAÇÃO DE APOIO DA ESCOLA ESPECIAL RAIO DE LUZ APAE ARAGUAÍNA</v>
      </c>
      <c r="D84" s="212" t="str">
        <f ca="1">IFERROR(__xludf.DUMMYFUNCTION("""COMPUTED_VALUE"""),"07953043000130")</f>
        <v>07953043000130</v>
      </c>
      <c r="E84" s="212" t="str">
        <f ca="1">IFERROR(__xludf.DUMMYFUNCTION("""COMPUTED_VALUE"""),"001")</f>
        <v>001</v>
      </c>
      <c r="F84" s="212" t="str">
        <f ca="1">IFERROR(__xludf.DUMMYFUNCTION("""COMPUTED_VALUE"""),"0638")</f>
        <v>0638</v>
      </c>
      <c r="G84" s="213" t="str">
        <f ca="1">IFERROR(__xludf.DUMMYFUNCTION("""COMPUTED_VALUE"""),"379921")</f>
        <v>379921</v>
      </c>
      <c r="H84" s="211" t="str">
        <f ca="1">IFERROR(__xludf.DUMMYFUNCTION("""COMPUTED_VALUE"""),"EJA")</f>
        <v>EJA</v>
      </c>
      <c r="I84" s="214">
        <f ca="1">IFERROR(__xludf.DUMMYFUNCTION("""COMPUTED_VALUE"""),1418.6)</f>
        <v>1418.6</v>
      </c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</row>
    <row r="85" spans="1:26" ht="18.75" customHeight="1">
      <c r="A85" s="210" t="str">
        <f ca="1">IFERROR(__xludf.DUMMYFUNCTION("""COMPUTED_VALUE"""),"Araguaina")</f>
        <v>Araguaina</v>
      </c>
      <c r="B85" s="210" t="str">
        <f ca="1">IFERROR(__xludf.DUMMYFUNCTION("""COMPUTED_VALUE"""),"Araguaina")</f>
        <v>Araguaina</v>
      </c>
      <c r="C85" s="211" t="str">
        <f ca="1">IFERROR(__xludf.DUMMYFUNCTION("""COMPUTED_VALUE"""),"A.A. ESC. EST. DE ARAGUAINA / PROF. JOÃO ALVES BATISTA")</f>
        <v>A.A. ESC. EST. DE ARAGUAINA / PROF. JOÃO ALVES BATISTA</v>
      </c>
      <c r="D85" s="212" t="str">
        <f ca="1">IFERROR(__xludf.DUMMYFUNCTION("""COMPUTED_VALUE"""),"25062332000121")</f>
        <v>25062332000121</v>
      </c>
      <c r="E85" s="212" t="str">
        <f ca="1">IFERROR(__xludf.DUMMYFUNCTION("""COMPUTED_VALUE"""),"001")</f>
        <v>001</v>
      </c>
      <c r="F85" s="212" t="str">
        <f ca="1">IFERROR(__xludf.DUMMYFUNCTION("""COMPUTED_VALUE"""),"0638")</f>
        <v>0638</v>
      </c>
      <c r="G85" s="213" t="str">
        <f ca="1">IFERROR(__xludf.DUMMYFUNCTION("""COMPUTED_VALUE"""),"463116")</f>
        <v>463116</v>
      </c>
      <c r="H85" s="211" t="str">
        <f ca="1">IFERROR(__xludf.DUMMYFUNCTION("""COMPUTED_VALUE"""),"ENS FUND PARCIAL")</f>
        <v>ENS FUND PARCIAL</v>
      </c>
      <c r="I85" s="214">
        <f ca="1">IFERROR(__xludf.DUMMYFUNCTION("""COMPUTED_VALUE"""),2960)</f>
        <v>2960</v>
      </c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</row>
    <row r="86" spans="1:26" ht="18.75" customHeight="1">
      <c r="A86" s="210" t="str">
        <f ca="1">IFERROR(__xludf.DUMMYFUNCTION("""COMPUTED_VALUE"""),"Araguaina")</f>
        <v>Araguaina</v>
      </c>
      <c r="B86" s="210" t="str">
        <f ca="1">IFERROR(__xludf.DUMMYFUNCTION("""COMPUTED_VALUE"""),"Araguaina")</f>
        <v>Araguaina</v>
      </c>
      <c r="C86" s="211" t="str">
        <f ca="1">IFERROR(__xludf.DUMMYFUNCTION("""COMPUTED_VALUE"""),"A.A. ESC. EST. DE ARAGUAINA / PROF. JOÃO ALVES BATISTA")</f>
        <v>A.A. ESC. EST. DE ARAGUAINA / PROF. JOÃO ALVES BATISTA</v>
      </c>
      <c r="D86" s="212" t="str">
        <f ca="1">IFERROR(__xludf.DUMMYFUNCTION("""COMPUTED_VALUE"""),"25062332000121")</f>
        <v>25062332000121</v>
      </c>
      <c r="E86" s="212" t="str">
        <f ca="1">IFERROR(__xludf.DUMMYFUNCTION("""COMPUTED_VALUE"""),"001")</f>
        <v>001</v>
      </c>
      <c r="F86" s="212" t="str">
        <f ca="1">IFERROR(__xludf.DUMMYFUNCTION("""COMPUTED_VALUE"""),"0638")</f>
        <v>0638</v>
      </c>
      <c r="G86" s="213" t="str">
        <f ca="1">IFERROR(__xludf.DUMMYFUNCTION("""COMPUTED_VALUE"""),"463116")</f>
        <v>463116</v>
      </c>
      <c r="H86" s="211" t="str">
        <f ca="1">IFERROR(__xludf.DUMMYFUNCTION("""COMPUTED_VALUE"""),"AEE")</f>
        <v>AEE</v>
      </c>
      <c r="I86" s="214">
        <f ca="1">IFERROR(__xludf.DUMMYFUNCTION("""COMPUTED_VALUE"""),149.6)</f>
        <v>149.6</v>
      </c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</row>
    <row r="87" spans="1:26" ht="18.75" customHeight="1">
      <c r="A87" s="210" t="str">
        <f ca="1">IFERROR(__xludf.DUMMYFUNCTION("""COMPUTED_VALUE"""),"Araguaina")</f>
        <v>Araguaina</v>
      </c>
      <c r="B87" s="210" t="str">
        <f ca="1">IFERROR(__xludf.DUMMYFUNCTION("""COMPUTED_VALUE"""),"Araguaina")</f>
        <v>Araguaina</v>
      </c>
      <c r="C87" s="211" t="str">
        <f ca="1">IFERROR(__xludf.DUMMYFUNCTION("""COMPUTED_VALUE"""),"A.A.ESCOLA TEMPO INTEGRAL JARDENIR JORGE FREDERICO")</f>
        <v>A.A.ESCOLA TEMPO INTEGRAL JARDENIR JORGE FREDERICO</v>
      </c>
      <c r="D87" s="212" t="str">
        <f ca="1">IFERROR(__xludf.DUMMYFUNCTION("""COMPUTED_VALUE"""),"43361835000180")</f>
        <v>43361835000180</v>
      </c>
      <c r="E87" s="212" t="str">
        <f ca="1">IFERROR(__xludf.DUMMYFUNCTION("""COMPUTED_VALUE"""),"001")</f>
        <v>001</v>
      </c>
      <c r="F87" s="212" t="str">
        <f ca="1">IFERROR(__xludf.DUMMYFUNCTION("""COMPUTED_VALUE"""),"4348")</f>
        <v>4348</v>
      </c>
      <c r="G87" s="213" t="str">
        <f ca="1">IFERROR(__xludf.DUMMYFUNCTION("""COMPUTED_VALUE"""),"434795")</f>
        <v>434795</v>
      </c>
      <c r="H87" s="211" t="str">
        <f ca="1">IFERROR(__xludf.DUMMYFUNCTION("""COMPUTED_VALUE"""),"ENS FUND INTEGRAL")</f>
        <v>ENS FUND INTEGRAL</v>
      </c>
      <c r="I87" s="214">
        <f ca="1">IFERROR(__xludf.DUMMYFUNCTION("""COMPUTED_VALUE"""),21015.8)</f>
        <v>21015.8</v>
      </c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</row>
    <row r="88" spans="1:26" ht="18.75" customHeight="1">
      <c r="A88" s="210" t="str">
        <f ca="1">IFERROR(__xludf.DUMMYFUNCTION("""COMPUTED_VALUE"""),"Araguaina")</f>
        <v>Araguaina</v>
      </c>
      <c r="B88" s="210" t="str">
        <f ca="1">IFERROR(__xludf.DUMMYFUNCTION("""COMPUTED_VALUE"""),"Araguaina")</f>
        <v>Araguaina</v>
      </c>
      <c r="C88" s="211" t="str">
        <f ca="1">IFERROR(__xludf.DUMMYFUNCTION("""COMPUTED_VALUE"""),"A.A.ESCOLA TEMPO INTEGRAL JARDENIR JORGE FREDERICO")</f>
        <v>A.A.ESCOLA TEMPO INTEGRAL JARDENIR JORGE FREDERICO</v>
      </c>
      <c r="D88" s="212" t="str">
        <f ca="1">IFERROR(__xludf.DUMMYFUNCTION("""COMPUTED_VALUE"""),"43361835000180")</f>
        <v>43361835000180</v>
      </c>
      <c r="E88" s="212" t="str">
        <f ca="1">IFERROR(__xludf.DUMMYFUNCTION("""COMPUTED_VALUE"""),"001")</f>
        <v>001</v>
      </c>
      <c r="F88" s="212" t="str">
        <f ca="1">IFERROR(__xludf.DUMMYFUNCTION("""COMPUTED_VALUE"""),"4348")</f>
        <v>4348</v>
      </c>
      <c r="G88" s="213" t="str">
        <f ca="1">IFERROR(__xludf.DUMMYFUNCTION("""COMPUTED_VALUE"""),"434795")</f>
        <v>434795</v>
      </c>
      <c r="H88" s="211" t="str">
        <f ca="1">IFERROR(__xludf.DUMMYFUNCTION("""COMPUTED_VALUE"""),"AEE")</f>
        <v>AEE</v>
      </c>
      <c r="I88" s="214">
        <f ca="1">IFERROR(__xludf.DUMMYFUNCTION("""COMPUTED_VALUE"""),204)</f>
        <v>204</v>
      </c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</row>
    <row r="89" spans="1:26" ht="18.75" customHeight="1">
      <c r="A89" s="210" t="str">
        <f ca="1">IFERROR(__xludf.DUMMYFUNCTION("""COMPUTED_VALUE"""),"Araguaina")</f>
        <v>Araguaina</v>
      </c>
      <c r="B89" s="210" t="str">
        <f ca="1">IFERROR(__xludf.DUMMYFUNCTION("""COMPUTED_VALUE"""),"Araguaina")</f>
        <v>Araguaina</v>
      </c>
      <c r="C89" s="211" t="str">
        <f ca="1">IFERROR(__xludf.DUMMYFUNCTION("""COMPUTED_VALUE"""),"A.A. ESCOLA TEMPO INTEGRAL DOMINGOS DA CRUZ MACHADO")</f>
        <v>A.A. ESCOLA TEMPO INTEGRAL DOMINGOS DA CRUZ MACHADO</v>
      </c>
      <c r="D89" s="212" t="str">
        <f ca="1">IFERROR(__xludf.DUMMYFUNCTION("""COMPUTED_VALUE"""),"49868761000159")</f>
        <v>49868761000159</v>
      </c>
      <c r="E89" s="212" t="str">
        <f ca="1">IFERROR(__xludf.DUMMYFUNCTION("""COMPUTED_VALUE"""),"001")</f>
        <v>001</v>
      </c>
      <c r="F89" s="212" t="str">
        <f ca="1">IFERROR(__xludf.DUMMYFUNCTION("""COMPUTED_VALUE"""),"4348")</f>
        <v>4348</v>
      </c>
      <c r="G89" s="213" t="str">
        <f ca="1">IFERROR(__xludf.DUMMYFUNCTION("""COMPUTED_VALUE"""),"460192")</f>
        <v>460192</v>
      </c>
      <c r="H89" s="211" t="str">
        <f ca="1">IFERROR(__xludf.DUMMYFUNCTION("""COMPUTED_VALUE"""),"ENS FUND INTEGRAL")</f>
        <v>ENS FUND INTEGRAL</v>
      </c>
      <c r="I89" s="214">
        <f ca="1">IFERROR(__xludf.DUMMYFUNCTION("""COMPUTED_VALUE"""),11097)</f>
        <v>11097</v>
      </c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</row>
    <row r="90" spans="1:26" ht="18.75" customHeight="1">
      <c r="A90" s="210" t="str">
        <f ca="1">IFERROR(__xludf.DUMMYFUNCTION("""COMPUTED_VALUE"""),"Araguaina")</f>
        <v>Araguaina</v>
      </c>
      <c r="B90" s="210" t="str">
        <f ca="1">IFERROR(__xludf.DUMMYFUNCTION("""COMPUTED_VALUE"""),"Araguaina")</f>
        <v>Araguaina</v>
      </c>
      <c r="C90" s="211" t="str">
        <f ca="1">IFERROR(__xludf.DUMMYFUNCTION("""COMPUTED_VALUE"""),"A.A. ESCOLA TEMPO INTEGRAL DOMINGOS DA CRUZ MACHADO")</f>
        <v>A.A. ESCOLA TEMPO INTEGRAL DOMINGOS DA CRUZ MACHADO</v>
      </c>
      <c r="D90" s="212" t="str">
        <f ca="1">IFERROR(__xludf.DUMMYFUNCTION("""COMPUTED_VALUE"""),"49868761000159")</f>
        <v>49868761000159</v>
      </c>
      <c r="E90" s="212" t="str">
        <f ca="1">IFERROR(__xludf.DUMMYFUNCTION("""COMPUTED_VALUE"""),"001")</f>
        <v>001</v>
      </c>
      <c r="F90" s="212" t="str">
        <f ca="1">IFERROR(__xludf.DUMMYFUNCTION("""COMPUTED_VALUE"""),"4348")</f>
        <v>4348</v>
      </c>
      <c r="G90" s="213" t="str">
        <f ca="1">IFERROR(__xludf.DUMMYFUNCTION("""COMPUTED_VALUE"""),"460192")</f>
        <v>460192</v>
      </c>
      <c r="H90" s="211" t="str">
        <f ca="1">IFERROR(__xludf.DUMMYFUNCTION("""COMPUTED_VALUE"""),"AEE")</f>
        <v>AEE</v>
      </c>
      <c r="I90" s="214">
        <f ca="1">IFERROR(__xludf.DUMMYFUNCTION("""COMPUTED_VALUE"""),408)</f>
        <v>408</v>
      </c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</row>
    <row r="91" spans="1:26" ht="18.75" customHeight="1">
      <c r="A91" s="210" t="str">
        <f ca="1">IFERROR(__xludf.DUMMYFUNCTION("""COMPUTED_VALUE"""),"Araguaina")</f>
        <v>Araguaina</v>
      </c>
      <c r="B91" s="210" t="str">
        <f ca="1">IFERROR(__xludf.DUMMYFUNCTION("""COMPUTED_VALUE"""),"Araguaina")</f>
        <v>Araguaina</v>
      </c>
      <c r="C91" s="211" t="str">
        <f ca="1">IFERROR(__xludf.DUMMYFUNCTION("""COMPUTED_VALUE"""),"A.A. ESCOLA TEMPO INTEGRAL DOMINGOS DA CRUZ MACHADO")</f>
        <v>A.A. ESCOLA TEMPO INTEGRAL DOMINGOS DA CRUZ MACHADO</v>
      </c>
      <c r="D91" s="212" t="str">
        <f ca="1">IFERROR(__xludf.DUMMYFUNCTION("""COMPUTED_VALUE"""),"49868761000159")</f>
        <v>49868761000159</v>
      </c>
      <c r="E91" s="212" t="str">
        <f ca="1">IFERROR(__xludf.DUMMYFUNCTION("""COMPUTED_VALUE"""),"001")</f>
        <v>001</v>
      </c>
      <c r="F91" s="212" t="str">
        <f ca="1">IFERROR(__xludf.DUMMYFUNCTION("""COMPUTED_VALUE"""),"4348")</f>
        <v>4348</v>
      </c>
      <c r="G91" s="213" t="str">
        <f ca="1">IFERROR(__xludf.DUMMYFUNCTION("""COMPUTED_VALUE"""),"460192")</f>
        <v>460192</v>
      </c>
      <c r="H91" s="211" t="str">
        <f ca="1">IFERROR(__xludf.DUMMYFUNCTION("""COMPUTED_VALUE"""),"ENSINO MEDIO INTEGRAL")</f>
        <v>ENSINO MEDIO INTEGRAL</v>
      </c>
      <c r="I91" s="214">
        <f ca="1">IFERROR(__xludf.DUMMYFUNCTION("""COMPUTED_VALUE"""),1123.39999999999)</f>
        <v>1123.3999999999901</v>
      </c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</row>
    <row r="92" spans="1:26" ht="18.75" customHeight="1">
      <c r="A92" s="210" t="str">
        <f ca="1">IFERROR(__xludf.DUMMYFUNCTION("""COMPUTED_VALUE"""),"Araguaina")</f>
        <v>Araguaina</v>
      </c>
      <c r="B92" s="210" t="str">
        <f ca="1">IFERROR(__xludf.DUMMYFUNCTION("""COMPUTED_VALUE"""),"Araguana")</f>
        <v>Araguana</v>
      </c>
      <c r="C92" s="211" t="str">
        <f ca="1">IFERROR(__xludf.DUMMYFUNCTION("""COMPUTED_VALUE"""),"A.A. ESC. EST. SAO PEDRO")</f>
        <v>A.A. ESC. EST. SAO PEDRO</v>
      </c>
      <c r="D92" s="212" t="str">
        <f ca="1">IFERROR(__xludf.DUMMYFUNCTION("""COMPUTED_VALUE"""),"01230353000140")</f>
        <v>01230353000140</v>
      </c>
      <c r="E92" s="212" t="str">
        <f ca="1">IFERROR(__xludf.DUMMYFUNCTION("""COMPUTED_VALUE"""),"001")</f>
        <v>001</v>
      </c>
      <c r="F92" s="212" t="str">
        <f ca="1">IFERROR(__xludf.DUMMYFUNCTION("""COMPUTED_VALUE"""),"0638")</f>
        <v>0638</v>
      </c>
      <c r="G92" s="213" t="str">
        <f ca="1">IFERROR(__xludf.DUMMYFUNCTION("""COMPUTED_VALUE"""),"73903")</f>
        <v>73903</v>
      </c>
      <c r="H92" s="211" t="str">
        <f ca="1">IFERROR(__xludf.DUMMYFUNCTION("""COMPUTED_VALUE"""),"ENS FUND PARCIAL")</f>
        <v>ENS FUND PARCIAL</v>
      </c>
      <c r="I92" s="214">
        <f ca="1">IFERROR(__xludf.DUMMYFUNCTION("""COMPUTED_VALUE"""),620)</f>
        <v>620</v>
      </c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</row>
    <row r="93" spans="1:26" ht="18.75" customHeight="1">
      <c r="A93" s="210" t="str">
        <f ca="1">IFERROR(__xludf.DUMMYFUNCTION("""COMPUTED_VALUE"""),"Araguaina")</f>
        <v>Araguaina</v>
      </c>
      <c r="B93" s="210" t="str">
        <f ca="1">IFERROR(__xludf.DUMMYFUNCTION("""COMPUTED_VALUE"""),"Araguana")</f>
        <v>Araguana</v>
      </c>
      <c r="C93" s="211" t="str">
        <f ca="1">IFERROR(__xludf.DUMMYFUNCTION("""COMPUTED_VALUE"""),"A.A. ESC. EST. SAO PEDRO")</f>
        <v>A.A. ESC. EST. SAO PEDRO</v>
      </c>
      <c r="D93" s="212" t="str">
        <f ca="1">IFERROR(__xludf.DUMMYFUNCTION("""COMPUTED_VALUE"""),"01230353000140")</f>
        <v>01230353000140</v>
      </c>
      <c r="E93" s="212" t="str">
        <f ca="1">IFERROR(__xludf.DUMMYFUNCTION("""COMPUTED_VALUE"""),"001")</f>
        <v>001</v>
      </c>
      <c r="F93" s="212" t="str">
        <f ca="1">IFERROR(__xludf.DUMMYFUNCTION("""COMPUTED_VALUE"""),"0638")</f>
        <v>0638</v>
      </c>
      <c r="G93" s="213" t="str">
        <f ca="1">IFERROR(__xludf.DUMMYFUNCTION("""COMPUTED_VALUE"""),"73903")</f>
        <v>73903</v>
      </c>
      <c r="H93" s="211" t="str">
        <f ca="1">IFERROR(__xludf.DUMMYFUNCTION("""COMPUTED_VALUE"""),"ENSINO MEDIO PARCIAL")</f>
        <v>ENSINO MEDIO PARCIAL</v>
      </c>
      <c r="I93" s="214">
        <f ca="1">IFERROR(__xludf.DUMMYFUNCTION("""COMPUTED_VALUE"""),510)</f>
        <v>510</v>
      </c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</row>
    <row r="94" spans="1:26" ht="18.75" customHeight="1">
      <c r="A94" s="210" t="str">
        <f ca="1">IFERROR(__xludf.DUMMYFUNCTION("""COMPUTED_VALUE"""),"Araguaina")</f>
        <v>Araguaina</v>
      </c>
      <c r="B94" s="210" t="str">
        <f ca="1">IFERROR(__xludf.DUMMYFUNCTION("""COMPUTED_VALUE"""),"Araguana")</f>
        <v>Araguana</v>
      </c>
      <c r="C94" s="211" t="str">
        <f ca="1">IFERROR(__xludf.DUMMYFUNCTION("""COMPUTED_VALUE"""),"ASS. APOIO ESC. EST. MACHADO DE ASSIS")</f>
        <v>ASS. APOIO ESC. EST. MACHADO DE ASSIS</v>
      </c>
      <c r="D94" s="212" t="str">
        <f ca="1">IFERROR(__xludf.DUMMYFUNCTION("""COMPUTED_VALUE"""),"01243663000108")</f>
        <v>01243663000108</v>
      </c>
      <c r="E94" s="212" t="str">
        <f ca="1">IFERROR(__xludf.DUMMYFUNCTION("""COMPUTED_VALUE"""),"001")</f>
        <v>001</v>
      </c>
      <c r="F94" s="212" t="str">
        <f ca="1">IFERROR(__xludf.DUMMYFUNCTION("""COMPUTED_VALUE"""),"3773")</f>
        <v>3773</v>
      </c>
      <c r="G94" s="213" t="str">
        <f ca="1">IFERROR(__xludf.DUMMYFUNCTION("""COMPUTED_VALUE"""),"322091")</f>
        <v>322091</v>
      </c>
      <c r="H94" s="211" t="str">
        <f ca="1">IFERROR(__xludf.DUMMYFUNCTION("""COMPUTED_VALUE"""),"ENS FUND PARCIAL")</f>
        <v>ENS FUND PARCIAL</v>
      </c>
      <c r="I94" s="214">
        <f ca="1">IFERROR(__xludf.DUMMYFUNCTION("""COMPUTED_VALUE"""),2160)</f>
        <v>2160</v>
      </c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</row>
    <row r="95" spans="1:26" ht="18.75" customHeight="1">
      <c r="A95" s="210" t="str">
        <f ca="1">IFERROR(__xludf.DUMMYFUNCTION("""COMPUTED_VALUE"""),"Araguaina")</f>
        <v>Araguaina</v>
      </c>
      <c r="B95" s="210" t="str">
        <f ca="1">IFERROR(__xludf.DUMMYFUNCTION("""COMPUTED_VALUE"""),"Araguana")</f>
        <v>Araguana</v>
      </c>
      <c r="C95" s="211" t="str">
        <f ca="1">IFERROR(__xludf.DUMMYFUNCTION("""COMPUTED_VALUE"""),"ASS. APOIO ESC. EST. MACHADO DE ASSIS")</f>
        <v>ASS. APOIO ESC. EST. MACHADO DE ASSIS</v>
      </c>
      <c r="D95" s="212" t="str">
        <f ca="1">IFERROR(__xludf.DUMMYFUNCTION("""COMPUTED_VALUE"""),"01243663000108")</f>
        <v>01243663000108</v>
      </c>
      <c r="E95" s="212" t="str">
        <f ca="1">IFERROR(__xludf.DUMMYFUNCTION("""COMPUTED_VALUE"""),"001")</f>
        <v>001</v>
      </c>
      <c r="F95" s="212" t="str">
        <f ca="1">IFERROR(__xludf.DUMMYFUNCTION("""COMPUTED_VALUE"""),"3773")</f>
        <v>3773</v>
      </c>
      <c r="G95" s="213" t="str">
        <f ca="1">IFERROR(__xludf.DUMMYFUNCTION("""COMPUTED_VALUE"""),"322091")</f>
        <v>322091</v>
      </c>
      <c r="H95" s="211" t="str">
        <f ca="1">IFERROR(__xludf.DUMMYFUNCTION("""COMPUTED_VALUE"""),"AEE")</f>
        <v>AEE</v>
      </c>
      <c r="I95" s="214">
        <f ca="1">IFERROR(__xludf.DUMMYFUNCTION("""COMPUTED_VALUE"""),108.8)</f>
        <v>108.8</v>
      </c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</row>
    <row r="96" spans="1:26" ht="18.75" customHeight="1">
      <c r="A96" s="210" t="str">
        <f ca="1">IFERROR(__xludf.DUMMYFUNCTION("""COMPUTED_VALUE"""),"Araguaina")</f>
        <v>Araguaina</v>
      </c>
      <c r="B96" s="210" t="str">
        <f ca="1">IFERROR(__xludf.DUMMYFUNCTION("""COMPUTED_VALUE"""),"Araguana")</f>
        <v>Araguana</v>
      </c>
      <c r="C96" s="211" t="str">
        <f ca="1">IFERROR(__xludf.DUMMYFUNCTION("""COMPUTED_VALUE"""),"ASS. APOIO ESC. EST. MACHADO DE ASSIS")</f>
        <v>ASS. APOIO ESC. EST. MACHADO DE ASSIS</v>
      </c>
      <c r="D96" s="212" t="str">
        <f ca="1">IFERROR(__xludf.DUMMYFUNCTION("""COMPUTED_VALUE"""),"01243663000108")</f>
        <v>01243663000108</v>
      </c>
      <c r="E96" s="212" t="str">
        <f ca="1">IFERROR(__xludf.DUMMYFUNCTION("""COMPUTED_VALUE"""),"001")</f>
        <v>001</v>
      </c>
      <c r="F96" s="212" t="str">
        <f ca="1">IFERROR(__xludf.DUMMYFUNCTION("""COMPUTED_VALUE"""),"3773")</f>
        <v>3773</v>
      </c>
      <c r="G96" s="213" t="str">
        <f ca="1">IFERROR(__xludf.DUMMYFUNCTION("""COMPUTED_VALUE"""),"322091")</f>
        <v>322091</v>
      </c>
      <c r="H96" s="211" t="str">
        <f ca="1">IFERROR(__xludf.DUMMYFUNCTION("""COMPUTED_VALUE"""),"ENSINO MEDIO PARCIAL")</f>
        <v>ENSINO MEDIO PARCIAL</v>
      </c>
      <c r="I96" s="214">
        <f ca="1">IFERROR(__xludf.DUMMYFUNCTION("""COMPUTED_VALUE"""),2170)</f>
        <v>2170</v>
      </c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</row>
    <row r="97" spans="1:26" ht="18.75" customHeight="1">
      <c r="A97" s="210" t="str">
        <f ca="1">IFERROR(__xludf.DUMMYFUNCTION("""COMPUTED_VALUE"""),"Araguaina")</f>
        <v>Araguaina</v>
      </c>
      <c r="B97" s="210" t="str">
        <f ca="1">IFERROR(__xludf.DUMMYFUNCTION("""COMPUTED_VALUE"""),"Babaculandia")</f>
        <v>Babaculandia</v>
      </c>
      <c r="C97" s="211" t="str">
        <f ca="1">IFERROR(__xludf.DUMMYFUNCTION("""COMPUTED_VALUE"""),"A.PAIS E M.C.E.LEOPOLDO DE BULHOES")</f>
        <v>A.PAIS E M.C.E.LEOPOLDO DE BULHOES</v>
      </c>
      <c r="D97" s="212" t="str">
        <f ca="1">IFERROR(__xludf.DUMMYFUNCTION("""COMPUTED_VALUE"""),"01146116000104")</f>
        <v>01146116000104</v>
      </c>
      <c r="E97" s="212" t="str">
        <f ca="1">IFERROR(__xludf.DUMMYFUNCTION("""COMPUTED_VALUE"""),"001")</f>
        <v>001</v>
      </c>
      <c r="F97" s="212" t="str">
        <f ca="1">IFERROR(__xludf.DUMMYFUNCTION("""COMPUTED_VALUE"""),"0638")</f>
        <v>0638</v>
      </c>
      <c r="G97" s="213" t="str">
        <f ca="1">IFERROR(__xludf.DUMMYFUNCTION("""COMPUTED_VALUE"""),"465232")</f>
        <v>465232</v>
      </c>
      <c r="H97" s="211" t="str">
        <f ca="1">IFERROR(__xludf.DUMMYFUNCTION("""COMPUTED_VALUE"""),"ENS FUND PARCIAL")</f>
        <v>ENS FUND PARCIAL</v>
      </c>
      <c r="I97" s="214">
        <f ca="1">IFERROR(__xludf.DUMMYFUNCTION("""COMPUTED_VALUE"""),2640)</f>
        <v>2640</v>
      </c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</row>
    <row r="98" spans="1:26" ht="18.75" customHeight="1">
      <c r="A98" s="210" t="str">
        <f ca="1">IFERROR(__xludf.DUMMYFUNCTION("""COMPUTED_VALUE"""),"Araguaina")</f>
        <v>Araguaina</v>
      </c>
      <c r="B98" s="210" t="str">
        <f ca="1">IFERROR(__xludf.DUMMYFUNCTION("""COMPUTED_VALUE"""),"Babaculandia")</f>
        <v>Babaculandia</v>
      </c>
      <c r="C98" s="211" t="str">
        <f ca="1">IFERROR(__xludf.DUMMYFUNCTION("""COMPUTED_VALUE"""),"A.PAIS E M.C.E.LEOPOLDO DE BULHOES")</f>
        <v>A.PAIS E M.C.E.LEOPOLDO DE BULHOES</v>
      </c>
      <c r="D98" s="212" t="str">
        <f ca="1">IFERROR(__xludf.DUMMYFUNCTION("""COMPUTED_VALUE"""),"01146116000104")</f>
        <v>01146116000104</v>
      </c>
      <c r="E98" s="212" t="str">
        <f ca="1">IFERROR(__xludf.DUMMYFUNCTION("""COMPUTED_VALUE"""),"001")</f>
        <v>001</v>
      </c>
      <c r="F98" s="212" t="str">
        <f ca="1">IFERROR(__xludf.DUMMYFUNCTION("""COMPUTED_VALUE"""),"0638")</f>
        <v>0638</v>
      </c>
      <c r="G98" s="213" t="str">
        <f ca="1">IFERROR(__xludf.DUMMYFUNCTION("""COMPUTED_VALUE"""),"465232")</f>
        <v>465232</v>
      </c>
      <c r="H98" s="211" t="str">
        <f ca="1">IFERROR(__xludf.DUMMYFUNCTION("""COMPUTED_VALUE"""),"AEE")</f>
        <v>AEE</v>
      </c>
      <c r="I98" s="214">
        <f ca="1">IFERROR(__xludf.DUMMYFUNCTION("""COMPUTED_VALUE"""),435.2)</f>
        <v>435.2</v>
      </c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</row>
    <row r="99" spans="1:26" ht="18.75" customHeight="1">
      <c r="A99" s="210" t="str">
        <f ca="1">IFERROR(__xludf.DUMMYFUNCTION("""COMPUTED_VALUE"""),"Araguaina")</f>
        <v>Araguaina</v>
      </c>
      <c r="B99" s="210" t="str">
        <f ca="1">IFERROR(__xludf.DUMMYFUNCTION("""COMPUTED_VALUE"""),"Babaculandia")</f>
        <v>Babaculandia</v>
      </c>
      <c r="C99" s="211" t="str">
        <f ca="1">IFERROR(__xludf.DUMMYFUNCTION("""COMPUTED_VALUE"""),"A.PAIS E M.C.E.LEOPOLDO DE BULHOES")</f>
        <v>A.PAIS E M.C.E.LEOPOLDO DE BULHOES</v>
      </c>
      <c r="D99" s="212" t="str">
        <f ca="1">IFERROR(__xludf.DUMMYFUNCTION("""COMPUTED_VALUE"""),"01146116000104")</f>
        <v>01146116000104</v>
      </c>
      <c r="E99" s="212" t="str">
        <f ca="1">IFERROR(__xludf.DUMMYFUNCTION("""COMPUTED_VALUE"""),"001")</f>
        <v>001</v>
      </c>
      <c r="F99" s="212" t="str">
        <f ca="1">IFERROR(__xludf.DUMMYFUNCTION("""COMPUTED_VALUE"""),"0638")</f>
        <v>0638</v>
      </c>
      <c r="G99" s="213" t="str">
        <f ca="1">IFERROR(__xludf.DUMMYFUNCTION("""COMPUTED_VALUE"""),"465232")</f>
        <v>465232</v>
      </c>
      <c r="H99" s="211" t="str">
        <f ca="1">IFERROR(__xludf.DUMMYFUNCTION("""COMPUTED_VALUE"""),"ENSINO MEDIO PARCIAL")</f>
        <v>ENSINO MEDIO PARCIAL</v>
      </c>
      <c r="I99" s="214">
        <f ca="1">IFERROR(__xludf.DUMMYFUNCTION("""COMPUTED_VALUE"""),4660)</f>
        <v>4660</v>
      </c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</row>
    <row r="100" spans="1:26" ht="18.75" customHeight="1">
      <c r="A100" s="210" t="str">
        <f ca="1">IFERROR(__xludf.DUMMYFUNCTION("""COMPUTED_VALUE"""),"Araguaina")</f>
        <v>Araguaina</v>
      </c>
      <c r="B100" s="210" t="str">
        <f ca="1">IFERROR(__xludf.DUMMYFUNCTION("""COMPUTED_VALUE"""),"Babaculandia")</f>
        <v>Babaculandia</v>
      </c>
      <c r="C100" s="211" t="str">
        <f ca="1">IFERROR(__xludf.DUMMYFUNCTION("""COMPUTED_VALUE"""),"A.A. ESCOLA ESTADUAL RUI BARBOSA")</f>
        <v>A.A. ESCOLA ESTADUAL RUI BARBOSA</v>
      </c>
      <c r="D100" s="212" t="str">
        <f ca="1">IFERROR(__xludf.DUMMYFUNCTION("""COMPUTED_VALUE"""),"01181184000104")</f>
        <v>01181184000104</v>
      </c>
      <c r="E100" s="212" t="str">
        <f ca="1">IFERROR(__xludf.DUMMYFUNCTION("""COMPUTED_VALUE"""),"001")</f>
        <v>001</v>
      </c>
      <c r="F100" s="212" t="str">
        <f ca="1">IFERROR(__xludf.DUMMYFUNCTION("""COMPUTED_VALUE"""),"0638")</f>
        <v>0638</v>
      </c>
      <c r="G100" s="213" t="str">
        <f ca="1">IFERROR(__xludf.DUMMYFUNCTION("""COMPUTED_VALUE"""),"477117")</f>
        <v>477117</v>
      </c>
      <c r="H100" s="211" t="str">
        <f ca="1">IFERROR(__xludf.DUMMYFUNCTION("""COMPUTED_VALUE"""),"ENS FUND PARCIAL")</f>
        <v>ENS FUND PARCIAL</v>
      </c>
      <c r="I100" s="214">
        <f ca="1">IFERROR(__xludf.DUMMYFUNCTION("""COMPUTED_VALUE"""),1550)</f>
        <v>1550</v>
      </c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</row>
    <row r="101" spans="1:26" ht="18.75" customHeight="1">
      <c r="A101" s="210" t="str">
        <f ca="1">IFERROR(__xludf.DUMMYFUNCTION("""COMPUTED_VALUE"""),"Araguaina")</f>
        <v>Araguaina</v>
      </c>
      <c r="B101" s="210" t="str">
        <f ca="1">IFERROR(__xludf.DUMMYFUNCTION("""COMPUTED_VALUE"""),"Babaculandia")</f>
        <v>Babaculandia</v>
      </c>
      <c r="C101" s="211" t="str">
        <f ca="1">IFERROR(__xludf.DUMMYFUNCTION("""COMPUTED_VALUE"""),"A.A. ESCOLA ESTADUAL RUI BARBOSA")</f>
        <v>A.A. ESCOLA ESTADUAL RUI BARBOSA</v>
      </c>
      <c r="D101" s="212" t="str">
        <f ca="1">IFERROR(__xludf.DUMMYFUNCTION("""COMPUTED_VALUE"""),"01181184000104")</f>
        <v>01181184000104</v>
      </c>
      <c r="E101" s="212" t="str">
        <f ca="1">IFERROR(__xludf.DUMMYFUNCTION("""COMPUTED_VALUE"""),"001")</f>
        <v>001</v>
      </c>
      <c r="F101" s="212" t="str">
        <f ca="1">IFERROR(__xludf.DUMMYFUNCTION("""COMPUTED_VALUE"""),"0638")</f>
        <v>0638</v>
      </c>
      <c r="G101" s="213" t="str">
        <f ca="1">IFERROR(__xludf.DUMMYFUNCTION("""COMPUTED_VALUE"""),"477117")</f>
        <v>477117</v>
      </c>
      <c r="H101" s="211" t="str">
        <f ca="1">IFERROR(__xludf.DUMMYFUNCTION("""COMPUTED_VALUE"""),"AEE")</f>
        <v>AEE</v>
      </c>
      <c r="I101" s="214">
        <f ca="1">IFERROR(__xludf.DUMMYFUNCTION("""COMPUTED_VALUE"""),258.4)</f>
        <v>258.39999999999998</v>
      </c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</row>
    <row r="102" spans="1:26" ht="18.75" customHeight="1">
      <c r="A102" s="210" t="str">
        <f ca="1">IFERROR(__xludf.DUMMYFUNCTION("""COMPUTED_VALUE"""),"Araguaina")</f>
        <v>Araguaina</v>
      </c>
      <c r="B102" s="210" t="str">
        <f ca="1">IFERROR(__xludf.DUMMYFUNCTION("""COMPUTED_VALUE"""),"Babaculandia")</f>
        <v>Babaculandia</v>
      </c>
      <c r="C102" s="211" t="str">
        <f ca="1">IFERROR(__xludf.DUMMYFUNCTION("""COMPUTED_VALUE"""),"A.A. ESCOLA ESTADUAL RUI BARBOSA")</f>
        <v>A.A. ESCOLA ESTADUAL RUI BARBOSA</v>
      </c>
      <c r="D102" s="212" t="str">
        <f ca="1">IFERROR(__xludf.DUMMYFUNCTION("""COMPUTED_VALUE"""),"01181184000104")</f>
        <v>01181184000104</v>
      </c>
      <c r="E102" s="212" t="str">
        <f ca="1">IFERROR(__xludf.DUMMYFUNCTION("""COMPUTED_VALUE"""),"001")</f>
        <v>001</v>
      </c>
      <c r="F102" s="212" t="str">
        <f ca="1">IFERROR(__xludf.DUMMYFUNCTION("""COMPUTED_VALUE"""),"0638")</f>
        <v>0638</v>
      </c>
      <c r="G102" s="213" t="str">
        <f ca="1">IFERROR(__xludf.DUMMYFUNCTION("""COMPUTED_VALUE"""),"477117")</f>
        <v>477117</v>
      </c>
      <c r="H102" s="211" t="str">
        <f ca="1">IFERROR(__xludf.DUMMYFUNCTION("""COMPUTED_VALUE"""),"ENSINO MEDIO PARCIAL")</f>
        <v>ENSINO MEDIO PARCIAL</v>
      </c>
      <c r="I102" s="214">
        <f ca="1">IFERROR(__xludf.DUMMYFUNCTION("""COMPUTED_VALUE"""),1030)</f>
        <v>1030</v>
      </c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</row>
    <row r="103" spans="1:26" ht="18.75" customHeight="1">
      <c r="A103" s="210" t="str">
        <f ca="1">IFERROR(__xludf.DUMMYFUNCTION("""COMPUTED_VALUE"""),"Araguaina")</f>
        <v>Araguaina</v>
      </c>
      <c r="B103" s="210" t="str">
        <f ca="1">IFERROR(__xludf.DUMMYFUNCTION("""COMPUTED_VALUE"""),"Barra do Ouro")</f>
        <v>Barra do Ouro</v>
      </c>
      <c r="C103" s="211" t="str">
        <f ca="1">IFERROR(__xludf.DUMMYFUNCTION("""COMPUTED_VALUE"""),"A.COM. ESC. EST. BARRA DO OURO/PROF. VICENTE JOSÉ VIEIRA")</f>
        <v>A.COM. ESC. EST. BARRA DO OURO/PROF. VICENTE JOSÉ VIEIRA</v>
      </c>
      <c r="D103" s="212" t="str">
        <f ca="1">IFERROR(__xludf.DUMMYFUNCTION("""COMPUTED_VALUE"""),"01341481000161")</f>
        <v>01341481000161</v>
      </c>
      <c r="E103" s="212" t="str">
        <f ca="1">IFERROR(__xludf.DUMMYFUNCTION("""COMPUTED_VALUE"""),"001")</f>
        <v>001</v>
      </c>
      <c r="F103" s="212" t="str">
        <f ca="1">IFERROR(__xludf.DUMMYFUNCTION("""COMPUTED_VALUE"""),"0638")</f>
        <v>0638</v>
      </c>
      <c r="G103" s="213" t="str">
        <f ca="1">IFERROR(__xludf.DUMMYFUNCTION("""COMPUTED_VALUE"""),"0069973")</f>
        <v>0069973</v>
      </c>
      <c r="H103" s="211" t="str">
        <f ca="1">IFERROR(__xludf.DUMMYFUNCTION("""COMPUTED_VALUE"""),"ENS FUND PARCIAL")</f>
        <v>ENS FUND PARCIAL</v>
      </c>
      <c r="I103" s="214">
        <f ca="1">IFERROR(__xludf.DUMMYFUNCTION("""COMPUTED_VALUE"""),2550)</f>
        <v>2550</v>
      </c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</row>
    <row r="104" spans="1:26" ht="18.75" customHeight="1">
      <c r="A104" s="210" t="str">
        <f ca="1">IFERROR(__xludf.DUMMYFUNCTION("""COMPUTED_VALUE"""),"Araguaina")</f>
        <v>Araguaina</v>
      </c>
      <c r="B104" s="210" t="str">
        <f ca="1">IFERROR(__xludf.DUMMYFUNCTION("""COMPUTED_VALUE"""),"Barra do Ouro")</f>
        <v>Barra do Ouro</v>
      </c>
      <c r="C104" s="211" t="str">
        <f ca="1">IFERROR(__xludf.DUMMYFUNCTION("""COMPUTED_VALUE"""),"A.COM. ESC. EST. BARRA DO OURO/PROF. VICENTE JOSÉ VIEIRA")</f>
        <v>A.COM. ESC. EST. BARRA DO OURO/PROF. VICENTE JOSÉ VIEIRA</v>
      </c>
      <c r="D104" s="212" t="str">
        <f ca="1">IFERROR(__xludf.DUMMYFUNCTION("""COMPUTED_VALUE"""),"01341481000161")</f>
        <v>01341481000161</v>
      </c>
      <c r="E104" s="212" t="str">
        <f ca="1">IFERROR(__xludf.DUMMYFUNCTION("""COMPUTED_VALUE"""),"001")</f>
        <v>001</v>
      </c>
      <c r="F104" s="212" t="str">
        <f ca="1">IFERROR(__xludf.DUMMYFUNCTION("""COMPUTED_VALUE"""),"0638")</f>
        <v>0638</v>
      </c>
      <c r="G104" s="213" t="str">
        <f ca="1">IFERROR(__xludf.DUMMYFUNCTION("""COMPUTED_VALUE"""),"0069973")</f>
        <v>0069973</v>
      </c>
      <c r="H104" s="211" t="str">
        <f ca="1">IFERROR(__xludf.DUMMYFUNCTION("""COMPUTED_VALUE"""),"ENSINO MEDIO PARCIAL")</f>
        <v>ENSINO MEDIO PARCIAL</v>
      </c>
      <c r="I104" s="214">
        <f ca="1">IFERROR(__xludf.DUMMYFUNCTION("""COMPUTED_VALUE"""),1270)</f>
        <v>1270</v>
      </c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</row>
    <row r="105" spans="1:26" ht="18.75" customHeight="1">
      <c r="A105" s="210" t="str">
        <f ca="1">IFERROR(__xludf.DUMMYFUNCTION("""COMPUTED_VALUE"""),"Araguaina")</f>
        <v>Araguaina</v>
      </c>
      <c r="B105" s="210" t="str">
        <f ca="1">IFERROR(__xludf.DUMMYFUNCTION("""COMPUTED_VALUE"""),"Barra do Ouro")</f>
        <v>Barra do Ouro</v>
      </c>
      <c r="C105" s="211" t="str">
        <f ca="1">IFERROR(__xludf.DUMMYFUNCTION("""COMPUTED_VALUE"""),"A.A. A ESCOLA ESTADUAL BREJAO")</f>
        <v>A.A. A ESCOLA ESTADUAL BREJAO</v>
      </c>
      <c r="D105" s="212" t="str">
        <f ca="1">IFERROR(__xludf.DUMMYFUNCTION("""COMPUTED_VALUE"""),"02392799000134")</f>
        <v>02392799000134</v>
      </c>
      <c r="E105" s="212" t="str">
        <f ca="1">IFERROR(__xludf.DUMMYFUNCTION("""COMPUTED_VALUE"""),"001")</f>
        <v>001</v>
      </c>
      <c r="F105" s="212" t="str">
        <f ca="1">IFERROR(__xludf.DUMMYFUNCTION("""COMPUTED_VALUE"""),"0638")</f>
        <v>0638</v>
      </c>
      <c r="G105" s="213" t="str">
        <f ca="1">IFERROR(__xludf.DUMMYFUNCTION("""COMPUTED_VALUE"""),"83615")</f>
        <v>83615</v>
      </c>
      <c r="H105" s="211" t="str">
        <f ca="1">IFERROR(__xludf.DUMMYFUNCTION("""COMPUTED_VALUE"""),"ENS FUND PARCIAL")</f>
        <v>ENS FUND PARCIAL</v>
      </c>
      <c r="I105" s="214">
        <f ca="1">IFERROR(__xludf.DUMMYFUNCTION("""COMPUTED_VALUE"""),1290)</f>
        <v>1290</v>
      </c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</row>
    <row r="106" spans="1:26" ht="18.75" customHeight="1">
      <c r="A106" s="210" t="str">
        <f ca="1">IFERROR(__xludf.DUMMYFUNCTION("""COMPUTED_VALUE"""),"Araguaina")</f>
        <v>Araguaina</v>
      </c>
      <c r="B106" s="210" t="str">
        <f ca="1">IFERROR(__xludf.DUMMYFUNCTION("""COMPUTED_VALUE"""),"Barra do Ouro")</f>
        <v>Barra do Ouro</v>
      </c>
      <c r="C106" s="211" t="str">
        <f ca="1">IFERROR(__xludf.DUMMYFUNCTION("""COMPUTED_VALUE"""),"A.A. A ESCOLA ESTADUAL BREJAO")</f>
        <v>A.A. A ESCOLA ESTADUAL BREJAO</v>
      </c>
      <c r="D106" s="212" t="str">
        <f ca="1">IFERROR(__xludf.DUMMYFUNCTION("""COMPUTED_VALUE"""),"02392799000134")</f>
        <v>02392799000134</v>
      </c>
      <c r="E106" s="212" t="str">
        <f ca="1">IFERROR(__xludf.DUMMYFUNCTION("""COMPUTED_VALUE"""),"001")</f>
        <v>001</v>
      </c>
      <c r="F106" s="212" t="str">
        <f ca="1">IFERROR(__xludf.DUMMYFUNCTION("""COMPUTED_VALUE"""),"0638")</f>
        <v>0638</v>
      </c>
      <c r="G106" s="213" t="str">
        <f ca="1">IFERROR(__xludf.DUMMYFUNCTION("""COMPUTED_VALUE"""),"83615")</f>
        <v>83615</v>
      </c>
      <c r="H106" s="211" t="str">
        <f ca="1">IFERROR(__xludf.DUMMYFUNCTION("""COMPUTED_VALUE"""),"AEE")</f>
        <v>AEE</v>
      </c>
      <c r="I106" s="214">
        <f ca="1">IFERROR(__xludf.DUMMYFUNCTION("""COMPUTED_VALUE"""),136)</f>
        <v>136</v>
      </c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</row>
    <row r="107" spans="1:26" ht="18.75" customHeight="1">
      <c r="A107" s="210" t="str">
        <f ca="1">IFERROR(__xludf.DUMMYFUNCTION("""COMPUTED_VALUE"""),"Araguaina")</f>
        <v>Araguaina</v>
      </c>
      <c r="B107" s="210" t="str">
        <f ca="1">IFERROR(__xludf.DUMMYFUNCTION("""COMPUTED_VALUE"""),"Barra do Ouro")</f>
        <v>Barra do Ouro</v>
      </c>
      <c r="C107" s="211" t="str">
        <f ca="1">IFERROR(__xludf.DUMMYFUNCTION("""COMPUTED_VALUE"""),"A.A. A ESCOLA ESTADUAL BREJAO")</f>
        <v>A.A. A ESCOLA ESTADUAL BREJAO</v>
      </c>
      <c r="D107" s="212" t="str">
        <f ca="1">IFERROR(__xludf.DUMMYFUNCTION("""COMPUTED_VALUE"""),"02392799000134")</f>
        <v>02392799000134</v>
      </c>
      <c r="E107" s="212" t="str">
        <f ca="1">IFERROR(__xludf.DUMMYFUNCTION("""COMPUTED_VALUE"""),"001")</f>
        <v>001</v>
      </c>
      <c r="F107" s="212" t="str">
        <f ca="1">IFERROR(__xludf.DUMMYFUNCTION("""COMPUTED_VALUE"""),"0638")</f>
        <v>0638</v>
      </c>
      <c r="G107" s="213" t="str">
        <f ca="1">IFERROR(__xludf.DUMMYFUNCTION("""COMPUTED_VALUE"""),"83615")</f>
        <v>83615</v>
      </c>
      <c r="H107" s="211" t="str">
        <f ca="1">IFERROR(__xludf.DUMMYFUNCTION("""COMPUTED_VALUE"""),"ENSINO MEDIO PARCIAL")</f>
        <v>ENSINO MEDIO PARCIAL</v>
      </c>
      <c r="I107" s="214">
        <f ca="1">IFERROR(__xludf.DUMMYFUNCTION("""COMPUTED_VALUE"""),720)</f>
        <v>720</v>
      </c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</row>
    <row r="108" spans="1:26" ht="18.75" customHeight="1">
      <c r="A108" s="210" t="str">
        <f ca="1">IFERROR(__xludf.DUMMYFUNCTION("""COMPUTED_VALUE"""),"Araguaina")</f>
        <v>Araguaina</v>
      </c>
      <c r="B108" s="210" t="str">
        <f ca="1">IFERROR(__xludf.DUMMYFUNCTION("""COMPUTED_VALUE"""),"Campos Lindos")</f>
        <v>Campos Lindos</v>
      </c>
      <c r="C108" s="211" t="str">
        <f ca="1">IFERROR(__xludf.DUMMYFUNCTION("""COMPUTED_VALUE"""),"A.A. DA ESC. EST. MANOEL ALVES GRANDE")</f>
        <v>A.A. DA ESC. EST. MANOEL ALVES GRANDE</v>
      </c>
      <c r="D108" s="212" t="str">
        <f ca="1">IFERROR(__xludf.DUMMYFUNCTION("""COMPUTED_VALUE"""),"02199744000102")</f>
        <v>02199744000102</v>
      </c>
      <c r="E108" s="212" t="str">
        <f ca="1">IFERROR(__xludf.DUMMYFUNCTION("""COMPUTED_VALUE"""),"001")</f>
        <v>001</v>
      </c>
      <c r="F108" s="212" t="str">
        <f ca="1">IFERROR(__xludf.DUMMYFUNCTION("""COMPUTED_VALUE"""),"2064")</f>
        <v>2064</v>
      </c>
      <c r="G108" s="213" t="str">
        <f ca="1">IFERROR(__xludf.DUMMYFUNCTION("""COMPUTED_VALUE"""),"0130117")</f>
        <v>0130117</v>
      </c>
      <c r="H108" s="211" t="str">
        <f ca="1">IFERROR(__xludf.DUMMYFUNCTION("""COMPUTED_VALUE"""),"ENS FUND PARCIAL")</f>
        <v>ENS FUND PARCIAL</v>
      </c>
      <c r="I108" s="214">
        <f ca="1">IFERROR(__xludf.DUMMYFUNCTION("""COMPUTED_VALUE"""),1710)</f>
        <v>1710</v>
      </c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</row>
    <row r="109" spans="1:26" ht="18.75" customHeight="1">
      <c r="A109" s="210" t="str">
        <f ca="1">IFERROR(__xludf.DUMMYFUNCTION("""COMPUTED_VALUE"""),"Araguaina")</f>
        <v>Araguaina</v>
      </c>
      <c r="B109" s="210" t="str">
        <f ca="1">IFERROR(__xludf.DUMMYFUNCTION("""COMPUTED_VALUE"""),"Campos Lindos")</f>
        <v>Campos Lindos</v>
      </c>
      <c r="C109" s="211" t="str">
        <f ca="1">IFERROR(__xludf.DUMMYFUNCTION("""COMPUTED_VALUE"""),"A.A. DA ESC. EST. MANOEL ALVES GRANDE")</f>
        <v>A.A. DA ESC. EST. MANOEL ALVES GRANDE</v>
      </c>
      <c r="D109" s="212" t="str">
        <f ca="1">IFERROR(__xludf.DUMMYFUNCTION("""COMPUTED_VALUE"""),"02199744000102")</f>
        <v>02199744000102</v>
      </c>
      <c r="E109" s="212" t="str">
        <f ca="1">IFERROR(__xludf.DUMMYFUNCTION("""COMPUTED_VALUE"""),"001")</f>
        <v>001</v>
      </c>
      <c r="F109" s="212" t="str">
        <f ca="1">IFERROR(__xludf.DUMMYFUNCTION("""COMPUTED_VALUE"""),"2064")</f>
        <v>2064</v>
      </c>
      <c r="G109" s="213" t="str">
        <f ca="1">IFERROR(__xludf.DUMMYFUNCTION("""COMPUTED_VALUE"""),"0130117")</f>
        <v>0130117</v>
      </c>
      <c r="H109" s="211" t="str">
        <f ca="1">IFERROR(__xludf.DUMMYFUNCTION("""COMPUTED_VALUE"""),"ENSINO MEDIO PARCIAL")</f>
        <v>ENSINO MEDIO PARCIAL</v>
      </c>
      <c r="I109" s="214">
        <f ca="1">IFERROR(__xludf.DUMMYFUNCTION("""COMPUTED_VALUE"""),4600)</f>
        <v>4600</v>
      </c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</row>
    <row r="110" spans="1:26" ht="18.75" customHeight="1">
      <c r="A110" s="210" t="str">
        <f ca="1">IFERROR(__xludf.DUMMYFUNCTION("""COMPUTED_VALUE"""),"Araguaina")</f>
        <v>Araguaina</v>
      </c>
      <c r="B110" s="210" t="str">
        <f ca="1">IFERROR(__xludf.DUMMYFUNCTION("""COMPUTED_VALUE"""),"Campos Lindos")</f>
        <v>Campos Lindos</v>
      </c>
      <c r="C110" s="211" t="str">
        <f ca="1">IFERROR(__xludf.DUMMYFUNCTION("""COMPUTED_VALUE"""),"A.A. DA ESC. EST. MANOEL ALVES GRANDE")</f>
        <v>A.A. DA ESC. EST. MANOEL ALVES GRANDE</v>
      </c>
      <c r="D110" s="212" t="str">
        <f ca="1">IFERROR(__xludf.DUMMYFUNCTION("""COMPUTED_VALUE"""),"02199744000102")</f>
        <v>02199744000102</v>
      </c>
      <c r="E110" s="212" t="str">
        <f ca="1">IFERROR(__xludf.DUMMYFUNCTION("""COMPUTED_VALUE"""),"001")</f>
        <v>001</v>
      </c>
      <c r="F110" s="212" t="str">
        <f ca="1">IFERROR(__xludf.DUMMYFUNCTION("""COMPUTED_VALUE"""),"2064")</f>
        <v>2064</v>
      </c>
      <c r="G110" s="213" t="str">
        <f ca="1">IFERROR(__xludf.DUMMYFUNCTION("""COMPUTED_VALUE"""),"0130117")</f>
        <v>0130117</v>
      </c>
      <c r="H110" s="211" t="str">
        <f ca="1">IFERROR(__xludf.DUMMYFUNCTION("""COMPUTED_VALUE"""),"EJA")</f>
        <v>EJA</v>
      </c>
      <c r="I110" s="214">
        <f ca="1">IFERROR(__xludf.DUMMYFUNCTION("""COMPUTED_VALUE"""),98.3999999999999)</f>
        <v>98.399999999999906</v>
      </c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</row>
    <row r="111" spans="1:26" ht="18.75" customHeight="1">
      <c r="A111" s="210" t="str">
        <f ca="1">IFERROR(__xludf.DUMMYFUNCTION("""COMPUTED_VALUE"""),"Araguaina")</f>
        <v>Araguaina</v>
      </c>
      <c r="B111" s="210" t="str">
        <f ca="1">IFERROR(__xludf.DUMMYFUNCTION("""COMPUTED_VALUE"""),"Carmolandia")</f>
        <v>Carmolandia</v>
      </c>
      <c r="C111" s="211" t="str">
        <f ca="1">IFERROR(__xludf.DUMMYFUNCTION("""COMPUTED_VALUE"""),"A.A. E. EST. BARTOLOMEU BUENO DA SILVA")</f>
        <v>A.A. E. EST. BARTOLOMEU BUENO DA SILVA</v>
      </c>
      <c r="D111" s="212" t="str">
        <f ca="1">IFERROR(__xludf.DUMMYFUNCTION("""COMPUTED_VALUE"""),"01181172000171")</f>
        <v>01181172000171</v>
      </c>
      <c r="E111" s="212" t="str">
        <f ca="1">IFERROR(__xludf.DUMMYFUNCTION("""COMPUTED_VALUE"""),"001")</f>
        <v>001</v>
      </c>
      <c r="F111" s="212" t="str">
        <f ca="1">IFERROR(__xludf.DUMMYFUNCTION("""COMPUTED_VALUE"""),"0638")</f>
        <v>0638</v>
      </c>
      <c r="G111" s="213" t="str">
        <f ca="1">IFERROR(__xludf.DUMMYFUNCTION("""COMPUTED_VALUE"""),"0465038")</f>
        <v>0465038</v>
      </c>
      <c r="H111" s="211" t="str">
        <f ca="1">IFERROR(__xludf.DUMMYFUNCTION("""COMPUTED_VALUE"""),"ENS FUND PARCIAL")</f>
        <v>ENS FUND PARCIAL</v>
      </c>
      <c r="I111" s="214">
        <f ca="1">IFERROR(__xludf.DUMMYFUNCTION("""COMPUTED_VALUE"""),290)</f>
        <v>290</v>
      </c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</row>
    <row r="112" spans="1:26" ht="18.75" customHeight="1">
      <c r="A112" s="210" t="str">
        <f ca="1">IFERROR(__xludf.DUMMYFUNCTION("""COMPUTED_VALUE"""),"Araguaina")</f>
        <v>Araguaina</v>
      </c>
      <c r="B112" s="210" t="str">
        <f ca="1">IFERROR(__xludf.DUMMYFUNCTION("""COMPUTED_VALUE"""),"Carmolandia")</f>
        <v>Carmolandia</v>
      </c>
      <c r="C112" s="211" t="str">
        <f ca="1">IFERROR(__xludf.DUMMYFUNCTION("""COMPUTED_VALUE"""),"A.A. E. EST. BARTOLOMEU BUENO DA SILVA")</f>
        <v>A.A. E. EST. BARTOLOMEU BUENO DA SILVA</v>
      </c>
      <c r="D112" s="212" t="str">
        <f ca="1">IFERROR(__xludf.DUMMYFUNCTION("""COMPUTED_VALUE"""),"01181172000171")</f>
        <v>01181172000171</v>
      </c>
      <c r="E112" s="212" t="str">
        <f ca="1">IFERROR(__xludf.DUMMYFUNCTION("""COMPUTED_VALUE"""),"001")</f>
        <v>001</v>
      </c>
      <c r="F112" s="212" t="str">
        <f ca="1">IFERROR(__xludf.DUMMYFUNCTION("""COMPUTED_VALUE"""),"0638")</f>
        <v>0638</v>
      </c>
      <c r="G112" s="213" t="str">
        <f ca="1">IFERROR(__xludf.DUMMYFUNCTION("""COMPUTED_VALUE"""),"0465038")</f>
        <v>0465038</v>
      </c>
      <c r="H112" s="211" t="str">
        <f ca="1">IFERROR(__xludf.DUMMYFUNCTION("""COMPUTED_VALUE"""),"ENSINO MEDIO PARCIAL")</f>
        <v>ENSINO MEDIO PARCIAL</v>
      </c>
      <c r="I112" s="214">
        <f ca="1">IFERROR(__xludf.DUMMYFUNCTION("""COMPUTED_VALUE"""),870)</f>
        <v>870</v>
      </c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</row>
    <row r="113" spans="1:26" ht="18.75" customHeight="1">
      <c r="A113" s="210" t="str">
        <f ca="1">IFERROR(__xludf.DUMMYFUNCTION("""COMPUTED_VALUE"""),"Araguaina")</f>
        <v>Araguaina</v>
      </c>
      <c r="B113" s="210" t="str">
        <f ca="1">IFERROR(__xludf.DUMMYFUNCTION("""COMPUTED_VALUE"""),"Carmolandia")</f>
        <v>Carmolandia</v>
      </c>
      <c r="C113" s="211" t="str">
        <f ca="1">IFERROR(__xludf.DUMMYFUNCTION("""COMPUTED_VALUE"""),"A.A. E. EST. BARTOLOMEU BUENO DA SILVA")</f>
        <v>A.A. E. EST. BARTOLOMEU BUENO DA SILVA</v>
      </c>
      <c r="D113" s="212" t="str">
        <f ca="1">IFERROR(__xludf.DUMMYFUNCTION("""COMPUTED_VALUE"""),"01181172000171")</f>
        <v>01181172000171</v>
      </c>
      <c r="E113" s="212" t="str">
        <f ca="1">IFERROR(__xludf.DUMMYFUNCTION("""COMPUTED_VALUE"""),"001")</f>
        <v>001</v>
      </c>
      <c r="F113" s="212" t="str">
        <f ca="1">IFERROR(__xludf.DUMMYFUNCTION("""COMPUTED_VALUE"""),"0638")</f>
        <v>0638</v>
      </c>
      <c r="G113" s="213" t="str">
        <f ca="1">IFERROR(__xludf.DUMMYFUNCTION("""COMPUTED_VALUE"""),"0465038")</f>
        <v>0465038</v>
      </c>
      <c r="H113" s="211" t="str">
        <f ca="1">IFERROR(__xludf.DUMMYFUNCTION("""COMPUTED_VALUE"""),"EJA")</f>
        <v>EJA</v>
      </c>
      <c r="I113" s="214">
        <f ca="1">IFERROR(__xludf.DUMMYFUNCTION("""COMPUTED_VALUE"""),65.6)</f>
        <v>65.599999999999994</v>
      </c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</row>
    <row r="114" spans="1:26" ht="18.75" customHeight="1">
      <c r="A114" s="210" t="str">
        <f ca="1">IFERROR(__xludf.DUMMYFUNCTION("""COMPUTED_VALUE"""),"Araguaina")</f>
        <v>Araguaina</v>
      </c>
      <c r="B114" s="210" t="str">
        <f ca="1">IFERROR(__xludf.DUMMYFUNCTION("""COMPUTED_VALUE"""),"Filadelfia")</f>
        <v>Filadelfia</v>
      </c>
      <c r="C114" s="211" t="str">
        <f ca="1">IFERROR(__xludf.DUMMYFUNCTION("""COMPUTED_VALUE"""),"A.P. E M. ESC. EST. ADEUVALDO O.MORAES")</f>
        <v>A.P. E M. ESC. EST. ADEUVALDO O.MORAES</v>
      </c>
      <c r="D114" s="212" t="str">
        <f ca="1">IFERROR(__xludf.DUMMYFUNCTION("""COMPUTED_VALUE"""),"01912087000136")</f>
        <v>01912087000136</v>
      </c>
      <c r="E114" s="212" t="str">
        <f ca="1">IFERROR(__xludf.DUMMYFUNCTION("""COMPUTED_VALUE"""),"001")</f>
        <v>001</v>
      </c>
      <c r="F114" s="212" t="str">
        <f ca="1">IFERROR(__xludf.DUMMYFUNCTION("""COMPUTED_VALUE"""),"2064")</f>
        <v>2064</v>
      </c>
      <c r="G114" s="213" t="str">
        <f ca="1">IFERROR(__xludf.DUMMYFUNCTION("""COMPUTED_VALUE"""),"127434")</f>
        <v>127434</v>
      </c>
      <c r="H114" s="211" t="str">
        <f ca="1">IFERROR(__xludf.DUMMYFUNCTION("""COMPUTED_VALUE"""),"ENS FUND PARCIAL")</f>
        <v>ENS FUND PARCIAL</v>
      </c>
      <c r="I114" s="214">
        <f ca="1">IFERROR(__xludf.DUMMYFUNCTION("""COMPUTED_VALUE"""),2800)</f>
        <v>2800</v>
      </c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</row>
    <row r="115" spans="1:26" ht="18.75" customHeight="1">
      <c r="A115" s="210" t="str">
        <f ca="1">IFERROR(__xludf.DUMMYFUNCTION("""COMPUTED_VALUE"""),"Araguaina")</f>
        <v>Araguaina</v>
      </c>
      <c r="B115" s="210" t="str">
        <f ca="1">IFERROR(__xludf.DUMMYFUNCTION("""COMPUTED_VALUE"""),"Filadelfia")</f>
        <v>Filadelfia</v>
      </c>
      <c r="C115" s="211" t="str">
        <f ca="1">IFERROR(__xludf.DUMMYFUNCTION("""COMPUTED_VALUE"""),"A.P. E M. ESC. EST. ADEUVALDO O.MORAES")</f>
        <v>A.P. E M. ESC. EST. ADEUVALDO O.MORAES</v>
      </c>
      <c r="D115" s="212" t="str">
        <f ca="1">IFERROR(__xludf.DUMMYFUNCTION("""COMPUTED_VALUE"""),"01912087000136")</f>
        <v>01912087000136</v>
      </c>
      <c r="E115" s="212" t="str">
        <f ca="1">IFERROR(__xludf.DUMMYFUNCTION("""COMPUTED_VALUE"""),"001")</f>
        <v>001</v>
      </c>
      <c r="F115" s="212" t="str">
        <f ca="1">IFERROR(__xludf.DUMMYFUNCTION("""COMPUTED_VALUE"""),"2064")</f>
        <v>2064</v>
      </c>
      <c r="G115" s="213" t="str">
        <f ca="1">IFERROR(__xludf.DUMMYFUNCTION("""COMPUTED_VALUE"""),"127434")</f>
        <v>127434</v>
      </c>
      <c r="H115" s="211" t="str">
        <f ca="1">IFERROR(__xludf.DUMMYFUNCTION("""COMPUTED_VALUE"""),"AEE")</f>
        <v>AEE</v>
      </c>
      <c r="I115" s="214">
        <f ca="1">IFERROR(__xludf.DUMMYFUNCTION("""COMPUTED_VALUE"""),435.2)</f>
        <v>435.2</v>
      </c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</row>
    <row r="116" spans="1:26" ht="18.75" customHeight="1">
      <c r="A116" s="210" t="str">
        <f ca="1">IFERROR(__xludf.DUMMYFUNCTION("""COMPUTED_VALUE"""),"Araguaina")</f>
        <v>Araguaina</v>
      </c>
      <c r="B116" s="210" t="str">
        <f ca="1">IFERROR(__xludf.DUMMYFUNCTION("""COMPUTED_VALUE"""),"Filadelfia")</f>
        <v>Filadelfia</v>
      </c>
      <c r="C116" s="211" t="str">
        <f ca="1">IFERROR(__xludf.DUMMYFUNCTION("""COMPUTED_VALUE"""),"A.A. DO COL.MUNICIPAL DE FILADELFIA")</f>
        <v>A.A. DO COL.MUNICIPAL DE FILADELFIA</v>
      </c>
      <c r="D116" s="212" t="str">
        <f ca="1">IFERROR(__xludf.DUMMYFUNCTION("""COMPUTED_VALUE"""),"02189621000190")</f>
        <v>02189621000190</v>
      </c>
      <c r="E116" s="212" t="str">
        <f ca="1">IFERROR(__xludf.DUMMYFUNCTION("""COMPUTED_VALUE"""),"001")</f>
        <v>001</v>
      </c>
      <c r="F116" s="212" t="str">
        <f ca="1">IFERROR(__xludf.DUMMYFUNCTION("""COMPUTED_VALUE"""),"2064")</f>
        <v>2064</v>
      </c>
      <c r="G116" s="213" t="str">
        <f ca="1">IFERROR(__xludf.DUMMYFUNCTION("""COMPUTED_VALUE"""),"54127")</f>
        <v>54127</v>
      </c>
      <c r="H116" s="211" t="str">
        <f ca="1">IFERROR(__xludf.DUMMYFUNCTION("""COMPUTED_VALUE"""),"AEE")</f>
        <v>AEE</v>
      </c>
      <c r="I116" s="214">
        <f ca="1">IFERROR(__xludf.DUMMYFUNCTION("""COMPUTED_VALUE"""),272)</f>
        <v>272</v>
      </c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</row>
    <row r="117" spans="1:26" ht="18.75" customHeight="1">
      <c r="A117" s="210" t="str">
        <f ca="1">IFERROR(__xludf.DUMMYFUNCTION("""COMPUTED_VALUE"""),"Araguaina")</f>
        <v>Araguaina</v>
      </c>
      <c r="B117" s="210" t="str">
        <f ca="1">IFERROR(__xludf.DUMMYFUNCTION("""COMPUTED_VALUE"""),"Filadelfia")</f>
        <v>Filadelfia</v>
      </c>
      <c r="C117" s="211" t="str">
        <f ca="1">IFERROR(__xludf.DUMMYFUNCTION("""COMPUTED_VALUE"""),"A.A. DO COL.MUNICIPAL DE FILADELFIA")</f>
        <v>A.A. DO COL.MUNICIPAL DE FILADELFIA</v>
      </c>
      <c r="D117" s="212" t="str">
        <f ca="1">IFERROR(__xludf.DUMMYFUNCTION("""COMPUTED_VALUE"""),"02189621000190")</f>
        <v>02189621000190</v>
      </c>
      <c r="E117" s="212" t="str">
        <f ca="1">IFERROR(__xludf.DUMMYFUNCTION("""COMPUTED_VALUE"""),"001")</f>
        <v>001</v>
      </c>
      <c r="F117" s="212" t="str">
        <f ca="1">IFERROR(__xludf.DUMMYFUNCTION("""COMPUTED_VALUE"""),"2064")</f>
        <v>2064</v>
      </c>
      <c r="G117" s="213" t="str">
        <f ca="1">IFERROR(__xludf.DUMMYFUNCTION("""COMPUTED_VALUE"""),"54127")</f>
        <v>54127</v>
      </c>
      <c r="H117" s="211" t="str">
        <f ca="1">IFERROR(__xludf.DUMMYFUNCTION("""COMPUTED_VALUE"""),"ENSINO MEDIO PARCIAL")</f>
        <v>ENSINO MEDIO PARCIAL</v>
      </c>
      <c r="I117" s="214">
        <f ca="1">IFERROR(__xludf.DUMMYFUNCTION("""COMPUTED_VALUE"""),2140)</f>
        <v>2140</v>
      </c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</row>
    <row r="118" spans="1:26" ht="18.75" customHeight="1">
      <c r="A118" s="210" t="str">
        <f ca="1">IFERROR(__xludf.DUMMYFUNCTION("""COMPUTED_VALUE"""),"Araguaina")</f>
        <v>Araguaina</v>
      </c>
      <c r="B118" s="210" t="str">
        <f ca="1">IFERROR(__xludf.DUMMYFUNCTION("""COMPUTED_VALUE"""),"Filadelfia")</f>
        <v>Filadelfia</v>
      </c>
      <c r="C118" s="211" t="str">
        <f ca="1">IFERROR(__xludf.DUMMYFUNCTION("""COMPUTED_VALUE"""),"A.A. ESC EST PROFESSOR JOSÉ FRANCISCO DOS MONTES")</f>
        <v>A.A. ESC EST PROFESSOR JOSÉ FRANCISCO DOS MONTES</v>
      </c>
      <c r="D118" s="212" t="str">
        <f ca="1">IFERROR(__xludf.DUMMYFUNCTION("""COMPUTED_VALUE"""),"27853677000129")</f>
        <v>27853677000129</v>
      </c>
      <c r="E118" s="212" t="str">
        <f ca="1">IFERROR(__xludf.DUMMYFUNCTION("""COMPUTED_VALUE"""),"001")</f>
        <v>001</v>
      </c>
      <c r="F118" s="212" t="str">
        <f ca="1">IFERROR(__xludf.DUMMYFUNCTION("""COMPUTED_VALUE"""),"2064")</f>
        <v>2064</v>
      </c>
      <c r="G118" s="213" t="str">
        <f ca="1">IFERROR(__xludf.DUMMYFUNCTION("""COMPUTED_VALUE"""),"198315")</f>
        <v>198315</v>
      </c>
      <c r="H118" s="211" t="str">
        <f ca="1">IFERROR(__xludf.DUMMYFUNCTION("""COMPUTED_VALUE"""),"ENS FUND PARCIAL")</f>
        <v>ENS FUND PARCIAL</v>
      </c>
      <c r="I118" s="214">
        <f ca="1">IFERROR(__xludf.DUMMYFUNCTION("""COMPUTED_VALUE"""),530)</f>
        <v>530</v>
      </c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</row>
    <row r="119" spans="1:26" ht="18.75" customHeight="1">
      <c r="A119" s="210" t="str">
        <f ca="1">IFERROR(__xludf.DUMMYFUNCTION("""COMPUTED_VALUE"""),"Araguaina")</f>
        <v>Araguaina</v>
      </c>
      <c r="B119" s="210" t="str">
        <f ca="1">IFERROR(__xludf.DUMMYFUNCTION("""COMPUTED_VALUE"""),"Filadelfia")</f>
        <v>Filadelfia</v>
      </c>
      <c r="C119" s="211" t="str">
        <f ca="1">IFERROR(__xludf.DUMMYFUNCTION("""COMPUTED_VALUE"""),"A.A. ESC EST PROFESSOR JOSÉ FRANCISCO DOS MONTES")</f>
        <v>A.A. ESC EST PROFESSOR JOSÉ FRANCISCO DOS MONTES</v>
      </c>
      <c r="D119" s="212" t="str">
        <f ca="1">IFERROR(__xludf.DUMMYFUNCTION("""COMPUTED_VALUE"""),"27853677000129")</f>
        <v>27853677000129</v>
      </c>
      <c r="E119" s="212" t="str">
        <f ca="1">IFERROR(__xludf.DUMMYFUNCTION("""COMPUTED_VALUE"""),"001")</f>
        <v>001</v>
      </c>
      <c r="F119" s="212" t="str">
        <f ca="1">IFERROR(__xludf.DUMMYFUNCTION("""COMPUTED_VALUE"""),"2064")</f>
        <v>2064</v>
      </c>
      <c r="G119" s="213" t="str">
        <f ca="1">IFERROR(__xludf.DUMMYFUNCTION("""COMPUTED_VALUE"""),"198315")</f>
        <v>198315</v>
      </c>
      <c r="H119" s="211" t="str">
        <f ca="1">IFERROR(__xludf.DUMMYFUNCTION("""COMPUTED_VALUE"""),"ENSINO MEDIO PARCIAL")</f>
        <v>ENSINO MEDIO PARCIAL</v>
      </c>
      <c r="I119" s="214">
        <f ca="1">IFERROR(__xludf.DUMMYFUNCTION("""COMPUTED_VALUE"""),970)</f>
        <v>970</v>
      </c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</row>
    <row r="120" spans="1:26" ht="18.75" customHeight="1">
      <c r="A120" s="210" t="str">
        <f ca="1">IFERROR(__xludf.DUMMYFUNCTION("""COMPUTED_VALUE"""),"Araguaina")</f>
        <v>Araguaina</v>
      </c>
      <c r="B120" s="210" t="str">
        <f ca="1">IFERROR(__xludf.DUMMYFUNCTION("""COMPUTED_VALUE"""),"Filadelfia")</f>
        <v>Filadelfia</v>
      </c>
      <c r="C120" s="211" t="str">
        <f ca="1">IFERROR(__xludf.DUMMYFUNCTION("""COMPUTED_VALUE"""),"A.A. ESC EST PROFESSOR JOSÉ FRANCISCO DOS MONTES")</f>
        <v>A.A. ESC EST PROFESSOR JOSÉ FRANCISCO DOS MONTES</v>
      </c>
      <c r="D120" s="212" t="str">
        <f ca="1">IFERROR(__xludf.DUMMYFUNCTION("""COMPUTED_VALUE"""),"27853677000129")</f>
        <v>27853677000129</v>
      </c>
      <c r="E120" s="212" t="str">
        <f ca="1">IFERROR(__xludf.DUMMYFUNCTION("""COMPUTED_VALUE"""),"001")</f>
        <v>001</v>
      </c>
      <c r="F120" s="212" t="str">
        <f ca="1">IFERROR(__xludf.DUMMYFUNCTION("""COMPUTED_VALUE"""),"2064")</f>
        <v>2064</v>
      </c>
      <c r="G120" s="213" t="str">
        <f ca="1">IFERROR(__xludf.DUMMYFUNCTION("""COMPUTED_VALUE"""),"198315")</f>
        <v>198315</v>
      </c>
      <c r="H120" s="211" t="str">
        <f ca="1">IFERROR(__xludf.DUMMYFUNCTION("""COMPUTED_VALUE"""),"EJA")</f>
        <v>EJA</v>
      </c>
      <c r="I120" s="214">
        <f ca="1">IFERROR(__xludf.DUMMYFUNCTION("""COMPUTED_VALUE"""),180.399999999999)</f>
        <v>180.39999999999901</v>
      </c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</row>
    <row r="121" spans="1:26" ht="18.75" customHeight="1">
      <c r="A121" s="210" t="str">
        <f ca="1">IFERROR(__xludf.DUMMYFUNCTION("""COMPUTED_VALUE"""),"Araguaina")</f>
        <v>Araguaina</v>
      </c>
      <c r="B121" s="210" t="str">
        <f ca="1">IFERROR(__xludf.DUMMYFUNCTION("""COMPUTED_VALUE"""),"Goiatins")</f>
        <v>Goiatins</v>
      </c>
      <c r="C121" s="211" t="str">
        <f ca="1">IFERROR(__xludf.DUMMYFUNCTION("""COMPUTED_VALUE"""),"ASS. COM.COL. EST. ADA ASSIS TEIXEIRA")</f>
        <v>ASS. COM.COL. EST. ADA ASSIS TEIXEIRA</v>
      </c>
      <c r="D121" s="212" t="str">
        <f ca="1">IFERROR(__xludf.DUMMYFUNCTION("""COMPUTED_VALUE"""),"01440731000110")</f>
        <v>01440731000110</v>
      </c>
      <c r="E121" s="212" t="str">
        <f ca="1">IFERROR(__xludf.DUMMYFUNCTION("""COMPUTED_VALUE"""),"001")</f>
        <v>001</v>
      </c>
      <c r="F121" s="212" t="str">
        <f ca="1">IFERROR(__xludf.DUMMYFUNCTION("""COMPUTED_VALUE"""),"2064")</f>
        <v>2064</v>
      </c>
      <c r="G121" s="213" t="str">
        <f ca="1">IFERROR(__xludf.DUMMYFUNCTION("""COMPUTED_VALUE"""),"0013323")</f>
        <v>0013323</v>
      </c>
      <c r="H121" s="211" t="str">
        <f ca="1">IFERROR(__xludf.DUMMYFUNCTION("""COMPUTED_VALUE"""),"ENS FUND PARCIAL")</f>
        <v>ENS FUND PARCIAL</v>
      </c>
      <c r="I121" s="214">
        <f ca="1">IFERROR(__xludf.DUMMYFUNCTION("""COMPUTED_VALUE"""),2110)</f>
        <v>2110</v>
      </c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</row>
    <row r="122" spans="1:26" ht="18.75" customHeight="1">
      <c r="A122" s="210" t="str">
        <f ca="1">IFERROR(__xludf.DUMMYFUNCTION("""COMPUTED_VALUE"""),"Araguaina")</f>
        <v>Araguaina</v>
      </c>
      <c r="B122" s="210" t="str">
        <f ca="1">IFERROR(__xludf.DUMMYFUNCTION("""COMPUTED_VALUE"""),"Goiatins")</f>
        <v>Goiatins</v>
      </c>
      <c r="C122" s="211" t="str">
        <f ca="1">IFERROR(__xludf.DUMMYFUNCTION("""COMPUTED_VALUE"""),"ASS. COM.COL. EST. ADA ASSIS TEIXEIRA")</f>
        <v>ASS. COM.COL. EST. ADA ASSIS TEIXEIRA</v>
      </c>
      <c r="D122" s="212" t="str">
        <f ca="1">IFERROR(__xludf.DUMMYFUNCTION("""COMPUTED_VALUE"""),"01440731000110")</f>
        <v>01440731000110</v>
      </c>
      <c r="E122" s="212" t="str">
        <f ca="1">IFERROR(__xludf.DUMMYFUNCTION("""COMPUTED_VALUE"""),"001")</f>
        <v>001</v>
      </c>
      <c r="F122" s="212" t="str">
        <f ca="1">IFERROR(__xludf.DUMMYFUNCTION("""COMPUTED_VALUE"""),"2064")</f>
        <v>2064</v>
      </c>
      <c r="G122" s="213" t="str">
        <f ca="1">IFERROR(__xludf.DUMMYFUNCTION("""COMPUTED_VALUE"""),"0013323")</f>
        <v>0013323</v>
      </c>
      <c r="H122" s="211" t="str">
        <f ca="1">IFERROR(__xludf.DUMMYFUNCTION("""COMPUTED_VALUE"""),"AEE")</f>
        <v>AEE</v>
      </c>
      <c r="I122" s="214">
        <f ca="1">IFERROR(__xludf.DUMMYFUNCTION("""COMPUTED_VALUE"""),190.4)</f>
        <v>190.4</v>
      </c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</row>
    <row r="123" spans="1:26" ht="18.75" customHeight="1">
      <c r="A123" s="210" t="str">
        <f ca="1">IFERROR(__xludf.DUMMYFUNCTION("""COMPUTED_VALUE"""),"Araguaina")</f>
        <v>Araguaina</v>
      </c>
      <c r="B123" s="210" t="str">
        <f ca="1">IFERROR(__xludf.DUMMYFUNCTION("""COMPUTED_VALUE"""),"Goiatins")</f>
        <v>Goiatins</v>
      </c>
      <c r="C123" s="211" t="str">
        <f ca="1">IFERROR(__xludf.DUMMYFUNCTION("""COMPUTED_VALUE"""),"ASS. COM.COL. EST. ADA ASSIS TEIXEIRA")</f>
        <v>ASS. COM.COL. EST. ADA ASSIS TEIXEIRA</v>
      </c>
      <c r="D123" s="212" t="str">
        <f ca="1">IFERROR(__xludf.DUMMYFUNCTION("""COMPUTED_VALUE"""),"01440731000110")</f>
        <v>01440731000110</v>
      </c>
      <c r="E123" s="212" t="str">
        <f ca="1">IFERROR(__xludf.DUMMYFUNCTION("""COMPUTED_VALUE"""),"001")</f>
        <v>001</v>
      </c>
      <c r="F123" s="212" t="str">
        <f ca="1">IFERROR(__xludf.DUMMYFUNCTION("""COMPUTED_VALUE"""),"2064")</f>
        <v>2064</v>
      </c>
      <c r="G123" s="213" t="str">
        <f ca="1">IFERROR(__xludf.DUMMYFUNCTION("""COMPUTED_VALUE"""),"0013323")</f>
        <v>0013323</v>
      </c>
      <c r="H123" s="211" t="str">
        <f ca="1">IFERROR(__xludf.DUMMYFUNCTION("""COMPUTED_VALUE"""),"ENSINO MEDIO PARCIAL")</f>
        <v>ENSINO MEDIO PARCIAL</v>
      </c>
      <c r="I123" s="214">
        <f ca="1">IFERROR(__xludf.DUMMYFUNCTION("""COMPUTED_VALUE"""),4630)</f>
        <v>4630</v>
      </c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</row>
    <row r="124" spans="1:26" ht="18.75" customHeight="1">
      <c r="A124" s="210" t="str">
        <f ca="1">IFERROR(__xludf.DUMMYFUNCTION("""COMPUTED_VALUE"""),"Araguaina")</f>
        <v>Araguaina</v>
      </c>
      <c r="B124" s="210" t="str">
        <f ca="1">IFERROR(__xludf.DUMMYFUNCTION("""COMPUTED_VALUE"""),"Muricilandia")</f>
        <v>Muricilandia</v>
      </c>
      <c r="C124" s="211" t="str">
        <f ca="1">IFERROR(__xludf.DUMMYFUNCTION("""COMPUTED_VALUE"""),"A.COM. DE AP. COL. EST. DE MURICILANDIA")</f>
        <v>A.COM. DE AP. COL. EST. DE MURICILANDIA</v>
      </c>
      <c r="D124" s="212" t="str">
        <f ca="1">IFERROR(__xludf.DUMMYFUNCTION("""COMPUTED_VALUE"""),"01911084000188")</f>
        <v>01911084000188</v>
      </c>
      <c r="E124" s="212" t="str">
        <f ca="1">IFERROR(__xludf.DUMMYFUNCTION("""COMPUTED_VALUE"""),"001")</f>
        <v>001</v>
      </c>
      <c r="F124" s="212" t="str">
        <f ca="1">IFERROR(__xludf.DUMMYFUNCTION("""COMPUTED_VALUE"""),"0638")</f>
        <v>0638</v>
      </c>
      <c r="G124" s="213" t="str">
        <f ca="1">IFERROR(__xludf.DUMMYFUNCTION("""COMPUTED_VALUE"""),"8350X")</f>
        <v>8350X</v>
      </c>
      <c r="H124" s="211" t="str">
        <f ca="1">IFERROR(__xludf.DUMMYFUNCTION("""COMPUTED_VALUE"""),"QUILOMBOLA")</f>
        <v>QUILOMBOLA</v>
      </c>
      <c r="I124" s="214">
        <f ca="1">IFERROR(__xludf.DUMMYFUNCTION("""COMPUTED_VALUE"""),1892)</f>
        <v>1892</v>
      </c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</row>
    <row r="125" spans="1:26" ht="18.75" customHeight="1">
      <c r="A125" s="210" t="str">
        <f ca="1">IFERROR(__xludf.DUMMYFUNCTION("""COMPUTED_VALUE"""),"Araguaina")</f>
        <v>Araguaina</v>
      </c>
      <c r="B125" s="210" t="str">
        <f ca="1">IFERROR(__xludf.DUMMYFUNCTION("""COMPUTED_VALUE"""),"Muricilandia")</f>
        <v>Muricilandia</v>
      </c>
      <c r="C125" s="211" t="str">
        <f ca="1">IFERROR(__xludf.DUMMYFUNCTION("""COMPUTED_VALUE"""),"A.COM. DE AP. COL. EST. DE MURICILANDIA")</f>
        <v>A.COM. DE AP. COL. EST. DE MURICILANDIA</v>
      </c>
      <c r="D125" s="212" t="str">
        <f ca="1">IFERROR(__xludf.DUMMYFUNCTION("""COMPUTED_VALUE"""),"01911084000188")</f>
        <v>01911084000188</v>
      </c>
      <c r="E125" s="212" t="str">
        <f ca="1">IFERROR(__xludf.DUMMYFUNCTION("""COMPUTED_VALUE"""),"001")</f>
        <v>001</v>
      </c>
      <c r="F125" s="212" t="str">
        <f ca="1">IFERROR(__xludf.DUMMYFUNCTION("""COMPUTED_VALUE"""),"0638")</f>
        <v>0638</v>
      </c>
      <c r="G125" s="213" t="str">
        <f ca="1">IFERROR(__xludf.DUMMYFUNCTION("""COMPUTED_VALUE"""),"8350X")</f>
        <v>8350X</v>
      </c>
      <c r="H125" s="211" t="str">
        <f ca="1">IFERROR(__xludf.DUMMYFUNCTION("""COMPUTED_VALUE"""),"AEE")</f>
        <v>AEE</v>
      </c>
      <c r="I125" s="214">
        <f ca="1">IFERROR(__xludf.DUMMYFUNCTION("""COMPUTED_VALUE"""),190.4)</f>
        <v>190.4</v>
      </c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</row>
    <row r="126" spans="1:26" ht="18.75" customHeight="1">
      <c r="A126" s="210" t="str">
        <f ca="1">IFERROR(__xludf.DUMMYFUNCTION("""COMPUTED_VALUE"""),"Araguaina")</f>
        <v>Araguaina</v>
      </c>
      <c r="B126" s="210" t="str">
        <f ca="1">IFERROR(__xludf.DUMMYFUNCTION("""COMPUTED_VALUE"""),"Muricilandia")</f>
        <v>Muricilandia</v>
      </c>
      <c r="C126" s="211" t="str">
        <f ca="1">IFERROR(__xludf.DUMMYFUNCTION("""COMPUTED_VALUE"""),"A.A. DA ESC. EST. MAL. COSTA E SILVA")</f>
        <v>A.A. DA ESC. EST. MAL. COSTA E SILVA</v>
      </c>
      <c r="D126" s="212" t="str">
        <f ca="1">IFERROR(__xludf.DUMMYFUNCTION("""COMPUTED_VALUE"""),"02032269000185")</f>
        <v>02032269000185</v>
      </c>
      <c r="E126" s="212" t="str">
        <f ca="1">IFERROR(__xludf.DUMMYFUNCTION("""COMPUTED_VALUE"""),"001")</f>
        <v>001</v>
      </c>
      <c r="F126" s="212" t="str">
        <f ca="1">IFERROR(__xludf.DUMMYFUNCTION("""COMPUTED_VALUE"""),"0638")</f>
        <v>0638</v>
      </c>
      <c r="G126" s="213" t="str">
        <f ca="1">IFERROR(__xludf.DUMMYFUNCTION("""COMPUTED_VALUE"""),"83550")</f>
        <v>83550</v>
      </c>
      <c r="H126" s="211" t="str">
        <f ca="1">IFERROR(__xludf.DUMMYFUNCTION("""COMPUTED_VALUE"""),"QUILOMBOLA")</f>
        <v>QUILOMBOLA</v>
      </c>
      <c r="I126" s="214">
        <f ca="1">IFERROR(__xludf.DUMMYFUNCTION("""COMPUTED_VALUE"""),4128)</f>
        <v>4128</v>
      </c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</row>
    <row r="127" spans="1:26" ht="18.75" customHeight="1">
      <c r="A127" s="210" t="str">
        <f ca="1">IFERROR(__xludf.DUMMYFUNCTION("""COMPUTED_VALUE"""),"Araguaina")</f>
        <v>Araguaina</v>
      </c>
      <c r="B127" s="210" t="str">
        <f ca="1">IFERROR(__xludf.DUMMYFUNCTION("""COMPUTED_VALUE"""),"Nova Olinda")</f>
        <v>Nova Olinda</v>
      </c>
      <c r="C127" s="211" t="str">
        <f ca="1">IFERROR(__xludf.DUMMYFUNCTION("""COMPUTED_VALUE"""),"A.A. ESC. COL. E. HELIO DE SOUZA BUENO")</f>
        <v>A.A. ESC. COL. E. HELIO DE SOUZA BUENO</v>
      </c>
      <c r="D127" s="212" t="str">
        <f ca="1">IFERROR(__xludf.DUMMYFUNCTION("""COMPUTED_VALUE"""),"01186466000196")</f>
        <v>01186466000196</v>
      </c>
      <c r="E127" s="212" t="str">
        <f ca="1">IFERROR(__xludf.DUMMYFUNCTION("""COMPUTED_VALUE"""),"001")</f>
        <v>001</v>
      </c>
      <c r="F127" s="212" t="str">
        <f ca="1">IFERROR(__xludf.DUMMYFUNCTION("""COMPUTED_VALUE"""),"0638")</f>
        <v>0638</v>
      </c>
      <c r="G127" s="213" t="str">
        <f ca="1">IFERROR(__xludf.DUMMYFUNCTION("""COMPUTED_VALUE"""),"0462985")</f>
        <v>0462985</v>
      </c>
      <c r="H127" s="211" t="str">
        <f ca="1">IFERROR(__xludf.DUMMYFUNCTION("""COMPUTED_VALUE"""),"ENS FUND PARCIAL")</f>
        <v>ENS FUND PARCIAL</v>
      </c>
      <c r="I127" s="214">
        <f ca="1">IFERROR(__xludf.DUMMYFUNCTION("""COMPUTED_VALUE"""),6220)</f>
        <v>6220</v>
      </c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</row>
    <row r="128" spans="1:26" ht="18.75" customHeight="1">
      <c r="A128" s="210" t="str">
        <f ca="1">IFERROR(__xludf.DUMMYFUNCTION("""COMPUTED_VALUE"""),"Araguaina")</f>
        <v>Araguaina</v>
      </c>
      <c r="B128" s="210" t="str">
        <f ca="1">IFERROR(__xludf.DUMMYFUNCTION("""COMPUTED_VALUE"""),"Nova Olinda")</f>
        <v>Nova Olinda</v>
      </c>
      <c r="C128" s="211" t="str">
        <f ca="1">IFERROR(__xludf.DUMMYFUNCTION("""COMPUTED_VALUE"""),"A.A. ESC. COL. E. HELIO DE SOUZA BUENO")</f>
        <v>A.A. ESC. COL. E. HELIO DE SOUZA BUENO</v>
      </c>
      <c r="D128" s="212" t="str">
        <f ca="1">IFERROR(__xludf.DUMMYFUNCTION("""COMPUTED_VALUE"""),"01186466000196")</f>
        <v>01186466000196</v>
      </c>
      <c r="E128" s="212" t="str">
        <f ca="1">IFERROR(__xludf.DUMMYFUNCTION("""COMPUTED_VALUE"""),"001")</f>
        <v>001</v>
      </c>
      <c r="F128" s="212" t="str">
        <f ca="1">IFERROR(__xludf.DUMMYFUNCTION("""COMPUTED_VALUE"""),"0638")</f>
        <v>0638</v>
      </c>
      <c r="G128" s="213" t="str">
        <f ca="1">IFERROR(__xludf.DUMMYFUNCTION("""COMPUTED_VALUE"""),"0462985")</f>
        <v>0462985</v>
      </c>
      <c r="H128" s="211" t="str">
        <f ca="1">IFERROR(__xludf.DUMMYFUNCTION("""COMPUTED_VALUE"""),"AEE")</f>
        <v>AEE</v>
      </c>
      <c r="I128" s="214">
        <f ca="1">IFERROR(__xludf.DUMMYFUNCTION("""COMPUTED_VALUE"""),598.4)</f>
        <v>598.4</v>
      </c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</row>
    <row r="129" spans="1:26" ht="18.75" customHeight="1">
      <c r="A129" s="210" t="str">
        <f ca="1">IFERROR(__xludf.DUMMYFUNCTION("""COMPUTED_VALUE"""),"Araguaina")</f>
        <v>Araguaina</v>
      </c>
      <c r="B129" s="210" t="str">
        <f ca="1">IFERROR(__xludf.DUMMYFUNCTION("""COMPUTED_VALUE"""),"Nova Olinda")</f>
        <v>Nova Olinda</v>
      </c>
      <c r="C129" s="211" t="str">
        <f ca="1">IFERROR(__xludf.DUMMYFUNCTION("""COMPUTED_VALUE"""),"A.A. ESC. COL. E. HELIO DE SOUZA BUENO")</f>
        <v>A.A. ESC. COL. E. HELIO DE SOUZA BUENO</v>
      </c>
      <c r="D129" s="212" t="str">
        <f ca="1">IFERROR(__xludf.DUMMYFUNCTION("""COMPUTED_VALUE"""),"01186466000196")</f>
        <v>01186466000196</v>
      </c>
      <c r="E129" s="212" t="str">
        <f ca="1">IFERROR(__xludf.DUMMYFUNCTION("""COMPUTED_VALUE"""),"001")</f>
        <v>001</v>
      </c>
      <c r="F129" s="212" t="str">
        <f ca="1">IFERROR(__xludf.DUMMYFUNCTION("""COMPUTED_VALUE"""),"0638")</f>
        <v>0638</v>
      </c>
      <c r="G129" s="213" t="str">
        <f ca="1">IFERROR(__xludf.DUMMYFUNCTION("""COMPUTED_VALUE"""),"0462985")</f>
        <v>0462985</v>
      </c>
      <c r="H129" s="211" t="str">
        <f ca="1">IFERROR(__xludf.DUMMYFUNCTION("""COMPUTED_VALUE"""),"ENSINO MEDIO PARCIAL")</f>
        <v>ENSINO MEDIO PARCIAL</v>
      </c>
      <c r="I129" s="214">
        <f ca="1">IFERROR(__xludf.DUMMYFUNCTION("""COMPUTED_VALUE"""),7480)</f>
        <v>7480</v>
      </c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</row>
    <row r="130" spans="1:26" ht="18.75" customHeight="1">
      <c r="A130" s="210" t="str">
        <f ca="1">IFERROR(__xludf.DUMMYFUNCTION("""COMPUTED_VALUE"""),"Araguaina")</f>
        <v>Araguaina</v>
      </c>
      <c r="B130" s="210" t="str">
        <f ca="1">IFERROR(__xludf.DUMMYFUNCTION("""COMPUTED_VALUE"""),"Nova Olinda")</f>
        <v>Nova Olinda</v>
      </c>
      <c r="C130" s="211" t="str">
        <f ca="1">IFERROR(__xludf.DUMMYFUNCTION("""COMPUTED_VALUE"""),"A.A. ESC. COL. E. HELIO DE SOUZA BUENO")</f>
        <v>A.A. ESC. COL. E. HELIO DE SOUZA BUENO</v>
      </c>
      <c r="D130" s="212" t="str">
        <f ca="1">IFERROR(__xludf.DUMMYFUNCTION("""COMPUTED_VALUE"""),"01186466000196")</f>
        <v>01186466000196</v>
      </c>
      <c r="E130" s="212" t="str">
        <f ca="1">IFERROR(__xludf.DUMMYFUNCTION("""COMPUTED_VALUE"""),"001")</f>
        <v>001</v>
      </c>
      <c r="F130" s="212" t="str">
        <f ca="1">IFERROR(__xludf.DUMMYFUNCTION("""COMPUTED_VALUE"""),"0638")</f>
        <v>0638</v>
      </c>
      <c r="G130" s="213" t="str">
        <f ca="1">IFERROR(__xludf.DUMMYFUNCTION("""COMPUTED_VALUE"""),"0462985")</f>
        <v>0462985</v>
      </c>
      <c r="H130" s="211" t="str">
        <f ca="1">IFERROR(__xludf.DUMMYFUNCTION("""COMPUTED_VALUE"""),"EJA")</f>
        <v>EJA</v>
      </c>
      <c r="I130" s="214">
        <f ca="1">IFERROR(__xludf.DUMMYFUNCTION("""COMPUTED_VALUE"""),852.8)</f>
        <v>852.8</v>
      </c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</row>
    <row r="131" spans="1:26" ht="18.75" customHeight="1">
      <c r="A131" s="210" t="str">
        <f ca="1">IFERROR(__xludf.DUMMYFUNCTION("""COMPUTED_VALUE"""),"Araguaina")</f>
        <v>Araguaina</v>
      </c>
      <c r="B131" s="210" t="str">
        <f ca="1">IFERROR(__xludf.DUMMYFUNCTION("""COMPUTED_VALUE"""),"Nova Olinda")</f>
        <v>Nova Olinda</v>
      </c>
      <c r="C131" s="211" t="str">
        <f ca="1">IFERROR(__xludf.DUMMYFUNCTION("""COMPUTED_VALUE"""),"A.A. E. E. PROFA. HAMEDY CURY QUEIROZ")</f>
        <v>A.A. E. E. PROFA. HAMEDY CURY QUEIROZ</v>
      </c>
      <c r="D131" s="212" t="str">
        <f ca="1">IFERROR(__xludf.DUMMYFUNCTION("""COMPUTED_VALUE"""),"01431375000179")</f>
        <v>01431375000179</v>
      </c>
      <c r="E131" s="212" t="str">
        <f ca="1">IFERROR(__xludf.DUMMYFUNCTION("""COMPUTED_VALUE"""),"001")</f>
        <v>001</v>
      </c>
      <c r="F131" s="212" t="str">
        <f ca="1">IFERROR(__xludf.DUMMYFUNCTION("""COMPUTED_VALUE"""),"0638")</f>
        <v>0638</v>
      </c>
      <c r="G131" s="213" t="str">
        <f ca="1">IFERROR(__xludf.DUMMYFUNCTION("""COMPUTED_VALUE"""),"0468010")</f>
        <v>0468010</v>
      </c>
      <c r="H131" s="211" t="str">
        <f ca="1">IFERROR(__xludf.DUMMYFUNCTION("""COMPUTED_VALUE"""),"ENS FUND PARCIAL")</f>
        <v>ENS FUND PARCIAL</v>
      </c>
      <c r="I131" s="214">
        <f ca="1">IFERROR(__xludf.DUMMYFUNCTION("""COMPUTED_VALUE"""),4100)</f>
        <v>4100</v>
      </c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</row>
    <row r="132" spans="1:26" ht="18.75" customHeight="1">
      <c r="A132" s="210" t="str">
        <f ca="1">IFERROR(__xludf.DUMMYFUNCTION("""COMPUTED_VALUE"""),"Araguaina")</f>
        <v>Araguaina</v>
      </c>
      <c r="B132" s="210" t="str">
        <f ca="1">IFERROR(__xludf.DUMMYFUNCTION("""COMPUTED_VALUE"""),"Nova Olinda")</f>
        <v>Nova Olinda</v>
      </c>
      <c r="C132" s="211" t="str">
        <f ca="1">IFERROR(__xludf.DUMMYFUNCTION("""COMPUTED_VALUE"""),"A.A. E. E. PROFA. HAMEDY CURY QUEIROZ")</f>
        <v>A.A. E. E. PROFA. HAMEDY CURY QUEIROZ</v>
      </c>
      <c r="D132" s="212" t="str">
        <f ca="1">IFERROR(__xludf.DUMMYFUNCTION("""COMPUTED_VALUE"""),"01431375000179")</f>
        <v>01431375000179</v>
      </c>
      <c r="E132" s="212" t="str">
        <f ca="1">IFERROR(__xludf.DUMMYFUNCTION("""COMPUTED_VALUE"""),"001")</f>
        <v>001</v>
      </c>
      <c r="F132" s="212" t="str">
        <f ca="1">IFERROR(__xludf.DUMMYFUNCTION("""COMPUTED_VALUE"""),"0638")</f>
        <v>0638</v>
      </c>
      <c r="G132" s="213" t="str">
        <f ca="1">IFERROR(__xludf.DUMMYFUNCTION("""COMPUTED_VALUE"""),"0468010")</f>
        <v>0468010</v>
      </c>
      <c r="H132" s="211" t="str">
        <f ca="1">IFERROR(__xludf.DUMMYFUNCTION("""COMPUTED_VALUE"""),"AEE")</f>
        <v>AEE</v>
      </c>
      <c r="I132" s="214">
        <f ca="1">IFERROR(__xludf.DUMMYFUNCTION("""COMPUTED_VALUE"""),353.599999999999)</f>
        <v>353.599999999999</v>
      </c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</row>
    <row r="133" spans="1:26" ht="18.75" customHeight="1">
      <c r="A133" s="210" t="str">
        <f ca="1">IFERROR(__xludf.DUMMYFUNCTION("""COMPUTED_VALUE"""),"Araguaina")</f>
        <v>Araguaina</v>
      </c>
      <c r="B133" s="210" t="str">
        <f ca="1">IFERROR(__xludf.DUMMYFUNCTION("""COMPUTED_VALUE"""),"Nova Olinda")</f>
        <v>Nova Olinda</v>
      </c>
      <c r="C133" s="211" t="str">
        <f ca="1">IFERROR(__xludf.DUMMYFUNCTION("""COMPUTED_VALUE"""),"ASSOCIAÇÃO DE APOIO A ESCOLA ESPECIAL RENASCER")</f>
        <v>ASSOCIAÇÃO DE APOIO A ESCOLA ESPECIAL RENASCER</v>
      </c>
      <c r="D133" s="212" t="str">
        <f ca="1">IFERROR(__xludf.DUMMYFUNCTION("""COMPUTED_VALUE"""),"07951646000101")</f>
        <v>07951646000101</v>
      </c>
      <c r="E133" s="212" t="str">
        <f ca="1">IFERROR(__xludf.DUMMYFUNCTION("""COMPUTED_VALUE"""),"001")</f>
        <v>001</v>
      </c>
      <c r="F133" s="212" t="str">
        <f ca="1">IFERROR(__xludf.DUMMYFUNCTION("""COMPUTED_VALUE"""),"0638")</f>
        <v>0638</v>
      </c>
      <c r="G133" s="213" t="str">
        <f ca="1">IFERROR(__xludf.DUMMYFUNCTION("""COMPUTED_VALUE"""),"541028")</f>
        <v>541028</v>
      </c>
      <c r="H133" s="211" t="str">
        <f ca="1">IFERROR(__xludf.DUMMYFUNCTION("""COMPUTED_VALUE"""),"ENS FUND PARCIAL")</f>
        <v>ENS FUND PARCIAL</v>
      </c>
      <c r="I133" s="214">
        <f ca="1">IFERROR(__xludf.DUMMYFUNCTION("""COMPUTED_VALUE"""),100)</f>
        <v>100</v>
      </c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</row>
    <row r="134" spans="1:26" ht="18.75" customHeight="1">
      <c r="A134" s="210" t="str">
        <f ca="1">IFERROR(__xludf.DUMMYFUNCTION("""COMPUTED_VALUE"""),"Araguaina")</f>
        <v>Araguaina</v>
      </c>
      <c r="B134" s="210" t="str">
        <f ca="1">IFERROR(__xludf.DUMMYFUNCTION("""COMPUTED_VALUE"""),"Nova Olinda")</f>
        <v>Nova Olinda</v>
      </c>
      <c r="C134" s="211" t="str">
        <f ca="1">IFERROR(__xludf.DUMMYFUNCTION("""COMPUTED_VALUE"""),"ASSOCIAÇÃO DE APOIO A ESCOLA ESPECIAL RENASCER")</f>
        <v>ASSOCIAÇÃO DE APOIO A ESCOLA ESPECIAL RENASCER</v>
      </c>
      <c r="D134" s="212" t="str">
        <f ca="1">IFERROR(__xludf.DUMMYFUNCTION("""COMPUTED_VALUE"""),"07951646000101")</f>
        <v>07951646000101</v>
      </c>
      <c r="E134" s="212" t="str">
        <f ca="1">IFERROR(__xludf.DUMMYFUNCTION("""COMPUTED_VALUE"""),"001")</f>
        <v>001</v>
      </c>
      <c r="F134" s="212" t="str">
        <f ca="1">IFERROR(__xludf.DUMMYFUNCTION("""COMPUTED_VALUE"""),"0638")</f>
        <v>0638</v>
      </c>
      <c r="G134" s="213" t="str">
        <f ca="1">IFERROR(__xludf.DUMMYFUNCTION("""COMPUTED_VALUE"""),"541028")</f>
        <v>541028</v>
      </c>
      <c r="H134" s="211" t="str">
        <f ca="1">IFERROR(__xludf.DUMMYFUNCTION("""COMPUTED_VALUE"""),"AEE")</f>
        <v>AEE</v>
      </c>
      <c r="I134" s="214">
        <f ca="1">IFERROR(__xludf.DUMMYFUNCTION("""COMPUTED_VALUE"""),136)</f>
        <v>136</v>
      </c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</row>
    <row r="135" spans="1:26" ht="18.75" customHeight="1">
      <c r="A135" s="210" t="str">
        <f ca="1">IFERROR(__xludf.DUMMYFUNCTION("""COMPUTED_VALUE"""),"Araguaina")</f>
        <v>Araguaina</v>
      </c>
      <c r="B135" s="210" t="str">
        <f ca="1">IFERROR(__xludf.DUMMYFUNCTION("""COMPUTED_VALUE"""),"Nova Olinda")</f>
        <v>Nova Olinda</v>
      </c>
      <c r="C135" s="211" t="str">
        <f ca="1">IFERROR(__xludf.DUMMYFUNCTION("""COMPUTED_VALUE"""),"ASSOCIAÇÃO DE APOIO A ESCOLA ESPECIAL RENASCER")</f>
        <v>ASSOCIAÇÃO DE APOIO A ESCOLA ESPECIAL RENASCER</v>
      </c>
      <c r="D135" s="212" t="str">
        <f ca="1">IFERROR(__xludf.DUMMYFUNCTION("""COMPUTED_VALUE"""),"07951646000101")</f>
        <v>07951646000101</v>
      </c>
      <c r="E135" s="212" t="str">
        <f ca="1">IFERROR(__xludf.DUMMYFUNCTION("""COMPUTED_VALUE"""),"001")</f>
        <v>001</v>
      </c>
      <c r="F135" s="212" t="str">
        <f ca="1">IFERROR(__xludf.DUMMYFUNCTION("""COMPUTED_VALUE"""),"0638")</f>
        <v>0638</v>
      </c>
      <c r="G135" s="213" t="str">
        <f ca="1">IFERROR(__xludf.DUMMYFUNCTION("""COMPUTED_VALUE"""),"541028")</f>
        <v>541028</v>
      </c>
      <c r="H135" s="211" t="str">
        <f ca="1">IFERROR(__xludf.DUMMYFUNCTION("""COMPUTED_VALUE"""),"EJA")</f>
        <v>EJA</v>
      </c>
      <c r="I135" s="214">
        <f ca="1">IFERROR(__xludf.DUMMYFUNCTION("""COMPUTED_VALUE"""),393.599999999999)</f>
        <v>393.599999999999</v>
      </c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</row>
    <row r="136" spans="1:26" ht="18.75" customHeight="1">
      <c r="A136" s="210" t="str">
        <f ca="1">IFERROR(__xludf.DUMMYFUNCTION("""COMPUTED_VALUE"""),"Araguaina")</f>
        <v>Araguaina</v>
      </c>
      <c r="B136" s="210" t="str">
        <f ca="1">IFERROR(__xludf.DUMMYFUNCTION("""COMPUTED_VALUE"""),"Piraque")</f>
        <v>Piraque</v>
      </c>
      <c r="C136" s="211" t="str">
        <f ca="1">IFERROR(__xludf.DUMMYFUNCTION("""COMPUTED_VALUE"""),"A.A.  ESCOLA ESTADUAL SAO JOSE")</f>
        <v>A.A.  ESCOLA ESTADUAL SAO JOSE</v>
      </c>
      <c r="D136" s="212" t="str">
        <f ca="1">IFERROR(__xludf.DUMMYFUNCTION("""COMPUTED_VALUE"""),"01243654000109")</f>
        <v>01243654000109</v>
      </c>
      <c r="E136" s="212" t="str">
        <f ca="1">IFERROR(__xludf.DUMMYFUNCTION("""COMPUTED_VALUE"""),"001")</f>
        <v>001</v>
      </c>
      <c r="F136" s="212" t="str">
        <f ca="1">IFERROR(__xludf.DUMMYFUNCTION("""COMPUTED_VALUE"""),"0638")</f>
        <v>0638</v>
      </c>
      <c r="G136" s="213" t="str">
        <f ca="1">IFERROR(__xludf.DUMMYFUNCTION("""COMPUTED_VALUE"""),"465283")</f>
        <v>465283</v>
      </c>
      <c r="H136" s="211" t="str">
        <f ca="1">IFERROR(__xludf.DUMMYFUNCTION("""COMPUTED_VALUE"""),"ENS FUND PARCIAL")</f>
        <v>ENS FUND PARCIAL</v>
      </c>
      <c r="I136" s="214">
        <f ca="1">IFERROR(__xludf.DUMMYFUNCTION("""COMPUTED_VALUE"""),1280)</f>
        <v>1280</v>
      </c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</row>
    <row r="137" spans="1:26" ht="18.75" customHeight="1">
      <c r="A137" s="210" t="str">
        <f ca="1">IFERROR(__xludf.DUMMYFUNCTION("""COMPUTED_VALUE"""),"Araguaina")</f>
        <v>Araguaina</v>
      </c>
      <c r="B137" s="210" t="str">
        <f ca="1">IFERROR(__xludf.DUMMYFUNCTION("""COMPUTED_VALUE"""),"Piraque")</f>
        <v>Piraque</v>
      </c>
      <c r="C137" s="211" t="str">
        <f ca="1">IFERROR(__xludf.DUMMYFUNCTION("""COMPUTED_VALUE"""),"A.A.  ESCOLA ESTADUAL SAO JOSE")</f>
        <v>A.A.  ESCOLA ESTADUAL SAO JOSE</v>
      </c>
      <c r="D137" s="212" t="str">
        <f ca="1">IFERROR(__xludf.DUMMYFUNCTION("""COMPUTED_VALUE"""),"01243654000109")</f>
        <v>01243654000109</v>
      </c>
      <c r="E137" s="212" t="str">
        <f ca="1">IFERROR(__xludf.DUMMYFUNCTION("""COMPUTED_VALUE"""),"001")</f>
        <v>001</v>
      </c>
      <c r="F137" s="212" t="str">
        <f ca="1">IFERROR(__xludf.DUMMYFUNCTION("""COMPUTED_VALUE"""),"0638")</f>
        <v>0638</v>
      </c>
      <c r="G137" s="213" t="str">
        <f ca="1">IFERROR(__xludf.DUMMYFUNCTION("""COMPUTED_VALUE"""),"465283")</f>
        <v>465283</v>
      </c>
      <c r="H137" s="211" t="str">
        <f ca="1">IFERROR(__xludf.DUMMYFUNCTION("""COMPUTED_VALUE"""),"ENSINO MEDIO PARCIAL")</f>
        <v>ENSINO MEDIO PARCIAL</v>
      </c>
      <c r="I137" s="214">
        <f ca="1">IFERROR(__xludf.DUMMYFUNCTION("""COMPUTED_VALUE"""),830)</f>
        <v>830</v>
      </c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</row>
    <row r="138" spans="1:26" ht="18.75" customHeight="1">
      <c r="A138" s="210" t="str">
        <f ca="1">IFERROR(__xludf.DUMMYFUNCTION("""COMPUTED_VALUE"""),"Araguaina")</f>
        <v>Araguaina</v>
      </c>
      <c r="B138" s="210" t="str">
        <f ca="1">IFERROR(__xludf.DUMMYFUNCTION("""COMPUTED_VALUE"""),"Riachinho")</f>
        <v>Riachinho</v>
      </c>
      <c r="C138" s="211" t="str">
        <f ca="1">IFERROR(__xludf.DUMMYFUNCTION("""COMPUTED_VALUE"""),"ASSOC. DE APOIO ESC. EST. JOAO XXIII")</f>
        <v>ASSOC. DE APOIO ESC. EST. JOAO XXIII</v>
      </c>
      <c r="D138" s="212" t="str">
        <f ca="1">IFERROR(__xludf.DUMMYFUNCTION("""COMPUTED_VALUE"""),"01136006000153")</f>
        <v>01136006000153</v>
      </c>
      <c r="E138" s="212" t="str">
        <f ca="1">IFERROR(__xludf.DUMMYFUNCTION("""COMPUTED_VALUE"""),"001")</f>
        <v>001</v>
      </c>
      <c r="F138" s="212" t="str">
        <f ca="1">IFERROR(__xludf.DUMMYFUNCTION("""COMPUTED_VALUE"""),"3973")</f>
        <v>3973</v>
      </c>
      <c r="G138" s="213" t="str">
        <f ca="1">IFERROR(__xludf.DUMMYFUNCTION("""COMPUTED_VALUE"""),"51969")</f>
        <v>51969</v>
      </c>
      <c r="H138" s="211" t="str">
        <f ca="1">IFERROR(__xludf.DUMMYFUNCTION("""COMPUTED_VALUE"""),"AEE")</f>
        <v>AEE</v>
      </c>
      <c r="I138" s="214">
        <f ca="1">IFERROR(__xludf.DUMMYFUNCTION("""COMPUTED_VALUE"""),68)</f>
        <v>68</v>
      </c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</row>
    <row r="139" spans="1:26" ht="18.75" customHeight="1">
      <c r="A139" s="210" t="str">
        <f ca="1">IFERROR(__xludf.DUMMYFUNCTION("""COMPUTED_VALUE"""),"Araguaina")</f>
        <v>Araguaina</v>
      </c>
      <c r="B139" s="210" t="str">
        <f ca="1">IFERROR(__xludf.DUMMYFUNCTION("""COMPUTED_VALUE"""),"Riachinho")</f>
        <v>Riachinho</v>
      </c>
      <c r="C139" s="211" t="str">
        <f ca="1">IFERROR(__xludf.DUMMYFUNCTION("""COMPUTED_VALUE"""),"ASSOC. DE APOIO ESC. EST. JOAO XXIII")</f>
        <v>ASSOC. DE APOIO ESC. EST. JOAO XXIII</v>
      </c>
      <c r="D139" s="212" t="str">
        <f ca="1">IFERROR(__xludf.DUMMYFUNCTION("""COMPUTED_VALUE"""),"01136006000153")</f>
        <v>01136006000153</v>
      </c>
      <c r="E139" s="212" t="str">
        <f ca="1">IFERROR(__xludf.DUMMYFUNCTION("""COMPUTED_VALUE"""),"001")</f>
        <v>001</v>
      </c>
      <c r="F139" s="212" t="str">
        <f ca="1">IFERROR(__xludf.DUMMYFUNCTION("""COMPUTED_VALUE"""),"3973")</f>
        <v>3973</v>
      </c>
      <c r="G139" s="213" t="str">
        <f ca="1">IFERROR(__xludf.DUMMYFUNCTION("""COMPUTED_VALUE"""),"51969")</f>
        <v>51969</v>
      </c>
      <c r="H139" s="211" t="str">
        <f ca="1">IFERROR(__xludf.DUMMYFUNCTION("""COMPUTED_VALUE"""),"ENSINO MEDIO PARCIAL")</f>
        <v>ENSINO MEDIO PARCIAL</v>
      </c>
      <c r="I139" s="214">
        <f ca="1">IFERROR(__xludf.DUMMYFUNCTION("""COMPUTED_VALUE"""),1920)</f>
        <v>1920</v>
      </c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</row>
    <row r="140" spans="1:26" ht="18.75" customHeight="1">
      <c r="A140" s="210" t="str">
        <f ca="1">IFERROR(__xludf.DUMMYFUNCTION("""COMPUTED_VALUE"""),"Araguaina")</f>
        <v>Araguaina</v>
      </c>
      <c r="B140" s="210" t="str">
        <f ca="1">IFERROR(__xludf.DUMMYFUNCTION("""COMPUTED_VALUE"""),"Santa Fe do Araguaia")</f>
        <v>Santa Fe do Araguaia</v>
      </c>
      <c r="C140" s="211" t="str">
        <f ca="1">IFERROR(__xludf.DUMMYFUNCTION("""COMPUTED_VALUE"""),"A. DE AP. DA ESCOLA EST. CASTRO ALVES")</f>
        <v>A. DE AP. DA ESCOLA EST. CASTRO ALVES</v>
      </c>
      <c r="D140" s="212" t="str">
        <f ca="1">IFERROR(__xludf.DUMMYFUNCTION("""COMPUTED_VALUE"""),"01673181000180")</f>
        <v>01673181000180</v>
      </c>
      <c r="E140" s="212" t="str">
        <f ca="1">IFERROR(__xludf.DUMMYFUNCTION("""COMPUTED_VALUE"""),"001")</f>
        <v>001</v>
      </c>
      <c r="F140" s="212" t="str">
        <f ca="1">IFERROR(__xludf.DUMMYFUNCTION("""COMPUTED_VALUE"""),"4791")</f>
        <v>4791</v>
      </c>
      <c r="G140" s="213" t="str">
        <f ca="1">IFERROR(__xludf.DUMMYFUNCTION("""COMPUTED_VALUE"""),"54739")</f>
        <v>54739</v>
      </c>
      <c r="H140" s="211" t="str">
        <f ca="1">IFERROR(__xludf.DUMMYFUNCTION("""COMPUTED_VALUE"""),"ENS FUND PARCIAL")</f>
        <v>ENS FUND PARCIAL</v>
      </c>
      <c r="I140" s="214">
        <f ca="1">IFERROR(__xludf.DUMMYFUNCTION("""COMPUTED_VALUE"""),3760)</f>
        <v>3760</v>
      </c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</row>
    <row r="141" spans="1:26" ht="18.75" customHeight="1">
      <c r="A141" s="210" t="str">
        <f ca="1">IFERROR(__xludf.DUMMYFUNCTION("""COMPUTED_VALUE"""),"Araguaina")</f>
        <v>Araguaina</v>
      </c>
      <c r="B141" s="210" t="str">
        <f ca="1">IFERROR(__xludf.DUMMYFUNCTION("""COMPUTED_VALUE"""),"Santa Fe do Araguaia")</f>
        <v>Santa Fe do Araguaia</v>
      </c>
      <c r="C141" s="211" t="str">
        <f ca="1">IFERROR(__xludf.DUMMYFUNCTION("""COMPUTED_VALUE"""),"A. DE AP. DA ESCOLA EST. CASTRO ALVES")</f>
        <v>A. DE AP. DA ESCOLA EST. CASTRO ALVES</v>
      </c>
      <c r="D141" s="212" t="str">
        <f ca="1">IFERROR(__xludf.DUMMYFUNCTION("""COMPUTED_VALUE"""),"01673181000180")</f>
        <v>01673181000180</v>
      </c>
      <c r="E141" s="212" t="str">
        <f ca="1">IFERROR(__xludf.DUMMYFUNCTION("""COMPUTED_VALUE"""),"001")</f>
        <v>001</v>
      </c>
      <c r="F141" s="212" t="str">
        <f ca="1">IFERROR(__xludf.DUMMYFUNCTION("""COMPUTED_VALUE"""),"4791")</f>
        <v>4791</v>
      </c>
      <c r="G141" s="213" t="str">
        <f ca="1">IFERROR(__xludf.DUMMYFUNCTION("""COMPUTED_VALUE"""),"54739")</f>
        <v>54739</v>
      </c>
      <c r="H141" s="211" t="str">
        <f ca="1">IFERROR(__xludf.DUMMYFUNCTION("""COMPUTED_VALUE"""),"AEE")</f>
        <v>AEE</v>
      </c>
      <c r="I141" s="214">
        <f ca="1">IFERROR(__xludf.DUMMYFUNCTION("""COMPUTED_VALUE"""),285.599999999999)</f>
        <v>285.599999999999</v>
      </c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</row>
    <row r="142" spans="1:26" ht="18.75" customHeight="1">
      <c r="A142" s="210" t="str">
        <f ca="1">IFERROR(__xludf.DUMMYFUNCTION("""COMPUTED_VALUE"""),"Araguaina")</f>
        <v>Araguaina</v>
      </c>
      <c r="B142" s="210" t="str">
        <f ca="1">IFERROR(__xludf.DUMMYFUNCTION("""COMPUTED_VALUE"""),"Santa Fe do Araguaia")</f>
        <v>Santa Fe do Araguaia</v>
      </c>
      <c r="C142" s="211" t="str">
        <f ca="1">IFERROR(__xludf.DUMMYFUNCTION("""COMPUTED_VALUE"""),"A. DE AP. DA ESCOLA EST. CASTRO ALVES")</f>
        <v>A. DE AP. DA ESCOLA EST. CASTRO ALVES</v>
      </c>
      <c r="D142" s="212" t="str">
        <f ca="1">IFERROR(__xludf.DUMMYFUNCTION("""COMPUTED_VALUE"""),"01673181000180")</f>
        <v>01673181000180</v>
      </c>
      <c r="E142" s="212" t="str">
        <f ca="1">IFERROR(__xludf.DUMMYFUNCTION("""COMPUTED_VALUE"""),"001")</f>
        <v>001</v>
      </c>
      <c r="F142" s="212" t="str">
        <f ca="1">IFERROR(__xludf.DUMMYFUNCTION("""COMPUTED_VALUE"""),"4791")</f>
        <v>4791</v>
      </c>
      <c r="G142" s="213" t="str">
        <f ca="1">IFERROR(__xludf.DUMMYFUNCTION("""COMPUTED_VALUE"""),"54739")</f>
        <v>54739</v>
      </c>
      <c r="H142" s="211" t="str">
        <f ca="1">IFERROR(__xludf.DUMMYFUNCTION("""COMPUTED_VALUE"""),"ENSINO MEDIO PARCIAL")</f>
        <v>ENSINO MEDIO PARCIAL</v>
      </c>
      <c r="I142" s="214">
        <f ca="1">IFERROR(__xludf.DUMMYFUNCTION("""COMPUTED_VALUE"""),790)</f>
        <v>790</v>
      </c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</row>
    <row r="143" spans="1:26" ht="18.75" customHeight="1">
      <c r="A143" s="210" t="str">
        <f ca="1">IFERROR(__xludf.DUMMYFUNCTION("""COMPUTED_VALUE"""),"Araguaina")</f>
        <v>Araguaina</v>
      </c>
      <c r="B143" s="210" t="str">
        <f ca="1">IFERROR(__xludf.DUMMYFUNCTION("""COMPUTED_VALUE"""),"Santa Fe do Araguaia")</f>
        <v>Santa Fe do Araguaia</v>
      </c>
      <c r="C143" s="211" t="str">
        <f ca="1">IFERROR(__xludf.DUMMYFUNCTION("""COMPUTED_VALUE"""),"A. DE AP. DA ESCOLA EST. CASTRO ALVES")</f>
        <v>A. DE AP. DA ESCOLA EST. CASTRO ALVES</v>
      </c>
      <c r="D143" s="212" t="str">
        <f ca="1">IFERROR(__xludf.DUMMYFUNCTION("""COMPUTED_VALUE"""),"01673181000180")</f>
        <v>01673181000180</v>
      </c>
      <c r="E143" s="212" t="str">
        <f ca="1">IFERROR(__xludf.DUMMYFUNCTION("""COMPUTED_VALUE"""),"001")</f>
        <v>001</v>
      </c>
      <c r="F143" s="212" t="str">
        <f ca="1">IFERROR(__xludf.DUMMYFUNCTION("""COMPUTED_VALUE"""),"4791")</f>
        <v>4791</v>
      </c>
      <c r="G143" s="213" t="str">
        <f ca="1">IFERROR(__xludf.DUMMYFUNCTION("""COMPUTED_VALUE"""),"54739")</f>
        <v>54739</v>
      </c>
      <c r="H143" s="211" t="str">
        <f ca="1">IFERROR(__xludf.DUMMYFUNCTION("""COMPUTED_VALUE"""),"EJA")</f>
        <v>EJA</v>
      </c>
      <c r="I143" s="214">
        <f ca="1">IFERROR(__xludf.DUMMYFUNCTION("""COMPUTED_VALUE"""),155.799999999999)</f>
        <v>155.79999999999899</v>
      </c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</row>
    <row r="144" spans="1:26" ht="18.75" customHeight="1">
      <c r="A144" s="210" t="str">
        <f ca="1">IFERROR(__xludf.DUMMYFUNCTION("""COMPUTED_VALUE"""),"Araguaina")</f>
        <v>Araguaina</v>
      </c>
      <c r="B144" s="210" t="str">
        <f ca="1">IFERROR(__xludf.DUMMYFUNCTION("""COMPUTED_VALUE"""),"Santa Fe do Araguaia")</f>
        <v>Santa Fe do Araguaia</v>
      </c>
      <c r="C144" s="211" t="str">
        <f ca="1">IFERROR(__xludf.DUMMYFUNCTION("""COMPUTED_VALUE"""),"A.A. ESC. EST. ANAIDES BRITO MIRANDA")</f>
        <v>A.A. ESC. EST. ANAIDES BRITO MIRANDA</v>
      </c>
      <c r="D144" s="212" t="str">
        <f ca="1">IFERROR(__xludf.DUMMYFUNCTION("""COMPUTED_VALUE"""),"01919025000156")</f>
        <v>01919025000156</v>
      </c>
      <c r="E144" s="212" t="str">
        <f ca="1">IFERROR(__xludf.DUMMYFUNCTION("""COMPUTED_VALUE"""),"001")</f>
        <v>001</v>
      </c>
      <c r="F144" s="212" t="str">
        <f ca="1">IFERROR(__xludf.DUMMYFUNCTION("""COMPUTED_VALUE"""),"4791")</f>
        <v>4791</v>
      </c>
      <c r="G144" s="213" t="str">
        <f ca="1">IFERROR(__xludf.DUMMYFUNCTION("""COMPUTED_VALUE"""),"54682")</f>
        <v>54682</v>
      </c>
      <c r="H144" s="211" t="str">
        <f ca="1">IFERROR(__xludf.DUMMYFUNCTION("""COMPUTED_VALUE"""),"ENSINO MEDIO PARCIAL")</f>
        <v>ENSINO MEDIO PARCIAL</v>
      </c>
      <c r="I144" s="214">
        <f ca="1">IFERROR(__xludf.DUMMYFUNCTION("""COMPUTED_VALUE"""),2280)</f>
        <v>2280</v>
      </c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</row>
    <row r="145" spans="1:26" ht="18.75" customHeight="1">
      <c r="A145" s="210" t="str">
        <f ca="1">IFERROR(__xludf.DUMMYFUNCTION("""COMPUTED_VALUE"""),"Araguaina")</f>
        <v>Araguaina</v>
      </c>
      <c r="B145" s="210" t="str">
        <f ca="1">IFERROR(__xludf.DUMMYFUNCTION("""COMPUTED_VALUE"""),"Wanderlandia")</f>
        <v>Wanderlandia</v>
      </c>
      <c r="C145" s="211" t="str">
        <f ca="1">IFERROR(__xludf.DUMMYFUNCTION("""COMPUTED_VALUE"""),"A.APOIO ESCOLA ESTADUAL D. PEDRO II")</f>
        <v>A.APOIO ESCOLA ESTADUAL D. PEDRO II</v>
      </c>
      <c r="D145" s="212" t="str">
        <f ca="1">IFERROR(__xludf.DUMMYFUNCTION("""COMPUTED_VALUE"""),"01186465000141")</f>
        <v>01186465000141</v>
      </c>
      <c r="E145" s="212" t="str">
        <f ca="1">IFERROR(__xludf.DUMMYFUNCTION("""COMPUTED_VALUE"""),"001")</f>
        <v>001</v>
      </c>
      <c r="F145" s="212" t="str">
        <f ca="1">IFERROR(__xludf.DUMMYFUNCTION("""COMPUTED_VALUE"""),"0638")</f>
        <v>0638</v>
      </c>
      <c r="G145" s="213" t="str">
        <f ca="1">IFERROR(__xludf.DUMMYFUNCTION("""COMPUTED_VALUE"""),"0463108")</f>
        <v>0463108</v>
      </c>
      <c r="H145" s="211" t="str">
        <f ca="1">IFERROR(__xludf.DUMMYFUNCTION("""COMPUTED_VALUE"""),"ENS FUND PARCIAL")</f>
        <v>ENS FUND PARCIAL</v>
      </c>
      <c r="I145" s="214">
        <f ca="1">IFERROR(__xludf.DUMMYFUNCTION("""COMPUTED_VALUE"""),2540)</f>
        <v>2540</v>
      </c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</row>
    <row r="146" spans="1:26" ht="18.75" customHeight="1">
      <c r="A146" s="210" t="str">
        <f ca="1">IFERROR(__xludf.DUMMYFUNCTION("""COMPUTED_VALUE"""),"Araguaina")</f>
        <v>Araguaina</v>
      </c>
      <c r="B146" s="210" t="str">
        <f ca="1">IFERROR(__xludf.DUMMYFUNCTION("""COMPUTED_VALUE"""),"Wanderlandia")</f>
        <v>Wanderlandia</v>
      </c>
      <c r="C146" s="211" t="str">
        <f ca="1">IFERROR(__xludf.DUMMYFUNCTION("""COMPUTED_VALUE"""),"A.APOIO ESCOLA ESTADUAL D. PEDRO II")</f>
        <v>A.APOIO ESCOLA ESTADUAL D. PEDRO II</v>
      </c>
      <c r="D146" s="212" t="str">
        <f ca="1">IFERROR(__xludf.DUMMYFUNCTION("""COMPUTED_VALUE"""),"01186465000141")</f>
        <v>01186465000141</v>
      </c>
      <c r="E146" s="212" t="str">
        <f ca="1">IFERROR(__xludf.DUMMYFUNCTION("""COMPUTED_VALUE"""),"001")</f>
        <v>001</v>
      </c>
      <c r="F146" s="212" t="str">
        <f ca="1">IFERROR(__xludf.DUMMYFUNCTION("""COMPUTED_VALUE"""),"0638")</f>
        <v>0638</v>
      </c>
      <c r="G146" s="213" t="str">
        <f ca="1">IFERROR(__xludf.DUMMYFUNCTION("""COMPUTED_VALUE"""),"0463108")</f>
        <v>0463108</v>
      </c>
      <c r="H146" s="211" t="str">
        <f ca="1">IFERROR(__xludf.DUMMYFUNCTION("""COMPUTED_VALUE"""),"AEE")</f>
        <v>AEE</v>
      </c>
      <c r="I146" s="214">
        <f ca="1">IFERROR(__xludf.DUMMYFUNCTION("""COMPUTED_VALUE"""),258.4)</f>
        <v>258.39999999999998</v>
      </c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</row>
    <row r="147" spans="1:26" ht="18.75" customHeight="1">
      <c r="A147" s="210" t="str">
        <f ca="1">IFERROR(__xludf.DUMMYFUNCTION("""COMPUTED_VALUE"""),"Araguaina")</f>
        <v>Araguaina</v>
      </c>
      <c r="B147" s="210" t="str">
        <f ca="1">IFERROR(__xludf.DUMMYFUNCTION("""COMPUTED_VALUE"""),"Wanderlandia")</f>
        <v>Wanderlandia</v>
      </c>
      <c r="C147" s="211" t="str">
        <f ca="1">IFERROR(__xludf.DUMMYFUNCTION("""COMPUTED_VALUE"""),"A.APOIO ESCOLA ESTADUAL D. PEDRO II")</f>
        <v>A.APOIO ESCOLA ESTADUAL D. PEDRO II</v>
      </c>
      <c r="D147" s="212" t="str">
        <f ca="1">IFERROR(__xludf.DUMMYFUNCTION("""COMPUTED_VALUE"""),"01186465000141")</f>
        <v>01186465000141</v>
      </c>
      <c r="E147" s="212" t="str">
        <f ca="1">IFERROR(__xludf.DUMMYFUNCTION("""COMPUTED_VALUE"""),"001")</f>
        <v>001</v>
      </c>
      <c r="F147" s="212" t="str">
        <f ca="1">IFERROR(__xludf.DUMMYFUNCTION("""COMPUTED_VALUE"""),"0638")</f>
        <v>0638</v>
      </c>
      <c r="G147" s="213" t="str">
        <f ca="1">IFERROR(__xludf.DUMMYFUNCTION("""COMPUTED_VALUE"""),"0463108")</f>
        <v>0463108</v>
      </c>
      <c r="H147" s="211" t="str">
        <f ca="1">IFERROR(__xludf.DUMMYFUNCTION("""COMPUTED_VALUE"""),"EJA")</f>
        <v>EJA</v>
      </c>
      <c r="I147" s="214">
        <f ca="1">IFERROR(__xludf.DUMMYFUNCTION("""COMPUTED_VALUE"""),508.4)</f>
        <v>508.4</v>
      </c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</row>
    <row r="148" spans="1:26" ht="18.75" customHeight="1">
      <c r="A148" s="210" t="str">
        <f ca="1">IFERROR(__xludf.DUMMYFUNCTION("""COMPUTED_VALUE"""),"Araguaina")</f>
        <v>Araguaina</v>
      </c>
      <c r="B148" s="210" t="str">
        <f ca="1">IFERROR(__xludf.DUMMYFUNCTION("""COMPUTED_VALUE"""),"Wanderlandia")</f>
        <v>Wanderlandia</v>
      </c>
      <c r="C148" s="211" t="str">
        <f ca="1">IFERROR(__xludf.DUMMYFUNCTION("""COMPUTED_VALUE"""),"A.A. COL. ESTADUAL JOSE LUIZ SIQUEIRA")</f>
        <v>A.A. COL. ESTADUAL JOSE LUIZ SIQUEIRA</v>
      </c>
      <c r="D148" s="212" t="str">
        <f ca="1">IFERROR(__xludf.DUMMYFUNCTION("""COMPUTED_VALUE"""),"01257082000117")</f>
        <v>01257082000117</v>
      </c>
      <c r="E148" s="212" t="str">
        <f ca="1">IFERROR(__xludf.DUMMYFUNCTION("""COMPUTED_VALUE"""),"001")</f>
        <v>001</v>
      </c>
      <c r="F148" s="212" t="str">
        <f ca="1">IFERROR(__xludf.DUMMYFUNCTION("""COMPUTED_VALUE"""),"0638")</f>
        <v>0638</v>
      </c>
      <c r="G148" s="213" t="str">
        <f ca="1">IFERROR(__xludf.DUMMYFUNCTION("""COMPUTED_VALUE"""),"0465291")</f>
        <v>0465291</v>
      </c>
      <c r="H148" s="211" t="str">
        <f ca="1">IFERROR(__xludf.DUMMYFUNCTION("""COMPUTED_VALUE"""),"ENS FUND PARCIAL")</f>
        <v>ENS FUND PARCIAL</v>
      </c>
      <c r="I148" s="214">
        <f ca="1">IFERROR(__xludf.DUMMYFUNCTION("""COMPUTED_VALUE"""),1230)</f>
        <v>1230</v>
      </c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</row>
    <row r="149" spans="1:26" ht="18.75" customHeight="1">
      <c r="A149" s="210" t="str">
        <f ca="1">IFERROR(__xludf.DUMMYFUNCTION("""COMPUTED_VALUE"""),"Araguaina")</f>
        <v>Araguaina</v>
      </c>
      <c r="B149" s="210" t="str">
        <f ca="1">IFERROR(__xludf.DUMMYFUNCTION("""COMPUTED_VALUE"""),"Wanderlandia")</f>
        <v>Wanderlandia</v>
      </c>
      <c r="C149" s="211" t="str">
        <f ca="1">IFERROR(__xludf.DUMMYFUNCTION("""COMPUTED_VALUE"""),"A.A. COL. ESTADUAL JOSE LUIZ SIQUEIRA")</f>
        <v>A.A. COL. ESTADUAL JOSE LUIZ SIQUEIRA</v>
      </c>
      <c r="D149" s="212" t="str">
        <f ca="1">IFERROR(__xludf.DUMMYFUNCTION("""COMPUTED_VALUE"""),"01257082000117")</f>
        <v>01257082000117</v>
      </c>
      <c r="E149" s="212" t="str">
        <f ca="1">IFERROR(__xludf.DUMMYFUNCTION("""COMPUTED_VALUE"""),"001")</f>
        <v>001</v>
      </c>
      <c r="F149" s="212" t="str">
        <f ca="1">IFERROR(__xludf.DUMMYFUNCTION("""COMPUTED_VALUE"""),"0638")</f>
        <v>0638</v>
      </c>
      <c r="G149" s="213" t="str">
        <f ca="1">IFERROR(__xludf.DUMMYFUNCTION("""COMPUTED_VALUE"""),"0465291")</f>
        <v>0465291</v>
      </c>
      <c r="H149" s="211" t="str">
        <f ca="1">IFERROR(__xludf.DUMMYFUNCTION("""COMPUTED_VALUE"""),"AEE")</f>
        <v>AEE</v>
      </c>
      <c r="I149" s="214">
        <f ca="1">IFERROR(__xludf.DUMMYFUNCTION("""COMPUTED_VALUE"""),312.8)</f>
        <v>312.8</v>
      </c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</row>
    <row r="150" spans="1:26" ht="18.75" customHeight="1">
      <c r="A150" s="210" t="str">
        <f ca="1">IFERROR(__xludf.DUMMYFUNCTION("""COMPUTED_VALUE"""),"Araguaina")</f>
        <v>Araguaina</v>
      </c>
      <c r="B150" s="210" t="str">
        <f ca="1">IFERROR(__xludf.DUMMYFUNCTION("""COMPUTED_VALUE"""),"Wanderlandia")</f>
        <v>Wanderlandia</v>
      </c>
      <c r="C150" s="211" t="str">
        <f ca="1">IFERROR(__xludf.DUMMYFUNCTION("""COMPUTED_VALUE"""),"A.A. COL. ESTADUAL JOSE LUIZ SIQUEIRA")</f>
        <v>A.A. COL. ESTADUAL JOSE LUIZ SIQUEIRA</v>
      </c>
      <c r="D150" s="212" t="str">
        <f ca="1">IFERROR(__xludf.DUMMYFUNCTION("""COMPUTED_VALUE"""),"01257082000117")</f>
        <v>01257082000117</v>
      </c>
      <c r="E150" s="212" t="str">
        <f ca="1">IFERROR(__xludf.DUMMYFUNCTION("""COMPUTED_VALUE"""),"001")</f>
        <v>001</v>
      </c>
      <c r="F150" s="212" t="str">
        <f ca="1">IFERROR(__xludf.DUMMYFUNCTION("""COMPUTED_VALUE"""),"0638")</f>
        <v>0638</v>
      </c>
      <c r="G150" s="213" t="str">
        <f ca="1">IFERROR(__xludf.DUMMYFUNCTION("""COMPUTED_VALUE"""),"0465291")</f>
        <v>0465291</v>
      </c>
      <c r="H150" s="211" t="str">
        <f ca="1">IFERROR(__xludf.DUMMYFUNCTION("""COMPUTED_VALUE"""),"ENSINO MEDIO PARCIAL")</f>
        <v>ENSINO MEDIO PARCIAL</v>
      </c>
      <c r="I150" s="214">
        <f ca="1">IFERROR(__xludf.DUMMYFUNCTION("""COMPUTED_VALUE"""),2880)</f>
        <v>2880</v>
      </c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</row>
    <row r="151" spans="1:26" ht="18.75" customHeight="1">
      <c r="A151" s="210" t="str">
        <f ca="1">IFERROR(__xludf.DUMMYFUNCTION("""COMPUTED_VALUE"""),"Araguaina")</f>
        <v>Araguaina</v>
      </c>
      <c r="B151" s="210" t="str">
        <f ca="1">IFERROR(__xludf.DUMMYFUNCTION("""COMPUTED_VALUE"""),"Wanderlandia")</f>
        <v>Wanderlandia</v>
      </c>
      <c r="C151" s="211" t="str">
        <f ca="1">IFERROR(__xludf.DUMMYFUNCTION("""COMPUTED_VALUE"""),"ASSOCIAÇÃO DE APOIO DA ESCOLA ESPECIAL MORADA DO SOL")</f>
        <v>ASSOCIAÇÃO DE APOIO DA ESCOLA ESPECIAL MORADA DO SOL</v>
      </c>
      <c r="D151" s="212" t="str">
        <f ca="1">IFERROR(__xludf.DUMMYFUNCTION("""COMPUTED_VALUE"""),"07941368000101")</f>
        <v>07941368000101</v>
      </c>
      <c r="E151" s="212" t="str">
        <f ca="1">IFERROR(__xludf.DUMMYFUNCTION("""COMPUTED_VALUE"""),"001")</f>
        <v>001</v>
      </c>
      <c r="F151" s="212" t="str">
        <f ca="1">IFERROR(__xludf.DUMMYFUNCTION("""COMPUTED_VALUE"""),"0638")</f>
        <v>0638</v>
      </c>
      <c r="G151" s="213" t="str">
        <f ca="1">IFERROR(__xludf.DUMMYFUNCTION("""COMPUTED_VALUE"""),"537349")</f>
        <v>537349</v>
      </c>
      <c r="H151" s="211" t="str">
        <f ca="1">IFERROR(__xludf.DUMMYFUNCTION("""COMPUTED_VALUE"""),"ENS FUND PARCIAL")</f>
        <v>ENS FUND PARCIAL</v>
      </c>
      <c r="I151" s="214">
        <f ca="1">IFERROR(__xludf.DUMMYFUNCTION("""COMPUTED_VALUE"""),40)</f>
        <v>40</v>
      </c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</row>
    <row r="152" spans="1:26" ht="18.75" customHeight="1">
      <c r="A152" s="210" t="str">
        <f ca="1">IFERROR(__xludf.DUMMYFUNCTION("""COMPUTED_VALUE"""),"Araguaina")</f>
        <v>Araguaina</v>
      </c>
      <c r="B152" s="210" t="str">
        <f ca="1">IFERROR(__xludf.DUMMYFUNCTION("""COMPUTED_VALUE"""),"Wanderlandia")</f>
        <v>Wanderlandia</v>
      </c>
      <c r="C152" s="211" t="str">
        <f ca="1">IFERROR(__xludf.DUMMYFUNCTION("""COMPUTED_VALUE"""),"ASSOCIAÇÃO DE APOIO DA ESCOLA ESPECIAL MORADA DO SOL")</f>
        <v>ASSOCIAÇÃO DE APOIO DA ESCOLA ESPECIAL MORADA DO SOL</v>
      </c>
      <c r="D152" s="212" t="str">
        <f ca="1">IFERROR(__xludf.DUMMYFUNCTION("""COMPUTED_VALUE"""),"07941368000101")</f>
        <v>07941368000101</v>
      </c>
      <c r="E152" s="212" t="str">
        <f ca="1">IFERROR(__xludf.DUMMYFUNCTION("""COMPUTED_VALUE"""),"001")</f>
        <v>001</v>
      </c>
      <c r="F152" s="212" t="str">
        <f ca="1">IFERROR(__xludf.DUMMYFUNCTION("""COMPUTED_VALUE"""),"0638")</f>
        <v>0638</v>
      </c>
      <c r="G152" s="213" t="str">
        <f ca="1">IFERROR(__xludf.DUMMYFUNCTION("""COMPUTED_VALUE"""),"537349")</f>
        <v>537349</v>
      </c>
      <c r="H152" s="211" t="str">
        <f ca="1">IFERROR(__xludf.DUMMYFUNCTION("""COMPUTED_VALUE"""),"AEE")</f>
        <v>AEE</v>
      </c>
      <c r="I152" s="214">
        <f ca="1">IFERROR(__xludf.DUMMYFUNCTION("""COMPUTED_VALUE"""),122.399999999999)</f>
        <v>122.399999999999</v>
      </c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</row>
    <row r="153" spans="1:26" ht="18.75" customHeight="1">
      <c r="A153" s="210" t="str">
        <f ca="1">IFERROR(__xludf.DUMMYFUNCTION("""COMPUTED_VALUE"""),"Araguaina")</f>
        <v>Araguaina</v>
      </c>
      <c r="B153" s="210" t="str">
        <f ca="1">IFERROR(__xludf.DUMMYFUNCTION("""COMPUTED_VALUE"""),"Wanderlandia")</f>
        <v>Wanderlandia</v>
      </c>
      <c r="C153" s="211" t="str">
        <f ca="1">IFERROR(__xludf.DUMMYFUNCTION("""COMPUTED_VALUE"""),"ASSOCIAÇÃO DE APOIO DA ESCOLA ESPECIAL MORADA DO SOL")</f>
        <v>ASSOCIAÇÃO DE APOIO DA ESCOLA ESPECIAL MORADA DO SOL</v>
      </c>
      <c r="D153" s="212" t="str">
        <f ca="1">IFERROR(__xludf.DUMMYFUNCTION("""COMPUTED_VALUE"""),"07941368000101")</f>
        <v>07941368000101</v>
      </c>
      <c r="E153" s="212" t="str">
        <f ca="1">IFERROR(__xludf.DUMMYFUNCTION("""COMPUTED_VALUE"""),"001")</f>
        <v>001</v>
      </c>
      <c r="F153" s="212" t="str">
        <f ca="1">IFERROR(__xludf.DUMMYFUNCTION("""COMPUTED_VALUE"""),"0638")</f>
        <v>0638</v>
      </c>
      <c r="G153" s="213" t="str">
        <f ca="1">IFERROR(__xludf.DUMMYFUNCTION("""COMPUTED_VALUE"""),"537349")</f>
        <v>537349</v>
      </c>
      <c r="H153" s="211" t="str">
        <f ca="1">IFERROR(__xludf.DUMMYFUNCTION("""COMPUTED_VALUE"""),"EJA")</f>
        <v>EJA</v>
      </c>
      <c r="I153" s="214">
        <f ca="1">IFERROR(__xludf.DUMMYFUNCTION("""COMPUTED_VALUE"""),754.4)</f>
        <v>754.4</v>
      </c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</row>
    <row r="154" spans="1:26" ht="18.75" customHeight="1">
      <c r="A154" s="210" t="str">
        <f ca="1">IFERROR(__xludf.DUMMYFUNCTION("""COMPUTED_VALUE"""),"Araguaina")</f>
        <v>Araguaina</v>
      </c>
      <c r="B154" s="210" t="str">
        <f ca="1">IFERROR(__xludf.DUMMYFUNCTION("""COMPUTED_VALUE"""),"Xambioa")</f>
        <v>Xambioa</v>
      </c>
      <c r="C154" s="211" t="str">
        <f ca="1">IFERROR(__xludf.DUMMYFUNCTION("""COMPUTED_VALUE"""),"AS. DE A. A ESC.PAROQUIAL SAO MIGUEL")</f>
        <v>AS. DE A. A ESC.PAROQUIAL SAO MIGUEL</v>
      </c>
      <c r="D154" s="212" t="str">
        <f ca="1">IFERROR(__xludf.DUMMYFUNCTION("""COMPUTED_VALUE"""),"01133698000186")</f>
        <v>01133698000186</v>
      </c>
      <c r="E154" s="212" t="str">
        <f ca="1">IFERROR(__xludf.DUMMYFUNCTION("""COMPUTED_VALUE"""),"001")</f>
        <v>001</v>
      </c>
      <c r="F154" s="212" t="str">
        <f ca="1">IFERROR(__xludf.DUMMYFUNCTION("""COMPUTED_VALUE"""),"3773")</f>
        <v>3773</v>
      </c>
      <c r="G154" s="213" t="str">
        <f ca="1">IFERROR(__xludf.DUMMYFUNCTION("""COMPUTED_VALUE"""),"330035")</f>
        <v>330035</v>
      </c>
      <c r="H154" s="211" t="str">
        <f ca="1">IFERROR(__xludf.DUMMYFUNCTION("""COMPUTED_VALUE"""),"ENS FUND PARCIAL")</f>
        <v>ENS FUND PARCIAL</v>
      </c>
      <c r="I154" s="214">
        <f ca="1">IFERROR(__xludf.DUMMYFUNCTION("""COMPUTED_VALUE"""),2780)</f>
        <v>2780</v>
      </c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</row>
    <row r="155" spans="1:26" ht="18.75" customHeight="1">
      <c r="A155" s="210" t="str">
        <f ca="1">IFERROR(__xludf.DUMMYFUNCTION("""COMPUTED_VALUE"""),"Araguaina")</f>
        <v>Araguaina</v>
      </c>
      <c r="B155" s="210" t="str">
        <f ca="1">IFERROR(__xludf.DUMMYFUNCTION("""COMPUTED_VALUE"""),"Xambioa")</f>
        <v>Xambioa</v>
      </c>
      <c r="C155" s="211" t="str">
        <f ca="1">IFERROR(__xludf.DUMMYFUNCTION("""COMPUTED_VALUE"""),"AS. DE A. A ESC.PAROQUIAL SAO MIGUEL")</f>
        <v>AS. DE A. A ESC.PAROQUIAL SAO MIGUEL</v>
      </c>
      <c r="D155" s="212" t="str">
        <f ca="1">IFERROR(__xludf.DUMMYFUNCTION("""COMPUTED_VALUE"""),"01133698000186")</f>
        <v>01133698000186</v>
      </c>
      <c r="E155" s="212" t="str">
        <f ca="1">IFERROR(__xludf.DUMMYFUNCTION("""COMPUTED_VALUE"""),"001")</f>
        <v>001</v>
      </c>
      <c r="F155" s="212" t="str">
        <f ca="1">IFERROR(__xludf.DUMMYFUNCTION("""COMPUTED_VALUE"""),"3773")</f>
        <v>3773</v>
      </c>
      <c r="G155" s="213" t="str">
        <f ca="1">IFERROR(__xludf.DUMMYFUNCTION("""COMPUTED_VALUE"""),"330035")</f>
        <v>330035</v>
      </c>
      <c r="H155" s="211" t="str">
        <f ca="1">IFERROR(__xludf.DUMMYFUNCTION("""COMPUTED_VALUE"""),"AEE")</f>
        <v>AEE</v>
      </c>
      <c r="I155" s="214">
        <f ca="1">IFERROR(__xludf.DUMMYFUNCTION("""COMPUTED_VALUE"""),136)</f>
        <v>136</v>
      </c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</row>
    <row r="156" spans="1:26" ht="18.75" customHeight="1">
      <c r="A156" s="210" t="str">
        <f ca="1">IFERROR(__xludf.DUMMYFUNCTION("""COMPUTED_VALUE"""),"Araguaina")</f>
        <v>Araguaina</v>
      </c>
      <c r="B156" s="210" t="str">
        <f ca="1">IFERROR(__xludf.DUMMYFUNCTION("""COMPUTED_VALUE"""),"Xambioa")</f>
        <v>Xambioa</v>
      </c>
      <c r="C156" s="211" t="str">
        <f ca="1">IFERROR(__xludf.DUMMYFUNCTION("""COMPUTED_VALUE"""),"A.A. COL. MUL. PROFA. JULIANA BARROS")</f>
        <v>A.A. COL. MUL. PROFA. JULIANA BARROS</v>
      </c>
      <c r="D156" s="212" t="str">
        <f ca="1">IFERROR(__xludf.DUMMYFUNCTION("""COMPUTED_VALUE"""),"01136047000140")</f>
        <v>01136047000140</v>
      </c>
      <c r="E156" s="212" t="str">
        <f ca="1">IFERROR(__xludf.DUMMYFUNCTION("""COMPUTED_VALUE"""),"001")</f>
        <v>001</v>
      </c>
      <c r="F156" s="212" t="str">
        <f ca="1">IFERROR(__xludf.DUMMYFUNCTION("""COMPUTED_VALUE"""),"3773")</f>
        <v>3773</v>
      </c>
      <c r="G156" s="213" t="str">
        <f ca="1">IFERROR(__xludf.DUMMYFUNCTION("""COMPUTED_VALUE"""),"0330027")</f>
        <v>0330027</v>
      </c>
      <c r="H156" s="211" t="str">
        <f ca="1">IFERROR(__xludf.DUMMYFUNCTION("""COMPUTED_VALUE"""),"ENS FUND PARCIAL")</f>
        <v>ENS FUND PARCIAL</v>
      </c>
      <c r="I156" s="214">
        <f ca="1">IFERROR(__xludf.DUMMYFUNCTION("""COMPUTED_VALUE"""),1300)</f>
        <v>1300</v>
      </c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</row>
    <row r="157" spans="1:26" ht="18.75" customHeight="1">
      <c r="A157" s="210" t="str">
        <f ca="1">IFERROR(__xludf.DUMMYFUNCTION("""COMPUTED_VALUE"""),"Araguaina")</f>
        <v>Araguaina</v>
      </c>
      <c r="B157" s="210" t="str">
        <f ca="1">IFERROR(__xludf.DUMMYFUNCTION("""COMPUTED_VALUE"""),"Xambioa")</f>
        <v>Xambioa</v>
      </c>
      <c r="C157" s="211" t="str">
        <f ca="1">IFERROR(__xludf.DUMMYFUNCTION("""COMPUTED_VALUE"""),"A.A. COL. MUL. PROFA. JULIANA BARROS")</f>
        <v>A.A. COL. MUL. PROFA. JULIANA BARROS</v>
      </c>
      <c r="D157" s="212" t="str">
        <f ca="1">IFERROR(__xludf.DUMMYFUNCTION("""COMPUTED_VALUE"""),"01136047000140")</f>
        <v>01136047000140</v>
      </c>
      <c r="E157" s="212" t="str">
        <f ca="1">IFERROR(__xludf.DUMMYFUNCTION("""COMPUTED_VALUE"""),"001")</f>
        <v>001</v>
      </c>
      <c r="F157" s="212" t="str">
        <f ca="1">IFERROR(__xludf.DUMMYFUNCTION("""COMPUTED_VALUE"""),"3773")</f>
        <v>3773</v>
      </c>
      <c r="G157" s="213" t="str">
        <f ca="1">IFERROR(__xludf.DUMMYFUNCTION("""COMPUTED_VALUE"""),"0330027")</f>
        <v>0330027</v>
      </c>
      <c r="H157" s="211" t="str">
        <f ca="1">IFERROR(__xludf.DUMMYFUNCTION("""COMPUTED_VALUE"""),"EJA")</f>
        <v>EJA</v>
      </c>
      <c r="I157" s="214">
        <f ca="1">IFERROR(__xludf.DUMMYFUNCTION("""COMPUTED_VALUE"""),500.199999999999)</f>
        <v>500.19999999999902</v>
      </c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</row>
    <row r="158" spans="1:26" ht="18.75" customHeight="1">
      <c r="A158" s="210" t="str">
        <f ca="1">IFERROR(__xludf.DUMMYFUNCTION("""COMPUTED_VALUE"""),"Araguaina")</f>
        <v>Araguaina</v>
      </c>
      <c r="B158" s="210" t="str">
        <f ca="1">IFERROR(__xludf.DUMMYFUNCTION("""COMPUTED_VALUE"""),"Xambioa")</f>
        <v>Xambioa</v>
      </c>
      <c r="C158" s="211" t="str">
        <f ca="1">IFERROR(__xludf.DUMMYFUNCTION("""COMPUTED_VALUE"""),"A. COM. DA ESC. EST. EURICO MOTA")</f>
        <v>A. COM. DA ESC. EST. EURICO MOTA</v>
      </c>
      <c r="D158" s="212" t="str">
        <f ca="1">IFERROR(__xludf.DUMMYFUNCTION("""COMPUTED_VALUE"""),"01718086000155")</f>
        <v>01718086000155</v>
      </c>
      <c r="E158" s="212" t="str">
        <f ca="1">IFERROR(__xludf.DUMMYFUNCTION("""COMPUTED_VALUE"""),"001")</f>
        <v>001</v>
      </c>
      <c r="F158" s="212" t="str">
        <f ca="1">IFERROR(__xludf.DUMMYFUNCTION("""COMPUTED_VALUE"""),"3773")</f>
        <v>3773</v>
      </c>
      <c r="G158" s="213" t="str">
        <f ca="1">IFERROR(__xludf.DUMMYFUNCTION("""COMPUTED_VALUE"""),"0324744")</f>
        <v>0324744</v>
      </c>
      <c r="H158" s="211" t="str">
        <f ca="1">IFERROR(__xludf.DUMMYFUNCTION("""COMPUTED_VALUE"""),"ENSINO MEDIO PARCIAL")</f>
        <v>ENSINO MEDIO PARCIAL</v>
      </c>
      <c r="I158" s="214">
        <f ca="1">IFERROR(__xludf.DUMMYFUNCTION("""COMPUTED_VALUE"""),4630)</f>
        <v>4630</v>
      </c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</row>
    <row r="159" spans="1:26" ht="18.75" customHeight="1">
      <c r="A159" s="210" t="str">
        <f ca="1">IFERROR(__xludf.DUMMYFUNCTION("""COMPUTED_VALUE"""),"Araguatins")</f>
        <v>Araguatins</v>
      </c>
      <c r="B159" s="210" t="str">
        <f ca="1">IFERROR(__xludf.DUMMYFUNCTION("""COMPUTED_VALUE"""),"Araguatins")</f>
        <v>Araguatins</v>
      </c>
      <c r="C159" s="211" t="str">
        <f ca="1">IFERROR(__xludf.DUMMYFUNCTION("""COMPUTED_VALUE"""),"A.A. E. EST. ATANAZIO DE MOURA SEIXAS")</f>
        <v>A.A. E. EST. ATANAZIO DE MOURA SEIXAS</v>
      </c>
      <c r="D159" s="212" t="str">
        <f ca="1">IFERROR(__xludf.DUMMYFUNCTION("""COMPUTED_VALUE"""),"01068353000196")</f>
        <v>01068353000196</v>
      </c>
      <c r="E159" s="212" t="str">
        <f ca="1">IFERROR(__xludf.DUMMYFUNCTION("""COMPUTED_VALUE"""),"001")</f>
        <v>001</v>
      </c>
      <c r="F159" s="212" t="str">
        <f ca="1">IFERROR(__xludf.DUMMYFUNCTION("""COMPUTED_VALUE"""),"1305")</f>
        <v>1305</v>
      </c>
      <c r="G159" s="213" t="str">
        <f ca="1">IFERROR(__xludf.DUMMYFUNCTION("""COMPUTED_VALUE"""),"109215")</f>
        <v>109215</v>
      </c>
      <c r="H159" s="211" t="str">
        <f ca="1">IFERROR(__xludf.DUMMYFUNCTION("""COMPUTED_VALUE"""),"ENS FUND PARCIAL")</f>
        <v>ENS FUND PARCIAL</v>
      </c>
      <c r="I159" s="214">
        <f ca="1">IFERROR(__xludf.DUMMYFUNCTION("""COMPUTED_VALUE"""),720)</f>
        <v>720</v>
      </c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</row>
    <row r="160" spans="1:26" ht="18.75" customHeight="1">
      <c r="A160" s="210" t="str">
        <f ca="1">IFERROR(__xludf.DUMMYFUNCTION("""COMPUTED_VALUE"""),"Araguatins")</f>
        <v>Araguatins</v>
      </c>
      <c r="B160" s="210" t="str">
        <f ca="1">IFERROR(__xludf.DUMMYFUNCTION("""COMPUTED_VALUE"""),"Araguatins")</f>
        <v>Araguatins</v>
      </c>
      <c r="C160" s="211" t="str">
        <f ca="1">IFERROR(__xludf.DUMMYFUNCTION("""COMPUTED_VALUE"""),"A.A. E. EST. ATANAZIO DE MOURA SEIXAS")</f>
        <v>A.A. E. EST. ATANAZIO DE MOURA SEIXAS</v>
      </c>
      <c r="D160" s="212" t="str">
        <f ca="1">IFERROR(__xludf.DUMMYFUNCTION("""COMPUTED_VALUE"""),"01068353000196")</f>
        <v>01068353000196</v>
      </c>
      <c r="E160" s="212" t="str">
        <f ca="1">IFERROR(__xludf.DUMMYFUNCTION("""COMPUTED_VALUE"""),"001")</f>
        <v>001</v>
      </c>
      <c r="F160" s="212" t="str">
        <f ca="1">IFERROR(__xludf.DUMMYFUNCTION("""COMPUTED_VALUE"""),"1305")</f>
        <v>1305</v>
      </c>
      <c r="G160" s="213" t="str">
        <f ca="1">IFERROR(__xludf.DUMMYFUNCTION("""COMPUTED_VALUE"""),"109215")</f>
        <v>109215</v>
      </c>
      <c r="H160" s="211" t="str">
        <f ca="1">IFERROR(__xludf.DUMMYFUNCTION("""COMPUTED_VALUE"""),"ENSINO MEDIO PARCIAL")</f>
        <v>ENSINO MEDIO PARCIAL</v>
      </c>
      <c r="I160" s="214">
        <f ca="1">IFERROR(__xludf.DUMMYFUNCTION("""COMPUTED_VALUE"""),330)</f>
        <v>330</v>
      </c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</row>
    <row r="161" spans="1:26" ht="18.75" customHeight="1">
      <c r="A161" s="210" t="str">
        <f ca="1">IFERROR(__xludf.DUMMYFUNCTION("""COMPUTED_VALUE"""),"Araguatins")</f>
        <v>Araguatins</v>
      </c>
      <c r="B161" s="210" t="str">
        <f ca="1">IFERROR(__xludf.DUMMYFUNCTION("""COMPUTED_VALUE"""),"Araguatins")</f>
        <v>Araguatins</v>
      </c>
      <c r="C161" s="211" t="str">
        <f ca="1">IFERROR(__xludf.DUMMYFUNCTION("""COMPUTED_VALUE"""),"A.A. E. EST. ATANAZIO DE MOURA SEIXAS")</f>
        <v>A.A. E. EST. ATANAZIO DE MOURA SEIXAS</v>
      </c>
      <c r="D161" s="212" t="str">
        <f ca="1">IFERROR(__xludf.DUMMYFUNCTION("""COMPUTED_VALUE"""),"01068353000196")</f>
        <v>01068353000196</v>
      </c>
      <c r="E161" s="212" t="str">
        <f ca="1">IFERROR(__xludf.DUMMYFUNCTION("""COMPUTED_VALUE"""),"001")</f>
        <v>001</v>
      </c>
      <c r="F161" s="212" t="str">
        <f ca="1">IFERROR(__xludf.DUMMYFUNCTION("""COMPUTED_VALUE"""),"1305")</f>
        <v>1305</v>
      </c>
      <c r="G161" s="213" t="str">
        <f ca="1">IFERROR(__xludf.DUMMYFUNCTION("""COMPUTED_VALUE"""),"109215")</f>
        <v>109215</v>
      </c>
      <c r="H161" s="211" t="str">
        <f ca="1">IFERROR(__xludf.DUMMYFUNCTION("""COMPUTED_VALUE"""),"EJA")</f>
        <v>EJA</v>
      </c>
      <c r="I161" s="214">
        <f ca="1">IFERROR(__xludf.DUMMYFUNCTION("""COMPUTED_VALUE"""),98.3999999999999)</f>
        <v>98.399999999999906</v>
      </c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</row>
    <row r="162" spans="1:26" ht="18.75" customHeight="1">
      <c r="A162" s="210" t="str">
        <f ca="1">IFERROR(__xludf.DUMMYFUNCTION("""COMPUTED_VALUE"""),"Araguatins")</f>
        <v>Araguatins</v>
      </c>
      <c r="B162" s="210" t="str">
        <f ca="1">IFERROR(__xludf.DUMMYFUNCTION("""COMPUTED_VALUE"""),"Araguatins")</f>
        <v>Araguatins</v>
      </c>
      <c r="C162" s="211" t="str">
        <f ca="1">IFERROR(__xludf.DUMMYFUNCTION("""COMPUTED_VALUE"""),"ASSOC. APOIO ESC. EST. DENISE GOMIDE AMUI")</f>
        <v>ASSOC. APOIO ESC. EST. DENISE GOMIDE AMUI</v>
      </c>
      <c r="D162" s="212" t="str">
        <f ca="1">IFERROR(__xludf.DUMMYFUNCTION("""COMPUTED_VALUE"""),"01136000000186")</f>
        <v>01136000000186</v>
      </c>
      <c r="E162" s="212" t="str">
        <f ca="1">IFERROR(__xludf.DUMMYFUNCTION("""COMPUTED_VALUE"""),"001")</f>
        <v>001</v>
      </c>
      <c r="F162" s="212" t="str">
        <f ca="1">IFERROR(__xludf.DUMMYFUNCTION("""COMPUTED_VALUE"""),"1305")</f>
        <v>1305</v>
      </c>
      <c r="G162" s="213" t="str">
        <f ca="1">IFERROR(__xludf.DUMMYFUNCTION("""COMPUTED_VALUE"""),"0109223")</f>
        <v>0109223</v>
      </c>
      <c r="H162" s="211" t="str">
        <f ca="1">IFERROR(__xludf.DUMMYFUNCTION("""COMPUTED_VALUE"""),"AEE")</f>
        <v>AEE</v>
      </c>
      <c r="I162" s="214">
        <f ca="1">IFERROR(__xludf.DUMMYFUNCTION("""COMPUTED_VALUE"""),149.6)</f>
        <v>149.6</v>
      </c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</row>
    <row r="163" spans="1:26" ht="18.75" customHeight="1">
      <c r="A163" s="210" t="str">
        <f ca="1">IFERROR(__xludf.DUMMYFUNCTION("""COMPUTED_VALUE"""),"Araguatins")</f>
        <v>Araguatins</v>
      </c>
      <c r="B163" s="210" t="str">
        <f ca="1">IFERROR(__xludf.DUMMYFUNCTION("""COMPUTED_VALUE"""),"Araguatins")</f>
        <v>Araguatins</v>
      </c>
      <c r="C163" s="211" t="str">
        <f ca="1">IFERROR(__xludf.DUMMYFUNCTION("""COMPUTED_VALUE"""),"ASSOC. APOIO ESC. EST. DENISE GOMIDE AMUI")</f>
        <v>ASSOC. APOIO ESC. EST. DENISE GOMIDE AMUI</v>
      </c>
      <c r="D163" s="212" t="str">
        <f ca="1">IFERROR(__xludf.DUMMYFUNCTION("""COMPUTED_VALUE"""),"01136000000186")</f>
        <v>01136000000186</v>
      </c>
      <c r="E163" s="212" t="str">
        <f ca="1">IFERROR(__xludf.DUMMYFUNCTION("""COMPUTED_VALUE"""),"001")</f>
        <v>001</v>
      </c>
      <c r="F163" s="212" t="str">
        <f ca="1">IFERROR(__xludf.DUMMYFUNCTION("""COMPUTED_VALUE"""),"1305")</f>
        <v>1305</v>
      </c>
      <c r="G163" s="213" t="str">
        <f ca="1">IFERROR(__xludf.DUMMYFUNCTION("""COMPUTED_VALUE"""),"0109223")</f>
        <v>0109223</v>
      </c>
      <c r="H163" s="211" t="str">
        <f ca="1">IFERROR(__xludf.DUMMYFUNCTION("""COMPUTED_VALUE"""),"ENSINO MEDIO PARCIAL")</f>
        <v>ENSINO MEDIO PARCIAL</v>
      </c>
      <c r="I163" s="214">
        <f ca="1">IFERROR(__xludf.DUMMYFUNCTION("""COMPUTED_VALUE"""),6020)</f>
        <v>6020</v>
      </c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</row>
    <row r="164" spans="1:26" ht="18.75" customHeight="1">
      <c r="A164" s="210" t="str">
        <f ca="1">IFERROR(__xludf.DUMMYFUNCTION("""COMPUTED_VALUE"""),"Araguatins")</f>
        <v>Araguatins</v>
      </c>
      <c r="B164" s="210" t="str">
        <f ca="1">IFERROR(__xludf.DUMMYFUNCTION("""COMPUTED_VALUE"""),"Araguatins")</f>
        <v>Araguatins</v>
      </c>
      <c r="C164" s="211" t="str">
        <f ca="1">IFERROR(__xludf.DUMMYFUNCTION("""COMPUTED_VALUE"""),"ASSOC. DE APOIO ESC. EST. FREI SAVINO")</f>
        <v>ASSOC. DE APOIO ESC. EST. FREI SAVINO</v>
      </c>
      <c r="D164" s="212" t="str">
        <f ca="1">IFERROR(__xludf.DUMMYFUNCTION("""COMPUTED_VALUE"""),"01181389000181")</f>
        <v>01181389000181</v>
      </c>
      <c r="E164" s="212" t="str">
        <f ca="1">IFERROR(__xludf.DUMMYFUNCTION("""COMPUTED_VALUE"""),"001")</f>
        <v>001</v>
      </c>
      <c r="F164" s="212" t="str">
        <f ca="1">IFERROR(__xludf.DUMMYFUNCTION("""COMPUTED_VALUE"""),"1305")</f>
        <v>1305</v>
      </c>
      <c r="G164" s="213" t="str">
        <f ca="1">IFERROR(__xludf.DUMMYFUNCTION("""COMPUTED_VALUE"""),"0019437")</f>
        <v>0019437</v>
      </c>
      <c r="H164" s="211" t="str">
        <f ca="1">IFERROR(__xludf.DUMMYFUNCTION("""COMPUTED_VALUE"""),"ENS FUND PARCIAL")</f>
        <v>ENS FUND PARCIAL</v>
      </c>
      <c r="I164" s="214">
        <f ca="1">IFERROR(__xludf.DUMMYFUNCTION("""COMPUTED_VALUE"""),530)</f>
        <v>530</v>
      </c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</row>
    <row r="165" spans="1:26" ht="18.75" customHeight="1">
      <c r="A165" s="210" t="str">
        <f ca="1">IFERROR(__xludf.DUMMYFUNCTION("""COMPUTED_VALUE"""),"Araguatins")</f>
        <v>Araguatins</v>
      </c>
      <c r="B165" s="210" t="str">
        <f ca="1">IFERROR(__xludf.DUMMYFUNCTION("""COMPUTED_VALUE"""),"Araguatins")</f>
        <v>Araguatins</v>
      </c>
      <c r="C165" s="211" t="str">
        <f ca="1">IFERROR(__xludf.DUMMYFUNCTION("""COMPUTED_VALUE"""),"ASSOC. DE APOIO ESC. EST. FREI SAVINO")</f>
        <v>ASSOC. DE APOIO ESC. EST. FREI SAVINO</v>
      </c>
      <c r="D165" s="212" t="str">
        <f ca="1">IFERROR(__xludf.DUMMYFUNCTION("""COMPUTED_VALUE"""),"01181389000181")</f>
        <v>01181389000181</v>
      </c>
      <c r="E165" s="212" t="str">
        <f ca="1">IFERROR(__xludf.DUMMYFUNCTION("""COMPUTED_VALUE"""),"001")</f>
        <v>001</v>
      </c>
      <c r="F165" s="212" t="str">
        <f ca="1">IFERROR(__xludf.DUMMYFUNCTION("""COMPUTED_VALUE"""),"1305")</f>
        <v>1305</v>
      </c>
      <c r="G165" s="213" t="str">
        <f ca="1">IFERROR(__xludf.DUMMYFUNCTION("""COMPUTED_VALUE"""),"0019437")</f>
        <v>0019437</v>
      </c>
      <c r="H165" s="211" t="str">
        <f ca="1">IFERROR(__xludf.DUMMYFUNCTION("""COMPUTED_VALUE"""),"AEE")</f>
        <v>AEE</v>
      </c>
      <c r="I165" s="214">
        <f ca="1">IFERROR(__xludf.DUMMYFUNCTION("""COMPUTED_VALUE"""),190.4)</f>
        <v>190.4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</row>
    <row r="166" spans="1:26" ht="18.75" customHeight="1">
      <c r="A166" s="210" t="str">
        <f ca="1">IFERROR(__xludf.DUMMYFUNCTION("""COMPUTED_VALUE"""),"Araguatins")</f>
        <v>Araguatins</v>
      </c>
      <c r="B166" s="210" t="str">
        <f ca="1">IFERROR(__xludf.DUMMYFUNCTION("""COMPUTED_VALUE"""),"Araguatins")</f>
        <v>Araguatins</v>
      </c>
      <c r="C166" s="211" t="str">
        <f ca="1">IFERROR(__xludf.DUMMYFUNCTION("""COMPUTED_VALUE"""),"ASSOC. DE APOIO ESC. EST. FREI SAVINO")</f>
        <v>ASSOC. DE APOIO ESC. EST. FREI SAVINO</v>
      </c>
      <c r="D166" s="212" t="str">
        <f ca="1">IFERROR(__xludf.DUMMYFUNCTION("""COMPUTED_VALUE"""),"01181389000181")</f>
        <v>01181389000181</v>
      </c>
      <c r="E166" s="212" t="str">
        <f ca="1">IFERROR(__xludf.DUMMYFUNCTION("""COMPUTED_VALUE"""),"001")</f>
        <v>001</v>
      </c>
      <c r="F166" s="212" t="str">
        <f ca="1">IFERROR(__xludf.DUMMYFUNCTION("""COMPUTED_VALUE"""),"1305")</f>
        <v>1305</v>
      </c>
      <c r="G166" s="213" t="str">
        <f ca="1">IFERROR(__xludf.DUMMYFUNCTION("""COMPUTED_VALUE"""),"0019437")</f>
        <v>0019437</v>
      </c>
      <c r="H166" s="211" t="str">
        <f ca="1">IFERROR(__xludf.DUMMYFUNCTION("""COMPUTED_VALUE"""),"ENSINO MEDIO PARCIAL")</f>
        <v>ENSINO MEDIO PARCIAL</v>
      </c>
      <c r="I166" s="214">
        <f ca="1">IFERROR(__xludf.DUMMYFUNCTION("""COMPUTED_VALUE"""),360)</f>
        <v>360</v>
      </c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9"/>
    </row>
    <row r="167" spans="1:26" ht="18.75" customHeight="1">
      <c r="A167" s="210" t="str">
        <f ca="1">IFERROR(__xludf.DUMMYFUNCTION("""COMPUTED_VALUE"""),"Araguatins")</f>
        <v>Araguatins</v>
      </c>
      <c r="B167" s="210" t="str">
        <f ca="1">IFERROR(__xludf.DUMMYFUNCTION("""COMPUTED_VALUE"""),"Araguatins")</f>
        <v>Araguatins</v>
      </c>
      <c r="C167" s="211" t="str">
        <f ca="1">IFERROR(__xludf.DUMMYFUNCTION("""COMPUTED_VALUE"""),"A.A. COL. EST. LEONIDAS G. DUARTE")</f>
        <v>A.A. COL. EST. LEONIDAS G. DUARTE</v>
      </c>
      <c r="D167" s="212" t="str">
        <f ca="1">IFERROR(__xludf.DUMMYFUNCTION("""COMPUTED_VALUE"""),"01190189000195")</f>
        <v>01190189000195</v>
      </c>
      <c r="E167" s="212" t="str">
        <f ca="1">IFERROR(__xludf.DUMMYFUNCTION("""COMPUTED_VALUE"""),"001")</f>
        <v>001</v>
      </c>
      <c r="F167" s="212" t="str">
        <f ca="1">IFERROR(__xludf.DUMMYFUNCTION("""COMPUTED_VALUE"""),"1305")</f>
        <v>1305</v>
      </c>
      <c r="G167" s="213" t="str">
        <f ca="1">IFERROR(__xludf.DUMMYFUNCTION("""COMPUTED_VALUE"""),"0019143")</f>
        <v>0019143</v>
      </c>
      <c r="H167" s="211" t="str">
        <f ca="1">IFERROR(__xludf.DUMMYFUNCTION("""COMPUTED_VALUE"""),"ENS FUND PARCIAL")</f>
        <v>ENS FUND PARCIAL</v>
      </c>
      <c r="I167" s="214">
        <f ca="1">IFERROR(__xludf.DUMMYFUNCTION("""COMPUTED_VALUE"""),4480)</f>
        <v>4480</v>
      </c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</row>
    <row r="168" spans="1:26" ht="18.75" customHeight="1">
      <c r="A168" s="210" t="str">
        <f ca="1">IFERROR(__xludf.DUMMYFUNCTION("""COMPUTED_VALUE"""),"Araguatins")</f>
        <v>Araguatins</v>
      </c>
      <c r="B168" s="210" t="str">
        <f ca="1">IFERROR(__xludf.DUMMYFUNCTION("""COMPUTED_VALUE"""),"Araguatins")</f>
        <v>Araguatins</v>
      </c>
      <c r="C168" s="211" t="str">
        <f ca="1">IFERROR(__xludf.DUMMYFUNCTION("""COMPUTED_VALUE"""),"A.A. COL. EST. LEONIDAS G. DUARTE")</f>
        <v>A.A. COL. EST. LEONIDAS G. DUARTE</v>
      </c>
      <c r="D168" s="212" t="str">
        <f ca="1">IFERROR(__xludf.DUMMYFUNCTION("""COMPUTED_VALUE"""),"01190189000195")</f>
        <v>01190189000195</v>
      </c>
      <c r="E168" s="212" t="str">
        <f ca="1">IFERROR(__xludf.DUMMYFUNCTION("""COMPUTED_VALUE"""),"001")</f>
        <v>001</v>
      </c>
      <c r="F168" s="212" t="str">
        <f ca="1">IFERROR(__xludf.DUMMYFUNCTION("""COMPUTED_VALUE"""),"1305")</f>
        <v>1305</v>
      </c>
      <c r="G168" s="213" t="str">
        <f ca="1">IFERROR(__xludf.DUMMYFUNCTION("""COMPUTED_VALUE"""),"0019143")</f>
        <v>0019143</v>
      </c>
      <c r="H168" s="211" t="str">
        <f ca="1">IFERROR(__xludf.DUMMYFUNCTION("""COMPUTED_VALUE"""),"AEE")</f>
        <v>AEE</v>
      </c>
      <c r="I168" s="214">
        <f ca="1">IFERROR(__xludf.DUMMYFUNCTION("""COMPUTED_VALUE"""),217.6)</f>
        <v>217.6</v>
      </c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</row>
    <row r="169" spans="1:26" ht="18.75" customHeight="1">
      <c r="A169" s="210" t="str">
        <f ca="1">IFERROR(__xludf.DUMMYFUNCTION("""COMPUTED_VALUE"""),"Araguatins")</f>
        <v>Araguatins</v>
      </c>
      <c r="B169" s="210" t="str">
        <f ca="1">IFERROR(__xludf.DUMMYFUNCTION("""COMPUTED_VALUE"""),"Araguatins")</f>
        <v>Araguatins</v>
      </c>
      <c r="C169" s="211" t="str">
        <f ca="1">IFERROR(__xludf.DUMMYFUNCTION("""COMPUTED_VALUE"""),"A.A. A ESC. EST. OSVALDO FRANCO")</f>
        <v>A.A. A ESC. EST. OSVALDO FRANCO</v>
      </c>
      <c r="D169" s="212" t="str">
        <f ca="1">IFERROR(__xludf.DUMMYFUNCTION("""COMPUTED_VALUE"""),"01392733000181")</f>
        <v>01392733000181</v>
      </c>
      <c r="E169" s="212" t="str">
        <f ca="1">IFERROR(__xludf.DUMMYFUNCTION("""COMPUTED_VALUE"""),"001")</f>
        <v>001</v>
      </c>
      <c r="F169" s="212" t="str">
        <f ca="1">IFERROR(__xludf.DUMMYFUNCTION("""COMPUTED_VALUE"""),"1305")</f>
        <v>1305</v>
      </c>
      <c r="G169" s="213" t="str">
        <f ca="1">IFERROR(__xludf.DUMMYFUNCTION("""COMPUTED_VALUE"""),"109738")</f>
        <v>109738</v>
      </c>
      <c r="H169" s="211" t="str">
        <f ca="1">IFERROR(__xludf.DUMMYFUNCTION("""COMPUTED_VALUE"""),"ENS FUND PARCIAL")</f>
        <v>ENS FUND PARCIAL</v>
      </c>
      <c r="I169" s="214">
        <f ca="1">IFERROR(__xludf.DUMMYFUNCTION("""COMPUTED_VALUE"""),3530)</f>
        <v>3530</v>
      </c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</row>
    <row r="170" spans="1:26" ht="18.75" customHeight="1">
      <c r="A170" s="210" t="str">
        <f ca="1">IFERROR(__xludf.DUMMYFUNCTION("""COMPUTED_VALUE"""),"Araguatins")</f>
        <v>Araguatins</v>
      </c>
      <c r="B170" s="210" t="str">
        <f ca="1">IFERROR(__xludf.DUMMYFUNCTION("""COMPUTED_VALUE"""),"Araguatins")</f>
        <v>Araguatins</v>
      </c>
      <c r="C170" s="211" t="str">
        <f ca="1">IFERROR(__xludf.DUMMYFUNCTION("""COMPUTED_VALUE"""),"A.A. A ESC. EST. OSVALDO FRANCO")</f>
        <v>A.A. A ESC. EST. OSVALDO FRANCO</v>
      </c>
      <c r="D170" s="212" t="str">
        <f ca="1">IFERROR(__xludf.DUMMYFUNCTION("""COMPUTED_VALUE"""),"01392733000181")</f>
        <v>01392733000181</v>
      </c>
      <c r="E170" s="212" t="str">
        <f ca="1">IFERROR(__xludf.DUMMYFUNCTION("""COMPUTED_VALUE"""),"001")</f>
        <v>001</v>
      </c>
      <c r="F170" s="212" t="str">
        <f ca="1">IFERROR(__xludf.DUMMYFUNCTION("""COMPUTED_VALUE"""),"1305")</f>
        <v>1305</v>
      </c>
      <c r="G170" s="213" t="str">
        <f ca="1">IFERROR(__xludf.DUMMYFUNCTION("""COMPUTED_VALUE"""),"109738")</f>
        <v>109738</v>
      </c>
      <c r="H170" s="211" t="str">
        <f ca="1">IFERROR(__xludf.DUMMYFUNCTION("""COMPUTED_VALUE"""),"AEE")</f>
        <v>AEE</v>
      </c>
      <c r="I170" s="214">
        <f ca="1">IFERROR(__xludf.DUMMYFUNCTION("""COMPUTED_VALUE"""),299.2)</f>
        <v>299.2</v>
      </c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</row>
    <row r="171" spans="1:26" ht="18.75" customHeight="1">
      <c r="A171" s="210" t="str">
        <f ca="1">IFERROR(__xludf.DUMMYFUNCTION("""COMPUTED_VALUE"""),"Araguatins")</f>
        <v>Araguatins</v>
      </c>
      <c r="B171" s="210" t="str">
        <f ca="1">IFERROR(__xludf.DUMMYFUNCTION("""COMPUTED_VALUE"""),"Araguatins")</f>
        <v>Araguatins</v>
      </c>
      <c r="C171" s="211" t="str">
        <f ca="1">IFERROR(__xludf.DUMMYFUNCTION("""COMPUTED_VALUE"""),"A.A. A ESC. EST. OSVALDO FRANCO")</f>
        <v>A.A. A ESC. EST. OSVALDO FRANCO</v>
      </c>
      <c r="D171" s="212" t="str">
        <f ca="1">IFERROR(__xludf.DUMMYFUNCTION("""COMPUTED_VALUE"""),"01392733000181")</f>
        <v>01392733000181</v>
      </c>
      <c r="E171" s="212" t="str">
        <f ca="1">IFERROR(__xludf.DUMMYFUNCTION("""COMPUTED_VALUE"""),"001")</f>
        <v>001</v>
      </c>
      <c r="F171" s="212" t="str">
        <f ca="1">IFERROR(__xludf.DUMMYFUNCTION("""COMPUTED_VALUE"""),"1305")</f>
        <v>1305</v>
      </c>
      <c r="G171" s="213" t="str">
        <f ca="1">IFERROR(__xludf.DUMMYFUNCTION("""COMPUTED_VALUE"""),"109738")</f>
        <v>109738</v>
      </c>
      <c r="H171" s="211" t="str">
        <f ca="1">IFERROR(__xludf.DUMMYFUNCTION("""COMPUTED_VALUE"""),"EJA")</f>
        <v>EJA</v>
      </c>
      <c r="I171" s="214">
        <f ca="1">IFERROR(__xludf.DUMMYFUNCTION("""COMPUTED_VALUE"""),1500.6)</f>
        <v>1500.6</v>
      </c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</row>
    <row r="172" spans="1:26" ht="18.75" customHeight="1">
      <c r="A172" s="210" t="str">
        <f ca="1">IFERROR(__xludf.DUMMYFUNCTION("""COMPUTED_VALUE"""),"Araguatins")</f>
        <v>Araguatins</v>
      </c>
      <c r="B172" s="210" t="str">
        <f ca="1">IFERROR(__xludf.DUMMYFUNCTION("""COMPUTED_VALUE"""),"Araguatins")</f>
        <v>Araguatins</v>
      </c>
      <c r="C172" s="211" t="str">
        <f ca="1">IFERROR(__xludf.DUMMYFUNCTION("""COMPUTED_VALUE"""),"A.A.  A ESC. EST. SANTA GERTRUDES")</f>
        <v>A.A.  A ESC. EST. SANTA GERTRUDES</v>
      </c>
      <c r="D172" s="212" t="str">
        <f ca="1">IFERROR(__xludf.DUMMYFUNCTION("""COMPUTED_VALUE"""),"03713455000142")</f>
        <v>03713455000142</v>
      </c>
      <c r="E172" s="212" t="str">
        <f ca="1">IFERROR(__xludf.DUMMYFUNCTION("""COMPUTED_VALUE"""),"001")</f>
        <v>001</v>
      </c>
      <c r="F172" s="212" t="str">
        <f ca="1">IFERROR(__xludf.DUMMYFUNCTION("""COMPUTED_VALUE"""),"1305")</f>
        <v>1305</v>
      </c>
      <c r="G172" s="213" t="str">
        <f ca="1">IFERROR(__xludf.DUMMYFUNCTION("""COMPUTED_VALUE"""),"78271")</f>
        <v>78271</v>
      </c>
      <c r="H172" s="211" t="str">
        <f ca="1">IFERROR(__xludf.DUMMYFUNCTION("""COMPUTED_VALUE"""),"ENS FUND PARCIAL")</f>
        <v>ENS FUND PARCIAL</v>
      </c>
      <c r="I172" s="214">
        <f ca="1">IFERROR(__xludf.DUMMYFUNCTION("""COMPUTED_VALUE"""),950)</f>
        <v>950</v>
      </c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9"/>
    </row>
    <row r="173" spans="1:26" ht="18.75" customHeight="1">
      <c r="A173" s="210" t="str">
        <f ca="1">IFERROR(__xludf.DUMMYFUNCTION("""COMPUTED_VALUE"""),"Araguatins")</f>
        <v>Araguatins</v>
      </c>
      <c r="B173" s="210" t="str">
        <f ca="1">IFERROR(__xludf.DUMMYFUNCTION("""COMPUTED_VALUE"""),"Araguatins")</f>
        <v>Araguatins</v>
      </c>
      <c r="C173" s="211" t="str">
        <f ca="1">IFERROR(__xludf.DUMMYFUNCTION("""COMPUTED_VALUE"""),"A.A.  A ESC. EST. SANTA GERTRUDES")</f>
        <v>A.A.  A ESC. EST. SANTA GERTRUDES</v>
      </c>
      <c r="D173" s="212" t="str">
        <f ca="1">IFERROR(__xludf.DUMMYFUNCTION("""COMPUTED_VALUE"""),"03713455000142")</f>
        <v>03713455000142</v>
      </c>
      <c r="E173" s="212" t="str">
        <f ca="1">IFERROR(__xludf.DUMMYFUNCTION("""COMPUTED_VALUE"""),"001")</f>
        <v>001</v>
      </c>
      <c r="F173" s="212" t="str">
        <f ca="1">IFERROR(__xludf.DUMMYFUNCTION("""COMPUTED_VALUE"""),"1305")</f>
        <v>1305</v>
      </c>
      <c r="G173" s="213" t="str">
        <f ca="1">IFERROR(__xludf.DUMMYFUNCTION("""COMPUTED_VALUE"""),"78271")</f>
        <v>78271</v>
      </c>
      <c r="H173" s="211" t="str">
        <f ca="1">IFERROR(__xludf.DUMMYFUNCTION("""COMPUTED_VALUE"""),"AEE")</f>
        <v>AEE</v>
      </c>
      <c r="I173" s="214">
        <f ca="1">IFERROR(__xludf.DUMMYFUNCTION("""COMPUTED_VALUE"""),204)</f>
        <v>204</v>
      </c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/>
    </row>
    <row r="174" spans="1:26" ht="18.75" customHeight="1">
      <c r="A174" s="210" t="str">
        <f ca="1">IFERROR(__xludf.DUMMYFUNCTION("""COMPUTED_VALUE"""),"Araguatins")</f>
        <v>Araguatins</v>
      </c>
      <c r="B174" s="210" t="str">
        <f ca="1">IFERROR(__xludf.DUMMYFUNCTION("""COMPUTED_VALUE"""),"Araguatins")</f>
        <v>Araguatins</v>
      </c>
      <c r="C174" s="211" t="str">
        <f ca="1">IFERROR(__xludf.DUMMYFUNCTION("""COMPUTED_VALUE"""),"A.A.  A ESC. EST. SANTA GERTRUDES")</f>
        <v>A.A.  A ESC. EST. SANTA GERTRUDES</v>
      </c>
      <c r="D174" s="212" t="str">
        <f ca="1">IFERROR(__xludf.DUMMYFUNCTION("""COMPUTED_VALUE"""),"03713455000142")</f>
        <v>03713455000142</v>
      </c>
      <c r="E174" s="212" t="str">
        <f ca="1">IFERROR(__xludf.DUMMYFUNCTION("""COMPUTED_VALUE"""),"001")</f>
        <v>001</v>
      </c>
      <c r="F174" s="212" t="str">
        <f ca="1">IFERROR(__xludf.DUMMYFUNCTION("""COMPUTED_VALUE"""),"1305")</f>
        <v>1305</v>
      </c>
      <c r="G174" s="213" t="str">
        <f ca="1">IFERROR(__xludf.DUMMYFUNCTION("""COMPUTED_VALUE"""),"78271")</f>
        <v>78271</v>
      </c>
      <c r="H174" s="211" t="str">
        <f ca="1">IFERROR(__xludf.DUMMYFUNCTION("""COMPUTED_VALUE"""),"ENSINO MEDIO PARCIAL")</f>
        <v>ENSINO MEDIO PARCIAL</v>
      </c>
      <c r="I174" s="214">
        <f ca="1">IFERROR(__xludf.DUMMYFUNCTION("""COMPUTED_VALUE"""),520)</f>
        <v>520</v>
      </c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</row>
    <row r="175" spans="1:26" ht="18.75" customHeight="1">
      <c r="A175" s="210" t="str">
        <f ca="1">IFERROR(__xludf.DUMMYFUNCTION("""COMPUTED_VALUE"""),"Araguatins")</f>
        <v>Araguatins</v>
      </c>
      <c r="B175" s="210" t="str">
        <f ca="1">IFERROR(__xludf.DUMMYFUNCTION("""COMPUTED_VALUE"""),"Araguatins")</f>
        <v>Araguatins</v>
      </c>
      <c r="C175" s="211" t="str">
        <f ca="1">IFERROR(__xludf.DUMMYFUNCTION("""COMPUTED_VALUE"""),"A.A.  A ESCOLA ISOLADA BOA SORTE")</f>
        <v>A.A.  A ESCOLA ISOLADA BOA SORTE</v>
      </c>
      <c r="D175" s="212" t="str">
        <f ca="1">IFERROR(__xludf.DUMMYFUNCTION("""COMPUTED_VALUE"""),"03765304000138")</f>
        <v>03765304000138</v>
      </c>
      <c r="E175" s="212" t="str">
        <f ca="1">IFERROR(__xludf.DUMMYFUNCTION("""COMPUTED_VALUE"""),"001")</f>
        <v>001</v>
      </c>
      <c r="F175" s="212" t="str">
        <f ca="1">IFERROR(__xludf.DUMMYFUNCTION("""COMPUTED_VALUE"""),"1305")</f>
        <v>1305</v>
      </c>
      <c r="G175" s="213" t="str">
        <f ca="1">IFERROR(__xludf.DUMMYFUNCTION("""COMPUTED_VALUE"""),"78964")</f>
        <v>78964</v>
      </c>
      <c r="H175" s="211" t="str">
        <f ca="1">IFERROR(__xludf.DUMMYFUNCTION("""COMPUTED_VALUE"""),"ENS FUND PARCIAL")</f>
        <v>ENS FUND PARCIAL</v>
      </c>
      <c r="I175" s="214">
        <f ca="1">IFERROR(__xludf.DUMMYFUNCTION("""COMPUTED_VALUE"""),570)</f>
        <v>570</v>
      </c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9"/>
    </row>
    <row r="176" spans="1:26" ht="18.75" customHeight="1">
      <c r="A176" s="210" t="str">
        <f ca="1">IFERROR(__xludf.DUMMYFUNCTION("""COMPUTED_VALUE"""),"Araguatins")</f>
        <v>Araguatins</v>
      </c>
      <c r="B176" s="210" t="str">
        <f ca="1">IFERROR(__xludf.DUMMYFUNCTION("""COMPUTED_VALUE"""),"Araguatins")</f>
        <v>Araguatins</v>
      </c>
      <c r="C176" s="211" t="str">
        <f ca="1">IFERROR(__xludf.DUMMYFUNCTION("""COMPUTED_VALUE"""),"A.A.  A ESCOLA ISOLADA BOA SORTE")</f>
        <v>A.A.  A ESCOLA ISOLADA BOA SORTE</v>
      </c>
      <c r="D176" s="212" t="str">
        <f ca="1">IFERROR(__xludf.DUMMYFUNCTION("""COMPUTED_VALUE"""),"03765304000138")</f>
        <v>03765304000138</v>
      </c>
      <c r="E176" s="212" t="str">
        <f ca="1">IFERROR(__xludf.DUMMYFUNCTION("""COMPUTED_VALUE"""),"001")</f>
        <v>001</v>
      </c>
      <c r="F176" s="212" t="str">
        <f ca="1">IFERROR(__xludf.DUMMYFUNCTION("""COMPUTED_VALUE"""),"1305")</f>
        <v>1305</v>
      </c>
      <c r="G176" s="213" t="str">
        <f ca="1">IFERROR(__xludf.DUMMYFUNCTION("""COMPUTED_VALUE"""),"78964")</f>
        <v>78964</v>
      </c>
      <c r="H176" s="211" t="str">
        <f ca="1">IFERROR(__xludf.DUMMYFUNCTION("""COMPUTED_VALUE"""),"AEE")</f>
        <v>AEE</v>
      </c>
      <c r="I176" s="214">
        <f ca="1">IFERROR(__xludf.DUMMYFUNCTION("""COMPUTED_VALUE"""),108.8)</f>
        <v>108.8</v>
      </c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  <c r="Z176" s="209"/>
    </row>
    <row r="177" spans="1:26" ht="18.75" customHeight="1">
      <c r="A177" s="210" t="str">
        <f ca="1">IFERROR(__xludf.DUMMYFUNCTION("""COMPUTED_VALUE"""),"Araguatins")</f>
        <v>Araguatins</v>
      </c>
      <c r="B177" s="210" t="str">
        <f ca="1">IFERROR(__xludf.DUMMYFUNCTION("""COMPUTED_VALUE"""),"Araguatins")</f>
        <v>Araguatins</v>
      </c>
      <c r="C177" s="211" t="str">
        <f ca="1">IFERROR(__xludf.DUMMYFUNCTION("""COMPUTED_VALUE"""),"A.A.  A ESCOLA ISOLADA BOA SORTE")</f>
        <v>A.A.  A ESCOLA ISOLADA BOA SORTE</v>
      </c>
      <c r="D177" s="212" t="str">
        <f ca="1">IFERROR(__xludf.DUMMYFUNCTION("""COMPUTED_VALUE"""),"03765304000138")</f>
        <v>03765304000138</v>
      </c>
      <c r="E177" s="212" t="str">
        <f ca="1">IFERROR(__xludf.DUMMYFUNCTION("""COMPUTED_VALUE"""),"001")</f>
        <v>001</v>
      </c>
      <c r="F177" s="212" t="str">
        <f ca="1">IFERROR(__xludf.DUMMYFUNCTION("""COMPUTED_VALUE"""),"1305")</f>
        <v>1305</v>
      </c>
      <c r="G177" s="213" t="str">
        <f ca="1">IFERROR(__xludf.DUMMYFUNCTION("""COMPUTED_VALUE"""),"78964")</f>
        <v>78964</v>
      </c>
      <c r="H177" s="211" t="str">
        <f ca="1">IFERROR(__xludf.DUMMYFUNCTION("""COMPUTED_VALUE"""),"ENSINO MEDIO PARCIAL")</f>
        <v>ENSINO MEDIO PARCIAL</v>
      </c>
      <c r="I177" s="214">
        <f ca="1">IFERROR(__xludf.DUMMYFUNCTION("""COMPUTED_VALUE"""),310)</f>
        <v>310</v>
      </c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  <c r="Z177" s="209"/>
    </row>
    <row r="178" spans="1:26" ht="18.75" customHeight="1">
      <c r="A178" s="210" t="str">
        <f ca="1">IFERROR(__xludf.DUMMYFUNCTION("""COMPUTED_VALUE"""),"Araguatins")</f>
        <v>Araguatins</v>
      </c>
      <c r="B178" s="210" t="str">
        <f ca="1">IFERROR(__xludf.DUMMYFUNCTION("""COMPUTED_VALUE"""),"Araguatins")</f>
        <v>Araguatins</v>
      </c>
      <c r="C178" s="211" t="str">
        <f ca="1">IFERROR(__xludf.DUMMYFUNCTION("""COMPUTED_VALUE"""),"A.A.  A ESCOLA ISOLADA BOA SORTE")</f>
        <v>A.A.  A ESCOLA ISOLADA BOA SORTE</v>
      </c>
      <c r="D178" s="212" t="str">
        <f ca="1">IFERROR(__xludf.DUMMYFUNCTION("""COMPUTED_VALUE"""),"03765304000138")</f>
        <v>03765304000138</v>
      </c>
      <c r="E178" s="212" t="str">
        <f ca="1">IFERROR(__xludf.DUMMYFUNCTION("""COMPUTED_VALUE"""),"001")</f>
        <v>001</v>
      </c>
      <c r="F178" s="212" t="str">
        <f ca="1">IFERROR(__xludf.DUMMYFUNCTION("""COMPUTED_VALUE"""),"1305")</f>
        <v>1305</v>
      </c>
      <c r="G178" s="213" t="str">
        <f ca="1">IFERROR(__xludf.DUMMYFUNCTION("""COMPUTED_VALUE"""),"78964")</f>
        <v>78964</v>
      </c>
      <c r="H178" s="211" t="str">
        <f ca="1">IFERROR(__xludf.DUMMYFUNCTION("""COMPUTED_VALUE"""),"EJA")</f>
        <v>EJA</v>
      </c>
      <c r="I178" s="214">
        <f ca="1">IFERROR(__xludf.DUMMYFUNCTION("""COMPUTED_VALUE"""),49.1999999999999)</f>
        <v>49.199999999999903</v>
      </c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  <c r="Z178" s="209"/>
    </row>
    <row r="179" spans="1:26" ht="18.75" customHeight="1">
      <c r="A179" s="210" t="str">
        <f ca="1">IFERROR(__xludf.DUMMYFUNCTION("""COMPUTED_VALUE"""),"Araguatins")</f>
        <v>Araguatins</v>
      </c>
      <c r="B179" s="210" t="str">
        <f ca="1">IFERROR(__xludf.DUMMYFUNCTION("""COMPUTED_VALUE"""),"Araguatins")</f>
        <v>Araguatins</v>
      </c>
      <c r="C179" s="211" t="str">
        <f ca="1">IFERROR(__xludf.DUMMYFUNCTION("""COMPUTED_VALUE"""),"ASSOC. APOIO AO CEM PROFESSORA ANTONINA MILHOMEM")</f>
        <v>ASSOC. APOIO AO CEM PROFESSORA ANTONINA MILHOMEM</v>
      </c>
      <c r="D179" s="212" t="str">
        <f ca="1">IFERROR(__xludf.DUMMYFUNCTION("""COMPUTED_VALUE"""),"04675931000140")</f>
        <v>04675931000140</v>
      </c>
      <c r="E179" s="212" t="str">
        <f ca="1">IFERROR(__xludf.DUMMYFUNCTION("""COMPUTED_VALUE"""),"001")</f>
        <v>001</v>
      </c>
      <c r="F179" s="212" t="str">
        <f ca="1">IFERROR(__xludf.DUMMYFUNCTION("""COMPUTED_VALUE"""),"1305")</f>
        <v>1305</v>
      </c>
      <c r="G179" s="213" t="str">
        <f ca="1">IFERROR(__xludf.DUMMYFUNCTION("""COMPUTED_VALUE"""),"209082")</f>
        <v>209082</v>
      </c>
      <c r="H179" s="211" t="str">
        <f ca="1">IFERROR(__xludf.DUMMYFUNCTION("""COMPUTED_VALUE"""),"ENS FUND PARCIAL")</f>
        <v>ENS FUND PARCIAL</v>
      </c>
      <c r="I179" s="214">
        <f ca="1">IFERROR(__xludf.DUMMYFUNCTION("""COMPUTED_VALUE"""),2030)</f>
        <v>2030</v>
      </c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  <c r="Z179" s="209"/>
    </row>
    <row r="180" spans="1:26" ht="18.75" customHeight="1">
      <c r="A180" s="210" t="str">
        <f ca="1">IFERROR(__xludf.DUMMYFUNCTION("""COMPUTED_VALUE"""),"Araguatins")</f>
        <v>Araguatins</v>
      </c>
      <c r="B180" s="210" t="str">
        <f ca="1">IFERROR(__xludf.DUMMYFUNCTION("""COMPUTED_VALUE"""),"Araguatins")</f>
        <v>Araguatins</v>
      </c>
      <c r="C180" s="211" t="str">
        <f ca="1">IFERROR(__xludf.DUMMYFUNCTION("""COMPUTED_VALUE"""),"ASSOC. APOIO AO CEM PROFESSORA ANTONINA MILHOMEM")</f>
        <v>ASSOC. APOIO AO CEM PROFESSORA ANTONINA MILHOMEM</v>
      </c>
      <c r="D180" s="212" t="str">
        <f ca="1">IFERROR(__xludf.DUMMYFUNCTION("""COMPUTED_VALUE"""),"04675931000140")</f>
        <v>04675931000140</v>
      </c>
      <c r="E180" s="212" t="str">
        <f ca="1">IFERROR(__xludf.DUMMYFUNCTION("""COMPUTED_VALUE"""),"001")</f>
        <v>001</v>
      </c>
      <c r="F180" s="212" t="str">
        <f ca="1">IFERROR(__xludf.DUMMYFUNCTION("""COMPUTED_VALUE"""),"1305")</f>
        <v>1305</v>
      </c>
      <c r="G180" s="213" t="str">
        <f ca="1">IFERROR(__xludf.DUMMYFUNCTION("""COMPUTED_VALUE"""),"209082")</f>
        <v>209082</v>
      </c>
      <c r="H180" s="211" t="str">
        <f ca="1">IFERROR(__xludf.DUMMYFUNCTION("""COMPUTED_VALUE"""),"AEE")</f>
        <v>AEE</v>
      </c>
      <c r="I180" s="214">
        <f ca="1">IFERROR(__xludf.DUMMYFUNCTION("""COMPUTED_VALUE"""),204)</f>
        <v>204</v>
      </c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  <c r="Z180" s="209"/>
    </row>
    <row r="181" spans="1:26" ht="18.75" customHeight="1">
      <c r="A181" s="210" t="str">
        <f ca="1">IFERROR(__xludf.DUMMYFUNCTION("""COMPUTED_VALUE"""),"Araguatins")</f>
        <v>Araguatins</v>
      </c>
      <c r="B181" s="210" t="str">
        <f ca="1">IFERROR(__xludf.DUMMYFUNCTION("""COMPUTED_VALUE"""),"Araguatins")</f>
        <v>Araguatins</v>
      </c>
      <c r="C181" s="211" t="str">
        <f ca="1">IFERROR(__xludf.DUMMYFUNCTION("""COMPUTED_VALUE"""),"ASSOC. APOIO AO CEM PROFESSORA ANTONINA MILHOMEM")</f>
        <v>ASSOC. APOIO AO CEM PROFESSORA ANTONINA MILHOMEM</v>
      </c>
      <c r="D181" s="212" t="str">
        <f ca="1">IFERROR(__xludf.DUMMYFUNCTION("""COMPUTED_VALUE"""),"04675931000140")</f>
        <v>04675931000140</v>
      </c>
      <c r="E181" s="212" t="str">
        <f ca="1">IFERROR(__xludf.DUMMYFUNCTION("""COMPUTED_VALUE"""),"001")</f>
        <v>001</v>
      </c>
      <c r="F181" s="212" t="str">
        <f ca="1">IFERROR(__xludf.DUMMYFUNCTION("""COMPUTED_VALUE"""),"1305")</f>
        <v>1305</v>
      </c>
      <c r="G181" s="213" t="str">
        <f ca="1">IFERROR(__xludf.DUMMYFUNCTION("""COMPUTED_VALUE"""),"209082")</f>
        <v>209082</v>
      </c>
      <c r="H181" s="211" t="str">
        <f ca="1">IFERROR(__xludf.DUMMYFUNCTION("""COMPUTED_VALUE"""),"ENSINO MEDIO PARCIAL")</f>
        <v>ENSINO MEDIO PARCIAL</v>
      </c>
      <c r="I181" s="214">
        <f ca="1">IFERROR(__xludf.DUMMYFUNCTION("""COMPUTED_VALUE"""),3610)</f>
        <v>3610</v>
      </c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  <c r="Z181" s="209"/>
    </row>
    <row r="182" spans="1:26" ht="18.75" customHeight="1">
      <c r="A182" s="210" t="str">
        <f ca="1">IFERROR(__xludf.DUMMYFUNCTION("""COMPUTED_VALUE"""),"Araguatins")</f>
        <v>Araguatins</v>
      </c>
      <c r="B182" s="210" t="str">
        <f ca="1">IFERROR(__xludf.DUMMYFUNCTION("""COMPUTED_VALUE"""),"Araguatins")</f>
        <v>Araguatins</v>
      </c>
      <c r="C182" s="211" t="str">
        <f ca="1">IFERROR(__xludf.DUMMYFUNCTION("""COMPUTED_VALUE"""),"A.A. ESC. ESTADUAL ALDINAR GONÇALVES DE CARVALHO")</f>
        <v>A.A. ESC. ESTADUAL ALDINAR GONÇALVES DE CARVALHO</v>
      </c>
      <c r="D182" s="212" t="str">
        <f ca="1">IFERROR(__xludf.DUMMYFUNCTION("""COMPUTED_VALUE"""),"09465471000140")</f>
        <v>09465471000140</v>
      </c>
      <c r="E182" s="212" t="str">
        <f ca="1">IFERROR(__xludf.DUMMYFUNCTION("""COMPUTED_VALUE"""),"001")</f>
        <v>001</v>
      </c>
      <c r="F182" s="212" t="str">
        <f ca="1">IFERROR(__xludf.DUMMYFUNCTION("""COMPUTED_VALUE"""),"1305")</f>
        <v>1305</v>
      </c>
      <c r="G182" s="213" t="str">
        <f ca="1">IFERROR(__xludf.DUMMYFUNCTION("""COMPUTED_VALUE"""),"196657")</f>
        <v>196657</v>
      </c>
      <c r="H182" s="211" t="str">
        <f ca="1">IFERROR(__xludf.DUMMYFUNCTION("""COMPUTED_VALUE"""),"ENS FUND INTEGRAL")</f>
        <v>ENS FUND INTEGRAL</v>
      </c>
      <c r="I182" s="214">
        <f ca="1">IFERROR(__xludf.DUMMYFUNCTION("""COMPUTED_VALUE"""),17234.6)</f>
        <v>17234.599999999999</v>
      </c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  <c r="Z182" s="209"/>
    </row>
    <row r="183" spans="1:26" ht="18.75" customHeight="1">
      <c r="A183" s="210" t="str">
        <f ca="1">IFERROR(__xludf.DUMMYFUNCTION("""COMPUTED_VALUE"""),"Araguatins")</f>
        <v>Araguatins</v>
      </c>
      <c r="B183" s="210" t="str">
        <f ca="1">IFERROR(__xludf.DUMMYFUNCTION("""COMPUTED_VALUE"""),"Araguatins")</f>
        <v>Araguatins</v>
      </c>
      <c r="C183" s="211" t="str">
        <f ca="1">IFERROR(__xludf.DUMMYFUNCTION("""COMPUTED_VALUE"""),"A.A. ESC. ESTADUAL ALDINAR GONÇALVES DE CARVALHO")</f>
        <v>A.A. ESC. ESTADUAL ALDINAR GONÇALVES DE CARVALHO</v>
      </c>
      <c r="D183" s="212" t="str">
        <f ca="1">IFERROR(__xludf.DUMMYFUNCTION("""COMPUTED_VALUE"""),"09465471000140")</f>
        <v>09465471000140</v>
      </c>
      <c r="E183" s="212" t="str">
        <f ca="1">IFERROR(__xludf.DUMMYFUNCTION("""COMPUTED_VALUE"""),"001")</f>
        <v>001</v>
      </c>
      <c r="F183" s="212" t="str">
        <f ca="1">IFERROR(__xludf.DUMMYFUNCTION("""COMPUTED_VALUE"""),"1305")</f>
        <v>1305</v>
      </c>
      <c r="G183" s="213" t="str">
        <f ca="1">IFERROR(__xludf.DUMMYFUNCTION("""COMPUTED_VALUE"""),"196657")</f>
        <v>196657</v>
      </c>
      <c r="H183" s="211" t="str">
        <f ca="1">IFERROR(__xludf.DUMMYFUNCTION("""COMPUTED_VALUE"""),"AEE")</f>
        <v>AEE</v>
      </c>
      <c r="I183" s="214">
        <f ca="1">IFERROR(__xludf.DUMMYFUNCTION("""COMPUTED_VALUE"""),408)</f>
        <v>408</v>
      </c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9"/>
    </row>
    <row r="184" spans="1:26" ht="18.75" customHeight="1">
      <c r="A184" s="210" t="str">
        <f ca="1">IFERROR(__xludf.DUMMYFUNCTION("""COMPUTED_VALUE"""),"Araguatins")</f>
        <v>Araguatins</v>
      </c>
      <c r="B184" s="210" t="str">
        <f ca="1">IFERROR(__xludf.DUMMYFUNCTION("""COMPUTED_VALUE"""),"Araguatins")</f>
        <v>Araguatins</v>
      </c>
      <c r="C184" s="211" t="str">
        <f ca="1">IFERROR(__xludf.DUMMYFUNCTION("""COMPUTED_VALUE"""),"A.A. ESC. ESTADUAL ALDINAR GONÇALVES DE CARVALHO")</f>
        <v>A.A. ESC. ESTADUAL ALDINAR GONÇALVES DE CARVALHO</v>
      </c>
      <c r="D184" s="212" t="str">
        <f ca="1">IFERROR(__xludf.DUMMYFUNCTION("""COMPUTED_VALUE"""),"09465471000140")</f>
        <v>09465471000140</v>
      </c>
      <c r="E184" s="212" t="str">
        <f ca="1">IFERROR(__xludf.DUMMYFUNCTION("""COMPUTED_VALUE"""),"001")</f>
        <v>001</v>
      </c>
      <c r="F184" s="212" t="str">
        <f ca="1">IFERROR(__xludf.DUMMYFUNCTION("""COMPUTED_VALUE"""),"1305")</f>
        <v>1305</v>
      </c>
      <c r="G184" s="213" t="str">
        <f ca="1">IFERROR(__xludf.DUMMYFUNCTION("""COMPUTED_VALUE"""),"196657")</f>
        <v>196657</v>
      </c>
      <c r="H184" s="211" t="str">
        <f ca="1">IFERROR(__xludf.DUMMYFUNCTION("""COMPUTED_VALUE"""),"ENSINO MEDIO INTEGRAL")</f>
        <v>ENSINO MEDIO INTEGRAL</v>
      </c>
      <c r="I184" s="214">
        <f ca="1">IFERROR(__xludf.DUMMYFUNCTION("""COMPUTED_VALUE"""),1370)</f>
        <v>1370</v>
      </c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9"/>
    </row>
    <row r="185" spans="1:26" ht="18.75" customHeight="1">
      <c r="A185" s="210" t="str">
        <f ca="1">IFERROR(__xludf.DUMMYFUNCTION("""COMPUTED_VALUE"""),"Araguatins")</f>
        <v>Araguatins</v>
      </c>
      <c r="B185" s="210" t="str">
        <f ca="1">IFERROR(__xludf.DUMMYFUNCTION("""COMPUTED_VALUE"""),"Augustinopolis")</f>
        <v>Augustinopolis</v>
      </c>
      <c r="C185" s="211" t="str">
        <f ca="1">IFERROR(__xludf.DUMMYFUNCTION("""COMPUTED_VALUE"""),"A.A. DA ESCOLA EST. SANTA GENOVEVA")</f>
        <v>A.A. DA ESCOLA EST. SANTA GENOVEVA</v>
      </c>
      <c r="D185" s="212" t="str">
        <f ca="1">IFERROR(__xludf.DUMMYFUNCTION("""COMPUTED_VALUE"""),"01068357000174")</f>
        <v>01068357000174</v>
      </c>
      <c r="E185" s="212" t="str">
        <f ca="1">IFERROR(__xludf.DUMMYFUNCTION("""COMPUTED_VALUE"""),"001")</f>
        <v>001</v>
      </c>
      <c r="F185" s="212" t="str">
        <f ca="1">IFERROR(__xludf.DUMMYFUNCTION("""COMPUTED_VALUE"""),"3975")</f>
        <v>3975</v>
      </c>
      <c r="G185" s="213" t="str">
        <f ca="1">IFERROR(__xludf.DUMMYFUNCTION("""COMPUTED_VALUE"""),"0019461")</f>
        <v>0019461</v>
      </c>
      <c r="H185" s="211" t="str">
        <f ca="1">IFERROR(__xludf.DUMMYFUNCTION("""COMPUTED_VALUE"""),"ENS FUND PARCIAL")</f>
        <v>ENS FUND PARCIAL</v>
      </c>
      <c r="I185" s="214">
        <f ca="1">IFERROR(__xludf.DUMMYFUNCTION("""COMPUTED_VALUE"""),5340)</f>
        <v>5340</v>
      </c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  <c r="Z185" s="209"/>
    </row>
    <row r="186" spans="1:26" ht="18.75" customHeight="1">
      <c r="A186" s="210" t="str">
        <f ca="1">IFERROR(__xludf.DUMMYFUNCTION("""COMPUTED_VALUE"""),"Araguatins")</f>
        <v>Araguatins</v>
      </c>
      <c r="B186" s="210" t="str">
        <f ca="1">IFERROR(__xludf.DUMMYFUNCTION("""COMPUTED_VALUE"""),"Augustinopolis")</f>
        <v>Augustinopolis</v>
      </c>
      <c r="C186" s="211" t="str">
        <f ca="1">IFERROR(__xludf.DUMMYFUNCTION("""COMPUTED_VALUE"""),"A.A. DA ESCOLA EST. SANTA GENOVEVA")</f>
        <v>A.A. DA ESCOLA EST. SANTA GENOVEVA</v>
      </c>
      <c r="D186" s="212" t="str">
        <f ca="1">IFERROR(__xludf.DUMMYFUNCTION("""COMPUTED_VALUE"""),"01068357000174")</f>
        <v>01068357000174</v>
      </c>
      <c r="E186" s="212" t="str">
        <f ca="1">IFERROR(__xludf.DUMMYFUNCTION("""COMPUTED_VALUE"""),"001")</f>
        <v>001</v>
      </c>
      <c r="F186" s="212" t="str">
        <f ca="1">IFERROR(__xludf.DUMMYFUNCTION("""COMPUTED_VALUE"""),"3975")</f>
        <v>3975</v>
      </c>
      <c r="G186" s="213" t="str">
        <f ca="1">IFERROR(__xludf.DUMMYFUNCTION("""COMPUTED_VALUE"""),"0019461")</f>
        <v>0019461</v>
      </c>
      <c r="H186" s="211" t="str">
        <f ca="1">IFERROR(__xludf.DUMMYFUNCTION("""COMPUTED_VALUE"""),"AEE")</f>
        <v>AEE</v>
      </c>
      <c r="I186" s="214">
        <f ca="1">IFERROR(__xludf.DUMMYFUNCTION("""COMPUTED_VALUE"""),244.799999999999)</f>
        <v>244.79999999999899</v>
      </c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  <c r="Z186" s="209"/>
    </row>
    <row r="187" spans="1:26" ht="18.75" customHeight="1">
      <c r="A187" s="210" t="str">
        <f ca="1">IFERROR(__xludf.DUMMYFUNCTION("""COMPUTED_VALUE"""),"Araguatins")</f>
        <v>Araguatins</v>
      </c>
      <c r="B187" s="210" t="str">
        <f ca="1">IFERROR(__xludf.DUMMYFUNCTION("""COMPUTED_VALUE"""),"Augustinopolis")</f>
        <v>Augustinopolis</v>
      </c>
      <c r="C187" s="211" t="str">
        <f ca="1">IFERROR(__xludf.DUMMYFUNCTION("""COMPUTED_VALUE"""),"A.A. DA ESCOLA EST. SANTA GENOVEVA")</f>
        <v>A.A. DA ESCOLA EST. SANTA GENOVEVA</v>
      </c>
      <c r="D187" s="212" t="str">
        <f ca="1">IFERROR(__xludf.DUMMYFUNCTION("""COMPUTED_VALUE"""),"01068357000174")</f>
        <v>01068357000174</v>
      </c>
      <c r="E187" s="212" t="str">
        <f ca="1">IFERROR(__xludf.DUMMYFUNCTION("""COMPUTED_VALUE"""),"001")</f>
        <v>001</v>
      </c>
      <c r="F187" s="212" t="str">
        <f ca="1">IFERROR(__xludf.DUMMYFUNCTION("""COMPUTED_VALUE"""),"3975")</f>
        <v>3975</v>
      </c>
      <c r="G187" s="213" t="str">
        <f ca="1">IFERROR(__xludf.DUMMYFUNCTION("""COMPUTED_VALUE"""),"0019461")</f>
        <v>0019461</v>
      </c>
      <c r="H187" s="211" t="str">
        <f ca="1">IFERROR(__xludf.DUMMYFUNCTION("""COMPUTED_VALUE"""),"ENSINO MEDIO PARCIAL")</f>
        <v>ENSINO MEDIO PARCIAL</v>
      </c>
      <c r="I187" s="214">
        <f ca="1">IFERROR(__xludf.DUMMYFUNCTION("""COMPUTED_VALUE"""),1530)</f>
        <v>1530</v>
      </c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  <c r="Z187" s="209"/>
    </row>
    <row r="188" spans="1:26" ht="18.75" customHeight="1">
      <c r="A188" s="210" t="str">
        <f ca="1">IFERROR(__xludf.DUMMYFUNCTION("""COMPUTED_VALUE"""),"Araguatins")</f>
        <v>Araguatins</v>
      </c>
      <c r="B188" s="210" t="str">
        <f ca="1">IFERROR(__xludf.DUMMYFUNCTION("""COMPUTED_VALUE"""),"Augustinopolis")</f>
        <v>Augustinopolis</v>
      </c>
      <c r="C188" s="211" t="str">
        <f ca="1">IFERROR(__xludf.DUMMYFUNCTION("""COMPUTED_VALUE"""),"A.A. ESCOLA ESTADUAL AUGUSTINOPOLIS")</f>
        <v>A.A. ESCOLA ESTADUAL AUGUSTINOPOLIS</v>
      </c>
      <c r="D188" s="212" t="str">
        <f ca="1">IFERROR(__xludf.DUMMYFUNCTION("""COMPUTED_VALUE"""),"01133692000109")</f>
        <v>01133692000109</v>
      </c>
      <c r="E188" s="212" t="str">
        <f ca="1">IFERROR(__xludf.DUMMYFUNCTION("""COMPUTED_VALUE"""),"001")</f>
        <v>001</v>
      </c>
      <c r="F188" s="212" t="str">
        <f ca="1">IFERROR(__xludf.DUMMYFUNCTION("""COMPUTED_VALUE"""),"3975")</f>
        <v>3975</v>
      </c>
      <c r="G188" s="213" t="str">
        <f ca="1">IFERROR(__xludf.DUMMYFUNCTION("""COMPUTED_VALUE"""),"019151")</f>
        <v>019151</v>
      </c>
      <c r="H188" s="211" t="str">
        <f ca="1">IFERROR(__xludf.DUMMYFUNCTION("""COMPUTED_VALUE"""),"ENS FUND INTEGRAL")</f>
        <v>ENS FUND INTEGRAL</v>
      </c>
      <c r="I188" s="214">
        <f ca="1">IFERROR(__xludf.DUMMYFUNCTION("""COMPUTED_VALUE"""),8631)</f>
        <v>8631</v>
      </c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</row>
    <row r="189" spans="1:26" ht="18.75" customHeight="1">
      <c r="A189" s="210" t="str">
        <f ca="1">IFERROR(__xludf.DUMMYFUNCTION("""COMPUTED_VALUE"""),"Araguatins")</f>
        <v>Araguatins</v>
      </c>
      <c r="B189" s="210" t="str">
        <f ca="1">IFERROR(__xludf.DUMMYFUNCTION("""COMPUTED_VALUE"""),"Augustinopolis")</f>
        <v>Augustinopolis</v>
      </c>
      <c r="C189" s="211" t="str">
        <f ca="1">IFERROR(__xludf.DUMMYFUNCTION("""COMPUTED_VALUE"""),"A.A. ESCOLA ESTADUAL AUGUSTINOPOLIS")</f>
        <v>A.A. ESCOLA ESTADUAL AUGUSTINOPOLIS</v>
      </c>
      <c r="D189" s="212" t="str">
        <f ca="1">IFERROR(__xludf.DUMMYFUNCTION("""COMPUTED_VALUE"""),"01133692000109")</f>
        <v>01133692000109</v>
      </c>
      <c r="E189" s="212" t="str">
        <f ca="1">IFERROR(__xludf.DUMMYFUNCTION("""COMPUTED_VALUE"""),"001")</f>
        <v>001</v>
      </c>
      <c r="F189" s="212" t="str">
        <f ca="1">IFERROR(__xludf.DUMMYFUNCTION("""COMPUTED_VALUE"""),"3975")</f>
        <v>3975</v>
      </c>
      <c r="G189" s="213" t="str">
        <f ca="1">IFERROR(__xludf.DUMMYFUNCTION("""COMPUTED_VALUE"""),"019151")</f>
        <v>019151</v>
      </c>
      <c r="H189" s="211" t="str">
        <f ca="1">IFERROR(__xludf.DUMMYFUNCTION("""COMPUTED_VALUE"""),"AEE")</f>
        <v>AEE</v>
      </c>
      <c r="I189" s="214">
        <f ca="1">IFERROR(__xludf.DUMMYFUNCTION("""COMPUTED_VALUE"""),176.799999999999)</f>
        <v>176.79999999999899</v>
      </c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</row>
    <row r="190" spans="1:26" ht="18.75" customHeight="1">
      <c r="A190" s="210" t="str">
        <f ca="1">IFERROR(__xludf.DUMMYFUNCTION("""COMPUTED_VALUE"""),"Araguatins")</f>
        <v>Araguatins</v>
      </c>
      <c r="B190" s="210" t="str">
        <f ca="1">IFERROR(__xludf.DUMMYFUNCTION("""COMPUTED_VALUE"""),"Augustinopolis")</f>
        <v>Augustinopolis</v>
      </c>
      <c r="C190" s="211" t="str">
        <f ca="1">IFERROR(__xludf.DUMMYFUNCTION("""COMPUTED_VALUE"""),"ASSOC. DE AP.ESC. EST. FAZ.DEZESSEIS")</f>
        <v>ASSOC. DE AP.ESC. EST. FAZ.DEZESSEIS</v>
      </c>
      <c r="D190" s="212" t="str">
        <f ca="1">IFERROR(__xludf.DUMMYFUNCTION("""COMPUTED_VALUE"""),"01133695000142")</f>
        <v>01133695000142</v>
      </c>
      <c r="E190" s="212" t="str">
        <f ca="1">IFERROR(__xludf.DUMMYFUNCTION("""COMPUTED_VALUE"""),"001")</f>
        <v>001</v>
      </c>
      <c r="F190" s="212" t="str">
        <f ca="1">IFERROR(__xludf.DUMMYFUNCTION("""COMPUTED_VALUE"""),"3975")</f>
        <v>3975</v>
      </c>
      <c r="G190" s="213" t="str">
        <f ca="1">IFERROR(__xludf.DUMMYFUNCTION("""COMPUTED_VALUE"""),"0019615")</f>
        <v>0019615</v>
      </c>
      <c r="H190" s="211" t="str">
        <f ca="1">IFERROR(__xludf.DUMMYFUNCTION("""COMPUTED_VALUE"""),"ENS FUND PARCIAL")</f>
        <v>ENS FUND PARCIAL</v>
      </c>
      <c r="I190" s="214">
        <f ca="1">IFERROR(__xludf.DUMMYFUNCTION("""COMPUTED_VALUE"""),1040)</f>
        <v>1040</v>
      </c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</row>
    <row r="191" spans="1:26" ht="18.75" customHeight="1">
      <c r="A191" s="210" t="str">
        <f ca="1">IFERROR(__xludf.DUMMYFUNCTION("""COMPUTED_VALUE"""),"Araguatins")</f>
        <v>Araguatins</v>
      </c>
      <c r="B191" s="210" t="str">
        <f ca="1">IFERROR(__xludf.DUMMYFUNCTION("""COMPUTED_VALUE"""),"Augustinopolis")</f>
        <v>Augustinopolis</v>
      </c>
      <c r="C191" s="211" t="str">
        <f ca="1">IFERROR(__xludf.DUMMYFUNCTION("""COMPUTED_VALUE"""),"ASSOC. DE AP.ESC. EST. FAZ.DEZESSEIS")</f>
        <v>ASSOC. DE AP.ESC. EST. FAZ.DEZESSEIS</v>
      </c>
      <c r="D191" s="212" t="str">
        <f ca="1">IFERROR(__xludf.DUMMYFUNCTION("""COMPUTED_VALUE"""),"01133695000142")</f>
        <v>01133695000142</v>
      </c>
      <c r="E191" s="212" t="str">
        <f ca="1">IFERROR(__xludf.DUMMYFUNCTION("""COMPUTED_VALUE"""),"001")</f>
        <v>001</v>
      </c>
      <c r="F191" s="212" t="str">
        <f ca="1">IFERROR(__xludf.DUMMYFUNCTION("""COMPUTED_VALUE"""),"3975")</f>
        <v>3975</v>
      </c>
      <c r="G191" s="213" t="str">
        <f ca="1">IFERROR(__xludf.DUMMYFUNCTION("""COMPUTED_VALUE"""),"0019615")</f>
        <v>0019615</v>
      </c>
      <c r="H191" s="211" t="str">
        <f ca="1">IFERROR(__xludf.DUMMYFUNCTION("""COMPUTED_VALUE"""),"AEE")</f>
        <v>AEE</v>
      </c>
      <c r="I191" s="214">
        <f ca="1">IFERROR(__xludf.DUMMYFUNCTION("""COMPUTED_VALUE"""),95.2)</f>
        <v>95.2</v>
      </c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</row>
    <row r="192" spans="1:26" ht="18.75" customHeight="1">
      <c r="A192" s="210" t="str">
        <f ca="1">IFERROR(__xludf.DUMMYFUNCTION("""COMPUTED_VALUE"""),"Araguatins")</f>
        <v>Araguatins</v>
      </c>
      <c r="B192" s="210" t="str">
        <f ca="1">IFERROR(__xludf.DUMMYFUNCTION("""COMPUTED_VALUE"""),"Augustinopolis")</f>
        <v>Augustinopolis</v>
      </c>
      <c r="C192" s="211" t="str">
        <f ca="1">IFERROR(__xludf.DUMMYFUNCTION("""COMPUTED_VALUE"""),"ASSOC. DE AP.ESC. EST. FAZ.DEZESSEIS")</f>
        <v>ASSOC. DE AP.ESC. EST. FAZ.DEZESSEIS</v>
      </c>
      <c r="D192" s="212" t="str">
        <f ca="1">IFERROR(__xludf.DUMMYFUNCTION("""COMPUTED_VALUE"""),"01133695000142")</f>
        <v>01133695000142</v>
      </c>
      <c r="E192" s="212" t="str">
        <f ca="1">IFERROR(__xludf.DUMMYFUNCTION("""COMPUTED_VALUE"""),"001")</f>
        <v>001</v>
      </c>
      <c r="F192" s="212" t="str">
        <f ca="1">IFERROR(__xludf.DUMMYFUNCTION("""COMPUTED_VALUE"""),"3975")</f>
        <v>3975</v>
      </c>
      <c r="G192" s="213" t="str">
        <f ca="1">IFERROR(__xludf.DUMMYFUNCTION("""COMPUTED_VALUE"""),"0019615")</f>
        <v>0019615</v>
      </c>
      <c r="H192" s="211" t="str">
        <f ca="1">IFERROR(__xludf.DUMMYFUNCTION("""COMPUTED_VALUE"""),"ENSINO MEDIO PARCIAL")</f>
        <v>ENSINO MEDIO PARCIAL</v>
      </c>
      <c r="I192" s="214">
        <f ca="1">IFERROR(__xludf.DUMMYFUNCTION("""COMPUTED_VALUE"""),440)</f>
        <v>440</v>
      </c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</row>
    <row r="193" spans="1:26" ht="18.75" customHeight="1">
      <c r="A193" s="210" t="str">
        <f ca="1">IFERROR(__xludf.DUMMYFUNCTION("""COMPUTED_VALUE"""),"Araguatins")</f>
        <v>Araguatins</v>
      </c>
      <c r="B193" s="210" t="str">
        <f ca="1">IFERROR(__xludf.DUMMYFUNCTION("""COMPUTED_VALUE"""),"Augustinopolis")</f>
        <v>Augustinopolis</v>
      </c>
      <c r="C193" s="211" t="str">
        <f ca="1">IFERROR(__xludf.DUMMYFUNCTION("""COMPUTED_VALUE"""),"ASSOC. DE AP.ESC. EST. FAZ.DEZESSEIS")</f>
        <v>ASSOC. DE AP.ESC. EST. FAZ.DEZESSEIS</v>
      </c>
      <c r="D193" s="212" t="str">
        <f ca="1">IFERROR(__xludf.DUMMYFUNCTION("""COMPUTED_VALUE"""),"01133695000142")</f>
        <v>01133695000142</v>
      </c>
      <c r="E193" s="212" t="str">
        <f ca="1">IFERROR(__xludf.DUMMYFUNCTION("""COMPUTED_VALUE"""),"001")</f>
        <v>001</v>
      </c>
      <c r="F193" s="212" t="str">
        <f ca="1">IFERROR(__xludf.DUMMYFUNCTION("""COMPUTED_VALUE"""),"3975")</f>
        <v>3975</v>
      </c>
      <c r="G193" s="213" t="str">
        <f ca="1">IFERROR(__xludf.DUMMYFUNCTION("""COMPUTED_VALUE"""),"0019615")</f>
        <v>0019615</v>
      </c>
      <c r="H193" s="211" t="str">
        <f ca="1">IFERROR(__xludf.DUMMYFUNCTION("""COMPUTED_VALUE"""),"EJA")</f>
        <v>EJA</v>
      </c>
      <c r="I193" s="214">
        <f ca="1">IFERROR(__xludf.DUMMYFUNCTION("""COMPUTED_VALUE"""),1221.8)</f>
        <v>1221.8</v>
      </c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</row>
    <row r="194" spans="1:26" ht="18.75" customHeight="1">
      <c r="A194" s="210" t="str">
        <f ca="1">IFERROR(__xludf.DUMMYFUNCTION("""COMPUTED_VALUE"""),"Araguatins")</f>
        <v>Araguatins</v>
      </c>
      <c r="B194" s="210" t="str">
        <f ca="1">IFERROR(__xludf.DUMMYFUNCTION("""COMPUTED_VALUE"""),"Augustinopolis")</f>
        <v>Augustinopolis</v>
      </c>
      <c r="C194" s="211" t="str">
        <f ca="1">IFERROR(__xludf.DUMMYFUNCTION("""COMPUTED_VALUE"""),"ASSOC. DE APOIO COL. EST. MANOEL VICENTE SOUZA")</f>
        <v>ASSOC. DE APOIO COL. EST. MANOEL VICENTE SOUZA</v>
      </c>
      <c r="D194" s="212" t="str">
        <f ca="1">IFERROR(__xludf.DUMMYFUNCTION("""COMPUTED_VALUE"""),"01223642000112")</f>
        <v>01223642000112</v>
      </c>
      <c r="E194" s="212" t="str">
        <f ca="1">IFERROR(__xludf.DUMMYFUNCTION("""COMPUTED_VALUE"""),"001")</f>
        <v>001</v>
      </c>
      <c r="F194" s="212" t="str">
        <f ca="1">IFERROR(__xludf.DUMMYFUNCTION("""COMPUTED_VALUE"""),"3975")</f>
        <v>3975</v>
      </c>
      <c r="G194" s="213" t="str">
        <f ca="1">IFERROR(__xludf.DUMMYFUNCTION("""COMPUTED_VALUE"""),"139297")</f>
        <v>139297</v>
      </c>
      <c r="H194" s="211" t="str">
        <f ca="1">IFERROR(__xludf.DUMMYFUNCTION("""COMPUTED_VALUE"""),"ENSINO MEDIO PARCIAL")</f>
        <v>ENSINO MEDIO PARCIAL</v>
      </c>
      <c r="I194" s="214">
        <f ca="1">IFERROR(__xludf.DUMMYFUNCTION("""COMPUTED_VALUE"""),1210)</f>
        <v>1210</v>
      </c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</row>
    <row r="195" spans="1:26" ht="18.75" customHeight="1">
      <c r="A195" s="210" t="str">
        <f ca="1">IFERROR(__xludf.DUMMYFUNCTION("""COMPUTED_VALUE"""),"Araguatins")</f>
        <v>Araguatins</v>
      </c>
      <c r="B195" s="210" t="str">
        <f ca="1">IFERROR(__xludf.DUMMYFUNCTION("""COMPUTED_VALUE"""),"Augustinopolis")</f>
        <v>Augustinopolis</v>
      </c>
      <c r="C195" s="211" t="str">
        <f ca="1">IFERROR(__xludf.DUMMYFUNCTION("""COMPUTED_VALUE"""),"ASSOC. DE APOIO COL. EST. MANOEL VICENTE SOUZA")</f>
        <v>ASSOC. DE APOIO COL. EST. MANOEL VICENTE SOUZA</v>
      </c>
      <c r="D195" s="212" t="str">
        <f ca="1">IFERROR(__xludf.DUMMYFUNCTION("""COMPUTED_VALUE"""),"01223642000112")</f>
        <v>01223642000112</v>
      </c>
      <c r="E195" s="212" t="str">
        <f ca="1">IFERROR(__xludf.DUMMYFUNCTION("""COMPUTED_VALUE"""),"001")</f>
        <v>001</v>
      </c>
      <c r="F195" s="212" t="str">
        <f ca="1">IFERROR(__xludf.DUMMYFUNCTION("""COMPUTED_VALUE"""),"3975")</f>
        <v>3975</v>
      </c>
      <c r="G195" s="213" t="str">
        <f ca="1">IFERROR(__xludf.DUMMYFUNCTION("""COMPUTED_VALUE"""),"139297")</f>
        <v>139297</v>
      </c>
      <c r="H195" s="211" t="str">
        <f ca="1">IFERROR(__xludf.DUMMYFUNCTION("""COMPUTED_VALUE"""),"JOVEM AÇÃO")</f>
        <v>JOVEM AÇÃO</v>
      </c>
      <c r="I195" s="214">
        <f ca="1">IFERROR(__xludf.DUMMYFUNCTION("""COMPUTED_VALUE"""),15155.2)</f>
        <v>15155.2</v>
      </c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</row>
    <row r="196" spans="1:26" ht="18.75" customHeight="1">
      <c r="A196" s="210" t="str">
        <f ca="1">IFERROR(__xludf.DUMMYFUNCTION("""COMPUTED_VALUE"""),"Araguatins")</f>
        <v>Araguatins</v>
      </c>
      <c r="B196" s="210" t="str">
        <f ca="1">IFERROR(__xludf.DUMMYFUNCTION("""COMPUTED_VALUE"""),"Augustinopolis")</f>
        <v>Augustinopolis</v>
      </c>
      <c r="C196" s="211" t="str">
        <f ca="1">IFERROR(__xludf.DUMMYFUNCTION("""COMPUTED_VALUE"""),"A.A. CENTRO EST. DE EDUCACAO LA SALLE")</f>
        <v>A.A. CENTRO EST. DE EDUCACAO LA SALLE</v>
      </c>
      <c r="D196" s="212" t="str">
        <f ca="1">IFERROR(__xludf.DUMMYFUNCTION("""COMPUTED_VALUE"""),"01223753000129")</f>
        <v>01223753000129</v>
      </c>
      <c r="E196" s="212" t="str">
        <f ca="1">IFERROR(__xludf.DUMMYFUNCTION("""COMPUTED_VALUE"""),"001")</f>
        <v>001</v>
      </c>
      <c r="F196" s="212" t="str">
        <f ca="1">IFERROR(__xludf.DUMMYFUNCTION("""COMPUTED_VALUE"""),"3975")</f>
        <v>3975</v>
      </c>
      <c r="G196" s="213" t="str">
        <f ca="1">IFERROR(__xludf.DUMMYFUNCTION("""COMPUTED_VALUE"""),"19216")</f>
        <v>19216</v>
      </c>
      <c r="H196" s="211" t="str">
        <f ca="1">IFERROR(__xludf.DUMMYFUNCTION("""COMPUTED_VALUE"""),"ENS FUND PARCIAL")</f>
        <v>ENS FUND PARCIAL</v>
      </c>
      <c r="I196" s="214">
        <f ca="1">IFERROR(__xludf.DUMMYFUNCTION("""COMPUTED_VALUE"""),4930)</f>
        <v>4930</v>
      </c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</row>
    <row r="197" spans="1:26" ht="18.75" customHeight="1">
      <c r="A197" s="210" t="str">
        <f ca="1">IFERROR(__xludf.DUMMYFUNCTION("""COMPUTED_VALUE"""),"Araguatins")</f>
        <v>Araguatins</v>
      </c>
      <c r="B197" s="210" t="str">
        <f ca="1">IFERROR(__xludf.DUMMYFUNCTION("""COMPUTED_VALUE"""),"Augustinopolis")</f>
        <v>Augustinopolis</v>
      </c>
      <c r="C197" s="211" t="str">
        <f ca="1">IFERROR(__xludf.DUMMYFUNCTION("""COMPUTED_VALUE"""),"A.A. CENTRO EST. DE EDUCACAO LA SALLE")</f>
        <v>A.A. CENTRO EST. DE EDUCACAO LA SALLE</v>
      </c>
      <c r="D197" s="212" t="str">
        <f ca="1">IFERROR(__xludf.DUMMYFUNCTION("""COMPUTED_VALUE"""),"01223753000129")</f>
        <v>01223753000129</v>
      </c>
      <c r="E197" s="212" t="str">
        <f ca="1">IFERROR(__xludf.DUMMYFUNCTION("""COMPUTED_VALUE"""),"001")</f>
        <v>001</v>
      </c>
      <c r="F197" s="212" t="str">
        <f ca="1">IFERROR(__xludf.DUMMYFUNCTION("""COMPUTED_VALUE"""),"3975")</f>
        <v>3975</v>
      </c>
      <c r="G197" s="213" t="str">
        <f ca="1">IFERROR(__xludf.DUMMYFUNCTION("""COMPUTED_VALUE"""),"19216")</f>
        <v>19216</v>
      </c>
      <c r="H197" s="211" t="str">
        <f ca="1">IFERROR(__xludf.DUMMYFUNCTION("""COMPUTED_VALUE"""),"AEE")</f>
        <v>AEE</v>
      </c>
      <c r="I197" s="214">
        <f ca="1">IFERROR(__xludf.DUMMYFUNCTION("""COMPUTED_VALUE"""),544)</f>
        <v>544</v>
      </c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9"/>
    </row>
    <row r="198" spans="1:26" ht="18.75" customHeight="1">
      <c r="A198" s="210" t="str">
        <f ca="1">IFERROR(__xludf.DUMMYFUNCTION("""COMPUTED_VALUE"""),"Araguatins")</f>
        <v>Araguatins</v>
      </c>
      <c r="B198" s="210" t="str">
        <f ca="1">IFERROR(__xludf.DUMMYFUNCTION("""COMPUTED_VALUE"""),"Augustinopolis")</f>
        <v>Augustinopolis</v>
      </c>
      <c r="C198" s="211" t="str">
        <f ca="1">IFERROR(__xludf.DUMMYFUNCTION("""COMPUTED_VALUE"""),"A.A. CENTRO EST. DE EDUCACAO LA SALLE")</f>
        <v>A.A. CENTRO EST. DE EDUCACAO LA SALLE</v>
      </c>
      <c r="D198" s="212" t="str">
        <f ca="1">IFERROR(__xludf.DUMMYFUNCTION("""COMPUTED_VALUE"""),"01223753000129")</f>
        <v>01223753000129</v>
      </c>
      <c r="E198" s="212" t="str">
        <f ca="1">IFERROR(__xludf.DUMMYFUNCTION("""COMPUTED_VALUE"""),"001")</f>
        <v>001</v>
      </c>
      <c r="F198" s="212" t="str">
        <f ca="1">IFERROR(__xludf.DUMMYFUNCTION("""COMPUTED_VALUE"""),"3975")</f>
        <v>3975</v>
      </c>
      <c r="G198" s="213" t="str">
        <f ca="1">IFERROR(__xludf.DUMMYFUNCTION("""COMPUTED_VALUE"""),"19216")</f>
        <v>19216</v>
      </c>
      <c r="H198" s="211" t="str">
        <f ca="1">IFERROR(__xludf.DUMMYFUNCTION("""COMPUTED_VALUE"""),"ENSINO MEDIO PARCIAL")</f>
        <v>ENSINO MEDIO PARCIAL</v>
      </c>
      <c r="I198" s="214">
        <f ca="1">IFERROR(__xludf.DUMMYFUNCTION("""COMPUTED_VALUE"""),2200)</f>
        <v>2200</v>
      </c>
      <c r="J198" s="209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  <c r="Z198" s="209"/>
    </row>
    <row r="199" spans="1:26" ht="18.75" customHeight="1">
      <c r="A199" s="210" t="str">
        <f ca="1">IFERROR(__xludf.DUMMYFUNCTION("""COMPUTED_VALUE"""),"Araguatins")</f>
        <v>Araguatins</v>
      </c>
      <c r="B199" s="210" t="str">
        <f ca="1">IFERROR(__xludf.DUMMYFUNCTION("""COMPUTED_VALUE"""),"Axixa do Tocantins")</f>
        <v>Axixa do Tocantins</v>
      </c>
      <c r="C199" s="211" t="str">
        <f ca="1">IFERROR(__xludf.DUMMYFUNCTION("""COMPUTED_VALUE"""),"ASSOC. DE APOIO COLÉGIO. EST. MAL. RIBAS JUNIOR")</f>
        <v>ASSOC. DE APOIO COLÉGIO. EST. MAL. RIBAS JUNIOR</v>
      </c>
      <c r="D199" s="212" t="str">
        <f ca="1">IFERROR(__xludf.DUMMYFUNCTION("""COMPUTED_VALUE"""),"01086979000125")</f>
        <v>01086979000125</v>
      </c>
      <c r="E199" s="212" t="str">
        <f ca="1">IFERROR(__xludf.DUMMYFUNCTION("""COMPUTED_VALUE"""),"001")</f>
        <v>001</v>
      </c>
      <c r="F199" s="212" t="str">
        <f ca="1">IFERROR(__xludf.DUMMYFUNCTION("""COMPUTED_VALUE"""),"1305")</f>
        <v>1305</v>
      </c>
      <c r="G199" s="213" t="str">
        <f ca="1">IFERROR(__xludf.DUMMYFUNCTION("""COMPUTED_VALUE"""),"209201")</f>
        <v>209201</v>
      </c>
      <c r="H199" s="211" t="str">
        <f ca="1">IFERROR(__xludf.DUMMYFUNCTION("""COMPUTED_VALUE"""),"AEE")</f>
        <v>AEE</v>
      </c>
      <c r="I199" s="214">
        <f ca="1">IFERROR(__xludf.DUMMYFUNCTION("""COMPUTED_VALUE"""),176.799999999999)</f>
        <v>176.79999999999899</v>
      </c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9"/>
    </row>
    <row r="200" spans="1:26" ht="18.75" customHeight="1">
      <c r="A200" s="210" t="str">
        <f ca="1">IFERROR(__xludf.DUMMYFUNCTION("""COMPUTED_VALUE"""),"Araguatins")</f>
        <v>Araguatins</v>
      </c>
      <c r="B200" s="210" t="str">
        <f ca="1">IFERROR(__xludf.DUMMYFUNCTION("""COMPUTED_VALUE"""),"Axixa do Tocantins")</f>
        <v>Axixa do Tocantins</v>
      </c>
      <c r="C200" s="211" t="str">
        <f ca="1">IFERROR(__xludf.DUMMYFUNCTION("""COMPUTED_VALUE"""),"ASSOC. DE APOIO COLÉGIO. EST. MAL. RIBAS JUNIOR")</f>
        <v>ASSOC. DE APOIO COLÉGIO. EST. MAL. RIBAS JUNIOR</v>
      </c>
      <c r="D200" s="212" t="str">
        <f ca="1">IFERROR(__xludf.DUMMYFUNCTION("""COMPUTED_VALUE"""),"01086979000125")</f>
        <v>01086979000125</v>
      </c>
      <c r="E200" s="212" t="str">
        <f ca="1">IFERROR(__xludf.DUMMYFUNCTION("""COMPUTED_VALUE"""),"001")</f>
        <v>001</v>
      </c>
      <c r="F200" s="212" t="str">
        <f ca="1">IFERROR(__xludf.DUMMYFUNCTION("""COMPUTED_VALUE"""),"1305")</f>
        <v>1305</v>
      </c>
      <c r="G200" s="213" t="str">
        <f ca="1">IFERROR(__xludf.DUMMYFUNCTION("""COMPUTED_VALUE"""),"209201")</f>
        <v>209201</v>
      </c>
      <c r="H200" s="211" t="str">
        <f ca="1">IFERROR(__xludf.DUMMYFUNCTION("""COMPUTED_VALUE"""),"ENSINO MEDIO PARCIAL")</f>
        <v>ENSINO MEDIO PARCIAL</v>
      </c>
      <c r="I200" s="214">
        <f ca="1">IFERROR(__xludf.DUMMYFUNCTION("""COMPUTED_VALUE"""),5940)</f>
        <v>5940</v>
      </c>
      <c r="J200" s="209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9"/>
    </row>
    <row r="201" spans="1:26" ht="18.75" customHeight="1">
      <c r="A201" s="210" t="str">
        <f ca="1">IFERROR(__xludf.DUMMYFUNCTION("""COMPUTED_VALUE"""),"Araguatins")</f>
        <v>Araguatins</v>
      </c>
      <c r="B201" s="210" t="str">
        <f ca="1">IFERROR(__xludf.DUMMYFUNCTION("""COMPUTED_VALUE"""),"Axixa do Tocantins")</f>
        <v>Axixa do Tocantins</v>
      </c>
      <c r="C201" s="211" t="str">
        <f ca="1">IFERROR(__xludf.DUMMYFUNCTION("""COMPUTED_VALUE"""),"A.A. ESC. EST. SAO FRANCISCO DE ASSIS")</f>
        <v>A.A. ESC. EST. SAO FRANCISCO DE ASSIS</v>
      </c>
      <c r="D201" s="212" t="str">
        <f ca="1">IFERROR(__xludf.DUMMYFUNCTION("""COMPUTED_VALUE"""),"01086980000150")</f>
        <v>01086980000150</v>
      </c>
      <c r="E201" s="212" t="str">
        <f ca="1">IFERROR(__xludf.DUMMYFUNCTION("""COMPUTED_VALUE"""),"001")</f>
        <v>001</v>
      </c>
      <c r="F201" s="212" t="str">
        <f ca="1">IFERROR(__xludf.DUMMYFUNCTION("""COMPUTED_VALUE"""),"1305")</f>
        <v>1305</v>
      </c>
      <c r="G201" s="213" t="str">
        <f ca="1">IFERROR(__xludf.DUMMYFUNCTION("""COMPUTED_VALUE"""),"19399")</f>
        <v>19399</v>
      </c>
      <c r="H201" s="211" t="str">
        <f ca="1">IFERROR(__xludf.DUMMYFUNCTION("""COMPUTED_VALUE"""),"ENS FUND PARCIAL")</f>
        <v>ENS FUND PARCIAL</v>
      </c>
      <c r="I201" s="214">
        <f ca="1">IFERROR(__xludf.DUMMYFUNCTION("""COMPUTED_VALUE"""),2160)</f>
        <v>2160</v>
      </c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  <c r="Z201" s="209"/>
    </row>
    <row r="202" spans="1:26" ht="18.75" customHeight="1">
      <c r="A202" s="210" t="str">
        <f ca="1">IFERROR(__xludf.DUMMYFUNCTION("""COMPUTED_VALUE"""),"Araguatins")</f>
        <v>Araguatins</v>
      </c>
      <c r="B202" s="210" t="str">
        <f ca="1">IFERROR(__xludf.DUMMYFUNCTION("""COMPUTED_VALUE"""),"Axixa do Tocantins")</f>
        <v>Axixa do Tocantins</v>
      </c>
      <c r="C202" s="211" t="str">
        <f ca="1">IFERROR(__xludf.DUMMYFUNCTION("""COMPUTED_VALUE"""),"A.A. ESC. EST. SAO FRANCISCO DE ASSIS")</f>
        <v>A.A. ESC. EST. SAO FRANCISCO DE ASSIS</v>
      </c>
      <c r="D202" s="212" t="str">
        <f ca="1">IFERROR(__xludf.DUMMYFUNCTION("""COMPUTED_VALUE"""),"01086980000150")</f>
        <v>01086980000150</v>
      </c>
      <c r="E202" s="212" t="str">
        <f ca="1">IFERROR(__xludf.DUMMYFUNCTION("""COMPUTED_VALUE"""),"001")</f>
        <v>001</v>
      </c>
      <c r="F202" s="212" t="str">
        <f ca="1">IFERROR(__xludf.DUMMYFUNCTION("""COMPUTED_VALUE"""),"1305")</f>
        <v>1305</v>
      </c>
      <c r="G202" s="213" t="str">
        <f ca="1">IFERROR(__xludf.DUMMYFUNCTION("""COMPUTED_VALUE"""),"19399")</f>
        <v>19399</v>
      </c>
      <c r="H202" s="211" t="str">
        <f ca="1">IFERROR(__xludf.DUMMYFUNCTION("""COMPUTED_VALUE"""),"AEE")</f>
        <v>AEE</v>
      </c>
      <c r="I202" s="214">
        <f ca="1">IFERROR(__xludf.DUMMYFUNCTION("""COMPUTED_VALUE"""),190.4)</f>
        <v>190.4</v>
      </c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</row>
    <row r="203" spans="1:26" ht="18.75" customHeight="1">
      <c r="A203" s="210" t="str">
        <f ca="1">IFERROR(__xludf.DUMMYFUNCTION("""COMPUTED_VALUE"""),"Araguatins")</f>
        <v>Araguatins</v>
      </c>
      <c r="B203" s="210" t="str">
        <f ca="1">IFERROR(__xludf.DUMMYFUNCTION("""COMPUTED_VALUE"""),"Buriti do Tocantins")</f>
        <v>Buriti do Tocantins</v>
      </c>
      <c r="C203" s="211" t="str">
        <f ca="1">IFERROR(__xludf.DUMMYFUNCTION("""COMPUTED_VALUE"""),"A.A. ESC. E.PRES.TANCREDO DE A.NEVES")</f>
        <v>A.A. ESC. E.PRES.TANCREDO DE A.NEVES</v>
      </c>
      <c r="D203" s="212" t="str">
        <f ca="1">IFERROR(__xludf.DUMMYFUNCTION("""COMPUTED_VALUE"""),"01112478000176")</f>
        <v>01112478000176</v>
      </c>
      <c r="E203" s="212" t="str">
        <f ca="1">IFERROR(__xludf.DUMMYFUNCTION("""COMPUTED_VALUE"""),"001")</f>
        <v>001</v>
      </c>
      <c r="F203" s="212" t="str">
        <f ca="1">IFERROR(__xludf.DUMMYFUNCTION("""COMPUTED_VALUE"""),"1305")</f>
        <v>1305</v>
      </c>
      <c r="G203" s="213" t="str">
        <f ca="1">IFERROR(__xludf.DUMMYFUNCTION("""COMPUTED_VALUE"""),"10924X")</f>
        <v>10924X</v>
      </c>
      <c r="H203" s="211" t="str">
        <f ca="1">IFERROR(__xludf.DUMMYFUNCTION("""COMPUTED_VALUE"""),"ENS FUND PARCIAL")</f>
        <v>ENS FUND PARCIAL</v>
      </c>
      <c r="I203" s="214">
        <f ca="1">IFERROR(__xludf.DUMMYFUNCTION("""COMPUTED_VALUE"""),1720)</f>
        <v>1720</v>
      </c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</row>
    <row r="204" spans="1:26" ht="18.75" customHeight="1">
      <c r="A204" s="210" t="str">
        <f ca="1">IFERROR(__xludf.DUMMYFUNCTION("""COMPUTED_VALUE"""),"Araguatins")</f>
        <v>Araguatins</v>
      </c>
      <c r="B204" s="210" t="str">
        <f ca="1">IFERROR(__xludf.DUMMYFUNCTION("""COMPUTED_VALUE"""),"Buriti do Tocantins")</f>
        <v>Buriti do Tocantins</v>
      </c>
      <c r="C204" s="211" t="str">
        <f ca="1">IFERROR(__xludf.DUMMYFUNCTION("""COMPUTED_VALUE"""),"A.A. ESC. E.PRES.TANCREDO DE A.NEVES")</f>
        <v>A.A. ESC. E.PRES.TANCREDO DE A.NEVES</v>
      </c>
      <c r="D204" s="212" t="str">
        <f ca="1">IFERROR(__xludf.DUMMYFUNCTION("""COMPUTED_VALUE"""),"01112478000176")</f>
        <v>01112478000176</v>
      </c>
      <c r="E204" s="212" t="str">
        <f ca="1">IFERROR(__xludf.DUMMYFUNCTION("""COMPUTED_VALUE"""),"001")</f>
        <v>001</v>
      </c>
      <c r="F204" s="212" t="str">
        <f ca="1">IFERROR(__xludf.DUMMYFUNCTION("""COMPUTED_VALUE"""),"1305")</f>
        <v>1305</v>
      </c>
      <c r="G204" s="213" t="str">
        <f ca="1">IFERROR(__xludf.DUMMYFUNCTION("""COMPUTED_VALUE"""),"10924X")</f>
        <v>10924X</v>
      </c>
      <c r="H204" s="211" t="str">
        <f ca="1">IFERROR(__xludf.DUMMYFUNCTION("""COMPUTED_VALUE"""),"AEE")</f>
        <v>AEE</v>
      </c>
      <c r="I204" s="214">
        <f ca="1">IFERROR(__xludf.DUMMYFUNCTION("""COMPUTED_VALUE"""),489.599999999999)</f>
        <v>489.599999999999</v>
      </c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</row>
    <row r="205" spans="1:26" ht="18.75" customHeight="1">
      <c r="A205" s="210" t="str">
        <f ca="1">IFERROR(__xludf.DUMMYFUNCTION("""COMPUTED_VALUE"""),"Araguatins")</f>
        <v>Araguatins</v>
      </c>
      <c r="B205" s="210" t="str">
        <f ca="1">IFERROR(__xludf.DUMMYFUNCTION("""COMPUTED_VALUE"""),"Buriti do Tocantins")</f>
        <v>Buriti do Tocantins</v>
      </c>
      <c r="C205" s="211" t="str">
        <f ca="1">IFERROR(__xludf.DUMMYFUNCTION("""COMPUTED_VALUE"""),"A.A. DA ESCOLA ESTADUAL DARCYNOPOLIS")</f>
        <v>A.A. DA ESCOLA ESTADUAL DARCYNOPOLIS</v>
      </c>
      <c r="D205" s="212" t="str">
        <f ca="1">IFERROR(__xludf.DUMMYFUNCTION("""COMPUTED_VALUE"""),"01190184000162")</f>
        <v>01190184000162</v>
      </c>
      <c r="E205" s="212" t="str">
        <f ca="1">IFERROR(__xludf.DUMMYFUNCTION("""COMPUTED_VALUE"""),"001")</f>
        <v>001</v>
      </c>
      <c r="F205" s="212" t="str">
        <f ca="1">IFERROR(__xludf.DUMMYFUNCTION("""COMPUTED_VALUE"""),"3975")</f>
        <v>3975</v>
      </c>
      <c r="G205" s="213" t="str">
        <f ca="1">IFERROR(__xludf.DUMMYFUNCTION("""COMPUTED_VALUE"""),"0019275")</f>
        <v>0019275</v>
      </c>
      <c r="H205" s="211" t="str">
        <f ca="1">IFERROR(__xludf.DUMMYFUNCTION("""COMPUTED_VALUE"""),"ENS FUND PARCIAL")</f>
        <v>ENS FUND PARCIAL</v>
      </c>
      <c r="I205" s="214">
        <f ca="1">IFERROR(__xludf.DUMMYFUNCTION("""COMPUTED_VALUE"""),1000)</f>
        <v>1000</v>
      </c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</row>
    <row r="206" spans="1:26" ht="18.75" customHeight="1">
      <c r="A206" s="210" t="str">
        <f ca="1">IFERROR(__xludf.DUMMYFUNCTION("""COMPUTED_VALUE"""),"Araguatins")</f>
        <v>Araguatins</v>
      </c>
      <c r="B206" s="210" t="str">
        <f ca="1">IFERROR(__xludf.DUMMYFUNCTION("""COMPUTED_VALUE"""),"Buriti do Tocantins")</f>
        <v>Buriti do Tocantins</v>
      </c>
      <c r="C206" s="211" t="str">
        <f ca="1">IFERROR(__xludf.DUMMYFUNCTION("""COMPUTED_VALUE"""),"A.A. DA ESCOLA ESTADUAL DARCYNOPOLIS")</f>
        <v>A.A. DA ESCOLA ESTADUAL DARCYNOPOLIS</v>
      </c>
      <c r="D206" s="212" t="str">
        <f ca="1">IFERROR(__xludf.DUMMYFUNCTION("""COMPUTED_VALUE"""),"01190184000162")</f>
        <v>01190184000162</v>
      </c>
      <c r="E206" s="212" t="str">
        <f ca="1">IFERROR(__xludf.DUMMYFUNCTION("""COMPUTED_VALUE"""),"001")</f>
        <v>001</v>
      </c>
      <c r="F206" s="212" t="str">
        <f ca="1">IFERROR(__xludf.DUMMYFUNCTION("""COMPUTED_VALUE"""),"3975")</f>
        <v>3975</v>
      </c>
      <c r="G206" s="213" t="str">
        <f ca="1">IFERROR(__xludf.DUMMYFUNCTION("""COMPUTED_VALUE"""),"0019275")</f>
        <v>0019275</v>
      </c>
      <c r="H206" s="211" t="str">
        <f ca="1">IFERROR(__xludf.DUMMYFUNCTION("""COMPUTED_VALUE"""),"AEE")</f>
        <v>AEE</v>
      </c>
      <c r="I206" s="214">
        <f ca="1">IFERROR(__xludf.DUMMYFUNCTION("""COMPUTED_VALUE"""),217.6)</f>
        <v>217.6</v>
      </c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</row>
    <row r="207" spans="1:26" ht="18.75" customHeight="1">
      <c r="A207" s="210" t="str">
        <f ca="1">IFERROR(__xludf.DUMMYFUNCTION("""COMPUTED_VALUE"""),"Araguatins")</f>
        <v>Araguatins</v>
      </c>
      <c r="B207" s="210" t="str">
        <f ca="1">IFERROR(__xludf.DUMMYFUNCTION("""COMPUTED_VALUE"""),"Buriti do Tocantins")</f>
        <v>Buriti do Tocantins</v>
      </c>
      <c r="C207" s="211" t="str">
        <f ca="1">IFERROR(__xludf.DUMMYFUNCTION("""COMPUTED_VALUE"""),"A.A. DA ESCOLA ESTADUAL DARCYNOPOLIS")</f>
        <v>A.A. DA ESCOLA ESTADUAL DARCYNOPOLIS</v>
      </c>
      <c r="D207" s="212" t="str">
        <f ca="1">IFERROR(__xludf.DUMMYFUNCTION("""COMPUTED_VALUE"""),"01190184000162")</f>
        <v>01190184000162</v>
      </c>
      <c r="E207" s="212" t="str">
        <f ca="1">IFERROR(__xludf.DUMMYFUNCTION("""COMPUTED_VALUE"""),"001")</f>
        <v>001</v>
      </c>
      <c r="F207" s="212" t="str">
        <f ca="1">IFERROR(__xludf.DUMMYFUNCTION("""COMPUTED_VALUE"""),"3975")</f>
        <v>3975</v>
      </c>
      <c r="G207" s="213" t="str">
        <f ca="1">IFERROR(__xludf.DUMMYFUNCTION("""COMPUTED_VALUE"""),"0019275")</f>
        <v>0019275</v>
      </c>
      <c r="H207" s="211" t="str">
        <f ca="1">IFERROR(__xludf.DUMMYFUNCTION("""COMPUTED_VALUE"""),"ENSINO MEDIO PARCIAL")</f>
        <v>ENSINO MEDIO PARCIAL</v>
      </c>
      <c r="I207" s="214">
        <f ca="1">IFERROR(__xludf.DUMMYFUNCTION("""COMPUTED_VALUE"""),430)</f>
        <v>430</v>
      </c>
      <c r="J207" s="209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  <c r="Z207" s="209"/>
    </row>
    <row r="208" spans="1:26" ht="18.75" customHeight="1">
      <c r="A208" s="210" t="str">
        <f ca="1">IFERROR(__xludf.DUMMYFUNCTION("""COMPUTED_VALUE"""),"Araguatins")</f>
        <v>Araguatins</v>
      </c>
      <c r="B208" s="210" t="str">
        <f ca="1">IFERROR(__xludf.DUMMYFUNCTION("""COMPUTED_VALUE"""),"Buriti do Tocantins")</f>
        <v>Buriti do Tocantins</v>
      </c>
      <c r="C208" s="211" t="str">
        <f ca="1">IFERROR(__xludf.DUMMYFUNCTION("""COMPUTED_VALUE"""),"A. DE APOIO DO COLEGIO EST. BURITI")</f>
        <v>A. DE APOIO DO COLEGIO EST. BURITI</v>
      </c>
      <c r="D208" s="212" t="str">
        <f ca="1">IFERROR(__xludf.DUMMYFUNCTION("""COMPUTED_VALUE"""),"01206217000115")</f>
        <v>01206217000115</v>
      </c>
      <c r="E208" s="212" t="str">
        <f ca="1">IFERROR(__xludf.DUMMYFUNCTION("""COMPUTED_VALUE"""),"001")</f>
        <v>001</v>
      </c>
      <c r="F208" s="212" t="str">
        <f ca="1">IFERROR(__xludf.DUMMYFUNCTION("""COMPUTED_VALUE"""),"1305")</f>
        <v>1305</v>
      </c>
      <c r="G208" s="213" t="str">
        <f ca="1">IFERROR(__xludf.DUMMYFUNCTION("""COMPUTED_VALUE"""),"209406")</f>
        <v>209406</v>
      </c>
      <c r="H208" s="211" t="str">
        <f ca="1">IFERROR(__xludf.DUMMYFUNCTION("""COMPUTED_VALUE"""),"JOVEM AÇÃO")</f>
        <v>JOVEM AÇÃO</v>
      </c>
      <c r="I208" s="214">
        <f ca="1">IFERROR(__xludf.DUMMYFUNCTION("""COMPUTED_VALUE"""),8857.6)</f>
        <v>8857.6</v>
      </c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9"/>
    </row>
    <row r="209" spans="1:26" ht="18.75" customHeight="1">
      <c r="A209" s="210" t="str">
        <f ca="1">IFERROR(__xludf.DUMMYFUNCTION("""COMPUTED_VALUE"""),"Araguatins")</f>
        <v>Araguatins</v>
      </c>
      <c r="B209" s="210" t="str">
        <f ca="1">IFERROR(__xludf.DUMMYFUNCTION("""COMPUTED_VALUE"""),"Buriti do Tocantins")</f>
        <v>Buriti do Tocantins</v>
      </c>
      <c r="C209" s="211" t="str">
        <f ca="1">IFERROR(__xludf.DUMMYFUNCTION("""COMPUTED_VALUE"""),"A.A. ESC. ESTADUAL MINISTRO NEY BRAGA")</f>
        <v>A.A. ESC. ESTADUAL MINISTRO NEY BRAGA</v>
      </c>
      <c r="D209" s="212" t="str">
        <f ca="1">IFERROR(__xludf.DUMMYFUNCTION("""COMPUTED_VALUE"""),"01206220000139")</f>
        <v>01206220000139</v>
      </c>
      <c r="E209" s="212" t="str">
        <f ca="1">IFERROR(__xludf.DUMMYFUNCTION("""COMPUTED_VALUE"""),"001")</f>
        <v>001</v>
      </c>
      <c r="F209" s="212" t="str">
        <f ca="1">IFERROR(__xludf.DUMMYFUNCTION("""COMPUTED_VALUE"""),"1305")</f>
        <v>1305</v>
      </c>
      <c r="G209" s="213" t="str">
        <f ca="1">IFERROR(__xludf.DUMMYFUNCTION("""COMPUTED_VALUE"""),"10941X")</f>
        <v>10941X</v>
      </c>
      <c r="H209" s="211" t="str">
        <f ca="1">IFERROR(__xludf.DUMMYFUNCTION("""COMPUTED_VALUE"""),"ENS FUND PARCIAL")</f>
        <v>ENS FUND PARCIAL</v>
      </c>
      <c r="I209" s="214">
        <f ca="1">IFERROR(__xludf.DUMMYFUNCTION("""COMPUTED_VALUE"""),550)</f>
        <v>550</v>
      </c>
      <c r="J209" s="209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  <c r="Z209" s="209"/>
    </row>
    <row r="210" spans="1:26" ht="18.75" customHeight="1">
      <c r="A210" s="210" t="str">
        <f ca="1">IFERROR(__xludf.DUMMYFUNCTION("""COMPUTED_VALUE"""),"Araguatins")</f>
        <v>Araguatins</v>
      </c>
      <c r="B210" s="210" t="str">
        <f ca="1">IFERROR(__xludf.DUMMYFUNCTION("""COMPUTED_VALUE"""),"Buriti do Tocantins")</f>
        <v>Buriti do Tocantins</v>
      </c>
      <c r="C210" s="211" t="str">
        <f ca="1">IFERROR(__xludf.DUMMYFUNCTION("""COMPUTED_VALUE"""),"A.A. ESC. ESTADUAL MINISTRO NEY BRAGA")</f>
        <v>A.A. ESC. ESTADUAL MINISTRO NEY BRAGA</v>
      </c>
      <c r="D210" s="212" t="str">
        <f ca="1">IFERROR(__xludf.DUMMYFUNCTION("""COMPUTED_VALUE"""),"01206220000139")</f>
        <v>01206220000139</v>
      </c>
      <c r="E210" s="212" t="str">
        <f ca="1">IFERROR(__xludf.DUMMYFUNCTION("""COMPUTED_VALUE"""),"001")</f>
        <v>001</v>
      </c>
      <c r="F210" s="212" t="str">
        <f ca="1">IFERROR(__xludf.DUMMYFUNCTION("""COMPUTED_VALUE"""),"1305")</f>
        <v>1305</v>
      </c>
      <c r="G210" s="213" t="str">
        <f ca="1">IFERROR(__xludf.DUMMYFUNCTION("""COMPUTED_VALUE"""),"10941X")</f>
        <v>10941X</v>
      </c>
      <c r="H210" s="211" t="str">
        <f ca="1">IFERROR(__xludf.DUMMYFUNCTION("""COMPUTED_VALUE"""),"AEE")</f>
        <v>AEE</v>
      </c>
      <c r="I210" s="214">
        <f ca="1">IFERROR(__xludf.DUMMYFUNCTION("""COMPUTED_VALUE"""),176.799999999999)</f>
        <v>176.79999999999899</v>
      </c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9"/>
    </row>
    <row r="211" spans="1:26" ht="18.75" customHeight="1">
      <c r="A211" s="210" t="str">
        <f ca="1">IFERROR(__xludf.DUMMYFUNCTION("""COMPUTED_VALUE"""),"Araguatins")</f>
        <v>Araguatins</v>
      </c>
      <c r="B211" s="210" t="str">
        <f ca="1">IFERROR(__xludf.DUMMYFUNCTION("""COMPUTED_VALUE"""),"Buriti do Tocantins")</f>
        <v>Buriti do Tocantins</v>
      </c>
      <c r="C211" s="211" t="str">
        <f ca="1">IFERROR(__xludf.DUMMYFUNCTION("""COMPUTED_VALUE"""),"A.A. ESC. ESTADUAL MINISTRO NEY BRAGA")</f>
        <v>A.A. ESC. ESTADUAL MINISTRO NEY BRAGA</v>
      </c>
      <c r="D211" s="212" t="str">
        <f ca="1">IFERROR(__xludf.DUMMYFUNCTION("""COMPUTED_VALUE"""),"01206220000139")</f>
        <v>01206220000139</v>
      </c>
      <c r="E211" s="212" t="str">
        <f ca="1">IFERROR(__xludf.DUMMYFUNCTION("""COMPUTED_VALUE"""),"001")</f>
        <v>001</v>
      </c>
      <c r="F211" s="212" t="str">
        <f ca="1">IFERROR(__xludf.DUMMYFUNCTION("""COMPUTED_VALUE"""),"1305")</f>
        <v>1305</v>
      </c>
      <c r="G211" s="213" t="str">
        <f ca="1">IFERROR(__xludf.DUMMYFUNCTION("""COMPUTED_VALUE"""),"10941X")</f>
        <v>10941X</v>
      </c>
      <c r="H211" s="211" t="str">
        <f ca="1">IFERROR(__xludf.DUMMYFUNCTION("""COMPUTED_VALUE"""),"ENSINO MEDIO PARCIAL")</f>
        <v>ENSINO MEDIO PARCIAL</v>
      </c>
      <c r="I211" s="214">
        <f ca="1">IFERROR(__xludf.DUMMYFUNCTION("""COMPUTED_VALUE"""),510)</f>
        <v>510</v>
      </c>
      <c r="J211" s="209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  <c r="Z211" s="209"/>
    </row>
    <row r="212" spans="1:26" ht="18.75" customHeight="1">
      <c r="A212" s="210" t="str">
        <f ca="1">IFERROR(__xludf.DUMMYFUNCTION("""COMPUTED_VALUE"""),"Araguatins")</f>
        <v>Araguatins</v>
      </c>
      <c r="B212" s="210" t="str">
        <f ca="1">IFERROR(__xludf.DUMMYFUNCTION("""COMPUTED_VALUE"""),"Buriti do Tocantins")</f>
        <v>Buriti do Tocantins</v>
      </c>
      <c r="C212" s="211" t="str">
        <f ca="1">IFERROR(__xludf.DUMMYFUNCTION("""COMPUTED_VALUE"""),"A.A. ESC. ESTADUAL MINISTRO NEY BRAGA")</f>
        <v>A.A. ESC. ESTADUAL MINISTRO NEY BRAGA</v>
      </c>
      <c r="D212" s="212" t="str">
        <f ca="1">IFERROR(__xludf.DUMMYFUNCTION("""COMPUTED_VALUE"""),"01206220000139")</f>
        <v>01206220000139</v>
      </c>
      <c r="E212" s="212" t="str">
        <f ca="1">IFERROR(__xludf.DUMMYFUNCTION("""COMPUTED_VALUE"""),"001")</f>
        <v>001</v>
      </c>
      <c r="F212" s="212" t="str">
        <f ca="1">IFERROR(__xludf.DUMMYFUNCTION("""COMPUTED_VALUE"""),"1305")</f>
        <v>1305</v>
      </c>
      <c r="G212" s="213" t="str">
        <f ca="1">IFERROR(__xludf.DUMMYFUNCTION("""COMPUTED_VALUE"""),"10941X")</f>
        <v>10941X</v>
      </c>
      <c r="H212" s="211" t="str">
        <f ca="1">IFERROR(__xludf.DUMMYFUNCTION("""COMPUTED_VALUE"""),"EJA")</f>
        <v>EJA</v>
      </c>
      <c r="I212" s="214">
        <f ca="1">IFERROR(__xludf.DUMMYFUNCTION("""COMPUTED_VALUE"""),82)</f>
        <v>82</v>
      </c>
      <c r="J212" s="209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  <c r="Z212" s="209"/>
    </row>
    <row r="213" spans="1:26" ht="18.75" customHeight="1">
      <c r="A213" s="210" t="str">
        <f ca="1">IFERROR(__xludf.DUMMYFUNCTION("""COMPUTED_VALUE"""),"Araguatins")</f>
        <v>Araguatins</v>
      </c>
      <c r="B213" s="210" t="str">
        <f ca="1">IFERROR(__xludf.DUMMYFUNCTION("""COMPUTED_VALUE"""),"Buriti do Tocantins")</f>
        <v>Buriti do Tocantins</v>
      </c>
      <c r="C213" s="211" t="str">
        <f ca="1">IFERROR(__xludf.DUMMYFUNCTION("""COMPUTED_VALUE"""),"A.A. ESC. EST. VICENTE CARLOS DE SOUSA")</f>
        <v>A.A. ESC. EST. VICENTE CARLOS DE SOUSA</v>
      </c>
      <c r="D213" s="212" t="str">
        <f ca="1">IFERROR(__xludf.DUMMYFUNCTION("""COMPUTED_VALUE"""),"01206288000118")</f>
        <v>01206288000118</v>
      </c>
      <c r="E213" s="212" t="str">
        <f ca="1">IFERROR(__xludf.DUMMYFUNCTION("""COMPUTED_VALUE"""),"001")</f>
        <v>001</v>
      </c>
      <c r="F213" s="212" t="str">
        <f ca="1">IFERROR(__xludf.DUMMYFUNCTION("""COMPUTED_VALUE"""),"1305")</f>
        <v>1305</v>
      </c>
      <c r="G213" s="213" t="str">
        <f ca="1">IFERROR(__xludf.DUMMYFUNCTION("""COMPUTED_VALUE"""),"0109614")</f>
        <v>0109614</v>
      </c>
      <c r="H213" s="211" t="str">
        <f ca="1">IFERROR(__xludf.DUMMYFUNCTION("""COMPUTED_VALUE"""),"ENS FUND PARCIAL")</f>
        <v>ENS FUND PARCIAL</v>
      </c>
      <c r="I213" s="214">
        <f ca="1">IFERROR(__xludf.DUMMYFUNCTION("""COMPUTED_VALUE"""),3770)</f>
        <v>3770</v>
      </c>
      <c r="J213" s="209"/>
      <c r="K213" s="209"/>
      <c r="L213" s="209"/>
      <c r="M213" s="209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  <c r="Z213" s="209"/>
    </row>
    <row r="214" spans="1:26" ht="18.75" customHeight="1">
      <c r="A214" s="210" t="str">
        <f ca="1">IFERROR(__xludf.DUMMYFUNCTION("""COMPUTED_VALUE"""),"Araguatins")</f>
        <v>Araguatins</v>
      </c>
      <c r="B214" s="210" t="str">
        <f ca="1">IFERROR(__xludf.DUMMYFUNCTION("""COMPUTED_VALUE"""),"Buriti do Tocantins")</f>
        <v>Buriti do Tocantins</v>
      </c>
      <c r="C214" s="211" t="str">
        <f ca="1">IFERROR(__xludf.DUMMYFUNCTION("""COMPUTED_VALUE"""),"A.A. ESC. EST. VICENTE CARLOS DE SOUSA")</f>
        <v>A.A. ESC. EST. VICENTE CARLOS DE SOUSA</v>
      </c>
      <c r="D214" s="212" t="str">
        <f ca="1">IFERROR(__xludf.DUMMYFUNCTION("""COMPUTED_VALUE"""),"01206288000118")</f>
        <v>01206288000118</v>
      </c>
      <c r="E214" s="212" t="str">
        <f ca="1">IFERROR(__xludf.DUMMYFUNCTION("""COMPUTED_VALUE"""),"001")</f>
        <v>001</v>
      </c>
      <c r="F214" s="212" t="str">
        <f ca="1">IFERROR(__xludf.DUMMYFUNCTION("""COMPUTED_VALUE"""),"1305")</f>
        <v>1305</v>
      </c>
      <c r="G214" s="213" t="str">
        <f ca="1">IFERROR(__xludf.DUMMYFUNCTION("""COMPUTED_VALUE"""),"0109614")</f>
        <v>0109614</v>
      </c>
      <c r="H214" s="211" t="str">
        <f ca="1">IFERROR(__xludf.DUMMYFUNCTION("""COMPUTED_VALUE"""),"AEE")</f>
        <v>AEE</v>
      </c>
      <c r="I214" s="214">
        <f ca="1">IFERROR(__xludf.DUMMYFUNCTION("""COMPUTED_VALUE"""),149.6)</f>
        <v>149.6</v>
      </c>
      <c r="J214" s="209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  <c r="Z214" s="209"/>
    </row>
    <row r="215" spans="1:26" ht="18.75" customHeight="1">
      <c r="A215" s="210" t="str">
        <f ca="1">IFERROR(__xludf.DUMMYFUNCTION("""COMPUTED_VALUE"""),"Araguatins")</f>
        <v>Araguatins</v>
      </c>
      <c r="B215" s="210" t="str">
        <f ca="1">IFERROR(__xludf.DUMMYFUNCTION("""COMPUTED_VALUE"""),"Buriti do Tocantins")</f>
        <v>Buriti do Tocantins</v>
      </c>
      <c r="C215" s="211" t="str">
        <f ca="1">IFERROR(__xludf.DUMMYFUNCTION("""COMPUTED_VALUE"""),"A.A. ESC. EST. VICENTE CARLOS DE SOUSA")</f>
        <v>A.A. ESC. EST. VICENTE CARLOS DE SOUSA</v>
      </c>
      <c r="D215" s="212" t="str">
        <f ca="1">IFERROR(__xludf.DUMMYFUNCTION("""COMPUTED_VALUE"""),"01206288000118")</f>
        <v>01206288000118</v>
      </c>
      <c r="E215" s="212" t="str">
        <f ca="1">IFERROR(__xludf.DUMMYFUNCTION("""COMPUTED_VALUE"""),"001")</f>
        <v>001</v>
      </c>
      <c r="F215" s="212" t="str">
        <f ca="1">IFERROR(__xludf.DUMMYFUNCTION("""COMPUTED_VALUE"""),"1305")</f>
        <v>1305</v>
      </c>
      <c r="G215" s="213" t="str">
        <f ca="1">IFERROR(__xludf.DUMMYFUNCTION("""COMPUTED_VALUE"""),"0109614")</f>
        <v>0109614</v>
      </c>
      <c r="H215" s="211" t="str">
        <f ca="1">IFERROR(__xludf.DUMMYFUNCTION("""COMPUTED_VALUE"""),"ENSINO MEDIO PARCIAL")</f>
        <v>ENSINO MEDIO PARCIAL</v>
      </c>
      <c r="I215" s="214">
        <f ca="1">IFERROR(__xludf.DUMMYFUNCTION("""COMPUTED_VALUE"""),1180)</f>
        <v>1180</v>
      </c>
      <c r="J215" s="209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  <c r="Z215" s="209"/>
    </row>
    <row r="216" spans="1:26" ht="18.75" customHeight="1">
      <c r="A216" s="210" t="str">
        <f ca="1">IFERROR(__xludf.DUMMYFUNCTION("""COMPUTED_VALUE"""),"Araguatins")</f>
        <v>Araguatins</v>
      </c>
      <c r="B216" s="210" t="str">
        <f ca="1">IFERROR(__xludf.DUMMYFUNCTION("""COMPUTED_VALUE"""),"Carrasco Bonito")</f>
        <v>Carrasco Bonito</v>
      </c>
      <c r="C216" s="211" t="str">
        <f ca="1">IFERROR(__xludf.DUMMYFUNCTION("""COMPUTED_VALUE"""),"A.A. DA ESC. EST. CICERO GOMES")</f>
        <v>A.A. DA ESC. EST. CICERO GOMES</v>
      </c>
      <c r="D216" s="212" t="str">
        <f ca="1">IFERROR(__xludf.DUMMYFUNCTION("""COMPUTED_VALUE"""),"01068377000145")</f>
        <v>01068377000145</v>
      </c>
      <c r="E216" s="212" t="str">
        <f ca="1">IFERROR(__xludf.DUMMYFUNCTION("""COMPUTED_VALUE"""),"001")</f>
        <v>001</v>
      </c>
      <c r="F216" s="212" t="str">
        <f ca="1">IFERROR(__xludf.DUMMYFUNCTION("""COMPUTED_VALUE"""),"3975")</f>
        <v>3975</v>
      </c>
      <c r="G216" s="213" t="str">
        <f ca="1">IFERROR(__xludf.DUMMYFUNCTION("""COMPUTED_VALUE"""),"19291")</f>
        <v>19291</v>
      </c>
      <c r="H216" s="211" t="str">
        <f ca="1">IFERROR(__xludf.DUMMYFUNCTION("""COMPUTED_VALUE"""),"ENS FUND PARCIAL")</f>
        <v>ENS FUND PARCIAL</v>
      </c>
      <c r="I216" s="214">
        <f ca="1">IFERROR(__xludf.DUMMYFUNCTION("""COMPUTED_VALUE"""),640)</f>
        <v>640</v>
      </c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</row>
    <row r="217" spans="1:26" ht="18.75" customHeight="1">
      <c r="A217" s="210" t="str">
        <f ca="1">IFERROR(__xludf.DUMMYFUNCTION("""COMPUTED_VALUE"""),"Araguatins")</f>
        <v>Araguatins</v>
      </c>
      <c r="B217" s="210" t="str">
        <f ca="1">IFERROR(__xludf.DUMMYFUNCTION("""COMPUTED_VALUE"""),"Carrasco Bonito")</f>
        <v>Carrasco Bonito</v>
      </c>
      <c r="C217" s="211" t="str">
        <f ca="1">IFERROR(__xludf.DUMMYFUNCTION("""COMPUTED_VALUE"""),"A.A. DA ESC. EST. CICERO GOMES")</f>
        <v>A.A. DA ESC. EST. CICERO GOMES</v>
      </c>
      <c r="D217" s="212" t="str">
        <f ca="1">IFERROR(__xludf.DUMMYFUNCTION("""COMPUTED_VALUE"""),"01068377000145")</f>
        <v>01068377000145</v>
      </c>
      <c r="E217" s="212" t="str">
        <f ca="1">IFERROR(__xludf.DUMMYFUNCTION("""COMPUTED_VALUE"""),"001")</f>
        <v>001</v>
      </c>
      <c r="F217" s="212" t="str">
        <f ca="1">IFERROR(__xludf.DUMMYFUNCTION("""COMPUTED_VALUE"""),"3975")</f>
        <v>3975</v>
      </c>
      <c r="G217" s="213" t="str">
        <f ca="1">IFERROR(__xludf.DUMMYFUNCTION("""COMPUTED_VALUE"""),"19291")</f>
        <v>19291</v>
      </c>
      <c r="H217" s="211" t="str">
        <f ca="1">IFERROR(__xludf.DUMMYFUNCTION("""COMPUTED_VALUE"""),"AEE")</f>
        <v>AEE</v>
      </c>
      <c r="I217" s="214">
        <f ca="1">IFERROR(__xludf.DUMMYFUNCTION("""COMPUTED_VALUE"""),163.2)</f>
        <v>163.19999999999999</v>
      </c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</row>
    <row r="218" spans="1:26" ht="18.75" customHeight="1">
      <c r="A218" s="210" t="str">
        <f ca="1">IFERROR(__xludf.DUMMYFUNCTION("""COMPUTED_VALUE"""),"Araguatins")</f>
        <v>Araguatins</v>
      </c>
      <c r="B218" s="210" t="str">
        <f ca="1">IFERROR(__xludf.DUMMYFUNCTION("""COMPUTED_VALUE"""),"Carrasco Bonito")</f>
        <v>Carrasco Bonito</v>
      </c>
      <c r="C218" s="211" t="str">
        <f ca="1">IFERROR(__xludf.DUMMYFUNCTION("""COMPUTED_VALUE"""),"A.A. DA ESC. EST. CICERO GOMES")</f>
        <v>A.A. DA ESC. EST. CICERO GOMES</v>
      </c>
      <c r="D218" s="212" t="str">
        <f ca="1">IFERROR(__xludf.DUMMYFUNCTION("""COMPUTED_VALUE"""),"01068377000145")</f>
        <v>01068377000145</v>
      </c>
      <c r="E218" s="212" t="str">
        <f ca="1">IFERROR(__xludf.DUMMYFUNCTION("""COMPUTED_VALUE"""),"001")</f>
        <v>001</v>
      </c>
      <c r="F218" s="212" t="str">
        <f ca="1">IFERROR(__xludf.DUMMYFUNCTION("""COMPUTED_VALUE"""),"3975")</f>
        <v>3975</v>
      </c>
      <c r="G218" s="213" t="str">
        <f ca="1">IFERROR(__xludf.DUMMYFUNCTION("""COMPUTED_VALUE"""),"19291")</f>
        <v>19291</v>
      </c>
      <c r="H218" s="211" t="str">
        <f ca="1">IFERROR(__xludf.DUMMYFUNCTION("""COMPUTED_VALUE"""),"ENSINO MEDIO PARCIAL")</f>
        <v>ENSINO MEDIO PARCIAL</v>
      </c>
      <c r="I218" s="214">
        <f ca="1">IFERROR(__xludf.DUMMYFUNCTION("""COMPUTED_VALUE"""),1070)</f>
        <v>1070</v>
      </c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</row>
    <row r="219" spans="1:26" ht="18.75" customHeight="1">
      <c r="A219" s="210" t="str">
        <f ca="1">IFERROR(__xludf.DUMMYFUNCTION("""COMPUTED_VALUE"""),"Araguatins")</f>
        <v>Araguatins</v>
      </c>
      <c r="B219" s="210" t="str">
        <f ca="1">IFERROR(__xludf.DUMMYFUNCTION("""COMPUTED_VALUE"""),"Carrasco Bonito")</f>
        <v>Carrasco Bonito</v>
      </c>
      <c r="C219" s="211" t="str">
        <f ca="1">IFERROR(__xludf.DUMMYFUNCTION("""COMPUTED_VALUE"""),"A.A.  DA ESCOLA ESTADUAL INES VIANA")</f>
        <v>A.A.  DA ESCOLA ESTADUAL INES VIANA</v>
      </c>
      <c r="D219" s="212" t="str">
        <f ca="1">IFERROR(__xludf.DUMMYFUNCTION("""COMPUTED_VALUE"""),"02508340000153")</f>
        <v>02508340000153</v>
      </c>
      <c r="E219" s="212" t="str">
        <f ca="1">IFERROR(__xludf.DUMMYFUNCTION("""COMPUTED_VALUE"""),"001")</f>
        <v>001</v>
      </c>
      <c r="F219" s="212" t="str">
        <f ca="1">IFERROR(__xludf.DUMMYFUNCTION("""COMPUTED_VALUE"""),"3975")</f>
        <v>3975</v>
      </c>
      <c r="G219" s="213" t="str">
        <f ca="1">IFERROR(__xludf.DUMMYFUNCTION("""COMPUTED_VALUE"""),"51713")</f>
        <v>51713</v>
      </c>
      <c r="H219" s="211" t="str">
        <f ca="1">IFERROR(__xludf.DUMMYFUNCTION("""COMPUTED_VALUE"""),"ENS FUND PARCIAL")</f>
        <v>ENS FUND PARCIAL</v>
      </c>
      <c r="I219" s="214">
        <f ca="1">IFERROR(__xludf.DUMMYFUNCTION("""COMPUTED_VALUE"""),730)</f>
        <v>730</v>
      </c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</row>
    <row r="220" spans="1:26" ht="18.75" customHeight="1">
      <c r="A220" s="210" t="str">
        <f ca="1">IFERROR(__xludf.DUMMYFUNCTION("""COMPUTED_VALUE"""),"Araguatins")</f>
        <v>Araguatins</v>
      </c>
      <c r="B220" s="210" t="str">
        <f ca="1">IFERROR(__xludf.DUMMYFUNCTION("""COMPUTED_VALUE"""),"Carrasco Bonito")</f>
        <v>Carrasco Bonito</v>
      </c>
      <c r="C220" s="211" t="str">
        <f ca="1">IFERROR(__xludf.DUMMYFUNCTION("""COMPUTED_VALUE"""),"A.A.  DA ESCOLA ESTADUAL INES VIANA")</f>
        <v>A.A.  DA ESCOLA ESTADUAL INES VIANA</v>
      </c>
      <c r="D220" s="212" t="str">
        <f ca="1">IFERROR(__xludf.DUMMYFUNCTION("""COMPUTED_VALUE"""),"02508340000153")</f>
        <v>02508340000153</v>
      </c>
      <c r="E220" s="212" t="str">
        <f ca="1">IFERROR(__xludf.DUMMYFUNCTION("""COMPUTED_VALUE"""),"001")</f>
        <v>001</v>
      </c>
      <c r="F220" s="212" t="str">
        <f ca="1">IFERROR(__xludf.DUMMYFUNCTION("""COMPUTED_VALUE"""),"3975")</f>
        <v>3975</v>
      </c>
      <c r="G220" s="213" t="str">
        <f ca="1">IFERROR(__xludf.DUMMYFUNCTION("""COMPUTED_VALUE"""),"51713")</f>
        <v>51713</v>
      </c>
      <c r="H220" s="211" t="str">
        <f ca="1">IFERROR(__xludf.DUMMYFUNCTION("""COMPUTED_VALUE"""),"ENSINO MEDIO PARCIAL")</f>
        <v>ENSINO MEDIO PARCIAL</v>
      </c>
      <c r="I220" s="214">
        <f ca="1">IFERROR(__xludf.DUMMYFUNCTION("""COMPUTED_VALUE"""),340)</f>
        <v>340</v>
      </c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</row>
    <row r="221" spans="1:26" ht="18.75" customHeight="1">
      <c r="A221" s="210" t="str">
        <f ca="1">IFERROR(__xludf.DUMMYFUNCTION("""COMPUTED_VALUE"""),"Araguatins")</f>
        <v>Araguatins</v>
      </c>
      <c r="B221" s="210" t="str">
        <f ca="1">IFERROR(__xludf.DUMMYFUNCTION("""COMPUTED_VALUE"""),"Esperantina")</f>
        <v>Esperantina</v>
      </c>
      <c r="C221" s="211" t="str">
        <f ca="1">IFERROR(__xludf.DUMMYFUNCTION("""COMPUTED_VALUE"""),"A.A. ESC. EST. JOAQUINA MARIA DA SILVA")</f>
        <v>A.A. ESC. EST. JOAQUINA MARIA DA SILVA</v>
      </c>
      <c r="D221" s="212" t="str">
        <f ca="1">IFERROR(__xludf.DUMMYFUNCTION("""COMPUTED_VALUE"""),"01113183000114")</f>
        <v>01113183000114</v>
      </c>
      <c r="E221" s="212" t="str">
        <f ca="1">IFERROR(__xludf.DUMMYFUNCTION("""COMPUTED_VALUE"""),"001")</f>
        <v>001</v>
      </c>
      <c r="F221" s="212" t="str">
        <f ca="1">IFERROR(__xludf.DUMMYFUNCTION("""COMPUTED_VALUE"""),"1305")</f>
        <v>1305</v>
      </c>
      <c r="G221" s="213" t="str">
        <f ca="1">IFERROR(__xludf.DUMMYFUNCTION("""COMPUTED_VALUE"""),"109665")</f>
        <v>109665</v>
      </c>
      <c r="H221" s="211" t="str">
        <f ca="1">IFERROR(__xludf.DUMMYFUNCTION("""COMPUTED_VALUE"""),"ENS FUND PARCIAL")</f>
        <v>ENS FUND PARCIAL</v>
      </c>
      <c r="I221" s="214">
        <f ca="1">IFERROR(__xludf.DUMMYFUNCTION("""COMPUTED_VALUE"""),1580)</f>
        <v>1580</v>
      </c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  <c r="Z221" s="209"/>
    </row>
    <row r="222" spans="1:26" ht="18.75" customHeight="1">
      <c r="A222" s="210" t="str">
        <f ca="1">IFERROR(__xludf.DUMMYFUNCTION("""COMPUTED_VALUE"""),"Araguatins")</f>
        <v>Araguatins</v>
      </c>
      <c r="B222" s="210" t="str">
        <f ca="1">IFERROR(__xludf.DUMMYFUNCTION("""COMPUTED_VALUE"""),"Esperantina")</f>
        <v>Esperantina</v>
      </c>
      <c r="C222" s="211" t="str">
        <f ca="1">IFERROR(__xludf.DUMMYFUNCTION("""COMPUTED_VALUE"""),"A.A. ESC. EST. JOAQUINA MARIA DA SILVA")</f>
        <v>A.A. ESC. EST. JOAQUINA MARIA DA SILVA</v>
      </c>
      <c r="D222" s="212" t="str">
        <f ca="1">IFERROR(__xludf.DUMMYFUNCTION("""COMPUTED_VALUE"""),"01113183000114")</f>
        <v>01113183000114</v>
      </c>
      <c r="E222" s="212" t="str">
        <f ca="1">IFERROR(__xludf.DUMMYFUNCTION("""COMPUTED_VALUE"""),"001")</f>
        <v>001</v>
      </c>
      <c r="F222" s="212" t="str">
        <f ca="1">IFERROR(__xludf.DUMMYFUNCTION("""COMPUTED_VALUE"""),"1305")</f>
        <v>1305</v>
      </c>
      <c r="G222" s="213" t="str">
        <f ca="1">IFERROR(__xludf.DUMMYFUNCTION("""COMPUTED_VALUE"""),"109665")</f>
        <v>109665</v>
      </c>
      <c r="H222" s="211" t="str">
        <f ca="1">IFERROR(__xludf.DUMMYFUNCTION("""COMPUTED_VALUE"""),"ENSINO MEDIO PARCIAL")</f>
        <v>ENSINO MEDIO PARCIAL</v>
      </c>
      <c r="I222" s="214">
        <f ca="1">IFERROR(__xludf.DUMMYFUNCTION("""COMPUTED_VALUE"""),2250)</f>
        <v>2250</v>
      </c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9"/>
    </row>
    <row r="223" spans="1:26" ht="18.75" customHeight="1">
      <c r="A223" s="210" t="str">
        <f ca="1">IFERROR(__xludf.DUMMYFUNCTION("""COMPUTED_VALUE"""),"Araguatins")</f>
        <v>Araguatins</v>
      </c>
      <c r="B223" s="210" t="str">
        <f ca="1">IFERROR(__xludf.DUMMYFUNCTION("""COMPUTED_VALUE"""),"Esperantina")</f>
        <v>Esperantina</v>
      </c>
      <c r="C223" s="211" t="str">
        <f ca="1">IFERROR(__xludf.DUMMYFUNCTION("""COMPUTED_VALUE"""),"A.A. ESC. ESTADUAL ULISSES GUIMARAES")</f>
        <v>A.A. ESC. ESTADUAL ULISSES GUIMARAES</v>
      </c>
      <c r="D223" s="212" t="str">
        <f ca="1">IFERROR(__xludf.DUMMYFUNCTION("""COMPUTED_VALUE"""),"01190183000118")</f>
        <v>01190183000118</v>
      </c>
      <c r="E223" s="212" t="str">
        <f ca="1">IFERROR(__xludf.DUMMYFUNCTION("""COMPUTED_VALUE"""),"001")</f>
        <v>001</v>
      </c>
      <c r="F223" s="212" t="str">
        <f ca="1">IFERROR(__xludf.DUMMYFUNCTION("""COMPUTED_VALUE"""),"1305")</f>
        <v>1305</v>
      </c>
      <c r="G223" s="213" t="str">
        <f ca="1">IFERROR(__xludf.DUMMYFUNCTION("""COMPUTED_VALUE"""),"109363")</f>
        <v>109363</v>
      </c>
      <c r="H223" s="211" t="str">
        <f ca="1">IFERROR(__xludf.DUMMYFUNCTION("""COMPUTED_VALUE"""),"ENS FUND PARCIAL")</f>
        <v>ENS FUND PARCIAL</v>
      </c>
      <c r="I223" s="214">
        <f ca="1">IFERROR(__xludf.DUMMYFUNCTION("""COMPUTED_VALUE"""),1170)</f>
        <v>1170</v>
      </c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  <c r="Z223" s="209"/>
    </row>
    <row r="224" spans="1:26" ht="18.75" customHeight="1">
      <c r="A224" s="210" t="str">
        <f ca="1">IFERROR(__xludf.DUMMYFUNCTION("""COMPUTED_VALUE"""),"Araguatins")</f>
        <v>Araguatins</v>
      </c>
      <c r="B224" s="210" t="str">
        <f ca="1">IFERROR(__xludf.DUMMYFUNCTION("""COMPUTED_VALUE"""),"Esperantina")</f>
        <v>Esperantina</v>
      </c>
      <c r="C224" s="211" t="str">
        <f ca="1">IFERROR(__xludf.DUMMYFUNCTION("""COMPUTED_VALUE"""),"A.A. ESC. ESTADUAL ULISSES GUIMARAES")</f>
        <v>A.A. ESC. ESTADUAL ULISSES GUIMARAES</v>
      </c>
      <c r="D224" s="212" t="str">
        <f ca="1">IFERROR(__xludf.DUMMYFUNCTION("""COMPUTED_VALUE"""),"01190183000118")</f>
        <v>01190183000118</v>
      </c>
      <c r="E224" s="212" t="str">
        <f ca="1">IFERROR(__xludf.DUMMYFUNCTION("""COMPUTED_VALUE"""),"001")</f>
        <v>001</v>
      </c>
      <c r="F224" s="212" t="str">
        <f ca="1">IFERROR(__xludf.DUMMYFUNCTION("""COMPUTED_VALUE"""),"1305")</f>
        <v>1305</v>
      </c>
      <c r="G224" s="213" t="str">
        <f ca="1">IFERROR(__xludf.DUMMYFUNCTION("""COMPUTED_VALUE"""),"109363")</f>
        <v>109363</v>
      </c>
      <c r="H224" s="211" t="str">
        <f ca="1">IFERROR(__xludf.DUMMYFUNCTION("""COMPUTED_VALUE"""),"AEE")</f>
        <v>AEE</v>
      </c>
      <c r="I224" s="214">
        <f ca="1">IFERROR(__xludf.DUMMYFUNCTION("""COMPUTED_VALUE"""),108.8)</f>
        <v>108.8</v>
      </c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9"/>
    </row>
    <row r="225" spans="1:26" ht="18.75" customHeight="1">
      <c r="A225" s="210" t="str">
        <f ca="1">IFERROR(__xludf.DUMMYFUNCTION("""COMPUTED_VALUE"""),"Araguatins")</f>
        <v>Araguatins</v>
      </c>
      <c r="B225" s="210" t="str">
        <f ca="1">IFERROR(__xludf.DUMMYFUNCTION("""COMPUTED_VALUE"""),"Esperantina")</f>
        <v>Esperantina</v>
      </c>
      <c r="C225" s="211" t="str">
        <f ca="1">IFERROR(__xludf.DUMMYFUNCTION("""COMPUTED_VALUE"""),"A.A. ESC. ESTADUAL ULISSES GUIMARAES")</f>
        <v>A.A. ESC. ESTADUAL ULISSES GUIMARAES</v>
      </c>
      <c r="D225" s="212" t="str">
        <f ca="1">IFERROR(__xludf.DUMMYFUNCTION("""COMPUTED_VALUE"""),"01190183000118")</f>
        <v>01190183000118</v>
      </c>
      <c r="E225" s="212" t="str">
        <f ca="1">IFERROR(__xludf.DUMMYFUNCTION("""COMPUTED_VALUE"""),"001")</f>
        <v>001</v>
      </c>
      <c r="F225" s="212" t="str">
        <f ca="1">IFERROR(__xludf.DUMMYFUNCTION("""COMPUTED_VALUE"""),"1305")</f>
        <v>1305</v>
      </c>
      <c r="G225" s="213" t="str">
        <f ca="1">IFERROR(__xludf.DUMMYFUNCTION("""COMPUTED_VALUE"""),"109363")</f>
        <v>109363</v>
      </c>
      <c r="H225" s="211" t="str">
        <f ca="1">IFERROR(__xludf.DUMMYFUNCTION("""COMPUTED_VALUE"""),"ENSINO MEDIO PARCIAL")</f>
        <v>ENSINO MEDIO PARCIAL</v>
      </c>
      <c r="I225" s="214">
        <f ca="1">IFERROR(__xludf.DUMMYFUNCTION("""COMPUTED_VALUE"""),1950)</f>
        <v>1950</v>
      </c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</row>
    <row r="226" spans="1:26" ht="18.75" customHeight="1">
      <c r="A226" s="210" t="str">
        <f ca="1">IFERROR(__xludf.DUMMYFUNCTION("""COMPUTED_VALUE"""),"Araguatins")</f>
        <v>Araguatins</v>
      </c>
      <c r="B226" s="210" t="str">
        <f ca="1">IFERROR(__xludf.DUMMYFUNCTION("""COMPUTED_VALUE"""),"Esperantina")</f>
        <v>Esperantina</v>
      </c>
      <c r="C226" s="211" t="str">
        <f ca="1">IFERROR(__xludf.DUMMYFUNCTION("""COMPUTED_VALUE"""),"A.A. ESC. FAMÍLIA AGRÍCOLA DO BICO DO PAPAGAIO")</f>
        <v>A.A. ESC. FAMÍLIA AGRÍCOLA DO BICO DO PAPAGAIO</v>
      </c>
      <c r="D226" s="212" t="str">
        <f ca="1">IFERROR(__xludf.DUMMYFUNCTION("""COMPUTED_VALUE"""),"09500499000170")</f>
        <v>09500499000170</v>
      </c>
      <c r="E226" s="212" t="str">
        <f ca="1">IFERROR(__xludf.DUMMYFUNCTION("""COMPUTED_VALUE"""),"001")</f>
        <v>001</v>
      </c>
      <c r="F226" s="212" t="str">
        <f ca="1">IFERROR(__xludf.DUMMYFUNCTION("""COMPUTED_VALUE"""),"3975")</f>
        <v>3975</v>
      </c>
      <c r="G226" s="213" t="str">
        <f ca="1">IFERROR(__xludf.DUMMYFUNCTION("""COMPUTED_VALUE"""),"232653")</f>
        <v>232653</v>
      </c>
      <c r="H226" s="211" t="str">
        <f ca="1">IFERROR(__xludf.DUMMYFUNCTION("""COMPUTED_VALUE"""),"ENS FUND INTEGRAL")</f>
        <v>ENS FUND INTEGRAL</v>
      </c>
      <c r="I226" s="214">
        <f ca="1">IFERROR(__xludf.DUMMYFUNCTION("""COMPUTED_VALUE"""),2493.4)</f>
        <v>2493.4</v>
      </c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</row>
    <row r="227" spans="1:26" ht="18.75" customHeight="1">
      <c r="A227" s="210" t="str">
        <f ca="1">IFERROR(__xludf.DUMMYFUNCTION("""COMPUTED_VALUE"""),"Araguatins")</f>
        <v>Araguatins</v>
      </c>
      <c r="B227" s="210" t="str">
        <f ca="1">IFERROR(__xludf.DUMMYFUNCTION("""COMPUTED_VALUE"""),"Esperantina")</f>
        <v>Esperantina</v>
      </c>
      <c r="C227" s="211" t="str">
        <f ca="1">IFERROR(__xludf.DUMMYFUNCTION("""COMPUTED_VALUE"""),"A.A. ESC. FAMÍLIA AGRÍCOLA DO BICO DO PAPAGAIO")</f>
        <v>A.A. ESC. FAMÍLIA AGRÍCOLA DO BICO DO PAPAGAIO</v>
      </c>
      <c r="D227" s="212" t="str">
        <f ca="1">IFERROR(__xludf.DUMMYFUNCTION("""COMPUTED_VALUE"""),"09500499000170")</f>
        <v>09500499000170</v>
      </c>
      <c r="E227" s="212" t="str">
        <f ca="1">IFERROR(__xludf.DUMMYFUNCTION("""COMPUTED_VALUE"""),"001")</f>
        <v>001</v>
      </c>
      <c r="F227" s="212" t="str">
        <f ca="1">IFERROR(__xludf.DUMMYFUNCTION("""COMPUTED_VALUE"""),"3975")</f>
        <v>3975</v>
      </c>
      <c r="G227" s="213" t="str">
        <f ca="1">IFERROR(__xludf.DUMMYFUNCTION("""COMPUTED_VALUE"""),"232653")</f>
        <v>232653</v>
      </c>
      <c r="H227" s="211" t="str">
        <f ca="1">IFERROR(__xludf.DUMMYFUNCTION("""COMPUTED_VALUE"""),"ENSINO MEDIO INTEGRAL")</f>
        <v>ENSINO MEDIO INTEGRAL</v>
      </c>
      <c r="I227" s="214">
        <f ca="1">IFERROR(__xludf.DUMMYFUNCTION("""COMPUTED_VALUE"""),3562)</f>
        <v>3562</v>
      </c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</row>
    <row r="228" spans="1:26" ht="18.75" customHeight="1">
      <c r="A228" s="210" t="str">
        <f ca="1">IFERROR(__xludf.DUMMYFUNCTION("""COMPUTED_VALUE"""),"Araguatins")</f>
        <v>Araguatins</v>
      </c>
      <c r="B228" s="210" t="str">
        <f ca="1">IFERROR(__xludf.DUMMYFUNCTION("""COMPUTED_VALUE"""),"Praia Norte")</f>
        <v>Praia Norte</v>
      </c>
      <c r="C228" s="211" t="str">
        <f ca="1">IFERROR(__xludf.DUMMYFUNCTION("""COMPUTED_VALUE"""),"ASS. AP.ESC. ESTADUAL GENESIO GOMES")</f>
        <v>ASS. AP.ESC. ESTADUAL GENESIO GOMES</v>
      </c>
      <c r="D228" s="212" t="str">
        <f ca="1">IFERROR(__xludf.DUMMYFUNCTION("""COMPUTED_VALUE"""),"01192607000183")</f>
        <v>01192607000183</v>
      </c>
      <c r="E228" s="212" t="str">
        <f ca="1">IFERROR(__xludf.DUMMYFUNCTION("""COMPUTED_VALUE"""),"001")</f>
        <v>001</v>
      </c>
      <c r="F228" s="212" t="str">
        <f ca="1">IFERROR(__xludf.DUMMYFUNCTION("""COMPUTED_VALUE"""),"3975")</f>
        <v>3975</v>
      </c>
      <c r="G228" s="213" t="str">
        <f ca="1">IFERROR(__xludf.DUMMYFUNCTION("""COMPUTED_VALUE"""),"19690")</f>
        <v>19690</v>
      </c>
      <c r="H228" s="211" t="str">
        <f ca="1">IFERROR(__xludf.DUMMYFUNCTION("""COMPUTED_VALUE"""),"ENSINO MEDIO PARCIAL")</f>
        <v>ENSINO MEDIO PARCIAL</v>
      </c>
      <c r="I228" s="214">
        <f ca="1">IFERROR(__xludf.DUMMYFUNCTION("""COMPUTED_VALUE"""),3280)</f>
        <v>3280</v>
      </c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</row>
    <row r="229" spans="1:26" ht="18.75" customHeight="1">
      <c r="A229" s="210" t="str">
        <f ca="1">IFERROR(__xludf.DUMMYFUNCTION("""COMPUTED_VALUE"""),"Araguatins")</f>
        <v>Araguatins</v>
      </c>
      <c r="B229" s="210" t="str">
        <f ca="1">IFERROR(__xludf.DUMMYFUNCTION("""COMPUTED_VALUE"""),"Praia Norte")</f>
        <v>Praia Norte</v>
      </c>
      <c r="C229" s="211" t="str">
        <f ca="1">IFERROR(__xludf.DUMMYFUNCTION("""COMPUTED_VALUE"""),"ASS. AP.ESC. ESTADUAL GENESIO GOMES")</f>
        <v>ASS. AP.ESC. ESTADUAL GENESIO GOMES</v>
      </c>
      <c r="D229" s="212" t="str">
        <f ca="1">IFERROR(__xludf.DUMMYFUNCTION("""COMPUTED_VALUE"""),"01192607000183")</f>
        <v>01192607000183</v>
      </c>
      <c r="E229" s="212" t="str">
        <f ca="1">IFERROR(__xludf.DUMMYFUNCTION("""COMPUTED_VALUE"""),"001")</f>
        <v>001</v>
      </c>
      <c r="F229" s="212" t="str">
        <f ca="1">IFERROR(__xludf.DUMMYFUNCTION("""COMPUTED_VALUE"""),"3975")</f>
        <v>3975</v>
      </c>
      <c r="G229" s="213" t="str">
        <f ca="1">IFERROR(__xludf.DUMMYFUNCTION("""COMPUTED_VALUE"""),"19690")</f>
        <v>19690</v>
      </c>
      <c r="H229" s="211" t="str">
        <f ca="1">IFERROR(__xludf.DUMMYFUNCTION("""COMPUTED_VALUE"""),"EJA")</f>
        <v>EJA</v>
      </c>
      <c r="I229" s="214">
        <f ca="1">IFERROR(__xludf.DUMMYFUNCTION("""COMPUTED_VALUE"""),295.2)</f>
        <v>295.2</v>
      </c>
      <c r="J229" s="209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</row>
    <row r="230" spans="1:26" ht="18.75" customHeight="1">
      <c r="A230" s="210" t="str">
        <f ca="1">IFERROR(__xludf.DUMMYFUNCTION("""COMPUTED_VALUE"""),"Araguatins")</f>
        <v>Araguatins</v>
      </c>
      <c r="B230" s="210" t="str">
        <f ca="1">IFERROR(__xludf.DUMMYFUNCTION("""COMPUTED_VALUE"""),"Praia Norte")</f>
        <v>Praia Norte</v>
      </c>
      <c r="C230" s="211" t="str">
        <f ca="1">IFERROR(__xludf.DUMMYFUNCTION("""COMPUTED_VALUE"""),"ASS. DE AP.ESCOLA EST. Iº DE JUNHO")</f>
        <v>ASS. DE AP.ESCOLA EST. Iº DE JUNHO</v>
      </c>
      <c r="D230" s="212" t="str">
        <f ca="1">IFERROR(__xludf.DUMMYFUNCTION("""COMPUTED_VALUE"""),"01392734000126")</f>
        <v>01392734000126</v>
      </c>
      <c r="E230" s="212" t="str">
        <f ca="1">IFERROR(__xludf.DUMMYFUNCTION("""COMPUTED_VALUE"""),"001")</f>
        <v>001</v>
      </c>
      <c r="F230" s="212" t="str">
        <f ca="1">IFERROR(__xludf.DUMMYFUNCTION("""COMPUTED_VALUE"""),"3975")</f>
        <v>3975</v>
      </c>
      <c r="G230" s="213" t="str">
        <f ca="1">IFERROR(__xludf.DUMMYFUNCTION("""COMPUTED_VALUE"""),"19712")</f>
        <v>19712</v>
      </c>
      <c r="H230" s="211" t="str">
        <f ca="1">IFERROR(__xludf.DUMMYFUNCTION("""COMPUTED_VALUE"""),"ENS FUND PARCIAL")</f>
        <v>ENS FUND PARCIAL</v>
      </c>
      <c r="I230" s="214">
        <f ca="1">IFERROR(__xludf.DUMMYFUNCTION("""COMPUTED_VALUE"""),2160)</f>
        <v>2160</v>
      </c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</row>
    <row r="231" spans="1:26" ht="18.75" customHeight="1">
      <c r="A231" s="210" t="str">
        <f ca="1">IFERROR(__xludf.DUMMYFUNCTION("""COMPUTED_VALUE"""),"Araguatins")</f>
        <v>Araguatins</v>
      </c>
      <c r="B231" s="210" t="str">
        <f ca="1">IFERROR(__xludf.DUMMYFUNCTION("""COMPUTED_VALUE"""),"Praia Norte")</f>
        <v>Praia Norte</v>
      </c>
      <c r="C231" s="211" t="str">
        <f ca="1">IFERROR(__xludf.DUMMYFUNCTION("""COMPUTED_VALUE"""),"ASS. DE AP.ESCOLA EST. Iº DE JUNHO")</f>
        <v>ASS. DE AP.ESCOLA EST. Iº DE JUNHO</v>
      </c>
      <c r="D231" s="212" t="str">
        <f ca="1">IFERROR(__xludf.DUMMYFUNCTION("""COMPUTED_VALUE"""),"01392734000126")</f>
        <v>01392734000126</v>
      </c>
      <c r="E231" s="212" t="str">
        <f ca="1">IFERROR(__xludf.DUMMYFUNCTION("""COMPUTED_VALUE"""),"001")</f>
        <v>001</v>
      </c>
      <c r="F231" s="212" t="str">
        <f ca="1">IFERROR(__xludf.DUMMYFUNCTION("""COMPUTED_VALUE"""),"3975")</f>
        <v>3975</v>
      </c>
      <c r="G231" s="213" t="str">
        <f ca="1">IFERROR(__xludf.DUMMYFUNCTION("""COMPUTED_VALUE"""),"19712")</f>
        <v>19712</v>
      </c>
      <c r="H231" s="211" t="str">
        <f ca="1">IFERROR(__xludf.DUMMYFUNCTION("""COMPUTED_VALUE"""),"AEE")</f>
        <v>AEE</v>
      </c>
      <c r="I231" s="214">
        <f ca="1">IFERROR(__xludf.DUMMYFUNCTION("""COMPUTED_VALUE"""),163.2)</f>
        <v>163.19999999999999</v>
      </c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</row>
    <row r="232" spans="1:26" ht="18.75" customHeight="1">
      <c r="A232" s="210" t="str">
        <f ca="1">IFERROR(__xludf.DUMMYFUNCTION("""COMPUTED_VALUE"""),"Araguatins")</f>
        <v>Araguatins</v>
      </c>
      <c r="B232" s="210" t="str">
        <f ca="1">IFERROR(__xludf.DUMMYFUNCTION("""COMPUTED_VALUE"""),"Sampaio")</f>
        <v>Sampaio</v>
      </c>
      <c r="C232" s="211" t="str">
        <f ca="1">IFERROR(__xludf.DUMMYFUNCTION("""COMPUTED_VALUE"""),"A. DE AP. DA ESCOLA ESTADUAL SAMPAIO")</f>
        <v>A. DE AP. DA ESCOLA ESTADUAL SAMPAIO</v>
      </c>
      <c r="D232" s="212" t="str">
        <f ca="1">IFERROR(__xludf.DUMMYFUNCTION("""COMPUTED_VALUE"""),"01190179000150")</f>
        <v>01190179000150</v>
      </c>
      <c r="E232" s="212" t="str">
        <f ca="1">IFERROR(__xludf.DUMMYFUNCTION("""COMPUTED_VALUE"""),"001")</f>
        <v>001</v>
      </c>
      <c r="F232" s="212" t="str">
        <f ca="1">IFERROR(__xludf.DUMMYFUNCTION("""COMPUTED_VALUE"""),"1305")</f>
        <v>1305</v>
      </c>
      <c r="G232" s="213" t="str">
        <f ca="1">IFERROR(__xludf.DUMMYFUNCTION("""COMPUTED_VALUE"""),"0019178")</f>
        <v>0019178</v>
      </c>
      <c r="H232" s="211" t="str">
        <f ca="1">IFERROR(__xludf.DUMMYFUNCTION("""COMPUTED_VALUE"""),"ENS FUND PARCIAL")</f>
        <v>ENS FUND PARCIAL</v>
      </c>
      <c r="I232" s="214">
        <f ca="1">IFERROR(__xludf.DUMMYFUNCTION("""COMPUTED_VALUE"""),3790)</f>
        <v>3790</v>
      </c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  <c r="Z232" s="209"/>
    </row>
    <row r="233" spans="1:26" ht="18.75" customHeight="1">
      <c r="A233" s="210" t="str">
        <f ca="1">IFERROR(__xludf.DUMMYFUNCTION("""COMPUTED_VALUE"""),"Araguatins")</f>
        <v>Araguatins</v>
      </c>
      <c r="B233" s="210" t="str">
        <f ca="1">IFERROR(__xludf.DUMMYFUNCTION("""COMPUTED_VALUE"""),"Sampaio")</f>
        <v>Sampaio</v>
      </c>
      <c r="C233" s="211" t="str">
        <f ca="1">IFERROR(__xludf.DUMMYFUNCTION("""COMPUTED_VALUE"""),"A. DE AP. DA ESCOLA ESTADUAL SAMPAIO")</f>
        <v>A. DE AP. DA ESCOLA ESTADUAL SAMPAIO</v>
      </c>
      <c r="D233" s="212" t="str">
        <f ca="1">IFERROR(__xludf.DUMMYFUNCTION("""COMPUTED_VALUE"""),"01190179000150")</f>
        <v>01190179000150</v>
      </c>
      <c r="E233" s="212" t="str">
        <f ca="1">IFERROR(__xludf.DUMMYFUNCTION("""COMPUTED_VALUE"""),"001")</f>
        <v>001</v>
      </c>
      <c r="F233" s="212" t="str">
        <f ca="1">IFERROR(__xludf.DUMMYFUNCTION("""COMPUTED_VALUE"""),"1305")</f>
        <v>1305</v>
      </c>
      <c r="G233" s="213" t="str">
        <f ca="1">IFERROR(__xludf.DUMMYFUNCTION("""COMPUTED_VALUE"""),"0019178")</f>
        <v>0019178</v>
      </c>
      <c r="H233" s="211" t="str">
        <f ca="1">IFERROR(__xludf.DUMMYFUNCTION("""COMPUTED_VALUE"""),"AEE")</f>
        <v>AEE</v>
      </c>
      <c r="I233" s="214">
        <f ca="1">IFERROR(__xludf.DUMMYFUNCTION("""COMPUTED_VALUE"""),190.4)</f>
        <v>190.4</v>
      </c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9"/>
    </row>
    <row r="234" spans="1:26" ht="18.75" customHeight="1">
      <c r="A234" s="210" t="str">
        <f ca="1">IFERROR(__xludf.DUMMYFUNCTION("""COMPUTED_VALUE"""),"Araguatins")</f>
        <v>Araguatins</v>
      </c>
      <c r="B234" s="210" t="str">
        <f ca="1">IFERROR(__xludf.DUMMYFUNCTION("""COMPUTED_VALUE"""),"Sampaio")</f>
        <v>Sampaio</v>
      </c>
      <c r="C234" s="211" t="str">
        <f ca="1">IFERROR(__xludf.DUMMYFUNCTION("""COMPUTED_VALUE"""),"A. DE AP. DA ESCOLA ESTADUAL SAMPAIO")</f>
        <v>A. DE AP. DA ESCOLA ESTADUAL SAMPAIO</v>
      </c>
      <c r="D234" s="212" t="str">
        <f ca="1">IFERROR(__xludf.DUMMYFUNCTION("""COMPUTED_VALUE"""),"01190179000150")</f>
        <v>01190179000150</v>
      </c>
      <c r="E234" s="212" t="str">
        <f ca="1">IFERROR(__xludf.DUMMYFUNCTION("""COMPUTED_VALUE"""),"001")</f>
        <v>001</v>
      </c>
      <c r="F234" s="212" t="str">
        <f ca="1">IFERROR(__xludf.DUMMYFUNCTION("""COMPUTED_VALUE"""),"1305")</f>
        <v>1305</v>
      </c>
      <c r="G234" s="213" t="str">
        <f ca="1">IFERROR(__xludf.DUMMYFUNCTION("""COMPUTED_VALUE"""),"0019178")</f>
        <v>0019178</v>
      </c>
      <c r="H234" s="211" t="str">
        <f ca="1">IFERROR(__xludf.DUMMYFUNCTION("""COMPUTED_VALUE"""),"ENSINO MEDIO PARCIAL")</f>
        <v>ENSINO MEDIO PARCIAL</v>
      </c>
      <c r="I234" s="214">
        <f ca="1">IFERROR(__xludf.DUMMYFUNCTION("""COMPUTED_VALUE"""),2050)</f>
        <v>2050</v>
      </c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  <c r="Z234" s="209"/>
    </row>
    <row r="235" spans="1:26" ht="18.75" customHeight="1">
      <c r="A235" s="210" t="str">
        <f ca="1">IFERROR(__xludf.DUMMYFUNCTION("""COMPUTED_VALUE"""),"Araguatins")</f>
        <v>Araguatins</v>
      </c>
      <c r="B235" s="210" t="str">
        <f ca="1">IFERROR(__xludf.DUMMYFUNCTION("""COMPUTED_VALUE"""),"Sao Bento do Tocantins")</f>
        <v>Sao Bento do Tocantins</v>
      </c>
      <c r="C235" s="211" t="str">
        <f ca="1">IFERROR(__xludf.DUMMYFUNCTION("""COMPUTED_VALUE"""),"A.A. COLEGIO EST. IRMAOS FILGUEIRAS")</f>
        <v>A.A. COLEGIO EST. IRMAOS FILGUEIRAS</v>
      </c>
      <c r="D235" s="212" t="str">
        <f ca="1">IFERROR(__xludf.DUMMYFUNCTION("""COMPUTED_VALUE"""),"01068348000183")</f>
        <v>01068348000183</v>
      </c>
      <c r="E235" s="212" t="str">
        <f ca="1">IFERROR(__xludf.DUMMYFUNCTION("""COMPUTED_VALUE"""),"001")</f>
        <v>001</v>
      </c>
      <c r="F235" s="212" t="str">
        <f ca="1">IFERROR(__xludf.DUMMYFUNCTION("""COMPUTED_VALUE"""),"1305")</f>
        <v>1305</v>
      </c>
      <c r="G235" s="213" t="str">
        <f ca="1">IFERROR(__xludf.DUMMYFUNCTION("""COMPUTED_VALUE"""),"109134")</f>
        <v>109134</v>
      </c>
      <c r="H235" s="211" t="str">
        <f ca="1">IFERROR(__xludf.DUMMYFUNCTION("""COMPUTED_VALUE"""),"ENS FUND PARCIAL")</f>
        <v>ENS FUND PARCIAL</v>
      </c>
      <c r="I235" s="214">
        <f ca="1">IFERROR(__xludf.DUMMYFUNCTION("""COMPUTED_VALUE"""),1840)</f>
        <v>1840</v>
      </c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</row>
    <row r="236" spans="1:26" ht="18.75" customHeight="1">
      <c r="A236" s="210" t="str">
        <f ca="1">IFERROR(__xludf.DUMMYFUNCTION("""COMPUTED_VALUE"""),"Araguatins")</f>
        <v>Araguatins</v>
      </c>
      <c r="B236" s="210" t="str">
        <f ca="1">IFERROR(__xludf.DUMMYFUNCTION("""COMPUTED_VALUE"""),"Sao Bento do Tocantins")</f>
        <v>Sao Bento do Tocantins</v>
      </c>
      <c r="C236" s="211" t="str">
        <f ca="1">IFERROR(__xludf.DUMMYFUNCTION("""COMPUTED_VALUE"""),"A.A. COLEGIO EST. IRMAOS FILGUEIRAS")</f>
        <v>A.A. COLEGIO EST. IRMAOS FILGUEIRAS</v>
      </c>
      <c r="D236" s="212" t="str">
        <f ca="1">IFERROR(__xludf.DUMMYFUNCTION("""COMPUTED_VALUE"""),"01068348000183")</f>
        <v>01068348000183</v>
      </c>
      <c r="E236" s="212" t="str">
        <f ca="1">IFERROR(__xludf.DUMMYFUNCTION("""COMPUTED_VALUE"""),"001")</f>
        <v>001</v>
      </c>
      <c r="F236" s="212" t="str">
        <f ca="1">IFERROR(__xludf.DUMMYFUNCTION("""COMPUTED_VALUE"""),"1305")</f>
        <v>1305</v>
      </c>
      <c r="G236" s="213" t="str">
        <f ca="1">IFERROR(__xludf.DUMMYFUNCTION("""COMPUTED_VALUE"""),"109134")</f>
        <v>109134</v>
      </c>
      <c r="H236" s="211" t="str">
        <f ca="1">IFERROR(__xludf.DUMMYFUNCTION("""COMPUTED_VALUE"""),"AEE")</f>
        <v>AEE</v>
      </c>
      <c r="I236" s="214">
        <f ca="1">IFERROR(__xludf.DUMMYFUNCTION("""COMPUTED_VALUE"""),231.2)</f>
        <v>231.2</v>
      </c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</row>
    <row r="237" spans="1:26" ht="18.75" customHeight="1">
      <c r="A237" s="210" t="str">
        <f ca="1">IFERROR(__xludf.DUMMYFUNCTION("""COMPUTED_VALUE"""),"Araguatins")</f>
        <v>Araguatins</v>
      </c>
      <c r="B237" s="210" t="str">
        <f ca="1">IFERROR(__xludf.DUMMYFUNCTION("""COMPUTED_VALUE"""),"Sao Bento do Tocantins")</f>
        <v>Sao Bento do Tocantins</v>
      </c>
      <c r="C237" s="211" t="str">
        <f ca="1">IFERROR(__xludf.DUMMYFUNCTION("""COMPUTED_VALUE"""),"A.A. COLEGIO EST. IRMAOS FILGUEIRAS")</f>
        <v>A.A. COLEGIO EST. IRMAOS FILGUEIRAS</v>
      </c>
      <c r="D237" s="212" t="str">
        <f ca="1">IFERROR(__xludf.DUMMYFUNCTION("""COMPUTED_VALUE"""),"01068348000183")</f>
        <v>01068348000183</v>
      </c>
      <c r="E237" s="212" t="str">
        <f ca="1">IFERROR(__xludf.DUMMYFUNCTION("""COMPUTED_VALUE"""),"001")</f>
        <v>001</v>
      </c>
      <c r="F237" s="212" t="str">
        <f ca="1">IFERROR(__xludf.DUMMYFUNCTION("""COMPUTED_VALUE"""),"1305")</f>
        <v>1305</v>
      </c>
      <c r="G237" s="213" t="str">
        <f ca="1">IFERROR(__xludf.DUMMYFUNCTION("""COMPUTED_VALUE"""),"109134")</f>
        <v>109134</v>
      </c>
      <c r="H237" s="211" t="str">
        <f ca="1">IFERROR(__xludf.DUMMYFUNCTION("""COMPUTED_VALUE"""),"ENSINO MEDIO PARCIAL")</f>
        <v>ENSINO MEDIO PARCIAL</v>
      </c>
      <c r="I237" s="214">
        <f ca="1">IFERROR(__xludf.DUMMYFUNCTION("""COMPUTED_VALUE"""),2160)</f>
        <v>2160</v>
      </c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</row>
    <row r="238" spans="1:26" ht="18.75" customHeight="1">
      <c r="A238" s="210" t="str">
        <f ca="1">IFERROR(__xludf.DUMMYFUNCTION("""COMPUTED_VALUE"""),"Araguatins")</f>
        <v>Araguatins</v>
      </c>
      <c r="B238" s="210" t="str">
        <f ca="1">IFERROR(__xludf.DUMMYFUNCTION("""COMPUTED_VALUE"""),"Sao Bento do Tocantins")</f>
        <v>Sao Bento do Tocantins</v>
      </c>
      <c r="C238" s="211" t="str">
        <f ca="1">IFERROR(__xludf.DUMMYFUNCTION("""COMPUTED_VALUE"""),"A.A. COLEGIO EST. IRMAOS FILGUEIRAS")</f>
        <v>A.A. COLEGIO EST. IRMAOS FILGUEIRAS</v>
      </c>
      <c r="D238" s="212" t="str">
        <f ca="1">IFERROR(__xludf.DUMMYFUNCTION("""COMPUTED_VALUE"""),"01068348000183")</f>
        <v>01068348000183</v>
      </c>
      <c r="E238" s="212" t="str">
        <f ca="1">IFERROR(__xludf.DUMMYFUNCTION("""COMPUTED_VALUE"""),"001")</f>
        <v>001</v>
      </c>
      <c r="F238" s="212" t="str">
        <f ca="1">IFERROR(__xludf.DUMMYFUNCTION("""COMPUTED_VALUE"""),"1305")</f>
        <v>1305</v>
      </c>
      <c r="G238" s="213" t="str">
        <f ca="1">IFERROR(__xludf.DUMMYFUNCTION("""COMPUTED_VALUE"""),"109134")</f>
        <v>109134</v>
      </c>
      <c r="H238" s="211" t="str">
        <f ca="1">IFERROR(__xludf.DUMMYFUNCTION("""COMPUTED_VALUE"""),"EJA")</f>
        <v>EJA</v>
      </c>
      <c r="I238" s="214">
        <f ca="1">IFERROR(__xludf.DUMMYFUNCTION("""COMPUTED_VALUE"""),114.799999999999)</f>
        <v>114.799999999999</v>
      </c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  <c r="Z238" s="209"/>
    </row>
    <row r="239" spans="1:26" ht="18.75" customHeight="1">
      <c r="A239" s="210" t="str">
        <f ca="1">IFERROR(__xludf.DUMMYFUNCTION("""COMPUTED_VALUE"""),"Araguatins")</f>
        <v>Araguatins</v>
      </c>
      <c r="B239" s="210" t="str">
        <f ca="1">IFERROR(__xludf.DUMMYFUNCTION("""COMPUTED_VALUE"""),"Sao Bento do Tocantins")</f>
        <v>Sao Bento do Tocantins</v>
      </c>
      <c r="C239" s="211" t="str">
        <f ca="1">IFERROR(__xludf.DUMMYFUNCTION("""COMPUTED_VALUE"""),"A.A. ESC. EST. ANAIDES BRITO MIRANDA")</f>
        <v>A.A. ESC. EST. ANAIDES BRITO MIRANDA</v>
      </c>
      <c r="D239" s="212" t="str">
        <f ca="1">IFERROR(__xludf.DUMMYFUNCTION("""COMPUTED_VALUE"""),"01181993000108")</f>
        <v>01181993000108</v>
      </c>
      <c r="E239" s="212" t="str">
        <f ca="1">IFERROR(__xludf.DUMMYFUNCTION("""COMPUTED_VALUE"""),"001")</f>
        <v>001</v>
      </c>
      <c r="F239" s="212" t="str">
        <f ca="1">IFERROR(__xludf.DUMMYFUNCTION("""COMPUTED_VALUE"""),"1305")</f>
        <v>1305</v>
      </c>
      <c r="G239" s="213" t="str">
        <f ca="1">IFERROR(__xludf.DUMMYFUNCTION("""COMPUTED_VALUE"""),"10938x")</f>
        <v>10938x</v>
      </c>
      <c r="H239" s="211" t="str">
        <f ca="1">IFERROR(__xludf.DUMMYFUNCTION("""COMPUTED_VALUE"""),"ENS FUND PARCIAL")</f>
        <v>ENS FUND PARCIAL</v>
      </c>
      <c r="I239" s="214">
        <f ca="1">IFERROR(__xludf.DUMMYFUNCTION("""COMPUTED_VALUE"""),700)</f>
        <v>700</v>
      </c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  <c r="Z239" s="209"/>
    </row>
    <row r="240" spans="1:26" ht="18.75" customHeight="1">
      <c r="A240" s="210" t="str">
        <f ca="1">IFERROR(__xludf.DUMMYFUNCTION("""COMPUTED_VALUE"""),"Araguatins")</f>
        <v>Araguatins</v>
      </c>
      <c r="B240" s="210" t="str">
        <f ca="1">IFERROR(__xludf.DUMMYFUNCTION("""COMPUTED_VALUE"""),"Sao Bento do Tocantins")</f>
        <v>Sao Bento do Tocantins</v>
      </c>
      <c r="C240" s="211" t="str">
        <f ca="1">IFERROR(__xludf.DUMMYFUNCTION("""COMPUTED_VALUE"""),"A.A. ESC. EST. ANAIDES BRITO MIRANDA")</f>
        <v>A.A. ESC. EST. ANAIDES BRITO MIRANDA</v>
      </c>
      <c r="D240" s="212" t="str">
        <f ca="1">IFERROR(__xludf.DUMMYFUNCTION("""COMPUTED_VALUE"""),"01181993000108")</f>
        <v>01181993000108</v>
      </c>
      <c r="E240" s="212" t="str">
        <f ca="1">IFERROR(__xludf.DUMMYFUNCTION("""COMPUTED_VALUE"""),"001")</f>
        <v>001</v>
      </c>
      <c r="F240" s="212" t="str">
        <f ca="1">IFERROR(__xludf.DUMMYFUNCTION("""COMPUTED_VALUE"""),"1305")</f>
        <v>1305</v>
      </c>
      <c r="G240" s="213" t="str">
        <f ca="1">IFERROR(__xludf.DUMMYFUNCTION("""COMPUTED_VALUE"""),"10938x")</f>
        <v>10938x</v>
      </c>
      <c r="H240" s="211" t="str">
        <f ca="1">IFERROR(__xludf.DUMMYFUNCTION("""COMPUTED_VALUE"""),"AEE")</f>
        <v>AEE</v>
      </c>
      <c r="I240" s="214">
        <f ca="1">IFERROR(__xludf.DUMMYFUNCTION("""COMPUTED_VALUE"""),163.2)</f>
        <v>163.19999999999999</v>
      </c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  <c r="Z240" s="209"/>
    </row>
    <row r="241" spans="1:26" ht="18.75" customHeight="1">
      <c r="A241" s="210" t="str">
        <f ca="1">IFERROR(__xludf.DUMMYFUNCTION("""COMPUTED_VALUE"""),"Araguatins")</f>
        <v>Araguatins</v>
      </c>
      <c r="B241" s="210" t="str">
        <f ca="1">IFERROR(__xludf.DUMMYFUNCTION("""COMPUTED_VALUE"""),"Sao Bento do Tocantins")</f>
        <v>Sao Bento do Tocantins</v>
      </c>
      <c r="C241" s="211" t="str">
        <f ca="1">IFERROR(__xludf.DUMMYFUNCTION("""COMPUTED_VALUE"""),"A.A. ESC. EST. ANAIDES BRITO MIRANDA")</f>
        <v>A.A. ESC. EST. ANAIDES BRITO MIRANDA</v>
      </c>
      <c r="D241" s="212" t="str">
        <f ca="1">IFERROR(__xludf.DUMMYFUNCTION("""COMPUTED_VALUE"""),"01181993000108")</f>
        <v>01181993000108</v>
      </c>
      <c r="E241" s="212" t="str">
        <f ca="1">IFERROR(__xludf.DUMMYFUNCTION("""COMPUTED_VALUE"""),"001")</f>
        <v>001</v>
      </c>
      <c r="F241" s="212" t="str">
        <f ca="1">IFERROR(__xludf.DUMMYFUNCTION("""COMPUTED_VALUE"""),"1305")</f>
        <v>1305</v>
      </c>
      <c r="G241" s="213" t="str">
        <f ca="1">IFERROR(__xludf.DUMMYFUNCTION("""COMPUTED_VALUE"""),"10938x")</f>
        <v>10938x</v>
      </c>
      <c r="H241" s="211" t="str">
        <f ca="1">IFERROR(__xludf.DUMMYFUNCTION("""COMPUTED_VALUE"""),"ENSINO MEDIO PARCIAL")</f>
        <v>ENSINO MEDIO PARCIAL</v>
      </c>
      <c r="I241" s="214">
        <f ca="1">IFERROR(__xludf.DUMMYFUNCTION("""COMPUTED_VALUE"""),480)</f>
        <v>480</v>
      </c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9"/>
    </row>
    <row r="242" spans="1:26" ht="18.75" customHeight="1">
      <c r="A242" s="210" t="str">
        <f ca="1">IFERROR(__xludf.DUMMYFUNCTION("""COMPUTED_VALUE"""),"Araguatins")</f>
        <v>Araguatins</v>
      </c>
      <c r="B242" s="210" t="str">
        <f ca="1">IFERROR(__xludf.DUMMYFUNCTION("""COMPUTED_VALUE"""),"Sao Bento do Tocantins")</f>
        <v>Sao Bento do Tocantins</v>
      </c>
      <c r="C242" s="211" t="str">
        <f ca="1">IFERROR(__xludf.DUMMYFUNCTION("""COMPUTED_VALUE"""),"A.A. ESC. EST. ANAIDES BRITO MIRANDA")</f>
        <v>A.A. ESC. EST. ANAIDES BRITO MIRANDA</v>
      </c>
      <c r="D242" s="212" t="str">
        <f ca="1">IFERROR(__xludf.DUMMYFUNCTION("""COMPUTED_VALUE"""),"01181993000108")</f>
        <v>01181993000108</v>
      </c>
      <c r="E242" s="212" t="str">
        <f ca="1">IFERROR(__xludf.DUMMYFUNCTION("""COMPUTED_VALUE"""),"001")</f>
        <v>001</v>
      </c>
      <c r="F242" s="212" t="str">
        <f ca="1">IFERROR(__xludf.DUMMYFUNCTION("""COMPUTED_VALUE"""),"1305")</f>
        <v>1305</v>
      </c>
      <c r="G242" s="213" t="str">
        <f ca="1">IFERROR(__xludf.DUMMYFUNCTION("""COMPUTED_VALUE"""),"10938x")</f>
        <v>10938x</v>
      </c>
      <c r="H242" s="211" t="str">
        <f ca="1">IFERROR(__xludf.DUMMYFUNCTION("""COMPUTED_VALUE"""),"EJA")</f>
        <v>EJA</v>
      </c>
      <c r="I242" s="214">
        <f ca="1">IFERROR(__xludf.DUMMYFUNCTION("""COMPUTED_VALUE"""),122.999999999999)</f>
        <v>122.99999999999901</v>
      </c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9"/>
    </row>
    <row r="243" spans="1:26" ht="18.75" customHeight="1">
      <c r="A243" s="210" t="str">
        <f ca="1">IFERROR(__xludf.DUMMYFUNCTION("""COMPUTED_VALUE"""),"Araguatins")</f>
        <v>Araguatins</v>
      </c>
      <c r="B243" s="210" t="str">
        <f ca="1">IFERROR(__xludf.DUMMYFUNCTION("""COMPUTED_VALUE"""),"Sao Miguel do Tocantins")</f>
        <v>Sao Miguel do Tocantins</v>
      </c>
      <c r="C243" s="211" t="str">
        <f ca="1">IFERROR(__xludf.DUMMYFUNCTION("""COMPUTED_VALUE"""),"A.A.  ESCOLA ESTADUAL SAO MIGUEL")</f>
        <v>A.A.  ESCOLA ESTADUAL SAO MIGUEL</v>
      </c>
      <c r="D243" s="212" t="str">
        <f ca="1">IFERROR(__xludf.DUMMYFUNCTION("""COMPUTED_VALUE"""),"01213523000189")</f>
        <v>01213523000189</v>
      </c>
      <c r="E243" s="212" t="str">
        <f ca="1">IFERROR(__xludf.DUMMYFUNCTION("""COMPUTED_VALUE"""),"001")</f>
        <v>001</v>
      </c>
      <c r="F243" s="212" t="str">
        <f ca="1">IFERROR(__xludf.DUMMYFUNCTION("""COMPUTED_VALUE"""),"1305")</f>
        <v>1305</v>
      </c>
      <c r="G243" s="213" t="str">
        <f ca="1">IFERROR(__xludf.DUMMYFUNCTION("""COMPUTED_VALUE"""),"173576")</f>
        <v>173576</v>
      </c>
      <c r="H243" s="211" t="str">
        <f ca="1">IFERROR(__xludf.DUMMYFUNCTION("""COMPUTED_VALUE"""),"ENS FUND PARCIAL")</f>
        <v>ENS FUND PARCIAL</v>
      </c>
      <c r="I243" s="214">
        <f ca="1">IFERROR(__xludf.DUMMYFUNCTION("""COMPUTED_VALUE"""),2060)</f>
        <v>2060</v>
      </c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  <c r="Z243" s="209"/>
    </row>
    <row r="244" spans="1:26" ht="18.75" customHeight="1">
      <c r="A244" s="210" t="str">
        <f ca="1">IFERROR(__xludf.DUMMYFUNCTION("""COMPUTED_VALUE"""),"Araguatins")</f>
        <v>Araguatins</v>
      </c>
      <c r="B244" s="210" t="str">
        <f ca="1">IFERROR(__xludf.DUMMYFUNCTION("""COMPUTED_VALUE"""),"Sao Miguel do Tocantins")</f>
        <v>Sao Miguel do Tocantins</v>
      </c>
      <c r="C244" s="211" t="str">
        <f ca="1">IFERROR(__xludf.DUMMYFUNCTION("""COMPUTED_VALUE"""),"A.A.  ESCOLA ESTADUAL SAO MIGUEL")</f>
        <v>A.A.  ESCOLA ESTADUAL SAO MIGUEL</v>
      </c>
      <c r="D244" s="212" t="str">
        <f ca="1">IFERROR(__xludf.DUMMYFUNCTION("""COMPUTED_VALUE"""),"01213523000189")</f>
        <v>01213523000189</v>
      </c>
      <c r="E244" s="212" t="str">
        <f ca="1">IFERROR(__xludf.DUMMYFUNCTION("""COMPUTED_VALUE"""),"001")</f>
        <v>001</v>
      </c>
      <c r="F244" s="212" t="str">
        <f ca="1">IFERROR(__xludf.DUMMYFUNCTION("""COMPUTED_VALUE"""),"1305")</f>
        <v>1305</v>
      </c>
      <c r="G244" s="213" t="str">
        <f ca="1">IFERROR(__xludf.DUMMYFUNCTION("""COMPUTED_VALUE"""),"173576")</f>
        <v>173576</v>
      </c>
      <c r="H244" s="211" t="str">
        <f ca="1">IFERROR(__xludf.DUMMYFUNCTION("""COMPUTED_VALUE"""),"AEE")</f>
        <v>AEE</v>
      </c>
      <c r="I244" s="214">
        <f ca="1">IFERROR(__xludf.DUMMYFUNCTION("""COMPUTED_VALUE"""),190.4)</f>
        <v>190.4</v>
      </c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</row>
    <row r="245" spans="1:26" ht="18.75" customHeight="1">
      <c r="A245" s="210" t="str">
        <f ca="1">IFERROR(__xludf.DUMMYFUNCTION("""COMPUTED_VALUE"""),"Araguatins")</f>
        <v>Araguatins</v>
      </c>
      <c r="B245" s="210" t="str">
        <f ca="1">IFERROR(__xludf.DUMMYFUNCTION("""COMPUTED_VALUE"""),"Sao Miguel do Tocantins")</f>
        <v>Sao Miguel do Tocantins</v>
      </c>
      <c r="C245" s="211" t="str">
        <f ca="1">IFERROR(__xludf.DUMMYFUNCTION("""COMPUTED_VALUE"""),"A.A.  ESCOLA ESTADUAL SAO MIGUEL")</f>
        <v>A.A.  ESCOLA ESTADUAL SAO MIGUEL</v>
      </c>
      <c r="D245" s="212" t="str">
        <f ca="1">IFERROR(__xludf.DUMMYFUNCTION("""COMPUTED_VALUE"""),"01213523000189")</f>
        <v>01213523000189</v>
      </c>
      <c r="E245" s="212" t="str">
        <f ca="1">IFERROR(__xludf.DUMMYFUNCTION("""COMPUTED_VALUE"""),"001")</f>
        <v>001</v>
      </c>
      <c r="F245" s="212" t="str">
        <f ca="1">IFERROR(__xludf.DUMMYFUNCTION("""COMPUTED_VALUE"""),"1305")</f>
        <v>1305</v>
      </c>
      <c r="G245" s="213" t="str">
        <f ca="1">IFERROR(__xludf.DUMMYFUNCTION("""COMPUTED_VALUE"""),"173576")</f>
        <v>173576</v>
      </c>
      <c r="H245" s="211" t="str">
        <f ca="1">IFERROR(__xludf.DUMMYFUNCTION("""COMPUTED_VALUE"""),"ENSINO MEDIO PARCIAL")</f>
        <v>ENSINO MEDIO PARCIAL</v>
      </c>
      <c r="I245" s="214">
        <f ca="1">IFERROR(__xludf.DUMMYFUNCTION("""COMPUTED_VALUE"""),2690)</f>
        <v>2690</v>
      </c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  <c r="Z245" s="209"/>
    </row>
    <row r="246" spans="1:26" ht="18.75" customHeight="1">
      <c r="A246" s="210" t="str">
        <f ca="1">IFERROR(__xludf.DUMMYFUNCTION("""COMPUTED_VALUE"""),"Araguatins")</f>
        <v>Araguatins</v>
      </c>
      <c r="B246" s="210" t="str">
        <f ca="1">IFERROR(__xludf.DUMMYFUNCTION("""COMPUTED_VALUE"""),"Sao Miguel do Tocantins")</f>
        <v>Sao Miguel do Tocantins</v>
      </c>
      <c r="C246" s="211" t="str">
        <f ca="1">IFERROR(__xludf.DUMMYFUNCTION("""COMPUTED_VALUE"""),"A.A.  DA ESCOLA ESTADUAL BELA VISTA")</f>
        <v>A.A.  DA ESCOLA ESTADUAL BELA VISTA</v>
      </c>
      <c r="D246" s="212" t="str">
        <f ca="1">IFERROR(__xludf.DUMMYFUNCTION("""COMPUTED_VALUE"""),"01230238000176")</f>
        <v>01230238000176</v>
      </c>
      <c r="E246" s="212" t="str">
        <f ca="1">IFERROR(__xludf.DUMMYFUNCTION("""COMPUTED_VALUE"""),"001")</f>
        <v>001</v>
      </c>
      <c r="F246" s="212" t="str">
        <f ca="1">IFERROR(__xludf.DUMMYFUNCTION("""COMPUTED_VALUE"""),"1305")</f>
        <v>1305</v>
      </c>
      <c r="G246" s="213" t="str">
        <f ca="1">IFERROR(__xludf.DUMMYFUNCTION("""COMPUTED_VALUE"""),"0217948")</f>
        <v>0217948</v>
      </c>
      <c r="H246" s="211" t="str">
        <f ca="1">IFERROR(__xludf.DUMMYFUNCTION("""COMPUTED_VALUE"""),"ENS FUND PARCIAL")</f>
        <v>ENS FUND PARCIAL</v>
      </c>
      <c r="I246" s="214">
        <f ca="1">IFERROR(__xludf.DUMMYFUNCTION("""COMPUTED_VALUE"""),2670)</f>
        <v>2670</v>
      </c>
      <c r="J246" s="209"/>
      <c r="K246" s="209"/>
      <c r="L246" s="209"/>
      <c r="M246" s="209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</row>
    <row r="247" spans="1:26" ht="18.75" customHeight="1">
      <c r="A247" s="210" t="str">
        <f ca="1">IFERROR(__xludf.DUMMYFUNCTION("""COMPUTED_VALUE"""),"Araguatins")</f>
        <v>Araguatins</v>
      </c>
      <c r="B247" s="210" t="str">
        <f ca="1">IFERROR(__xludf.DUMMYFUNCTION("""COMPUTED_VALUE"""),"Sao Miguel do Tocantins")</f>
        <v>Sao Miguel do Tocantins</v>
      </c>
      <c r="C247" s="211" t="str">
        <f ca="1">IFERROR(__xludf.DUMMYFUNCTION("""COMPUTED_VALUE"""),"A.A.  DA ESCOLA ESTADUAL BELA VISTA")</f>
        <v>A.A.  DA ESCOLA ESTADUAL BELA VISTA</v>
      </c>
      <c r="D247" s="212" t="str">
        <f ca="1">IFERROR(__xludf.DUMMYFUNCTION("""COMPUTED_VALUE"""),"01230238000176")</f>
        <v>01230238000176</v>
      </c>
      <c r="E247" s="212" t="str">
        <f ca="1">IFERROR(__xludf.DUMMYFUNCTION("""COMPUTED_VALUE"""),"001")</f>
        <v>001</v>
      </c>
      <c r="F247" s="212" t="str">
        <f ca="1">IFERROR(__xludf.DUMMYFUNCTION("""COMPUTED_VALUE"""),"1305")</f>
        <v>1305</v>
      </c>
      <c r="G247" s="213" t="str">
        <f ca="1">IFERROR(__xludf.DUMMYFUNCTION("""COMPUTED_VALUE"""),"0217948")</f>
        <v>0217948</v>
      </c>
      <c r="H247" s="211" t="str">
        <f ca="1">IFERROR(__xludf.DUMMYFUNCTION("""COMPUTED_VALUE"""),"ENSINO MEDIO PARCIAL")</f>
        <v>ENSINO MEDIO PARCIAL</v>
      </c>
      <c r="I247" s="214">
        <f ca="1">IFERROR(__xludf.DUMMYFUNCTION("""COMPUTED_VALUE"""),2060)</f>
        <v>2060</v>
      </c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  <c r="Z247" s="209"/>
    </row>
    <row r="248" spans="1:26" ht="18.75" customHeight="1">
      <c r="A248" s="210" t="str">
        <f ca="1">IFERROR(__xludf.DUMMYFUNCTION("""COMPUTED_VALUE"""),"Araguatins")</f>
        <v>Araguatins</v>
      </c>
      <c r="B248" s="210" t="str">
        <f ca="1">IFERROR(__xludf.DUMMYFUNCTION("""COMPUTED_VALUE"""),"Sao Sebastiao do Tocantins")</f>
        <v>Sao Sebastiao do Tocantins</v>
      </c>
      <c r="C248" s="211" t="str">
        <f ca="1">IFERROR(__xludf.DUMMYFUNCTION("""COMPUTED_VALUE"""),"A.A.  DO COL. EST.IRIO OLIVEIRA SOUZA")</f>
        <v>A.A.  DO COL. EST.IRIO OLIVEIRA SOUZA</v>
      </c>
      <c r="D248" s="212" t="str">
        <f ca="1">IFERROR(__xludf.DUMMYFUNCTION("""COMPUTED_VALUE"""),"01112477000121")</f>
        <v>01112477000121</v>
      </c>
      <c r="E248" s="212" t="str">
        <f ca="1">IFERROR(__xludf.DUMMYFUNCTION("""COMPUTED_VALUE"""),"001")</f>
        <v>001</v>
      </c>
      <c r="F248" s="212" t="str">
        <f ca="1">IFERROR(__xludf.DUMMYFUNCTION("""COMPUTED_VALUE"""),"1305")</f>
        <v>1305</v>
      </c>
      <c r="G248" s="213" t="str">
        <f ca="1">IFERROR(__xludf.DUMMYFUNCTION("""COMPUTED_VALUE"""),"0109282")</f>
        <v>0109282</v>
      </c>
      <c r="H248" s="211" t="str">
        <f ca="1">IFERROR(__xludf.DUMMYFUNCTION("""COMPUTED_VALUE"""),"ENSINO MEDIO PARCIAL")</f>
        <v>ENSINO MEDIO PARCIAL</v>
      </c>
      <c r="I248" s="214">
        <f ca="1">IFERROR(__xludf.DUMMYFUNCTION("""COMPUTED_VALUE"""),1770)</f>
        <v>1770</v>
      </c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  <c r="Z248" s="209"/>
    </row>
    <row r="249" spans="1:26" ht="18.75" customHeight="1">
      <c r="A249" s="210" t="str">
        <f ca="1">IFERROR(__xludf.DUMMYFUNCTION("""COMPUTED_VALUE"""),"Araguatins")</f>
        <v>Araguatins</v>
      </c>
      <c r="B249" s="210" t="str">
        <f ca="1">IFERROR(__xludf.DUMMYFUNCTION("""COMPUTED_VALUE"""),"Sao Sebastiao do Tocantins")</f>
        <v>Sao Sebastiao do Tocantins</v>
      </c>
      <c r="C249" s="211" t="str">
        <f ca="1">IFERROR(__xludf.DUMMYFUNCTION("""COMPUTED_VALUE"""),"A.A. E. E. DR.PEDRO LUDOVICO TEIXEIRA")</f>
        <v>A.A. E. E. DR.PEDRO LUDOVICO TEIXEIRA</v>
      </c>
      <c r="D249" s="212" t="str">
        <f ca="1">IFERROR(__xludf.DUMMYFUNCTION("""COMPUTED_VALUE"""),"01186462000108")</f>
        <v>01186462000108</v>
      </c>
      <c r="E249" s="212" t="str">
        <f ca="1">IFERROR(__xludf.DUMMYFUNCTION("""COMPUTED_VALUE"""),"001")</f>
        <v>001</v>
      </c>
      <c r="F249" s="212" t="str">
        <f ca="1">IFERROR(__xludf.DUMMYFUNCTION("""COMPUTED_VALUE"""),"1305")</f>
        <v>1305</v>
      </c>
      <c r="G249" s="213" t="str">
        <f ca="1">IFERROR(__xludf.DUMMYFUNCTION("""COMPUTED_VALUE"""),"109711")</f>
        <v>109711</v>
      </c>
      <c r="H249" s="211" t="str">
        <f ca="1">IFERROR(__xludf.DUMMYFUNCTION("""COMPUTED_VALUE"""),"ENS FUND PARCIAL")</f>
        <v>ENS FUND PARCIAL</v>
      </c>
      <c r="I249" s="214">
        <f ca="1">IFERROR(__xludf.DUMMYFUNCTION("""COMPUTED_VALUE"""),1170)</f>
        <v>1170</v>
      </c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  <c r="Z249" s="209"/>
    </row>
    <row r="250" spans="1:26" ht="18.75" customHeight="1">
      <c r="A250" s="210" t="str">
        <f ca="1">IFERROR(__xludf.DUMMYFUNCTION("""COMPUTED_VALUE"""),"Araguatins")</f>
        <v>Araguatins</v>
      </c>
      <c r="B250" s="210" t="str">
        <f ca="1">IFERROR(__xludf.DUMMYFUNCTION("""COMPUTED_VALUE"""),"Sao Sebastiao do Tocantins")</f>
        <v>Sao Sebastiao do Tocantins</v>
      </c>
      <c r="C250" s="211" t="str">
        <f ca="1">IFERROR(__xludf.DUMMYFUNCTION("""COMPUTED_VALUE"""),"A.A. E. E. DR.PEDRO LUDOVICO TEIXEIRA")</f>
        <v>A.A. E. E. DR.PEDRO LUDOVICO TEIXEIRA</v>
      </c>
      <c r="D250" s="212" t="str">
        <f ca="1">IFERROR(__xludf.DUMMYFUNCTION("""COMPUTED_VALUE"""),"01186462000108")</f>
        <v>01186462000108</v>
      </c>
      <c r="E250" s="212" t="str">
        <f ca="1">IFERROR(__xludf.DUMMYFUNCTION("""COMPUTED_VALUE"""),"001")</f>
        <v>001</v>
      </c>
      <c r="F250" s="212" t="str">
        <f ca="1">IFERROR(__xludf.DUMMYFUNCTION("""COMPUTED_VALUE"""),"1305")</f>
        <v>1305</v>
      </c>
      <c r="G250" s="213" t="str">
        <f ca="1">IFERROR(__xludf.DUMMYFUNCTION("""COMPUTED_VALUE"""),"109711")</f>
        <v>109711</v>
      </c>
      <c r="H250" s="211" t="str">
        <f ca="1">IFERROR(__xludf.DUMMYFUNCTION("""COMPUTED_VALUE"""),"AEE")</f>
        <v>AEE</v>
      </c>
      <c r="I250" s="214">
        <f ca="1">IFERROR(__xludf.DUMMYFUNCTION("""COMPUTED_VALUE"""),176.799999999999)</f>
        <v>176.79999999999899</v>
      </c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  <c r="Z250" s="209"/>
    </row>
    <row r="251" spans="1:26" ht="18.75" customHeight="1">
      <c r="A251" s="210" t="str">
        <f ca="1">IFERROR(__xludf.DUMMYFUNCTION("""COMPUTED_VALUE"""),"Araguatins")</f>
        <v>Araguatins</v>
      </c>
      <c r="B251" s="210" t="str">
        <f ca="1">IFERROR(__xludf.DUMMYFUNCTION("""COMPUTED_VALUE"""),"Sao Sebastiao do Tocantins")</f>
        <v>Sao Sebastiao do Tocantins</v>
      </c>
      <c r="C251" s="211" t="str">
        <f ca="1">IFERROR(__xludf.DUMMYFUNCTION("""COMPUTED_VALUE"""),"A.A. E. E. DR.PEDRO LUDOVICO TEIXEIRA")</f>
        <v>A.A. E. E. DR.PEDRO LUDOVICO TEIXEIRA</v>
      </c>
      <c r="D251" s="212" t="str">
        <f ca="1">IFERROR(__xludf.DUMMYFUNCTION("""COMPUTED_VALUE"""),"01186462000108")</f>
        <v>01186462000108</v>
      </c>
      <c r="E251" s="212" t="str">
        <f ca="1">IFERROR(__xludf.DUMMYFUNCTION("""COMPUTED_VALUE"""),"001")</f>
        <v>001</v>
      </c>
      <c r="F251" s="212" t="str">
        <f ca="1">IFERROR(__xludf.DUMMYFUNCTION("""COMPUTED_VALUE"""),"1305")</f>
        <v>1305</v>
      </c>
      <c r="G251" s="213" t="str">
        <f ca="1">IFERROR(__xludf.DUMMYFUNCTION("""COMPUTED_VALUE"""),"109711")</f>
        <v>109711</v>
      </c>
      <c r="H251" s="211" t="str">
        <f ca="1">IFERROR(__xludf.DUMMYFUNCTION("""COMPUTED_VALUE"""),"EJA")</f>
        <v>EJA</v>
      </c>
      <c r="I251" s="214">
        <f ca="1">IFERROR(__xludf.DUMMYFUNCTION("""COMPUTED_VALUE"""),623.199999999999)</f>
        <v>623.19999999999902</v>
      </c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  <c r="Z251" s="209"/>
    </row>
    <row r="252" spans="1:26" ht="18.75" customHeight="1">
      <c r="A252" s="210" t="str">
        <f ca="1">IFERROR(__xludf.DUMMYFUNCTION("""COMPUTED_VALUE"""),"Araguatins")</f>
        <v>Araguatins</v>
      </c>
      <c r="B252" s="210" t="str">
        <f ca="1">IFERROR(__xludf.DUMMYFUNCTION("""COMPUTED_VALUE"""),"Sitio Novo do Tocantins")</f>
        <v>Sitio Novo do Tocantins</v>
      </c>
      <c r="C252" s="211" t="str">
        <f ca="1">IFERROR(__xludf.DUMMYFUNCTION("""COMPUTED_VALUE"""),"A.A. ESC. EST. MANOEL ESTEVAO DE SOUZA")</f>
        <v>A.A. ESC. EST. MANOEL ESTEVAO DE SOUZA</v>
      </c>
      <c r="D252" s="212" t="str">
        <f ca="1">IFERROR(__xludf.DUMMYFUNCTION("""COMPUTED_VALUE"""),"01213534000169")</f>
        <v>01213534000169</v>
      </c>
      <c r="E252" s="212" t="str">
        <f ca="1">IFERROR(__xludf.DUMMYFUNCTION("""COMPUTED_VALUE"""),"001")</f>
        <v>001</v>
      </c>
      <c r="F252" s="212" t="str">
        <f ca="1">IFERROR(__xludf.DUMMYFUNCTION("""COMPUTED_VALUE"""),"1305")</f>
        <v>1305</v>
      </c>
      <c r="G252" s="213" t="str">
        <f ca="1">IFERROR(__xludf.DUMMYFUNCTION("""COMPUTED_VALUE"""),"181048")</f>
        <v>181048</v>
      </c>
      <c r="H252" s="211" t="str">
        <f ca="1">IFERROR(__xludf.DUMMYFUNCTION("""COMPUTED_VALUE"""),"ENS FUND PARCIAL")</f>
        <v>ENS FUND PARCIAL</v>
      </c>
      <c r="I252" s="214">
        <f ca="1">IFERROR(__xludf.DUMMYFUNCTION("""COMPUTED_VALUE"""),1090)</f>
        <v>1090</v>
      </c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  <c r="Z252" s="209"/>
    </row>
    <row r="253" spans="1:26" ht="18.75" customHeight="1">
      <c r="A253" s="210" t="str">
        <f ca="1">IFERROR(__xludf.DUMMYFUNCTION("""COMPUTED_VALUE"""),"Araguatins")</f>
        <v>Araguatins</v>
      </c>
      <c r="B253" s="210" t="str">
        <f ca="1">IFERROR(__xludf.DUMMYFUNCTION("""COMPUTED_VALUE"""),"Sitio Novo do Tocantins")</f>
        <v>Sitio Novo do Tocantins</v>
      </c>
      <c r="C253" s="211" t="str">
        <f ca="1">IFERROR(__xludf.DUMMYFUNCTION("""COMPUTED_VALUE"""),"A.A. ESC. EST. MANOEL ESTEVAO DE SOUZA")</f>
        <v>A.A. ESC. EST. MANOEL ESTEVAO DE SOUZA</v>
      </c>
      <c r="D253" s="212" t="str">
        <f ca="1">IFERROR(__xludf.DUMMYFUNCTION("""COMPUTED_VALUE"""),"01213534000169")</f>
        <v>01213534000169</v>
      </c>
      <c r="E253" s="212" t="str">
        <f ca="1">IFERROR(__xludf.DUMMYFUNCTION("""COMPUTED_VALUE"""),"001")</f>
        <v>001</v>
      </c>
      <c r="F253" s="212" t="str">
        <f ca="1">IFERROR(__xludf.DUMMYFUNCTION("""COMPUTED_VALUE"""),"1305")</f>
        <v>1305</v>
      </c>
      <c r="G253" s="213" t="str">
        <f ca="1">IFERROR(__xludf.DUMMYFUNCTION("""COMPUTED_VALUE"""),"181048")</f>
        <v>181048</v>
      </c>
      <c r="H253" s="211" t="str">
        <f ca="1">IFERROR(__xludf.DUMMYFUNCTION("""COMPUTED_VALUE"""),"AEE")</f>
        <v>AEE</v>
      </c>
      <c r="I253" s="214">
        <f ca="1">IFERROR(__xludf.DUMMYFUNCTION("""COMPUTED_VALUE"""),217.6)</f>
        <v>217.6</v>
      </c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  <c r="Z253" s="209"/>
    </row>
    <row r="254" spans="1:26" ht="18.75" customHeight="1">
      <c r="A254" s="210" t="str">
        <f ca="1">IFERROR(__xludf.DUMMYFUNCTION("""COMPUTED_VALUE"""),"Araguatins")</f>
        <v>Araguatins</v>
      </c>
      <c r="B254" s="210" t="str">
        <f ca="1">IFERROR(__xludf.DUMMYFUNCTION("""COMPUTED_VALUE"""),"Sitio Novo do Tocantins")</f>
        <v>Sitio Novo do Tocantins</v>
      </c>
      <c r="C254" s="211" t="str">
        <f ca="1">IFERROR(__xludf.DUMMYFUNCTION("""COMPUTED_VALUE"""),"A.A. ESC. EST. RAIMUNDO NONATO LEITE")</f>
        <v>A.A. ESC. EST. RAIMUNDO NONATO LEITE</v>
      </c>
      <c r="D254" s="212" t="str">
        <f ca="1">IFERROR(__xludf.DUMMYFUNCTION("""COMPUTED_VALUE"""),"01230237000121")</f>
        <v>01230237000121</v>
      </c>
      <c r="E254" s="212" t="str">
        <f ca="1">IFERROR(__xludf.DUMMYFUNCTION("""COMPUTED_VALUE"""),"001")</f>
        <v>001</v>
      </c>
      <c r="F254" s="212" t="str">
        <f ca="1">IFERROR(__xludf.DUMMYFUNCTION("""COMPUTED_VALUE"""),"0810")</f>
        <v>0810</v>
      </c>
      <c r="G254" s="213" t="str">
        <f ca="1">IFERROR(__xludf.DUMMYFUNCTION("""COMPUTED_VALUE"""),"217980")</f>
        <v>217980</v>
      </c>
      <c r="H254" s="211" t="str">
        <f ca="1">IFERROR(__xludf.DUMMYFUNCTION("""COMPUTED_VALUE"""),"ENS FUND PARCIAL")</f>
        <v>ENS FUND PARCIAL</v>
      </c>
      <c r="I254" s="214">
        <f ca="1">IFERROR(__xludf.DUMMYFUNCTION("""COMPUTED_VALUE"""),470)</f>
        <v>470</v>
      </c>
      <c r="J254" s="209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  <c r="Z254" s="209"/>
    </row>
    <row r="255" spans="1:26" ht="18.75" customHeight="1">
      <c r="A255" s="210" t="str">
        <f ca="1">IFERROR(__xludf.DUMMYFUNCTION("""COMPUTED_VALUE"""),"Araguatins")</f>
        <v>Araguatins</v>
      </c>
      <c r="B255" s="210" t="str">
        <f ca="1">IFERROR(__xludf.DUMMYFUNCTION("""COMPUTED_VALUE"""),"Sitio Novo do Tocantins")</f>
        <v>Sitio Novo do Tocantins</v>
      </c>
      <c r="C255" s="211" t="str">
        <f ca="1">IFERROR(__xludf.DUMMYFUNCTION("""COMPUTED_VALUE"""),"A.A. ESC. EST. RAIMUNDO NONATO LEITE")</f>
        <v>A.A. ESC. EST. RAIMUNDO NONATO LEITE</v>
      </c>
      <c r="D255" s="212" t="str">
        <f ca="1">IFERROR(__xludf.DUMMYFUNCTION("""COMPUTED_VALUE"""),"01230237000121")</f>
        <v>01230237000121</v>
      </c>
      <c r="E255" s="212" t="str">
        <f ca="1">IFERROR(__xludf.DUMMYFUNCTION("""COMPUTED_VALUE"""),"001")</f>
        <v>001</v>
      </c>
      <c r="F255" s="212" t="str">
        <f ca="1">IFERROR(__xludf.DUMMYFUNCTION("""COMPUTED_VALUE"""),"0810")</f>
        <v>0810</v>
      </c>
      <c r="G255" s="213" t="str">
        <f ca="1">IFERROR(__xludf.DUMMYFUNCTION("""COMPUTED_VALUE"""),"217980")</f>
        <v>217980</v>
      </c>
      <c r="H255" s="211" t="str">
        <f ca="1">IFERROR(__xludf.DUMMYFUNCTION("""COMPUTED_VALUE"""),"AEE")</f>
        <v>AEE</v>
      </c>
      <c r="I255" s="214">
        <f ca="1">IFERROR(__xludf.DUMMYFUNCTION("""COMPUTED_VALUE"""),217.6)</f>
        <v>217.6</v>
      </c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  <c r="Z255" s="209"/>
    </row>
    <row r="256" spans="1:26" ht="18.75" customHeight="1">
      <c r="A256" s="210" t="str">
        <f ca="1">IFERROR(__xludf.DUMMYFUNCTION("""COMPUTED_VALUE"""),"Araguatins")</f>
        <v>Araguatins</v>
      </c>
      <c r="B256" s="210" t="str">
        <f ca="1">IFERROR(__xludf.DUMMYFUNCTION("""COMPUTED_VALUE"""),"Sitio Novo do Tocantins")</f>
        <v>Sitio Novo do Tocantins</v>
      </c>
      <c r="C256" s="211" t="str">
        <f ca="1">IFERROR(__xludf.DUMMYFUNCTION("""COMPUTED_VALUE"""),"A.A. ESC. EST. RAIMUNDO NONATO LEITE")</f>
        <v>A.A. ESC. EST. RAIMUNDO NONATO LEITE</v>
      </c>
      <c r="D256" s="212" t="str">
        <f ca="1">IFERROR(__xludf.DUMMYFUNCTION("""COMPUTED_VALUE"""),"01230237000121")</f>
        <v>01230237000121</v>
      </c>
      <c r="E256" s="212" t="str">
        <f ca="1">IFERROR(__xludf.DUMMYFUNCTION("""COMPUTED_VALUE"""),"001")</f>
        <v>001</v>
      </c>
      <c r="F256" s="212" t="str">
        <f ca="1">IFERROR(__xludf.DUMMYFUNCTION("""COMPUTED_VALUE"""),"0810")</f>
        <v>0810</v>
      </c>
      <c r="G256" s="213" t="str">
        <f ca="1">IFERROR(__xludf.DUMMYFUNCTION("""COMPUTED_VALUE"""),"217980")</f>
        <v>217980</v>
      </c>
      <c r="H256" s="211" t="str">
        <f ca="1">IFERROR(__xludf.DUMMYFUNCTION("""COMPUTED_VALUE"""),"ENSINO MEDIO PARCIAL")</f>
        <v>ENSINO MEDIO PARCIAL</v>
      </c>
      <c r="I256" s="214">
        <f ca="1">IFERROR(__xludf.DUMMYFUNCTION("""COMPUTED_VALUE"""),480)</f>
        <v>480</v>
      </c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  <c r="Z256" s="209"/>
    </row>
    <row r="257" spans="1:26" ht="18.75" customHeight="1">
      <c r="A257" s="210" t="str">
        <f ca="1">IFERROR(__xludf.DUMMYFUNCTION("""COMPUTED_VALUE"""),"Araguatins")</f>
        <v>Araguatins</v>
      </c>
      <c r="B257" s="210" t="str">
        <f ca="1">IFERROR(__xludf.DUMMYFUNCTION("""COMPUTED_VALUE"""),"Sitio Novo do Tocantins")</f>
        <v>Sitio Novo do Tocantins</v>
      </c>
      <c r="C257" s="211" t="str">
        <f ca="1">IFERROR(__xludf.DUMMYFUNCTION("""COMPUTED_VALUE"""),"A.A. E. EST. JOAQUIM TEOTONIO SEGURADO")</f>
        <v>A.A. E. EST. JOAQUIM TEOTONIO SEGURADO</v>
      </c>
      <c r="D257" s="212" t="str">
        <f ca="1">IFERROR(__xludf.DUMMYFUNCTION("""COMPUTED_VALUE"""),"01230240000145")</f>
        <v>01230240000145</v>
      </c>
      <c r="E257" s="212" t="str">
        <f ca="1">IFERROR(__xludf.DUMMYFUNCTION("""COMPUTED_VALUE"""),"001")</f>
        <v>001</v>
      </c>
      <c r="F257" s="212" t="str">
        <f ca="1">IFERROR(__xludf.DUMMYFUNCTION("""COMPUTED_VALUE"""),"0810")</f>
        <v>0810</v>
      </c>
      <c r="G257" s="213" t="str">
        <f ca="1">IFERROR(__xludf.DUMMYFUNCTION("""COMPUTED_VALUE"""),"217972")</f>
        <v>217972</v>
      </c>
      <c r="H257" s="211" t="str">
        <f ca="1">IFERROR(__xludf.DUMMYFUNCTION("""COMPUTED_VALUE"""),"ENS FUND PARCIAL")</f>
        <v>ENS FUND PARCIAL</v>
      </c>
      <c r="I257" s="214">
        <f ca="1">IFERROR(__xludf.DUMMYFUNCTION("""COMPUTED_VALUE"""),450)</f>
        <v>450</v>
      </c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  <c r="Z257" s="209"/>
    </row>
    <row r="258" spans="1:26" ht="18.75" customHeight="1">
      <c r="A258" s="210" t="str">
        <f ca="1">IFERROR(__xludf.DUMMYFUNCTION("""COMPUTED_VALUE"""),"Araguatins")</f>
        <v>Araguatins</v>
      </c>
      <c r="B258" s="210" t="str">
        <f ca="1">IFERROR(__xludf.DUMMYFUNCTION("""COMPUTED_VALUE"""),"Sitio Novo do Tocantins")</f>
        <v>Sitio Novo do Tocantins</v>
      </c>
      <c r="C258" s="211" t="str">
        <f ca="1">IFERROR(__xludf.DUMMYFUNCTION("""COMPUTED_VALUE"""),"A.A. E. EST. JOAQUIM TEOTONIO SEGURADO")</f>
        <v>A.A. E. EST. JOAQUIM TEOTONIO SEGURADO</v>
      </c>
      <c r="D258" s="212" t="str">
        <f ca="1">IFERROR(__xludf.DUMMYFUNCTION("""COMPUTED_VALUE"""),"01230240000145")</f>
        <v>01230240000145</v>
      </c>
      <c r="E258" s="212" t="str">
        <f ca="1">IFERROR(__xludf.DUMMYFUNCTION("""COMPUTED_VALUE"""),"001")</f>
        <v>001</v>
      </c>
      <c r="F258" s="212" t="str">
        <f ca="1">IFERROR(__xludf.DUMMYFUNCTION("""COMPUTED_VALUE"""),"0810")</f>
        <v>0810</v>
      </c>
      <c r="G258" s="213" t="str">
        <f ca="1">IFERROR(__xludf.DUMMYFUNCTION("""COMPUTED_VALUE"""),"217972")</f>
        <v>217972</v>
      </c>
      <c r="H258" s="211" t="str">
        <f ca="1">IFERROR(__xludf.DUMMYFUNCTION("""COMPUTED_VALUE"""),"ENSINO MEDIO PARCIAL")</f>
        <v>ENSINO MEDIO PARCIAL</v>
      </c>
      <c r="I258" s="214">
        <f ca="1">IFERROR(__xludf.DUMMYFUNCTION("""COMPUTED_VALUE"""),690)</f>
        <v>690</v>
      </c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  <c r="Z258" s="209"/>
    </row>
    <row r="259" spans="1:26" ht="18.75" customHeight="1">
      <c r="A259" s="210" t="str">
        <f ca="1">IFERROR(__xludf.DUMMYFUNCTION("""COMPUTED_VALUE"""),"Araguatins")</f>
        <v>Araguatins</v>
      </c>
      <c r="B259" s="210" t="str">
        <f ca="1">IFERROR(__xludf.DUMMYFUNCTION("""COMPUTED_VALUE"""),"Sitio Novo do Tocantins")</f>
        <v>Sitio Novo do Tocantins</v>
      </c>
      <c r="C259" s="211" t="str">
        <f ca="1">IFERROR(__xludf.DUMMYFUNCTION("""COMPUTED_VALUE"""),"A.A. COL. EST. MARECHAEL RIBAS JUNIOR")</f>
        <v>A.A. COL. EST. MARECHAEL RIBAS JUNIOR</v>
      </c>
      <c r="D259" s="212" t="str">
        <f ca="1">IFERROR(__xludf.DUMMYFUNCTION("""COMPUTED_VALUE"""),"01230241000190")</f>
        <v>01230241000190</v>
      </c>
      <c r="E259" s="212" t="str">
        <f ca="1">IFERROR(__xludf.DUMMYFUNCTION("""COMPUTED_VALUE"""),"001")</f>
        <v>001</v>
      </c>
      <c r="F259" s="212" t="str">
        <f ca="1">IFERROR(__xludf.DUMMYFUNCTION("""COMPUTED_VALUE"""),"1305")</f>
        <v>1305</v>
      </c>
      <c r="G259" s="213" t="str">
        <f ca="1">IFERROR(__xludf.DUMMYFUNCTION("""COMPUTED_VALUE"""),"217964")</f>
        <v>217964</v>
      </c>
      <c r="H259" s="211" t="str">
        <f ca="1">IFERROR(__xludf.DUMMYFUNCTION("""COMPUTED_VALUE"""),"ENS FUND PARCIAL")</f>
        <v>ENS FUND PARCIAL</v>
      </c>
      <c r="I259" s="214">
        <f ca="1">IFERROR(__xludf.DUMMYFUNCTION("""COMPUTED_VALUE"""),1320)</f>
        <v>1320</v>
      </c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9"/>
    </row>
    <row r="260" spans="1:26" ht="18.75" customHeight="1">
      <c r="A260" s="210" t="str">
        <f ca="1">IFERROR(__xludf.DUMMYFUNCTION("""COMPUTED_VALUE"""),"Araguatins")</f>
        <v>Araguatins</v>
      </c>
      <c r="B260" s="210" t="str">
        <f ca="1">IFERROR(__xludf.DUMMYFUNCTION("""COMPUTED_VALUE"""),"Sitio Novo do Tocantins")</f>
        <v>Sitio Novo do Tocantins</v>
      </c>
      <c r="C260" s="211" t="str">
        <f ca="1">IFERROR(__xludf.DUMMYFUNCTION("""COMPUTED_VALUE"""),"A.A. COL. EST. MARECHAEL RIBAS JUNIOR")</f>
        <v>A.A. COL. EST. MARECHAEL RIBAS JUNIOR</v>
      </c>
      <c r="D260" s="212" t="str">
        <f ca="1">IFERROR(__xludf.DUMMYFUNCTION("""COMPUTED_VALUE"""),"01230241000190")</f>
        <v>01230241000190</v>
      </c>
      <c r="E260" s="212" t="str">
        <f ca="1">IFERROR(__xludf.DUMMYFUNCTION("""COMPUTED_VALUE"""),"001")</f>
        <v>001</v>
      </c>
      <c r="F260" s="212" t="str">
        <f ca="1">IFERROR(__xludf.DUMMYFUNCTION("""COMPUTED_VALUE"""),"1305")</f>
        <v>1305</v>
      </c>
      <c r="G260" s="213" t="str">
        <f ca="1">IFERROR(__xludf.DUMMYFUNCTION("""COMPUTED_VALUE"""),"217964")</f>
        <v>217964</v>
      </c>
      <c r="H260" s="211" t="str">
        <f ca="1">IFERROR(__xludf.DUMMYFUNCTION("""COMPUTED_VALUE"""),"AEE")</f>
        <v>AEE</v>
      </c>
      <c r="I260" s="214">
        <f ca="1">IFERROR(__xludf.DUMMYFUNCTION("""COMPUTED_VALUE"""),408)</f>
        <v>408</v>
      </c>
      <c r="J260" s="209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  <c r="Z260" s="209"/>
    </row>
    <row r="261" spans="1:26" ht="18.75" customHeight="1">
      <c r="A261" s="210" t="str">
        <f ca="1">IFERROR(__xludf.DUMMYFUNCTION("""COMPUTED_VALUE"""),"Araguatins")</f>
        <v>Araguatins</v>
      </c>
      <c r="B261" s="210" t="str">
        <f ca="1">IFERROR(__xludf.DUMMYFUNCTION("""COMPUTED_VALUE"""),"Sitio Novo do Tocantins")</f>
        <v>Sitio Novo do Tocantins</v>
      </c>
      <c r="C261" s="211" t="str">
        <f ca="1">IFERROR(__xludf.DUMMYFUNCTION("""COMPUTED_VALUE"""),"A.A. COL. EST. MARECHAEL RIBAS JUNIOR")</f>
        <v>A.A. COL. EST. MARECHAEL RIBAS JUNIOR</v>
      </c>
      <c r="D261" s="212" t="str">
        <f ca="1">IFERROR(__xludf.DUMMYFUNCTION("""COMPUTED_VALUE"""),"01230241000190")</f>
        <v>01230241000190</v>
      </c>
      <c r="E261" s="212" t="str">
        <f ca="1">IFERROR(__xludf.DUMMYFUNCTION("""COMPUTED_VALUE"""),"001")</f>
        <v>001</v>
      </c>
      <c r="F261" s="212" t="str">
        <f ca="1">IFERROR(__xludf.DUMMYFUNCTION("""COMPUTED_VALUE"""),"1305")</f>
        <v>1305</v>
      </c>
      <c r="G261" s="213" t="str">
        <f ca="1">IFERROR(__xludf.DUMMYFUNCTION("""COMPUTED_VALUE"""),"217964")</f>
        <v>217964</v>
      </c>
      <c r="H261" s="211" t="str">
        <f ca="1">IFERROR(__xludf.DUMMYFUNCTION("""COMPUTED_VALUE"""),"ENSINO MEDIO PARCIAL")</f>
        <v>ENSINO MEDIO PARCIAL</v>
      </c>
      <c r="I261" s="214">
        <f ca="1">IFERROR(__xludf.DUMMYFUNCTION("""COMPUTED_VALUE"""),3110)</f>
        <v>3110</v>
      </c>
      <c r="J261" s="209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  <c r="Z261" s="209"/>
    </row>
    <row r="262" spans="1:26" ht="18.75" customHeight="1">
      <c r="A262" s="210" t="str">
        <f ca="1">IFERROR(__xludf.DUMMYFUNCTION("""COMPUTED_VALUE"""),"Araguatins")</f>
        <v>Araguatins</v>
      </c>
      <c r="B262" s="210" t="str">
        <f ca="1">IFERROR(__xludf.DUMMYFUNCTION("""COMPUTED_VALUE"""),"Sitio Novo do Tocantins")</f>
        <v>Sitio Novo do Tocantins</v>
      </c>
      <c r="C262" s="211" t="str">
        <f ca="1">IFERROR(__xludf.DUMMYFUNCTION("""COMPUTED_VALUE"""),"A.A. COL. EST. MARECHAEL RIBAS JUNIOR")</f>
        <v>A.A. COL. EST. MARECHAEL RIBAS JUNIOR</v>
      </c>
      <c r="D262" s="212" t="str">
        <f ca="1">IFERROR(__xludf.DUMMYFUNCTION("""COMPUTED_VALUE"""),"01230241000190")</f>
        <v>01230241000190</v>
      </c>
      <c r="E262" s="212" t="str">
        <f ca="1">IFERROR(__xludf.DUMMYFUNCTION("""COMPUTED_VALUE"""),"001")</f>
        <v>001</v>
      </c>
      <c r="F262" s="212" t="str">
        <f ca="1">IFERROR(__xludf.DUMMYFUNCTION("""COMPUTED_VALUE"""),"1305")</f>
        <v>1305</v>
      </c>
      <c r="G262" s="213" t="str">
        <f ca="1">IFERROR(__xludf.DUMMYFUNCTION("""COMPUTED_VALUE"""),"217964")</f>
        <v>217964</v>
      </c>
      <c r="H262" s="211" t="str">
        <f ca="1">IFERROR(__xludf.DUMMYFUNCTION("""COMPUTED_VALUE"""),"EJA")</f>
        <v>EJA</v>
      </c>
      <c r="I262" s="214">
        <f ca="1">IFERROR(__xludf.DUMMYFUNCTION("""COMPUTED_VALUE"""),196.799999999999)</f>
        <v>196.79999999999899</v>
      </c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  <c r="Z262" s="209"/>
    </row>
    <row r="263" spans="1:26" ht="18.75" customHeight="1">
      <c r="A263" s="210" t="str">
        <f ca="1">IFERROR(__xludf.DUMMYFUNCTION("""COMPUTED_VALUE"""),"Arraias")</f>
        <v>Arraias</v>
      </c>
      <c r="B263" s="210" t="str">
        <f ca="1">IFERROR(__xludf.DUMMYFUNCTION("""COMPUTED_VALUE"""),"Arraias")</f>
        <v>Arraias</v>
      </c>
      <c r="C263" s="211" t="str">
        <f ca="1">IFERROR(__xludf.DUMMYFUNCTION("""COMPUTED_VALUE"""),"A. E. COM.COL EST PROFA. JOANA B. CORDEIRO")</f>
        <v>A. E. COM.COL EST PROFA. JOANA B. CORDEIRO</v>
      </c>
      <c r="D263" s="212" t="str">
        <f ca="1">IFERROR(__xludf.DUMMYFUNCTION("""COMPUTED_VALUE"""),"00922190000102")</f>
        <v>00922190000102</v>
      </c>
      <c r="E263" s="212" t="str">
        <f ca="1">IFERROR(__xludf.DUMMYFUNCTION("""COMPUTED_VALUE"""),"001")</f>
        <v>001</v>
      </c>
      <c r="F263" s="212" t="str">
        <f ca="1">IFERROR(__xludf.DUMMYFUNCTION("""COMPUTED_VALUE"""),"0541")</f>
        <v>0541</v>
      </c>
      <c r="G263" s="213" t="str">
        <f ca="1">IFERROR(__xludf.DUMMYFUNCTION("""COMPUTED_VALUE"""),"231770")</f>
        <v>231770</v>
      </c>
      <c r="H263" s="211" t="str">
        <f ca="1">IFERROR(__xludf.DUMMYFUNCTION("""COMPUTED_VALUE"""),"AEE")</f>
        <v>AEE</v>
      </c>
      <c r="I263" s="214">
        <f ca="1">IFERROR(__xludf.DUMMYFUNCTION("""COMPUTED_VALUE"""),81.6)</f>
        <v>81.599999999999994</v>
      </c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  <c r="Z263" s="209"/>
    </row>
    <row r="264" spans="1:26" ht="18.75" customHeight="1">
      <c r="A264" s="210" t="str">
        <f ca="1">IFERROR(__xludf.DUMMYFUNCTION("""COMPUTED_VALUE"""),"Arraias")</f>
        <v>Arraias</v>
      </c>
      <c r="B264" s="210" t="str">
        <f ca="1">IFERROR(__xludf.DUMMYFUNCTION("""COMPUTED_VALUE"""),"Arraias")</f>
        <v>Arraias</v>
      </c>
      <c r="C264" s="211" t="str">
        <f ca="1">IFERROR(__xludf.DUMMYFUNCTION("""COMPUTED_VALUE"""),"A. E. COM.COL EST PROFA. JOANA B. CORDEIRO")</f>
        <v>A. E. COM.COL EST PROFA. JOANA B. CORDEIRO</v>
      </c>
      <c r="D264" s="212" t="str">
        <f ca="1">IFERROR(__xludf.DUMMYFUNCTION("""COMPUTED_VALUE"""),"00922190000102")</f>
        <v>00922190000102</v>
      </c>
      <c r="E264" s="212" t="str">
        <f ca="1">IFERROR(__xludf.DUMMYFUNCTION("""COMPUTED_VALUE"""),"001")</f>
        <v>001</v>
      </c>
      <c r="F264" s="212" t="str">
        <f ca="1">IFERROR(__xludf.DUMMYFUNCTION("""COMPUTED_VALUE"""),"0541")</f>
        <v>0541</v>
      </c>
      <c r="G264" s="213" t="str">
        <f ca="1">IFERROR(__xludf.DUMMYFUNCTION("""COMPUTED_VALUE"""),"231770")</f>
        <v>231770</v>
      </c>
      <c r="H264" s="211" t="str">
        <f ca="1">IFERROR(__xludf.DUMMYFUNCTION("""COMPUTED_VALUE"""),"JOVEM AÇÃO")</f>
        <v>JOVEM AÇÃO</v>
      </c>
      <c r="I264" s="214">
        <f ca="1">IFERROR(__xludf.DUMMYFUNCTION("""COMPUTED_VALUE"""),2560)</f>
        <v>2560</v>
      </c>
      <c r="J264" s="209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  <c r="Z264" s="209"/>
    </row>
    <row r="265" spans="1:26" ht="18.75" customHeight="1">
      <c r="A265" s="210" t="str">
        <f ca="1">IFERROR(__xludf.DUMMYFUNCTION("""COMPUTED_VALUE"""),"Arraias")</f>
        <v>Arraias</v>
      </c>
      <c r="B265" s="210" t="str">
        <f ca="1">IFERROR(__xludf.DUMMYFUNCTION("""COMPUTED_VALUE"""),"Arraias")</f>
        <v>Arraias</v>
      </c>
      <c r="C265" s="211" t="str">
        <f ca="1">IFERROR(__xludf.DUMMYFUNCTION("""COMPUTED_VALUE"""),"A.A. ESCOL. DA ESC. EST. BRIGADEIRO FELIPE")</f>
        <v>A.A. ESCOL. DA ESC. EST. BRIGADEIRO FELIPE</v>
      </c>
      <c r="D265" s="212" t="str">
        <f ca="1">IFERROR(__xludf.DUMMYFUNCTION("""COMPUTED_VALUE"""),"01221149000163")</f>
        <v>01221149000163</v>
      </c>
      <c r="E265" s="212" t="str">
        <f ca="1">IFERROR(__xludf.DUMMYFUNCTION("""COMPUTED_VALUE"""),"001")</f>
        <v>001</v>
      </c>
      <c r="F265" s="212" t="str">
        <f ca="1">IFERROR(__xludf.DUMMYFUNCTION("""COMPUTED_VALUE"""),"0541")</f>
        <v>0541</v>
      </c>
      <c r="G265" s="213" t="str">
        <f ca="1">IFERROR(__xludf.DUMMYFUNCTION("""COMPUTED_VALUE"""),"232165")</f>
        <v>232165</v>
      </c>
      <c r="H265" s="211" t="str">
        <f ca="1">IFERROR(__xludf.DUMMYFUNCTION("""COMPUTED_VALUE"""),"ENS FUND PARCIAL")</f>
        <v>ENS FUND PARCIAL</v>
      </c>
      <c r="I265" s="214">
        <f ca="1">IFERROR(__xludf.DUMMYFUNCTION("""COMPUTED_VALUE"""),1080)</f>
        <v>1080</v>
      </c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  <c r="Z265" s="209"/>
    </row>
    <row r="266" spans="1:26" ht="18.75" customHeight="1">
      <c r="A266" s="210" t="str">
        <f ca="1">IFERROR(__xludf.DUMMYFUNCTION("""COMPUTED_VALUE"""),"Arraias")</f>
        <v>Arraias</v>
      </c>
      <c r="B266" s="210" t="str">
        <f ca="1">IFERROR(__xludf.DUMMYFUNCTION("""COMPUTED_VALUE"""),"Arraias")</f>
        <v>Arraias</v>
      </c>
      <c r="C266" s="211" t="str">
        <f ca="1">IFERROR(__xludf.DUMMYFUNCTION("""COMPUTED_VALUE"""),"A.A. ESCOL. DA ESC. EST. BRIGADEIRO FELIPE")</f>
        <v>A.A. ESCOL. DA ESC. EST. BRIGADEIRO FELIPE</v>
      </c>
      <c r="D266" s="212" t="str">
        <f ca="1">IFERROR(__xludf.DUMMYFUNCTION("""COMPUTED_VALUE"""),"01221149000163")</f>
        <v>01221149000163</v>
      </c>
      <c r="E266" s="212" t="str">
        <f ca="1">IFERROR(__xludf.DUMMYFUNCTION("""COMPUTED_VALUE"""),"001")</f>
        <v>001</v>
      </c>
      <c r="F266" s="212" t="str">
        <f ca="1">IFERROR(__xludf.DUMMYFUNCTION("""COMPUTED_VALUE"""),"0541")</f>
        <v>0541</v>
      </c>
      <c r="G266" s="213" t="str">
        <f ca="1">IFERROR(__xludf.DUMMYFUNCTION("""COMPUTED_VALUE"""),"232165")</f>
        <v>232165</v>
      </c>
      <c r="H266" s="211" t="str">
        <f ca="1">IFERROR(__xludf.DUMMYFUNCTION("""COMPUTED_VALUE"""),"AEE")</f>
        <v>AEE</v>
      </c>
      <c r="I266" s="214">
        <f ca="1">IFERROR(__xludf.DUMMYFUNCTION("""COMPUTED_VALUE"""),95.2)</f>
        <v>95.2</v>
      </c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  <c r="Z266" s="209"/>
    </row>
    <row r="267" spans="1:26" ht="18.75" customHeight="1">
      <c r="A267" s="210" t="str">
        <f ca="1">IFERROR(__xludf.DUMMYFUNCTION("""COMPUTED_VALUE"""),"Arraias")</f>
        <v>Arraias</v>
      </c>
      <c r="B267" s="210" t="str">
        <f ca="1">IFERROR(__xludf.DUMMYFUNCTION("""COMPUTED_VALUE"""),"Arraias")</f>
        <v>Arraias</v>
      </c>
      <c r="C267" s="211" t="str">
        <f ca="1">IFERROR(__xludf.DUMMYFUNCTION("""COMPUTED_VALUE"""),"A.A. ESCOL. DA ESC. EST. BRIGADEIRO FELIPE")</f>
        <v>A.A. ESCOL. DA ESC. EST. BRIGADEIRO FELIPE</v>
      </c>
      <c r="D267" s="212" t="str">
        <f ca="1">IFERROR(__xludf.DUMMYFUNCTION("""COMPUTED_VALUE"""),"01221149000163")</f>
        <v>01221149000163</v>
      </c>
      <c r="E267" s="212" t="str">
        <f ca="1">IFERROR(__xludf.DUMMYFUNCTION("""COMPUTED_VALUE"""),"001")</f>
        <v>001</v>
      </c>
      <c r="F267" s="212" t="str">
        <f ca="1">IFERROR(__xludf.DUMMYFUNCTION("""COMPUTED_VALUE"""),"0541")</f>
        <v>0541</v>
      </c>
      <c r="G267" s="213" t="str">
        <f ca="1">IFERROR(__xludf.DUMMYFUNCTION("""COMPUTED_VALUE"""),"232165")</f>
        <v>232165</v>
      </c>
      <c r="H267" s="211" t="str">
        <f ca="1">IFERROR(__xludf.DUMMYFUNCTION("""COMPUTED_VALUE"""),"ENSINO MEDIO PARCIAL")</f>
        <v>ENSINO MEDIO PARCIAL</v>
      </c>
      <c r="I267" s="214">
        <f ca="1">IFERROR(__xludf.DUMMYFUNCTION("""COMPUTED_VALUE"""),1490)</f>
        <v>1490</v>
      </c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  <c r="Z267" s="209"/>
    </row>
    <row r="268" spans="1:26" ht="18.75" customHeight="1">
      <c r="A268" s="210" t="str">
        <f ca="1">IFERROR(__xludf.DUMMYFUNCTION("""COMPUTED_VALUE"""),"Arraias")</f>
        <v>Arraias</v>
      </c>
      <c r="B268" s="210" t="str">
        <f ca="1">IFERROR(__xludf.DUMMYFUNCTION("""COMPUTED_VALUE"""),"Arraias")</f>
        <v>Arraias</v>
      </c>
      <c r="C268" s="211" t="str">
        <f ca="1">IFERROR(__xludf.DUMMYFUNCTION("""COMPUTED_VALUE"""),"A.A. ESCOLA ESTADUAL CANABRAVA/ZULMIRA MAGALHÃES")</f>
        <v>A.A. ESCOLA ESTADUAL CANABRAVA/ZULMIRA MAGALHÃES</v>
      </c>
      <c r="D268" s="212" t="str">
        <f ca="1">IFERROR(__xludf.DUMMYFUNCTION("""COMPUTED_VALUE"""),"01284633000131")</f>
        <v>01284633000131</v>
      </c>
      <c r="E268" s="212" t="str">
        <f ca="1">IFERROR(__xludf.DUMMYFUNCTION("""COMPUTED_VALUE"""),"001")</f>
        <v>001</v>
      </c>
      <c r="F268" s="212" t="str">
        <f ca="1">IFERROR(__xludf.DUMMYFUNCTION("""COMPUTED_VALUE"""),"0541")</f>
        <v>0541</v>
      </c>
      <c r="G268" s="213" t="str">
        <f ca="1">IFERROR(__xludf.DUMMYFUNCTION("""COMPUTED_VALUE"""),"23219X")</f>
        <v>23219X</v>
      </c>
      <c r="H268" s="211" t="str">
        <f ca="1">IFERROR(__xludf.DUMMYFUNCTION("""COMPUTED_VALUE"""),"ENS FUND PARCIAL")</f>
        <v>ENS FUND PARCIAL</v>
      </c>
      <c r="I268" s="214">
        <f ca="1">IFERROR(__xludf.DUMMYFUNCTION("""COMPUTED_VALUE"""),1060)</f>
        <v>1060</v>
      </c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  <c r="Z268" s="209"/>
    </row>
    <row r="269" spans="1:26" ht="18.75" customHeight="1">
      <c r="A269" s="210" t="str">
        <f ca="1">IFERROR(__xludf.DUMMYFUNCTION("""COMPUTED_VALUE"""),"Arraias")</f>
        <v>Arraias</v>
      </c>
      <c r="B269" s="210" t="str">
        <f ca="1">IFERROR(__xludf.DUMMYFUNCTION("""COMPUTED_VALUE"""),"Arraias")</f>
        <v>Arraias</v>
      </c>
      <c r="C269" s="211" t="str">
        <f ca="1">IFERROR(__xludf.DUMMYFUNCTION("""COMPUTED_VALUE"""),"A.A. ESCOLA ESTADUAL CANABRAVA/ZULMIRA MAGALHÃES")</f>
        <v>A.A. ESCOLA ESTADUAL CANABRAVA/ZULMIRA MAGALHÃES</v>
      </c>
      <c r="D269" s="212" t="str">
        <f ca="1">IFERROR(__xludf.DUMMYFUNCTION("""COMPUTED_VALUE"""),"01284633000131")</f>
        <v>01284633000131</v>
      </c>
      <c r="E269" s="212" t="str">
        <f ca="1">IFERROR(__xludf.DUMMYFUNCTION("""COMPUTED_VALUE"""),"001")</f>
        <v>001</v>
      </c>
      <c r="F269" s="212" t="str">
        <f ca="1">IFERROR(__xludf.DUMMYFUNCTION("""COMPUTED_VALUE"""),"0541")</f>
        <v>0541</v>
      </c>
      <c r="G269" s="213" t="str">
        <f ca="1">IFERROR(__xludf.DUMMYFUNCTION("""COMPUTED_VALUE"""),"23219X")</f>
        <v>23219X</v>
      </c>
      <c r="H269" s="211" t="str">
        <f ca="1">IFERROR(__xludf.DUMMYFUNCTION("""COMPUTED_VALUE"""),"AEE")</f>
        <v>AEE</v>
      </c>
      <c r="I269" s="214">
        <f ca="1">IFERROR(__xludf.DUMMYFUNCTION("""COMPUTED_VALUE"""),190.4)</f>
        <v>190.4</v>
      </c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9"/>
    </row>
    <row r="270" spans="1:26" ht="18.75" customHeight="1">
      <c r="A270" s="210" t="str">
        <f ca="1">IFERROR(__xludf.DUMMYFUNCTION("""COMPUTED_VALUE"""),"Arraias")</f>
        <v>Arraias</v>
      </c>
      <c r="B270" s="210" t="str">
        <f ca="1">IFERROR(__xludf.DUMMYFUNCTION("""COMPUTED_VALUE"""),"Arraias")</f>
        <v>Arraias</v>
      </c>
      <c r="C270" s="211" t="str">
        <f ca="1">IFERROR(__xludf.DUMMYFUNCTION("""COMPUTED_VALUE"""),"A.A. ESCOLA ESTADUAL CANABRAVA/ZULMIRA MAGALHÃES")</f>
        <v>A.A. ESCOLA ESTADUAL CANABRAVA/ZULMIRA MAGALHÃES</v>
      </c>
      <c r="D270" s="212" t="str">
        <f ca="1">IFERROR(__xludf.DUMMYFUNCTION("""COMPUTED_VALUE"""),"01284633000131")</f>
        <v>01284633000131</v>
      </c>
      <c r="E270" s="212" t="str">
        <f ca="1">IFERROR(__xludf.DUMMYFUNCTION("""COMPUTED_VALUE"""),"001")</f>
        <v>001</v>
      </c>
      <c r="F270" s="212" t="str">
        <f ca="1">IFERROR(__xludf.DUMMYFUNCTION("""COMPUTED_VALUE"""),"0541")</f>
        <v>0541</v>
      </c>
      <c r="G270" s="213" t="str">
        <f ca="1">IFERROR(__xludf.DUMMYFUNCTION("""COMPUTED_VALUE"""),"23219X")</f>
        <v>23219X</v>
      </c>
      <c r="H270" s="211" t="str">
        <f ca="1">IFERROR(__xludf.DUMMYFUNCTION("""COMPUTED_VALUE"""),"ENSINO MEDIO PARCIAL")</f>
        <v>ENSINO MEDIO PARCIAL</v>
      </c>
      <c r="I270" s="214">
        <f ca="1">IFERROR(__xludf.DUMMYFUNCTION("""COMPUTED_VALUE"""),590)</f>
        <v>590</v>
      </c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  <c r="Z270" s="209"/>
    </row>
    <row r="271" spans="1:26" ht="18.75" customHeight="1">
      <c r="A271" s="210" t="str">
        <f ca="1">IFERROR(__xludf.DUMMYFUNCTION("""COMPUTED_VALUE"""),"Arraias")</f>
        <v>Arraias</v>
      </c>
      <c r="B271" s="210" t="str">
        <f ca="1">IFERROR(__xludf.DUMMYFUNCTION("""COMPUTED_VALUE"""),"Arraias")</f>
        <v>Arraias</v>
      </c>
      <c r="C271" s="211" t="str">
        <f ca="1">IFERROR(__xludf.DUMMYFUNCTION("""COMPUTED_VALUE"""),"ASS. APOIO ESC. EST. JACY ALVES DE BARROS")</f>
        <v>ASS. APOIO ESC. EST. JACY ALVES DE BARROS</v>
      </c>
      <c r="D271" s="212" t="str">
        <f ca="1">IFERROR(__xludf.DUMMYFUNCTION("""COMPUTED_VALUE"""),"01284634000186")</f>
        <v>01284634000186</v>
      </c>
      <c r="E271" s="212" t="str">
        <f ca="1">IFERROR(__xludf.DUMMYFUNCTION("""COMPUTED_VALUE"""),"001")</f>
        <v>001</v>
      </c>
      <c r="F271" s="212" t="str">
        <f ca="1">IFERROR(__xludf.DUMMYFUNCTION("""COMPUTED_VALUE"""),"0541")</f>
        <v>0541</v>
      </c>
      <c r="G271" s="213" t="str">
        <f ca="1">IFERROR(__xludf.DUMMYFUNCTION("""COMPUTED_VALUE"""),"232246")</f>
        <v>232246</v>
      </c>
      <c r="H271" s="211" t="str">
        <f ca="1">IFERROR(__xludf.DUMMYFUNCTION("""COMPUTED_VALUE"""),"ENS FUND PARCIAL")</f>
        <v>ENS FUND PARCIAL</v>
      </c>
      <c r="I271" s="214">
        <f ca="1">IFERROR(__xludf.DUMMYFUNCTION("""COMPUTED_VALUE"""),1950)</f>
        <v>1950</v>
      </c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  <c r="Z271" s="209"/>
    </row>
    <row r="272" spans="1:26" ht="18.75" customHeight="1">
      <c r="A272" s="210" t="str">
        <f ca="1">IFERROR(__xludf.DUMMYFUNCTION("""COMPUTED_VALUE"""),"Arraias")</f>
        <v>Arraias</v>
      </c>
      <c r="B272" s="210" t="str">
        <f ca="1">IFERROR(__xludf.DUMMYFUNCTION("""COMPUTED_VALUE"""),"Arraias")</f>
        <v>Arraias</v>
      </c>
      <c r="C272" s="211" t="str">
        <f ca="1">IFERROR(__xludf.DUMMYFUNCTION("""COMPUTED_VALUE"""),"ASS. APOIO ESC. EST. JACY ALVES DE BARROS")</f>
        <v>ASS. APOIO ESC. EST. JACY ALVES DE BARROS</v>
      </c>
      <c r="D272" s="212" t="str">
        <f ca="1">IFERROR(__xludf.DUMMYFUNCTION("""COMPUTED_VALUE"""),"01284634000186")</f>
        <v>01284634000186</v>
      </c>
      <c r="E272" s="212" t="str">
        <f ca="1">IFERROR(__xludf.DUMMYFUNCTION("""COMPUTED_VALUE"""),"001")</f>
        <v>001</v>
      </c>
      <c r="F272" s="212" t="str">
        <f ca="1">IFERROR(__xludf.DUMMYFUNCTION("""COMPUTED_VALUE"""),"0541")</f>
        <v>0541</v>
      </c>
      <c r="G272" s="213" t="str">
        <f ca="1">IFERROR(__xludf.DUMMYFUNCTION("""COMPUTED_VALUE"""),"232246")</f>
        <v>232246</v>
      </c>
      <c r="H272" s="211" t="str">
        <f ca="1">IFERROR(__xludf.DUMMYFUNCTION("""COMPUTED_VALUE"""),"AEE")</f>
        <v>AEE</v>
      </c>
      <c r="I272" s="214">
        <f ca="1">IFERROR(__xludf.DUMMYFUNCTION("""COMPUTED_VALUE"""),81.6)</f>
        <v>81.599999999999994</v>
      </c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</row>
    <row r="273" spans="1:26" ht="18.75" customHeight="1">
      <c r="A273" s="210" t="str">
        <f ca="1">IFERROR(__xludf.DUMMYFUNCTION("""COMPUTED_VALUE"""),"Arraias")</f>
        <v>Arraias</v>
      </c>
      <c r="B273" s="210" t="str">
        <f ca="1">IFERROR(__xludf.DUMMYFUNCTION("""COMPUTED_VALUE"""),"Arraias")</f>
        <v>Arraias</v>
      </c>
      <c r="C273" s="211" t="str">
        <f ca="1">IFERROR(__xludf.DUMMYFUNCTION("""COMPUTED_VALUE"""),"A.A. ESCOLAR DA ESC. EST. SILVA DOURADO")</f>
        <v>A.A. ESCOLAR DA ESC. EST. SILVA DOURADO</v>
      </c>
      <c r="D273" s="212" t="str">
        <f ca="1">IFERROR(__xludf.DUMMYFUNCTION("""COMPUTED_VALUE"""),"01301519000172")</f>
        <v>01301519000172</v>
      </c>
      <c r="E273" s="212" t="str">
        <f ca="1">IFERROR(__xludf.DUMMYFUNCTION("""COMPUTED_VALUE"""),"001")</f>
        <v>001</v>
      </c>
      <c r="F273" s="212" t="str">
        <f ca="1">IFERROR(__xludf.DUMMYFUNCTION("""COMPUTED_VALUE"""),"0541")</f>
        <v>0541</v>
      </c>
      <c r="G273" s="213" t="str">
        <f ca="1">IFERROR(__xludf.DUMMYFUNCTION("""COMPUTED_VALUE"""),"232297")</f>
        <v>232297</v>
      </c>
      <c r="H273" s="211" t="str">
        <f ca="1">IFERROR(__xludf.DUMMYFUNCTION("""COMPUTED_VALUE"""),"ENS FUND PARCIAL")</f>
        <v>ENS FUND PARCIAL</v>
      </c>
      <c r="I273" s="214">
        <f ca="1">IFERROR(__xludf.DUMMYFUNCTION("""COMPUTED_VALUE"""),1820)</f>
        <v>1820</v>
      </c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</row>
    <row r="274" spans="1:26" ht="18.75" customHeight="1">
      <c r="A274" s="210" t="str">
        <f ca="1">IFERROR(__xludf.DUMMYFUNCTION("""COMPUTED_VALUE"""),"Arraias")</f>
        <v>Arraias</v>
      </c>
      <c r="B274" s="210" t="str">
        <f ca="1">IFERROR(__xludf.DUMMYFUNCTION("""COMPUTED_VALUE"""),"Arraias")</f>
        <v>Arraias</v>
      </c>
      <c r="C274" s="211" t="str">
        <f ca="1">IFERROR(__xludf.DUMMYFUNCTION("""COMPUTED_VALUE"""),"A.A. ESCOLAR DA ESC. EST. SILVA DOURADO")</f>
        <v>A.A. ESCOLAR DA ESC. EST. SILVA DOURADO</v>
      </c>
      <c r="D274" s="212" t="str">
        <f ca="1">IFERROR(__xludf.DUMMYFUNCTION("""COMPUTED_VALUE"""),"01301519000172")</f>
        <v>01301519000172</v>
      </c>
      <c r="E274" s="212" t="str">
        <f ca="1">IFERROR(__xludf.DUMMYFUNCTION("""COMPUTED_VALUE"""),"001")</f>
        <v>001</v>
      </c>
      <c r="F274" s="212" t="str">
        <f ca="1">IFERROR(__xludf.DUMMYFUNCTION("""COMPUTED_VALUE"""),"0541")</f>
        <v>0541</v>
      </c>
      <c r="G274" s="213" t="str">
        <f ca="1">IFERROR(__xludf.DUMMYFUNCTION("""COMPUTED_VALUE"""),"232297")</f>
        <v>232297</v>
      </c>
      <c r="H274" s="211" t="str">
        <f ca="1">IFERROR(__xludf.DUMMYFUNCTION("""COMPUTED_VALUE"""),"AEE")</f>
        <v>AEE</v>
      </c>
      <c r="I274" s="214">
        <f ca="1">IFERROR(__xludf.DUMMYFUNCTION("""COMPUTED_VALUE"""),149.6)</f>
        <v>149.6</v>
      </c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</row>
    <row r="275" spans="1:26" ht="18.75" customHeight="1">
      <c r="A275" s="210" t="str">
        <f ca="1">IFERROR(__xludf.DUMMYFUNCTION("""COMPUTED_VALUE"""),"Arraias")</f>
        <v>Arraias</v>
      </c>
      <c r="B275" s="210" t="str">
        <f ca="1">IFERROR(__xludf.DUMMYFUNCTION("""COMPUTED_VALUE"""),"Arraias")</f>
        <v>Arraias</v>
      </c>
      <c r="C275" s="211" t="str">
        <f ca="1">IFERROR(__xludf.DUMMYFUNCTION("""COMPUTED_VALUE"""),"A.A. ESCOLAR DA ESC. EST. SILVA DOURADO")</f>
        <v>A.A. ESCOLAR DA ESC. EST. SILVA DOURADO</v>
      </c>
      <c r="D275" s="212" t="str">
        <f ca="1">IFERROR(__xludf.DUMMYFUNCTION("""COMPUTED_VALUE"""),"01301519000172")</f>
        <v>01301519000172</v>
      </c>
      <c r="E275" s="212" t="str">
        <f ca="1">IFERROR(__xludf.DUMMYFUNCTION("""COMPUTED_VALUE"""),"001")</f>
        <v>001</v>
      </c>
      <c r="F275" s="212" t="str">
        <f ca="1">IFERROR(__xludf.DUMMYFUNCTION("""COMPUTED_VALUE"""),"0541")</f>
        <v>0541</v>
      </c>
      <c r="G275" s="213" t="str">
        <f ca="1">IFERROR(__xludf.DUMMYFUNCTION("""COMPUTED_VALUE"""),"232297")</f>
        <v>232297</v>
      </c>
      <c r="H275" s="211" t="str">
        <f ca="1">IFERROR(__xludf.DUMMYFUNCTION("""COMPUTED_VALUE"""),"EJA")</f>
        <v>EJA</v>
      </c>
      <c r="I275" s="214">
        <f ca="1">IFERROR(__xludf.DUMMYFUNCTION("""COMPUTED_VALUE"""),311.599999999999)</f>
        <v>311.599999999999</v>
      </c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</row>
    <row r="276" spans="1:26" ht="18.75" customHeight="1">
      <c r="A276" s="210" t="str">
        <f ca="1">IFERROR(__xludf.DUMMYFUNCTION("""COMPUTED_VALUE"""),"Arraias")</f>
        <v>Arraias</v>
      </c>
      <c r="B276" s="210" t="str">
        <f ca="1">IFERROR(__xludf.DUMMYFUNCTION("""COMPUTED_VALUE"""),"Arraias")</f>
        <v>Arraias</v>
      </c>
      <c r="C276" s="211" t="str">
        <f ca="1">IFERROR(__xludf.DUMMYFUNCTION("""COMPUTED_VALUE"""),"A.A. ESC. AGRÍCOLA DAVID AIRES FRANÇA")</f>
        <v>A.A. ESC. AGRÍCOLA DAVID AIRES FRANÇA</v>
      </c>
      <c r="D276" s="212" t="str">
        <f ca="1">IFERROR(__xludf.DUMMYFUNCTION("""COMPUTED_VALUE"""),"04302970000100")</f>
        <v>04302970000100</v>
      </c>
      <c r="E276" s="212" t="str">
        <f ca="1">IFERROR(__xludf.DUMMYFUNCTION("""COMPUTED_VALUE"""),"001")</f>
        <v>001</v>
      </c>
      <c r="F276" s="212" t="str">
        <f ca="1">IFERROR(__xludf.DUMMYFUNCTION("""COMPUTED_VALUE"""),"0541")</f>
        <v>0541</v>
      </c>
      <c r="G276" s="213" t="str">
        <f ca="1">IFERROR(__xludf.DUMMYFUNCTION("""COMPUTED_VALUE"""),"94811")</f>
        <v>94811</v>
      </c>
      <c r="H276" s="211" t="str">
        <f ca="1">IFERROR(__xludf.DUMMYFUNCTION("""COMPUTED_VALUE"""),"ENS FUND INTEGRAL")</f>
        <v>ENS FUND INTEGRAL</v>
      </c>
      <c r="I276" s="214">
        <f ca="1">IFERROR(__xludf.DUMMYFUNCTION("""COMPUTED_VALUE"""),1370)</f>
        <v>1370</v>
      </c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</row>
    <row r="277" spans="1:26" ht="18.75" customHeight="1">
      <c r="A277" s="210" t="str">
        <f ca="1">IFERROR(__xludf.DUMMYFUNCTION("""COMPUTED_VALUE"""),"Arraias")</f>
        <v>Arraias</v>
      </c>
      <c r="B277" s="210" t="str">
        <f ca="1">IFERROR(__xludf.DUMMYFUNCTION("""COMPUTED_VALUE"""),"Arraias")</f>
        <v>Arraias</v>
      </c>
      <c r="C277" s="211" t="str">
        <f ca="1">IFERROR(__xludf.DUMMYFUNCTION("""COMPUTED_VALUE"""),"A.A. ESC. AGRÍCOLA DAVID AIRES FRANÇA")</f>
        <v>A.A. ESC. AGRÍCOLA DAVID AIRES FRANÇA</v>
      </c>
      <c r="D277" s="212" t="str">
        <f ca="1">IFERROR(__xludf.DUMMYFUNCTION("""COMPUTED_VALUE"""),"04302970000100")</f>
        <v>04302970000100</v>
      </c>
      <c r="E277" s="212" t="str">
        <f ca="1">IFERROR(__xludf.DUMMYFUNCTION("""COMPUTED_VALUE"""),"001")</f>
        <v>001</v>
      </c>
      <c r="F277" s="212" t="str">
        <f ca="1">IFERROR(__xludf.DUMMYFUNCTION("""COMPUTED_VALUE"""),"0541")</f>
        <v>0541</v>
      </c>
      <c r="G277" s="213" t="str">
        <f ca="1">IFERROR(__xludf.DUMMYFUNCTION("""COMPUTED_VALUE"""),"94811")</f>
        <v>94811</v>
      </c>
      <c r="H277" s="211" t="str">
        <f ca="1">IFERROR(__xludf.DUMMYFUNCTION("""COMPUTED_VALUE"""),"AEE")</f>
        <v>AEE</v>
      </c>
      <c r="I277" s="214">
        <f ca="1">IFERROR(__xludf.DUMMYFUNCTION("""COMPUTED_VALUE"""),95.2)</f>
        <v>95.2</v>
      </c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  <c r="Z277" s="209"/>
    </row>
    <row r="278" spans="1:26" ht="18.75" customHeight="1">
      <c r="A278" s="210" t="str">
        <f ca="1">IFERROR(__xludf.DUMMYFUNCTION("""COMPUTED_VALUE"""),"Arraias")</f>
        <v>Arraias</v>
      </c>
      <c r="B278" s="210" t="str">
        <f ca="1">IFERROR(__xludf.DUMMYFUNCTION("""COMPUTED_VALUE"""),"Arraias")</f>
        <v>Arraias</v>
      </c>
      <c r="C278" s="211" t="str">
        <f ca="1">IFERROR(__xludf.DUMMYFUNCTION("""COMPUTED_VALUE"""),"A.A. ESC. AGRÍCOLA DAVID AIRES FRANÇA")</f>
        <v>A.A. ESC. AGRÍCOLA DAVID AIRES FRANÇA</v>
      </c>
      <c r="D278" s="212" t="str">
        <f ca="1">IFERROR(__xludf.DUMMYFUNCTION("""COMPUTED_VALUE"""),"04302970000100")</f>
        <v>04302970000100</v>
      </c>
      <c r="E278" s="212" t="str">
        <f ca="1">IFERROR(__xludf.DUMMYFUNCTION("""COMPUTED_VALUE"""),"001")</f>
        <v>001</v>
      </c>
      <c r="F278" s="212" t="str">
        <f ca="1">IFERROR(__xludf.DUMMYFUNCTION("""COMPUTED_VALUE"""),"0541")</f>
        <v>0541</v>
      </c>
      <c r="G278" s="213" t="str">
        <f ca="1">IFERROR(__xludf.DUMMYFUNCTION("""COMPUTED_VALUE"""),"94811")</f>
        <v>94811</v>
      </c>
      <c r="H278" s="211" t="str">
        <f ca="1">IFERROR(__xludf.DUMMYFUNCTION("""COMPUTED_VALUE"""),"JOVEM AÇÃO")</f>
        <v>JOVEM AÇÃO</v>
      </c>
      <c r="I278" s="214">
        <f ca="1">IFERROR(__xludf.DUMMYFUNCTION("""COMPUTED_VALUE"""),5478.4)</f>
        <v>5478.4</v>
      </c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9"/>
    </row>
    <row r="279" spans="1:26" ht="18.75" customHeight="1">
      <c r="A279" s="210" t="str">
        <f ca="1">IFERROR(__xludf.DUMMYFUNCTION("""COMPUTED_VALUE"""),"Arraias")</f>
        <v>Arraias</v>
      </c>
      <c r="B279" s="210" t="str">
        <f ca="1">IFERROR(__xludf.DUMMYFUNCTION("""COMPUTED_VALUE"""),"Aurora do Tocantins")</f>
        <v>Aurora do Tocantins</v>
      </c>
      <c r="C279" s="211" t="str">
        <f ca="1">IFERROR(__xludf.DUMMYFUNCTION("""COMPUTED_VALUE"""),"A.A. A ESCOLA/COL. EST.PROF. RANULFA")</f>
        <v>A.A. A ESCOLA/COL. EST.PROF. RANULFA</v>
      </c>
      <c r="D279" s="212" t="str">
        <f ca="1">IFERROR(__xludf.DUMMYFUNCTION("""COMPUTED_VALUE"""),"01133691000164")</f>
        <v>01133691000164</v>
      </c>
      <c r="E279" s="212" t="str">
        <f ca="1">IFERROR(__xludf.DUMMYFUNCTION("""COMPUTED_VALUE"""),"001")</f>
        <v>001</v>
      </c>
      <c r="F279" s="212" t="str">
        <f ca="1">IFERROR(__xludf.DUMMYFUNCTION("""COMPUTED_VALUE"""),"3977")</f>
        <v>3977</v>
      </c>
      <c r="G279" s="213" t="str">
        <f ca="1">IFERROR(__xludf.DUMMYFUNCTION("""COMPUTED_VALUE"""),"102725")</f>
        <v>102725</v>
      </c>
      <c r="H279" s="211" t="str">
        <f ca="1">IFERROR(__xludf.DUMMYFUNCTION("""COMPUTED_VALUE"""),"ENS FUND PARCIAL")</f>
        <v>ENS FUND PARCIAL</v>
      </c>
      <c r="I279" s="214">
        <f ca="1">IFERROR(__xludf.DUMMYFUNCTION("""COMPUTED_VALUE"""),310)</f>
        <v>310</v>
      </c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9"/>
    </row>
    <row r="280" spans="1:26" ht="18.75" customHeight="1">
      <c r="A280" s="210" t="str">
        <f ca="1">IFERROR(__xludf.DUMMYFUNCTION("""COMPUTED_VALUE"""),"Arraias")</f>
        <v>Arraias</v>
      </c>
      <c r="B280" s="210" t="str">
        <f ca="1">IFERROR(__xludf.DUMMYFUNCTION("""COMPUTED_VALUE"""),"Aurora do Tocantins")</f>
        <v>Aurora do Tocantins</v>
      </c>
      <c r="C280" s="211" t="str">
        <f ca="1">IFERROR(__xludf.DUMMYFUNCTION("""COMPUTED_VALUE"""),"A.A. A ESCOLA/COL. EST.PROF. RANULFA")</f>
        <v>A.A. A ESCOLA/COL. EST.PROF. RANULFA</v>
      </c>
      <c r="D280" s="212" t="str">
        <f ca="1">IFERROR(__xludf.DUMMYFUNCTION("""COMPUTED_VALUE"""),"01133691000164")</f>
        <v>01133691000164</v>
      </c>
      <c r="E280" s="212" t="str">
        <f ca="1">IFERROR(__xludf.DUMMYFUNCTION("""COMPUTED_VALUE"""),"001")</f>
        <v>001</v>
      </c>
      <c r="F280" s="212" t="str">
        <f ca="1">IFERROR(__xludf.DUMMYFUNCTION("""COMPUTED_VALUE"""),"3977")</f>
        <v>3977</v>
      </c>
      <c r="G280" s="213" t="str">
        <f ca="1">IFERROR(__xludf.DUMMYFUNCTION("""COMPUTED_VALUE"""),"102725")</f>
        <v>102725</v>
      </c>
      <c r="H280" s="211" t="str">
        <f ca="1">IFERROR(__xludf.DUMMYFUNCTION("""COMPUTED_VALUE"""),"AEE")</f>
        <v>AEE</v>
      </c>
      <c r="I280" s="214">
        <f ca="1">IFERROR(__xludf.DUMMYFUNCTION("""COMPUTED_VALUE"""),149.6)</f>
        <v>149.6</v>
      </c>
      <c r="J280" s="209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9"/>
    </row>
    <row r="281" spans="1:26" ht="18.75" customHeight="1">
      <c r="A281" s="210" t="str">
        <f ca="1">IFERROR(__xludf.DUMMYFUNCTION("""COMPUTED_VALUE"""),"Arraias")</f>
        <v>Arraias</v>
      </c>
      <c r="B281" s="210" t="str">
        <f ca="1">IFERROR(__xludf.DUMMYFUNCTION("""COMPUTED_VALUE"""),"Aurora do Tocantins")</f>
        <v>Aurora do Tocantins</v>
      </c>
      <c r="C281" s="211" t="str">
        <f ca="1">IFERROR(__xludf.DUMMYFUNCTION("""COMPUTED_VALUE"""),"A.A. A ESCOLA/COL. EST.PROF. RANULFA")</f>
        <v>A.A. A ESCOLA/COL. EST.PROF. RANULFA</v>
      </c>
      <c r="D281" s="212" t="str">
        <f ca="1">IFERROR(__xludf.DUMMYFUNCTION("""COMPUTED_VALUE"""),"01133691000164")</f>
        <v>01133691000164</v>
      </c>
      <c r="E281" s="212" t="str">
        <f ca="1">IFERROR(__xludf.DUMMYFUNCTION("""COMPUTED_VALUE"""),"001")</f>
        <v>001</v>
      </c>
      <c r="F281" s="212" t="str">
        <f ca="1">IFERROR(__xludf.DUMMYFUNCTION("""COMPUTED_VALUE"""),"3977")</f>
        <v>3977</v>
      </c>
      <c r="G281" s="213" t="str">
        <f ca="1">IFERROR(__xludf.DUMMYFUNCTION("""COMPUTED_VALUE"""),"102725")</f>
        <v>102725</v>
      </c>
      <c r="H281" s="211" t="str">
        <f ca="1">IFERROR(__xludf.DUMMYFUNCTION("""COMPUTED_VALUE"""),"ENSINO MEDIO PARCIAL")</f>
        <v>ENSINO MEDIO PARCIAL</v>
      </c>
      <c r="I281" s="214">
        <f ca="1">IFERROR(__xludf.DUMMYFUNCTION("""COMPUTED_VALUE"""),1610)</f>
        <v>1610</v>
      </c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9"/>
    </row>
    <row r="282" spans="1:26" ht="18.75" customHeight="1">
      <c r="A282" s="210" t="str">
        <f ca="1">IFERROR(__xludf.DUMMYFUNCTION("""COMPUTED_VALUE"""),"Arraias")</f>
        <v>Arraias</v>
      </c>
      <c r="B282" s="210" t="str">
        <f ca="1">IFERROR(__xludf.DUMMYFUNCTION("""COMPUTED_VALUE"""),"Aurora do Tocantins")</f>
        <v>Aurora do Tocantins</v>
      </c>
      <c r="C282" s="211" t="str">
        <f ca="1">IFERROR(__xludf.DUMMYFUNCTION("""COMPUTED_VALUE"""),"ASS. APOIO ESCOLA ESTADUAL DONA INES")</f>
        <v>ASS. APOIO ESCOLA ESTADUAL DONA INES</v>
      </c>
      <c r="D282" s="212" t="str">
        <f ca="1">IFERROR(__xludf.DUMMYFUNCTION("""COMPUTED_VALUE"""),"01190419000116")</f>
        <v>01190419000116</v>
      </c>
      <c r="E282" s="212" t="str">
        <f ca="1">IFERROR(__xludf.DUMMYFUNCTION("""COMPUTED_VALUE"""),"001")</f>
        <v>001</v>
      </c>
      <c r="F282" s="212" t="str">
        <f ca="1">IFERROR(__xludf.DUMMYFUNCTION("""COMPUTED_VALUE"""),"3977")</f>
        <v>3977</v>
      </c>
      <c r="G282" s="213" t="str">
        <f ca="1">IFERROR(__xludf.DUMMYFUNCTION("""COMPUTED_VALUE"""),"109703")</f>
        <v>109703</v>
      </c>
      <c r="H282" s="211" t="str">
        <f ca="1">IFERROR(__xludf.DUMMYFUNCTION("""COMPUTED_VALUE"""),"ENS FUND PARCIAL")</f>
        <v>ENS FUND PARCIAL</v>
      </c>
      <c r="I282" s="214">
        <f ca="1">IFERROR(__xludf.DUMMYFUNCTION("""COMPUTED_VALUE"""),1150)</f>
        <v>1150</v>
      </c>
      <c r="J282" s="209"/>
      <c r="K282" s="209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9"/>
    </row>
    <row r="283" spans="1:26" ht="18.75" customHeight="1">
      <c r="A283" s="210" t="str">
        <f ca="1">IFERROR(__xludf.DUMMYFUNCTION("""COMPUTED_VALUE"""),"Arraias")</f>
        <v>Arraias</v>
      </c>
      <c r="B283" s="210" t="str">
        <f ca="1">IFERROR(__xludf.DUMMYFUNCTION("""COMPUTED_VALUE"""),"Combinado")</f>
        <v>Combinado</v>
      </c>
      <c r="C283" s="211" t="str">
        <f ca="1">IFERROR(__xludf.DUMMYFUNCTION("""COMPUTED_VALUE"""),"A.A. DA ESCOLA ESTADUAL COMBINADO")</f>
        <v>A.A. DA ESCOLA ESTADUAL COMBINADO</v>
      </c>
      <c r="D283" s="212" t="str">
        <f ca="1">IFERROR(__xludf.DUMMYFUNCTION("""COMPUTED_VALUE"""),"01136003000110")</f>
        <v>01136003000110</v>
      </c>
      <c r="E283" s="212" t="str">
        <f ca="1">IFERROR(__xludf.DUMMYFUNCTION("""COMPUTED_VALUE"""),"001")</f>
        <v>001</v>
      </c>
      <c r="F283" s="212" t="str">
        <f ca="1">IFERROR(__xludf.DUMMYFUNCTION("""COMPUTED_VALUE"""),"3977")</f>
        <v>3977</v>
      </c>
      <c r="G283" s="213" t="str">
        <f ca="1">IFERROR(__xludf.DUMMYFUNCTION("""COMPUTED_VALUE"""),"231940")</f>
        <v>231940</v>
      </c>
      <c r="H283" s="211" t="str">
        <f ca="1">IFERROR(__xludf.DUMMYFUNCTION("""COMPUTED_VALUE"""),"ENS FUND INTEGRAL")</f>
        <v>ENS FUND INTEGRAL</v>
      </c>
      <c r="I283" s="214">
        <f ca="1">IFERROR(__xludf.DUMMYFUNCTION("""COMPUTED_VALUE"""),5343)</f>
        <v>5343</v>
      </c>
      <c r="J283" s="209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9"/>
    </row>
    <row r="284" spans="1:26" ht="18.75" customHeight="1">
      <c r="A284" s="210" t="str">
        <f ca="1">IFERROR(__xludf.DUMMYFUNCTION("""COMPUTED_VALUE"""),"Arraias")</f>
        <v>Arraias</v>
      </c>
      <c r="B284" s="210" t="str">
        <f ca="1">IFERROR(__xludf.DUMMYFUNCTION("""COMPUTED_VALUE"""),"Combinado")</f>
        <v>Combinado</v>
      </c>
      <c r="C284" s="211" t="str">
        <f ca="1">IFERROR(__xludf.DUMMYFUNCTION("""COMPUTED_VALUE"""),"A.A. DA ESCOLA ESTADUAL COMBINADO")</f>
        <v>A.A. DA ESCOLA ESTADUAL COMBINADO</v>
      </c>
      <c r="D284" s="212" t="str">
        <f ca="1">IFERROR(__xludf.DUMMYFUNCTION("""COMPUTED_VALUE"""),"01136003000110")</f>
        <v>01136003000110</v>
      </c>
      <c r="E284" s="212" t="str">
        <f ca="1">IFERROR(__xludf.DUMMYFUNCTION("""COMPUTED_VALUE"""),"001")</f>
        <v>001</v>
      </c>
      <c r="F284" s="212" t="str">
        <f ca="1">IFERROR(__xludf.DUMMYFUNCTION("""COMPUTED_VALUE"""),"3977")</f>
        <v>3977</v>
      </c>
      <c r="G284" s="213" t="str">
        <f ca="1">IFERROR(__xludf.DUMMYFUNCTION("""COMPUTED_VALUE"""),"231940")</f>
        <v>231940</v>
      </c>
      <c r="H284" s="211" t="str">
        <f ca="1">IFERROR(__xludf.DUMMYFUNCTION("""COMPUTED_VALUE"""),"AEE")</f>
        <v>AEE</v>
      </c>
      <c r="I284" s="214">
        <f ca="1">IFERROR(__xludf.DUMMYFUNCTION("""COMPUTED_VALUE"""),204)</f>
        <v>204</v>
      </c>
      <c r="J284" s="209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9"/>
    </row>
    <row r="285" spans="1:26" ht="18.75" customHeight="1">
      <c r="A285" s="210" t="str">
        <f ca="1">IFERROR(__xludf.DUMMYFUNCTION("""COMPUTED_VALUE"""),"Arraias")</f>
        <v>Arraias</v>
      </c>
      <c r="B285" s="210" t="str">
        <f ca="1">IFERROR(__xludf.DUMMYFUNCTION("""COMPUTED_VALUE"""),"Combinado")</f>
        <v>Combinado</v>
      </c>
      <c r="C285" s="211" t="str">
        <f ca="1">IFERROR(__xludf.DUMMYFUNCTION("""COMPUTED_VALUE"""),"A.A. ESC. EST. AUGUSTA VAZ DOS S.TEIXEIRA")</f>
        <v>A.A. ESC. EST. AUGUSTA VAZ DOS S.TEIXEIRA</v>
      </c>
      <c r="D285" s="212" t="str">
        <f ca="1">IFERROR(__xludf.DUMMYFUNCTION("""COMPUTED_VALUE"""),"01186458000140")</f>
        <v>01186458000140</v>
      </c>
      <c r="E285" s="212" t="str">
        <f ca="1">IFERROR(__xludf.DUMMYFUNCTION("""COMPUTED_VALUE"""),"001")</f>
        <v>001</v>
      </c>
      <c r="F285" s="212" t="str">
        <f ca="1">IFERROR(__xludf.DUMMYFUNCTION("""COMPUTED_VALUE"""),"3977")</f>
        <v>3977</v>
      </c>
      <c r="G285" s="213" t="str">
        <f ca="1">IFERROR(__xludf.DUMMYFUNCTION("""COMPUTED_VALUE"""),"56855")</f>
        <v>56855</v>
      </c>
      <c r="H285" s="211" t="str">
        <f ca="1">IFERROR(__xludf.DUMMYFUNCTION("""COMPUTED_VALUE"""),"ENS FUND PARCIAL")</f>
        <v>ENS FUND PARCIAL</v>
      </c>
      <c r="I285" s="214">
        <f ca="1">IFERROR(__xludf.DUMMYFUNCTION("""COMPUTED_VALUE"""),1430)</f>
        <v>1430</v>
      </c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9"/>
    </row>
    <row r="286" spans="1:26" ht="18.75" customHeight="1">
      <c r="A286" s="210" t="str">
        <f ca="1">IFERROR(__xludf.DUMMYFUNCTION("""COMPUTED_VALUE"""),"Arraias")</f>
        <v>Arraias</v>
      </c>
      <c r="B286" s="210" t="str">
        <f ca="1">IFERROR(__xludf.DUMMYFUNCTION("""COMPUTED_VALUE"""),"Combinado")</f>
        <v>Combinado</v>
      </c>
      <c r="C286" s="211" t="str">
        <f ca="1">IFERROR(__xludf.DUMMYFUNCTION("""COMPUTED_VALUE"""),"A.A. ESC. EST. AUGUSTA VAZ DOS S.TEIXEIRA")</f>
        <v>A.A. ESC. EST. AUGUSTA VAZ DOS S.TEIXEIRA</v>
      </c>
      <c r="D286" s="212" t="str">
        <f ca="1">IFERROR(__xludf.DUMMYFUNCTION("""COMPUTED_VALUE"""),"01186458000140")</f>
        <v>01186458000140</v>
      </c>
      <c r="E286" s="212" t="str">
        <f ca="1">IFERROR(__xludf.DUMMYFUNCTION("""COMPUTED_VALUE"""),"001")</f>
        <v>001</v>
      </c>
      <c r="F286" s="212" t="str">
        <f ca="1">IFERROR(__xludf.DUMMYFUNCTION("""COMPUTED_VALUE"""),"3977")</f>
        <v>3977</v>
      </c>
      <c r="G286" s="213" t="str">
        <f ca="1">IFERROR(__xludf.DUMMYFUNCTION("""COMPUTED_VALUE"""),"56855")</f>
        <v>56855</v>
      </c>
      <c r="H286" s="211" t="str">
        <f ca="1">IFERROR(__xludf.DUMMYFUNCTION("""COMPUTED_VALUE"""),"AEE")</f>
        <v>AEE</v>
      </c>
      <c r="I286" s="214">
        <f ca="1">IFERROR(__xludf.DUMMYFUNCTION("""COMPUTED_VALUE"""),231.2)</f>
        <v>231.2</v>
      </c>
      <c r="J286" s="209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9"/>
    </row>
    <row r="287" spans="1:26" ht="18.75" customHeight="1">
      <c r="A287" s="210" t="str">
        <f ca="1">IFERROR(__xludf.DUMMYFUNCTION("""COMPUTED_VALUE"""),"Arraias")</f>
        <v>Arraias</v>
      </c>
      <c r="B287" s="210" t="str">
        <f ca="1">IFERROR(__xludf.DUMMYFUNCTION("""COMPUTED_VALUE"""),"Combinado")</f>
        <v>Combinado</v>
      </c>
      <c r="C287" s="211" t="str">
        <f ca="1">IFERROR(__xludf.DUMMYFUNCTION("""COMPUTED_VALUE"""),"A.A. DO COL. E.JOAQUIM DE SENA E SILVA")</f>
        <v>A.A. DO COL. E.JOAQUIM DE SENA E SILVA</v>
      </c>
      <c r="D287" s="212" t="str">
        <f ca="1">IFERROR(__xludf.DUMMYFUNCTION("""COMPUTED_VALUE"""),"01230223000108")</f>
        <v>01230223000108</v>
      </c>
      <c r="E287" s="212" t="str">
        <f ca="1">IFERROR(__xludf.DUMMYFUNCTION("""COMPUTED_VALUE"""),"001")</f>
        <v>001</v>
      </c>
      <c r="F287" s="212" t="str">
        <f ca="1">IFERROR(__xludf.DUMMYFUNCTION("""COMPUTED_VALUE"""),"3977")</f>
        <v>3977</v>
      </c>
      <c r="G287" s="213" t="str">
        <f ca="1">IFERROR(__xludf.DUMMYFUNCTION("""COMPUTED_VALUE"""),"232106")</f>
        <v>232106</v>
      </c>
      <c r="H287" s="211" t="str">
        <f ca="1">IFERROR(__xludf.DUMMYFUNCTION("""COMPUTED_VALUE"""),"ENSINO MEDIO PARCIAL")</f>
        <v>ENSINO MEDIO PARCIAL</v>
      </c>
      <c r="I287" s="214">
        <f ca="1">IFERROR(__xludf.DUMMYFUNCTION("""COMPUTED_VALUE"""),2110)</f>
        <v>2110</v>
      </c>
      <c r="J287" s="209"/>
      <c r="K287" s="209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9"/>
    </row>
    <row r="288" spans="1:26" ht="18.75" customHeight="1">
      <c r="A288" s="210" t="str">
        <f ca="1">IFERROR(__xludf.DUMMYFUNCTION("""COMPUTED_VALUE"""),"Arraias")</f>
        <v>Arraias</v>
      </c>
      <c r="B288" s="210" t="str">
        <f ca="1">IFERROR(__xludf.DUMMYFUNCTION("""COMPUTED_VALUE"""),"Lavandeira")</f>
        <v>Lavandeira</v>
      </c>
      <c r="C288" s="211" t="str">
        <f ca="1">IFERROR(__xludf.DUMMYFUNCTION("""COMPUTED_VALUE"""),"ASSOC. DE APOIO ESC. EST. LAVANDEIRA")</f>
        <v>ASSOC. DE APOIO ESC. EST. LAVANDEIRA</v>
      </c>
      <c r="D288" s="212" t="str">
        <f ca="1">IFERROR(__xludf.DUMMYFUNCTION("""COMPUTED_VALUE"""),"01136024000135")</f>
        <v>01136024000135</v>
      </c>
      <c r="E288" s="212" t="str">
        <f ca="1">IFERROR(__xludf.DUMMYFUNCTION("""COMPUTED_VALUE"""),"001")</f>
        <v>001</v>
      </c>
      <c r="F288" s="212" t="str">
        <f ca="1">IFERROR(__xludf.DUMMYFUNCTION("""COMPUTED_VALUE"""),"3977")</f>
        <v>3977</v>
      </c>
      <c r="G288" s="213" t="str">
        <f ca="1">IFERROR(__xludf.DUMMYFUNCTION("""COMPUTED_VALUE"""),"231916")</f>
        <v>231916</v>
      </c>
      <c r="H288" s="211" t="str">
        <f ca="1">IFERROR(__xludf.DUMMYFUNCTION("""COMPUTED_VALUE"""),"ENS FUND PARCIAL")</f>
        <v>ENS FUND PARCIAL</v>
      </c>
      <c r="I288" s="214">
        <f ca="1">IFERROR(__xludf.DUMMYFUNCTION("""COMPUTED_VALUE"""),1080)</f>
        <v>1080</v>
      </c>
      <c r="J288" s="209"/>
      <c r="K288" s="209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9"/>
    </row>
    <row r="289" spans="1:26" ht="18.75" customHeight="1">
      <c r="A289" s="210" t="str">
        <f ca="1">IFERROR(__xludf.DUMMYFUNCTION("""COMPUTED_VALUE"""),"Arraias")</f>
        <v>Arraias</v>
      </c>
      <c r="B289" s="210" t="str">
        <f ca="1">IFERROR(__xludf.DUMMYFUNCTION("""COMPUTED_VALUE"""),"Lavandeira")</f>
        <v>Lavandeira</v>
      </c>
      <c r="C289" s="211" t="str">
        <f ca="1">IFERROR(__xludf.DUMMYFUNCTION("""COMPUTED_VALUE"""),"ASSOC. DE APOIO ESC. EST. LAVANDEIRA")</f>
        <v>ASSOC. DE APOIO ESC. EST. LAVANDEIRA</v>
      </c>
      <c r="D289" s="212" t="str">
        <f ca="1">IFERROR(__xludf.DUMMYFUNCTION("""COMPUTED_VALUE"""),"01136024000135")</f>
        <v>01136024000135</v>
      </c>
      <c r="E289" s="212" t="str">
        <f ca="1">IFERROR(__xludf.DUMMYFUNCTION("""COMPUTED_VALUE"""),"001")</f>
        <v>001</v>
      </c>
      <c r="F289" s="212" t="str">
        <f ca="1">IFERROR(__xludf.DUMMYFUNCTION("""COMPUTED_VALUE"""),"3977")</f>
        <v>3977</v>
      </c>
      <c r="G289" s="213" t="str">
        <f ca="1">IFERROR(__xludf.DUMMYFUNCTION("""COMPUTED_VALUE"""),"231916")</f>
        <v>231916</v>
      </c>
      <c r="H289" s="211" t="str">
        <f ca="1">IFERROR(__xludf.DUMMYFUNCTION("""COMPUTED_VALUE"""),"AEE")</f>
        <v>AEE</v>
      </c>
      <c r="I289" s="214">
        <f ca="1">IFERROR(__xludf.DUMMYFUNCTION("""COMPUTED_VALUE"""),204)</f>
        <v>204</v>
      </c>
      <c r="J289" s="209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9"/>
    </row>
    <row r="290" spans="1:26" ht="18.75" customHeight="1">
      <c r="A290" s="210" t="str">
        <f ca="1">IFERROR(__xludf.DUMMYFUNCTION("""COMPUTED_VALUE"""),"Arraias")</f>
        <v>Arraias</v>
      </c>
      <c r="B290" s="210" t="str">
        <f ca="1">IFERROR(__xludf.DUMMYFUNCTION("""COMPUTED_VALUE"""),"Lavandeira")</f>
        <v>Lavandeira</v>
      </c>
      <c r="C290" s="211" t="str">
        <f ca="1">IFERROR(__xludf.DUMMYFUNCTION("""COMPUTED_VALUE"""),"ASSOC. DE APOIO ESC. EST. LAVANDEIRA")</f>
        <v>ASSOC. DE APOIO ESC. EST. LAVANDEIRA</v>
      </c>
      <c r="D290" s="212" t="str">
        <f ca="1">IFERROR(__xludf.DUMMYFUNCTION("""COMPUTED_VALUE"""),"01136024000135")</f>
        <v>01136024000135</v>
      </c>
      <c r="E290" s="212" t="str">
        <f ca="1">IFERROR(__xludf.DUMMYFUNCTION("""COMPUTED_VALUE"""),"001")</f>
        <v>001</v>
      </c>
      <c r="F290" s="212" t="str">
        <f ca="1">IFERROR(__xludf.DUMMYFUNCTION("""COMPUTED_VALUE"""),"3977")</f>
        <v>3977</v>
      </c>
      <c r="G290" s="213" t="str">
        <f ca="1">IFERROR(__xludf.DUMMYFUNCTION("""COMPUTED_VALUE"""),"231916")</f>
        <v>231916</v>
      </c>
      <c r="H290" s="211" t="str">
        <f ca="1">IFERROR(__xludf.DUMMYFUNCTION("""COMPUTED_VALUE"""),"ENSINO MEDIO PARCIAL")</f>
        <v>ENSINO MEDIO PARCIAL</v>
      </c>
      <c r="I290" s="214">
        <f ca="1">IFERROR(__xludf.DUMMYFUNCTION("""COMPUTED_VALUE"""),790)</f>
        <v>790</v>
      </c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9"/>
    </row>
    <row r="291" spans="1:26" ht="18.75" customHeight="1">
      <c r="A291" s="210" t="str">
        <f ca="1">IFERROR(__xludf.DUMMYFUNCTION("""COMPUTED_VALUE"""),"Arraias")</f>
        <v>Arraias</v>
      </c>
      <c r="B291" s="210" t="str">
        <f ca="1">IFERROR(__xludf.DUMMYFUNCTION("""COMPUTED_VALUE"""),"Novo Alegre")</f>
        <v>Novo Alegre</v>
      </c>
      <c r="C291" s="211" t="str">
        <f ca="1">IFERROR(__xludf.DUMMYFUNCTION("""COMPUTED_VALUE"""),"ASSOC. DE APOIO COL. EST. DR.JOAO D`ABREU")</f>
        <v>ASSOC. DE APOIO COL. EST. DR.JOAO D`ABREU</v>
      </c>
      <c r="D291" s="212" t="str">
        <f ca="1">IFERROR(__xludf.DUMMYFUNCTION("""COMPUTED_VALUE"""),"01146115000151")</f>
        <v>01146115000151</v>
      </c>
      <c r="E291" s="212" t="str">
        <f ca="1">IFERROR(__xludf.DUMMYFUNCTION("""COMPUTED_VALUE"""),"001")</f>
        <v>001</v>
      </c>
      <c r="F291" s="212" t="str">
        <f ca="1">IFERROR(__xludf.DUMMYFUNCTION("""COMPUTED_VALUE"""),"3977")</f>
        <v>3977</v>
      </c>
      <c r="G291" s="213" t="str">
        <f ca="1">IFERROR(__xludf.DUMMYFUNCTION("""COMPUTED_VALUE"""),"178845")</f>
        <v>178845</v>
      </c>
      <c r="H291" s="211" t="str">
        <f ca="1">IFERROR(__xludf.DUMMYFUNCTION("""COMPUTED_VALUE"""),"ENS FUND PARCIAL")</f>
        <v>ENS FUND PARCIAL</v>
      </c>
      <c r="I291" s="214">
        <f ca="1">IFERROR(__xludf.DUMMYFUNCTION("""COMPUTED_VALUE"""),1990)</f>
        <v>1990</v>
      </c>
      <c r="J291" s="209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</row>
    <row r="292" spans="1:26" ht="18.75" customHeight="1">
      <c r="A292" s="210" t="str">
        <f ca="1">IFERROR(__xludf.DUMMYFUNCTION("""COMPUTED_VALUE"""),"Arraias")</f>
        <v>Arraias</v>
      </c>
      <c r="B292" s="210" t="str">
        <f ca="1">IFERROR(__xludf.DUMMYFUNCTION("""COMPUTED_VALUE"""),"Novo Alegre")</f>
        <v>Novo Alegre</v>
      </c>
      <c r="C292" s="211" t="str">
        <f ca="1">IFERROR(__xludf.DUMMYFUNCTION("""COMPUTED_VALUE"""),"ASSOC. DE APOIO COL. EST. DR.JOAO D`ABREU")</f>
        <v>ASSOC. DE APOIO COL. EST. DR.JOAO D`ABREU</v>
      </c>
      <c r="D292" s="212" t="str">
        <f ca="1">IFERROR(__xludf.DUMMYFUNCTION("""COMPUTED_VALUE"""),"01146115000151")</f>
        <v>01146115000151</v>
      </c>
      <c r="E292" s="212" t="str">
        <f ca="1">IFERROR(__xludf.DUMMYFUNCTION("""COMPUTED_VALUE"""),"001")</f>
        <v>001</v>
      </c>
      <c r="F292" s="212" t="str">
        <f ca="1">IFERROR(__xludf.DUMMYFUNCTION("""COMPUTED_VALUE"""),"3977")</f>
        <v>3977</v>
      </c>
      <c r="G292" s="213" t="str">
        <f ca="1">IFERROR(__xludf.DUMMYFUNCTION("""COMPUTED_VALUE"""),"178845")</f>
        <v>178845</v>
      </c>
      <c r="H292" s="211" t="str">
        <f ca="1">IFERROR(__xludf.DUMMYFUNCTION("""COMPUTED_VALUE"""),"AEE")</f>
        <v>AEE</v>
      </c>
      <c r="I292" s="214">
        <f ca="1">IFERROR(__xludf.DUMMYFUNCTION("""COMPUTED_VALUE"""),258.4)</f>
        <v>258.39999999999998</v>
      </c>
      <c r="J292" s="209"/>
      <c r="K292" s="209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</row>
    <row r="293" spans="1:26" ht="18.75" customHeight="1">
      <c r="A293" s="210" t="str">
        <f ca="1">IFERROR(__xludf.DUMMYFUNCTION("""COMPUTED_VALUE"""),"Arraias")</f>
        <v>Arraias</v>
      </c>
      <c r="B293" s="210" t="str">
        <f ca="1">IFERROR(__xludf.DUMMYFUNCTION("""COMPUTED_VALUE"""),"Novo Alegre")</f>
        <v>Novo Alegre</v>
      </c>
      <c r="C293" s="211" t="str">
        <f ca="1">IFERROR(__xludf.DUMMYFUNCTION("""COMPUTED_VALUE"""),"ASSOC. DE APOIO COL. EST. DR.JOAO D`ABREU")</f>
        <v>ASSOC. DE APOIO COL. EST. DR.JOAO D`ABREU</v>
      </c>
      <c r="D293" s="212" t="str">
        <f ca="1">IFERROR(__xludf.DUMMYFUNCTION("""COMPUTED_VALUE"""),"01146115000151")</f>
        <v>01146115000151</v>
      </c>
      <c r="E293" s="212" t="str">
        <f ca="1">IFERROR(__xludf.DUMMYFUNCTION("""COMPUTED_VALUE"""),"001")</f>
        <v>001</v>
      </c>
      <c r="F293" s="212" t="str">
        <f ca="1">IFERROR(__xludf.DUMMYFUNCTION("""COMPUTED_VALUE"""),"3977")</f>
        <v>3977</v>
      </c>
      <c r="G293" s="213" t="str">
        <f ca="1">IFERROR(__xludf.DUMMYFUNCTION("""COMPUTED_VALUE"""),"178845")</f>
        <v>178845</v>
      </c>
      <c r="H293" s="211" t="str">
        <f ca="1">IFERROR(__xludf.DUMMYFUNCTION("""COMPUTED_VALUE"""),"ENSINO MEDIO PARCIAL")</f>
        <v>ENSINO MEDIO PARCIAL</v>
      </c>
      <c r="I293" s="214">
        <f ca="1">IFERROR(__xludf.DUMMYFUNCTION("""COMPUTED_VALUE"""),700)</f>
        <v>700</v>
      </c>
      <c r="J293" s="209"/>
      <c r="K293" s="209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9"/>
    </row>
    <row r="294" spans="1:26" ht="18.75" customHeight="1">
      <c r="A294" s="210" t="str">
        <f ca="1">IFERROR(__xludf.DUMMYFUNCTION("""COMPUTED_VALUE"""),"Arraias")</f>
        <v>Arraias</v>
      </c>
      <c r="B294" s="210" t="str">
        <f ca="1">IFERROR(__xludf.DUMMYFUNCTION("""COMPUTED_VALUE"""),"Parana")</f>
        <v>Parana</v>
      </c>
      <c r="C294" s="211" t="str">
        <f ca="1">IFERROR(__xludf.DUMMYFUNCTION("""COMPUTED_VALUE"""),"A.A. DO COL. EST. DES.VIRGILIO DE M.FRANCO")</f>
        <v>A.A. DO COL. EST. DES.VIRGILIO DE M.FRANCO</v>
      </c>
      <c r="D294" s="212" t="str">
        <f ca="1">IFERROR(__xludf.DUMMYFUNCTION("""COMPUTED_VALUE"""),"01284635000120")</f>
        <v>01284635000120</v>
      </c>
      <c r="E294" s="212" t="str">
        <f ca="1">IFERROR(__xludf.DUMMYFUNCTION("""COMPUTED_VALUE"""),"001")</f>
        <v>001</v>
      </c>
      <c r="F294" s="212" t="str">
        <f ca="1">IFERROR(__xludf.DUMMYFUNCTION("""COMPUTED_VALUE"""),"4790")</f>
        <v>4790</v>
      </c>
      <c r="G294" s="213" t="str">
        <f ca="1">IFERROR(__xludf.DUMMYFUNCTION("""COMPUTED_VALUE"""),"232327")</f>
        <v>232327</v>
      </c>
      <c r="H294" s="211" t="str">
        <f ca="1">IFERROR(__xludf.DUMMYFUNCTION("""COMPUTED_VALUE"""),"ENSINO MEDIO PARCIAL")</f>
        <v>ENSINO MEDIO PARCIAL</v>
      </c>
      <c r="I294" s="214">
        <f ca="1">IFERROR(__xludf.DUMMYFUNCTION("""COMPUTED_VALUE"""),3160)</f>
        <v>3160</v>
      </c>
      <c r="J294" s="209"/>
      <c r="K294" s="209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</row>
    <row r="295" spans="1:26" ht="18.75" customHeight="1">
      <c r="A295" s="210" t="str">
        <f ca="1">IFERROR(__xludf.DUMMYFUNCTION("""COMPUTED_VALUE"""),"Arraias")</f>
        <v>Arraias</v>
      </c>
      <c r="B295" s="210" t="str">
        <f ca="1">IFERROR(__xludf.DUMMYFUNCTION("""COMPUTED_VALUE"""),"Parana")</f>
        <v>Parana</v>
      </c>
      <c r="C295" s="211" t="str">
        <f ca="1">IFERROR(__xludf.DUMMYFUNCTION("""COMPUTED_VALUE"""),"A.A. DO COL. EST. DES.VIRGILIO DE M.FRANCO")</f>
        <v>A.A. DO COL. EST. DES.VIRGILIO DE M.FRANCO</v>
      </c>
      <c r="D295" s="212" t="str">
        <f ca="1">IFERROR(__xludf.DUMMYFUNCTION("""COMPUTED_VALUE"""),"01284635000120")</f>
        <v>01284635000120</v>
      </c>
      <c r="E295" s="212" t="str">
        <f ca="1">IFERROR(__xludf.DUMMYFUNCTION("""COMPUTED_VALUE"""),"001")</f>
        <v>001</v>
      </c>
      <c r="F295" s="212" t="str">
        <f ca="1">IFERROR(__xludf.DUMMYFUNCTION("""COMPUTED_VALUE"""),"4790")</f>
        <v>4790</v>
      </c>
      <c r="G295" s="213" t="str">
        <f ca="1">IFERROR(__xludf.DUMMYFUNCTION("""COMPUTED_VALUE"""),"232327")</f>
        <v>232327</v>
      </c>
      <c r="H295" s="211" t="str">
        <f ca="1">IFERROR(__xludf.DUMMYFUNCTION("""COMPUTED_VALUE"""),"EJA")</f>
        <v>EJA</v>
      </c>
      <c r="I295" s="214">
        <f ca="1">IFERROR(__xludf.DUMMYFUNCTION("""COMPUTED_VALUE"""),213.2)</f>
        <v>213.2</v>
      </c>
      <c r="J295" s="209"/>
      <c r="K295" s="209"/>
      <c r="L295" s="209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9"/>
    </row>
    <row r="296" spans="1:26" ht="18.75" customHeight="1">
      <c r="A296" s="210" t="str">
        <f ca="1">IFERROR(__xludf.DUMMYFUNCTION("""COMPUTED_VALUE"""),"Arraias")</f>
        <v>Arraias</v>
      </c>
      <c r="B296" s="210" t="str">
        <f ca="1">IFERROR(__xludf.DUMMYFUNCTION("""COMPUTED_VALUE"""),"Parana")</f>
        <v>Parana</v>
      </c>
      <c r="C296" s="211" t="str">
        <f ca="1">IFERROR(__xludf.DUMMYFUNCTION("""COMPUTED_VALUE"""),"A.A. DA ESC. EST.EUCLIDES BEZERRA GERAIS")</f>
        <v>A.A. DA ESC. EST.EUCLIDES BEZERRA GERAIS</v>
      </c>
      <c r="D296" s="212" t="str">
        <f ca="1">IFERROR(__xludf.DUMMYFUNCTION("""COMPUTED_VALUE"""),"01401950000190")</f>
        <v>01401950000190</v>
      </c>
      <c r="E296" s="212" t="str">
        <f ca="1">IFERROR(__xludf.DUMMYFUNCTION("""COMPUTED_VALUE"""),"001")</f>
        <v>001</v>
      </c>
      <c r="F296" s="212" t="str">
        <f ca="1">IFERROR(__xludf.DUMMYFUNCTION("""COMPUTED_VALUE"""),"0541")</f>
        <v>0541</v>
      </c>
      <c r="G296" s="213" t="str">
        <f ca="1">IFERROR(__xludf.DUMMYFUNCTION("""COMPUTED_VALUE"""),"232483")</f>
        <v>232483</v>
      </c>
      <c r="H296" s="211" t="str">
        <f ca="1">IFERROR(__xludf.DUMMYFUNCTION("""COMPUTED_VALUE"""),"ENS FUND PARCIAL")</f>
        <v>ENS FUND PARCIAL</v>
      </c>
      <c r="I296" s="214">
        <f ca="1">IFERROR(__xludf.DUMMYFUNCTION("""COMPUTED_VALUE"""),4240)</f>
        <v>4240</v>
      </c>
      <c r="J296" s="209"/>
      <c r="K296" s="209"/>
      <c r="L296" s="209"/>
      <c r="M296" s="209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9"/>
    </row>
    <row r="297" spans="1:26" ht="18.75" customHeight="1">
      <c r="A297" s="210" t="str">
        <f ca="1">IFERROR(__xludf.DUMMYFUNCTION("""COMPUTED_VALUE"""),"Arraias")</f>
        <v>Arraias</v>
      </c>
      <c r="B297" s="210" t="str">
        <f ca="1">IFERROR(__xludf.DUMMYFUNCTION("""COMPUTED_VALUE"""),"Parana")</f>
        <v>Parana</v>
      </c>
      <c r="C297" s="211" t="str">
        <f ca="1">IFERROR(__xludf.DUMMYFUNCTION("""COMPUTED_VALUE"""),"A.A. DA ESC. EST.EUCLIDES BEZERRA GERAIS")</f>
        <v>A.A. DA ESC. EST.EUCLIDES BEZERRA GERAIS</v>
      </c>
      <c r="D297" s="212" t="str">
        <f ca="1">IFERROR(__xludf.DUMMYFUNCTION("""COMPUTED_VALUE"""),"01401950000190")</f>
        <v>01401950000190</v>
      </c>
      <c r="E297" s="212" t="str">
        <f ca="1">IFERROR(__xludf.DUMMYFUNCTION("""COMPUTED_VALUE"""),"001")</f>
        <v>001</v>
      </c>
      <c r="F297" s="212" t="str">
        <f ca="1">IFERROR(__xludf.DUMMYFUNCTION("""COMPUTED_VALUE"""),"0541")</f>
        <v>0541</v>
      </c>
      <c r="G297" s="213" t="str">
        <f ca="1">IFERROR(__xludf.DUMMYFUNCTION("""COMPUTED_VALUE"""),"232483")</f>
        <v>232483</v>
      </c>
      <c r="H297" s="211" t="str">
        <f ca="1">IFERROR(__xludf.DUMMYFUNCTION("""COMPUTED_VALUE"""),"AEE")</f>
        <v>AEE</v>
      </c>
      <c r="I297" s="214">
        <f ca="1">IFERROR(__xludf.DUMMYFUNCTION("""COMPUTED_VALUE"""),272)</f>
        <v>272</v>
      </c>
      <c r="J297" s="209"/>
      <c r="K297" s="209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9"/>
    </row>
    <row r="298" spans="1:26" ht="18.75" customHeight="1">
      <c r="A298" s="210" t="str">
        <f ca="1">IFERROR(__xludf.DUMMYFUNCTION("""COMPUTED_VALUE"""),"Arraias")</f>
        <v>Arraias</v>
      </c>
      <c r="B298" s="210" t="str">
        <f ca="1">IFERROR(__xludf.DUMMYFUNCTION("""COMPUTED_VALUE"""),"Parana")</f>
        <v>Parana</v>
      </c>
      <c r="C298" s="211" t="str">
        <f ca="1">IFERROR(__xludf.DUMMYFUNCTION("""COMPUTED_VALUE"""),"A.A. A ESC. EST. REUNIDA SANTA RITA DO RIO PALMA")</f>
        <v>A.A. A ESC. EST. REUNIDA SANTA RITA DO RIO PALMA</v>
      </c>
      <c r="D298" s="212" t="str">
        <f ca="1">IFERROR(__xludf.DUMMYFUNCTION("""COMPUTED_VALUE"""),"03834784000141")</f>
        <v>03834784000141</v>
      </c>
      <c r="E298" s="212" t="str">
        <f ca="1">IFERROR(__xludf.DUMMYFUNCTION("""COMPUTED_VALUE"""),"001")</f>
        <v>001</v>
      </c>
      <c r="F298" s="212" t="str">
        <f ca="1">IFERROR(__xludf.DUMMYFUNCTION("""COMPUTED_VALUE"""),"0541")</f>
        <v>0541</v>
      </c>
      <c r="G298" s="213" t="str">
        <f ca="1">IFERROR(__xludf.DUMMYFUNCTION("""COMPUTED_VALUE"""),"113638")</f>
        <v>113638</v>
      </c>
      <c r="H298" s="211" t="str">
        <f ca="1">IFERROR(__xludf.DUMMYFUNCTION("""COMPUTED_VALUE"""),"ENS FUND PARCIAL")</f>
        <v>ENS FUND PARCIAL</v>
      </c>
      <c r="I298" s="214">
        <f ca="1">IFERROR(__xludf.DUMMYFUNCTION("""COMPUTED_VALUE"""),650)</f>
        <v>650</v>
      </c>
      <c r="J298" s="209"/>
      <c r="K298" s="209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9"/>
    </row>
    <row r="299" spans="1:26" ht="18.75" customHeight="1">
      <c r="A299" s="210" t="str">
        <f ca="1">IFERROR(__xludf.DUMMYFUNCTION("""COMPUTED_VALUE"""),"Arraias")</f>
        <v>Arraias</v>
      </c>
      <c r="B299" s="210" t="str">
        <f ca="1">IFERROR(__xludf.DUMMYFUNCTION("""COMPUTED_VALUE"""),"Parana")</f>
        <v>Parana</v>
      </c>
      <c r="C299" s="211" t="str">
        <f ca="1">IFERROR(__xludf.DUMMYFUNCTION("""COMPUTED_VALUE"""),"A.A. A ESC. EST. REUNIDA SANTA RITA DO RIO PALMA")</f>
        <v>A.A. A ESC. EST. REUNIDA SANTA RITA DO RIO PALMA</v>
      </c>
      <c r="D299" s="212" t="str">
        <f ca="1">IFERROR(__xludf.DUMMYFUNCTION("""COMPUTED_VALUE"""),"03834784000141")</f>
        <v>03834784000141</v>
      </c>
      <c r="E299" s="212" t="str">
        <f ca="1">IFERROR(__xludf.DUMMYFUNCTION("""COMPUTED_VALUE"""),"001")</f>
        <v>001</v>
      </c>
      <c r="F299" s="212" t="str">
        <f ca="1">IFERROR(__xludf.DUMMYFUNCTION("""COMPUTED_VALUE"""),"0541")</f>
        <v>0541</v>
      </c>
      <c r="G299" s="213" t="str">
        <f ca="1">IFERROR(__xludf.DUMMYFUNCTION("""COMPUTED_VALUE"""),"113638")</f>
        <v>113638</v>
      </c>
      <c r="H299" s="211" t="str">
        <f ca="1">IFERROR(__xludf.DUMMYFUNCTION("""COMPUTED_VALUE"""),"ENSINO MEDIO PARCIAL")</f>
        <v>ENSINO MEDIO PARCIAL</v>
      </c>
      <c r="I299" s="214">
        <f ca="1">IFERROR(__xludf.DUMMYFUNCTION("""COMPUTED_VALUE"""),380)</f>
        <v>380</v>
      </c>
      <c r="J299" s="209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9"/>
    </row>
    <row r="300" spans="1:26" ht="18.75" customHeight="1">
      <c r="A300" s="210" t="str">
        <f ca="1">IFERROR(__xludf.DUMMYFUNCTION("""COMPUTED_VALUE"""),"Arraias")</f>
        <v>Arraias</v>
      </c>
      <c r="B300" s="210" t="str">
        <f ca="1">IFERROR(__xludf.DUMMYFUNCTION("""COMPUTED_VALUE"""),"Parana")</f>
        <v>Parana</v>
      </c>
      <c r="C300" s="211" t="str">
        <f ca="1">IFERROR(__xludf.DUMMYFUNCTION("""COMPUTED_VALUE"""),"ASSOC. DE APOIO A ESC. EST. REUNIDA FLORESTA")</f>
        <v>ASSOC. DE APOIO A ESC. EST. REUNIDA FLORESTA</v>
      </c>
      <c r="D300" s="212" t="str">
        <f ca="1">IFERROR(__xludf.DUMMYFUNCTION("""COMPUTED_VALUE"""),"03834797000110")</f>
        <v>03834797000110</v>
      </c>
      <c r="E300" s="212" t="str">
        <f ca="1">IFERROR(__xludf.DUMMYFUNCTION("""COMPUTED_VALUE"""),"001")</f>
        <v>001</v>
      </c>
      <c r="F300" s="212" t="str">
        <f ca="1">IFERROR(__xludf.DUMMYFUNCTION("""COMPUTED_VALUE"""),"0541")</f>
        <v>0541</v>
      </c>
      <c r="G300" s="213" t="str">
        <f ca="1">IFERROR(__xludf.DUMMYFUNCTION("""COMPUTED_VALUE"""),"113247")</f>
        <v>113247</v>
      </c>
      <c r="H300" s="211" t="str">
        <f ca="1">IFERROR(__xludf.DUMMYFUNCTION("""COMPUTED_VALUE"""),"ENS FUND PARCIAL")</f>
        <v>ENS FUND PARCIAL</v>
      </c>
      <c r="I300" s="214">
        <f ca="1">IFERROR(__xludf.DUMMYFUNCTION("""COMPUTED_VALUE"""),530)</f>
        <v>530</v>
      </c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</row>
    <row r="301" spans="1:26" ht="18.75" customHeight="1">
      <c r="A301" s="210" t="str">
        <f ca="1">IFERROR(__xludf.DUMMYFUNCTION("""COMPUTED_VALUE"""),"Arraias")</f>
        <v>Arraias</v>
      </c>
      <c r="B301" s="210" t="str">
        <f ca="1">IFERROR(__xludf.DUMMYFUNCTION("""COMPUTED_VALUE"""),"Parana")</f>
        <v>Parana</v>
      </c>
      <c r="C301" s="211" t="str">
        <f ca="1">IFERROR(__xludf.DUMMYFUNCTION("""COMPUTED_VALUE"""),"ASSOC. DE APOIO A ESC. EST. REUNIDA FLORESTA")</f>
        <v>ASSOC. DE APOIO A ESC. EST. REUNIDA FLORESTA</v>
      </c>
      <c r="D301" s="212" t="str">
        <f ca="1">IFERROR(__xludf.DUMMYFUNCTION("""COMPUTED_VALUE"""),"03834797000110")</f>
        <v>03834797000110</v>
      </c>
      <c r="E301" s="212" t="str">
        <f ca="1">IFERROR(__xludf.DUMMYFUNCTION("""COMPUTED_VALUE"""),"001")</f>
        <v>001</v>
      </c>
      <c r="F301" s="212" t="str">
        <f ca="1">IFERROR(__xludf.DUMMYFUNCTION("""COMPUTED_VALUE"""),"0541")</f>
        <v>0541</v>
      </c>
      <c r="G301" s="213" t="str">
        <f ca="1">IFERROR(__xludf.DUMMYFUNCTION("""COMPUTED_VALUE"""),"113247")</f>
        <v>113247</v>
      </c>
      <c r="H301" s="211" t="str">
        <f ca="1">IFERROR(__xludf.DUMMYFUNCTION("""COMPUTED_VALUE"""),"AEE")</f>
        <v>AEE</v>
      </c>
      <c r="I301" s="214">
        <f ca="1">IFERROR(__xludf.DUMMYFUNCTION("""COMPUTED_VALUE"""),68)</f>
        <v>68</v>
      </c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</row>
    <row r="302" spans="1:26" ht="18.75" customHeight="1">
      <c r="A302" s="210" t="str">
        <f ca="1">IFERROR(__xludf.DUMMYFUNCTION("""COMPUTED_VALUE"""),"Arraias")</f>
        <v>Arraias</v>
      </c>
      <c r="B302" s="210" t="str">
        <f ca="1">IFERROR(__xludf.DUMMYFUNCTION("""COMPUTED_VALUE"""),"Parana")</f>
        <v>Parana</v>
      </c>
      <c r="C302" s="211" t="str">
        <f ca="1">IFERROR(__xludf.DUMMYFUNCTION("""COMPUTED_VALUE"""),"ASSOC. DE APOIO A ESC. EST. REUNIDA FLORESTA")</f>
        <v>ASSOC. DE APOIO A ESC. EST. REUNIDA FLORESTA</v>
      </c>
      <c r="D302" s="212" t="str">
        <f ca="1">IFERROR(__xludf.DUMMYFUNCTION("""COMPUTED_VALUE"""),"03834797000110")</f>
        <v>03834797000110</v>
      </c>
      <c r="E302" s="212" t="str">
        <f ca="1">IFERROR(__xludf.DUMMYFUNCTION("""COMPUTED_VALUE"""),"001")</f>
        <v>001</v>
      </c>
      <c r="F302" s="212" t="str">
        <f ca="1">IFERROR(__xludf.DUMMYFUNCTION("""COMPUTED_VALUE"""),"0541")</f>
        <v>0541</v>
      </c>
      <c r="G302" s="213" t="str">
        <f ca="1">IFERROR(__xludf.DUMMYFUNCTION("""COMPUTED_VALUE"""),"113247")</f>
        <v>113247</v>
      </c>
      <c r="H302" s="211" t="str">
        <f ca="1">IFERROR(__xludf.DUMMYFUNCTION("""COMPUTED_VALUE"""),"ENSINO MEDIO PARCIAL")</f>
        <v>ENSINO MEDIO PARCIAL</v>
      </c>
      <c r="I302" s="214">
        <f ca="1">IFERROR(__xludf.DUMMYFUNCTION("""COMPUTED_VALUE"""),340)</f>
        <v>340</v>
      </c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</row>
    <row r="303" spans="1:26" ht="18.75" customHeight="1">
      <c r="A303" s="210" t="str">
        <f ca="1">IFERROR(__xludf.DUMMYFUNCTION("""COMPUTED_VALUE"""),"Arraias")</f>
        <v>Arraias</v>
      </c>
      <c r="B303" s="210" t="str">
        <f ca="1">IFERROR(__xludf.DUMMYFUNCTION("""COMPUTED_VALUE"""),"Parana")</f>
        <v>Parana</v>
      </c>
      <c r="C303" s="211" t="str">
        <f ca="1">IFERROR(__xludf.DUMMYFUNCTION("""COMPUTED_VALUE"""),"ASSOC. DE APOIO A ESC. EST. REUNIDA FLORESTA")</f>
        <v>ASSOC. DE APOIO A ESC. EST. REUNIDA FLORESTA</v>
      </c>
      <c r="D303" s="212" t="str">
        <f ca="1">IFERROR(__xludf.DUMMYFUNCTION("""COMPUTED_VALUE"""),"03834797000110")</f>
        <v>03834797000110</v>
      </c>
      <c r="E303" s="212" t="str">
        <f ca="1">IFERROR(__xludf.DUMMYFUNCTION("""COMPUTED_VALUE"""),"001")</f>
        <v>001</v>
      </c>
      <c r="F303" s="212" t="str">
        <f ca="1">IFERROR(__xludf.DUMMYFUNCTION("""COMPUTED_VALUE"""),"0541")</f>
        <v>0541</v>
      </c>
      <c r="G303" s="213" t="str">
        <f ca="1">IFERROR(__xludf.DUMMYFUNCTION("""COMPUTED_VALUE"""),"113247")</f>
        <v>113247</v>
      </c>
      <c r="H303" s="211" t="str">
        <f ca="1">IFERROR(__xludf.DUMMYFUNCTION("""COMPUTED_VALUE"""),"EJA")</f>
        <v>EJA</v>
      </c>
      <c r="I303" s="214">
        <f ca="1">IFERROR(__xludf.DUMMYFUNCTION("""COMPUTED_VALUE"""),147.6)</f>
        <v>147.6</v>
      </c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</row>
    <row r="304" spans="1:26" ht="18.75" customHeight="1">
      <c r="A304" s="210" t="str">
        <f ca="1">IFERROR(__xludf.DUMMYFUNCTION("""COMPUTED_VALUE"""),"Colinas")</f>
        <v>Colinas</v>
      </c>
      <c r="B304" s="210" t="str">
        <f ca="1">IFERROR(__xludf.DUMMYFUNCTION("""COMPUTED_VALUE"""),"Arapoema")</f>
        <v>Arapoema</v>
      </c>
      <c r="C304" s="211" t="str">
        <f ca="1">IFERROR(__xludf.DUMMYFUNCTION("""COMPUTED_VALUE"""),"A.AP. COL. EST.RUILON DIAS CARNEIRO")</f>
        <v>A.AP. COL. EST.RUILON DIAS CARNEIRO</v>
      </c>
      <c r="D304" s="212" t="str">
        <f ca="1">IFERROR(__xludf.DUMMYFUNCTION("""COMPUTED_VALUE"""),"01133714000130")</f>
        <v>01133714000130</v>
      </c>
      <c r="E304" s="212" t="str">
        <f ca="1">IFERROR(__xludf.DUMMYFUNCTION("""COMPUTED_VALUE"""),"001")</f>
        <v>001</v>
      </c>
      <c r="F304" s="212" t="str">
        <f ca="1">IFERROR(__xludf.DUMMYFUNCTION("""COMPUTED_VALUE"""),"3974")</f>
        <v>3974</v>
      </c>
      <c r="G304" s="213" t="str">
        <f ca="1">IFERROR(__xludf.DUMMYFUNCTION("""COMPUTED_VALUE"""),"2290X")</f>
        <v>2290X</v>
      </c>
      <c r="H304" s="211" t="str">
        <f ca="1">IFERROR(__xludf.DUMMYFUNCTION("""COMPUTED_VALUE"""),"ENSINO MEDIO PARCIAL")</f>
        <v>ENSINO MEDIO PARCIAL</v>
      </c>
      <c r="I304" s="214">
        <f ca="1">IFERROR(__xludf.DUMMYFUNCTION("""COMPUTED_VALUE"""),2260)</f>
        <v>2260</v>
      </c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</row>
    <row r="305" spans="1:26" ht="18.75" customHeight="1">
      <c r="A305" s="210" t="str">
        <f ca="1">IFERROR(__xludf.DUMMYFUNCTION("""COMPUTED_VALUE"""),"Colinas")</f>
        <v>Colinas</v>
      </c>
      <c r="B305" s="210" t="str">
        <f ca="1">IFERROR(__xludf.DUMMYFUNCTION("""COMPUTED_VALUE"""),"Arapoema")</f>
        <v>Arapoema</v>
      </c>
      <c r="C305" s="211" t="str">
        <f ca="1">IFERROR(__xludf.DUMMYFUNCTION("""COMPUTED_VALUE"""),"A.A. E. EST. ANTONIO DELFINO GUIMARAES")</f>
        <v>A.A. E. EST. ANTONIO DELFINO GUIMARAES</v>
      </c>
      <c r="D305" s="212" t="str">
        <f ca="1">IFERROR(__xludf.DUMMYFUNCTION("""COMPUTED_VALUE"""),"01135998000102")</f>
        <v>01135998000102</v>
      </c>
      <c r="E305" s="212" t="str">
        <f ca="1">IFERROR(__xludf.DUMMYFUNCTION("""COMPUTED_VALUE"""),"001")</f>
        <v>001</v>
      </c>
      <c r="F305" s="212" t="str">
        <f ca="1">IFERROR(__xludf.DUMMYFUNCTION("""COMPUTED_VALUE"""),"3974")</f>
        <v>3974</v>
      </c>
      <c r="G305" s="213" t="str">
        <f ca="1">IFERROR(__xludf.DUMMYFUNCTION("""COMPUTED_VALUE"""),"2287X")</f>
        <v>2287X</v>
      </c>
      <c r="H305" s="211" t="str">
        <f ca="1">IFERROR(__xludf.DUMMYFUNCTION("""COMPUTED_VALUE"""),"ENS FUND PARCIAL")</f>
        <v>ENS FUND PARCIAL</v>
      </c>
      <c r="I305" s="214">
        <f ca="1">IFERROR(__xludf.DUMMYFUNCTION("""COMPUTED_VALUE"""),3270)</f>
        <v>3270</v>
      </c>
      <c r="J305" s="209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</row>
    <row r="306" spans="1:26" ht="18.75" customHeight="1">
      <c r="A306" s="210" t="str">
        <f ca="1">IFERROR(__xludf.DUMMYFUNCTION("""COMPUTED_VALUE"""),"Colinas")</f>
        <v>Colinas</v>
      </c>
      <c r="B306" s="210" t="str">
        <f ca="1">IFERROR(__xludf.DUMMYFUNCTION("""COMPUTED_VALUE"""),"Arapoema")</f>
        <v>Arapoema</v>
      </c>
      <c r="C306" s="211" t="str">
        <f ca="1">IFERROR(__xludf.DUMMYFUNCTION("""COMPUTED_VALUE"""),"A.A. E. EST. ANTONIO DELFINO GUIMARAES")</f>
        <v>A.A. E. EST. ANTONIO DELFINO GUIMARAES</v>
      </c>
      <c r="D306" s="212" t="str">
        <f ca="1">IFERROR(__xludf.DUMMYFUNCTION("""COMPUTED_VALUE"""),"01135998000102")</f>
        <v>01135998000102</v>
      </c>
      <c r="E306" s="212" t="str">
        <f ca="1">IFERROR(__xludf.DUMMYFUNCTION("""COMPUTED_VALUE"""),"001")</f>
        <v>001</v>
      </c>
      <c r="F306" s="212" t="str">
        <f ca="1">IFERROR(__xludf.DUMMYFUNCTION("""COMPUTED_VALUE"""),"3974")</f>
        <v>3974</v>
      </c>
      <c r="G306" s="213" t="str">
        <f ca="1">IFERROR(__xludf.DUMMYFUNCTION("""COMPUTED_VALUE"""),"2287X")</f>
        <v>2287X</v>
      </c>
      <c r="H306" s="211" t="str">
        <f ca="1">IFERROR(__xludf.DUMMYFUNCTION("""COMPUTED_VALUE"""),"AEE")</f>
        <v>AEE</v>
      </c>
      <c r="I306" s="214">
        <f ca="1">IFERROR(__xludf.DUMMYFUNCTION("""COMPUTED_VALUE"""),312.8)</f>
        <v>312.8</v>
      </c>
      <c r="J306" s="209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9"/>
    </row>
    <row r="307" spans="1:26" ht="18.75" customHeight="1">
      <c r="A307" s="210" t="str">
        <f ca="1">IFERROR(__xludf.DUMMYFUNCTION("""COMPUTED_VALUE"""),"Colinas")</f>
        <v>Colinas</v>
      </c>
      <c r="B307" s="210" t="str">
        <f ca="1">IFERROR(__xludf.DUMMYFUNCTION("""COMPUTED_VALUE"""),"Bandeirantes do Tocantins")</f>
        <v>Bandeirantes do Tocantins</v>
      </c>
      <c r="C307" s="211" t="str">
        <f ca="1">IFERROR(__xludf.DUMMYFUNCTION("""COMPUTED_VALUE"""),"A.A. E. E. ARCELINO F. DO NASCIMENTO")</f>
        <v>A.A. E. E. ARCELINO F. DO NASCIMENTO</v>
      </c>
      <c r="D307" s="212" t="str">
        <f ca="1">IFERROR(__xludf.DUMMYFUNCTION("""COMPUTED_VALUE"""),"01181179000193")</f>
        <v>01181179000193</v>
      </c>
      <c r="E307" s="212" t="str">
        <f ca="1">IFERROR(__xludf.DUMMYFUNCTION("""COMPUTED_VALUE"""),"001")</f>
        <v>001</v>
      </c>
      <c r="F307" s="212" t="str">
        <f ca="1">IFERROR(__xludf.DUMMYFUNCTION("""COMPUTED_VALUE"""),"0911")</f>
        <v>0911</v>
      </c>
      <c r="G307" s="213" t="str">
        <f ca="1">IFERROR(__xludf.DUMMYFUNCTION("""COMPUTED_VALUE"""),"46578X")</f>
        <v>46578X</v>
      </c>
      <c r="H307" s="211" t="str">
        <f ca="1">IFERROR(__xludf.DUMMYFUNCTION("""COMPUTED_VALUE"""),"ENS FUND PARCIAL")</f>
        <v>ENS FUND PARCIAL</v>
      </c>
      <c r="I307" s="214">
        <f ca="1">IFERROR(__xludf.DUMMYFUNCTION("""COMPUTED_VALUE"""),780)</f>
        <v>780</v>
      </c>
      <c r="J307" s="209"/>
      <c r="K307" s="209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9"/>
    </row>
    <row r="308" spans="1:26" ht="18.75" customHeight="1">
      <c r="A308" s="210" t="str">
        <f ca="1">IFERROR(__xludf.DUMMYFUNCTION("""COMPUTED_VALUE"""),"Colinas")</f>
        <v>Colinas</v>
      </c>
      <c r="B308" s="210" t="str">
        <f ca="1">IFERROR(__xludf.DUMMYFUNCTION("""COMPUTED_VALUE"""),"Bandeirantes do Tocantins")</f>
        <v>Bandeirantes do Tocantins</v>
      </c>
      <c r="C308" s="211" t="str">
        <f ca="1">IFERROR(__xludf.DUMMYFUNCTION("""COMPUTED_VALUE"""),"A.A. E. E. ARCELINO F. DO NASCIMENTO")</f>
        <v>A.A. E. E. ARCELINO F. DO NASCIMENTO</v>
      </c>
      <c r="D308" s="212" t="str">
        <f ca="1">IFERROR(__xludf.DUMMYFUNCTION("""COMPUTED_VALUE"""),"01181179000193")</f>
        <v>01181179000193</v>
      </c>
      <c r="E308" s="212" t="str">
        <f ca="1">IFERROR(__xludf.DUMMYFUNCTION("""COMPUTED_VALUE"""),"001")</f>
        <v>001</v>
      </c>
      <c r="F308" s="212" t="str">
        <f ca="1">IFERROR(__xludf.DUMMYFUNCTION("""COMPUTED_VALUE"""),"0911")</f>
        <v>0911</v>
      </c>
      <c r="G308" s="213" t="str">
        <f ca="1">IFERROR(__xludf.DUMMYFUNCTION("""COMPUTED_VALUE"""),"46578X")</f>
        <v>46578X</v>
      </c>
      <c r="H308" s="211" t="str">
        <f ca="1">IFERROR(__xludf.DUMMYFUNCTION("""COMPUTED_VALUE"""),"AEE")</f>
        <v>AEE</v>
      </c>
      <c r="I308" s="214">
        <f ca="1">IFERROR(__xludf.DUMMYFUNCTION("""COMPUTED_VALUE"""),68)</f>
        <v>68</v>
      </c>
      <c r="J308" s="209"/>
      <c r="K308" s="209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9"/>
    </row>
    <row r="309" spans="1:26" ht="18.75" customHeight="1">
      <c r="A309" s="210" t="str">
        <f ca="1">IFERROR(__xludf.DUMMYFUNCTION("""COMPUTED_VALUE"""),"Colinas")</f>
        <v>Colinas</v>
      </c>
      <c r="B309" s="210" t="str">
        <f ca="1">IFERROR(__xludf.DUMMYFUNCTION("""COMPUTED_VALUE"""),"Bandeirantes do Tocantins")</f>
        <v>Bandeirantes do Tocantins</v>
      </c>
      <c r="C309" s="211" t="str">
        <f ca="1">IFERROR(__xludf.DUMMYFUNCTION("""COMPUTED_VALUE"""),"A.A. E. E. ARCELINO F. DO NASCIMENTO")</f>
        <v>A.A. E. E. ARCELINO F. DO NASCIMENTO</v>
      </c>
      <c r="D309" s="212" t="str">
        <f ca="1">IFERROR(__xludf.DUMMYFUNCTION("""COMPUTED_VALUE"""),"01181179000193")</f>
        <v>01181179000193</v>
      </c>
      <c r="E309" s="212" t="str">
        <f ca="1">IFERROR(__xludf.DUMMYFUNCTION("""COMPUTED_VALUE"""),"001")</f>
        <v>001</v>
      </c>
      <c r="F309" s="212" t="str">
        <f ca="1">IFERROR(__xludf.DUMMYFUNCTION("""COMPUTED_VALUE"""),"0911")</f>
        <v>0911</v>
      </c>
      <c r="G309" s="213" t="str">
        <f ca="1">IFERROR(__xludf.DUMMYFUNCTION("""COMPUTED_VALUE"""),"46578X")</f>
        <v>46578X</v>
      </c>
      <c r="H309" s="211" t="str">
        <f ca="1">IFERROR(__xludf.DUMMYFUNCTION("""COMPUTED_VALUE"""),"ENSINO MEDIO PARCIAL")</f>
        <v>ENSINO MEDIO PARCIAL</v>
      </c>
      <c r="I309" s="214">
        <f ca="1">IFERROR(__xludf.DUMMYFUNCTION("""COMPUTED_VALUE"""),1390)</f>
        <v>1390</v>
      </c>
      <c r="J309" s="209"/>
      <c r="K309" s="209"/>
      <c r="L309" s="209"/>
      <c r="M309" s="209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9"/>
    </row>
    <row r="310" spans="1:26" ht="18.75" customHeight="1">
      <c r="A310" s="210" t="str">
        <f ca="1">IFERROR(__xludf.DUMMYFUNCTION("""COMPUTED_VALUE"""),"Colinas")</f>
        <v>Colinas</v>
      </c>
      <c r="B310" s="210" t="str">
        <f ca="1">IFERROR(__xludf.DUMMYFUNCTION("""COMPUTED_VALUE"""),"Bernardo Sayao")</f>
        <v>Bernardo Sayao</v>
      </c>
      <c r="C310" s="211" t="str">
        <f ca="1">IFERROR(__xludf.DUMMYFUNCTION("""COMPUTED_VALUE"""),"A.A. COL. EST. BERNARDO SAYAO")</f>
        <v>A.A. COL. EST. BERNARDO SAYAO</v>
      </c>
      <c r="D310" s="212" t="str">
        <f ca="1">IFERROR(__xludf.DUMMYFUNCTION("""COMPUTED_VALUE"""),"01190188000140")</f>
        <v>01190188000140</v>
      </c>
      <c r="E310" s="212" t="str">
        <f ca="1">IFERROR(__xludf.DUMMYFUNCTION("""COMPUTED_VALUE"""),"001")</f>
        <v>001</v>
      </c>
      <c r="F310" s="212" t="str">
        <f ca="1">IFERROR(__xludf.DUMMYFUNCTION("""COMPUTED_VALUE"""),"0911")</f>
        <v>0911</v>
      </c>
      <c r="G310" s="213" t="str">
        <f ca="1">IFERROR(__xludf.DUMMYFUNCTION("""COMPUTED_VALUE"""),"369403")</f>
        <v>369403</v>
      </c>
      <c r="H310" s="211" t="str">
        <f ca="1">IFERROR(__xludf.DUMMYFUNCTION("""COMPUTED_VALUE"""),"ENS FUND PARCIAL")</f>
        <v>ENS FUND PARCIAL</v>
      </c>
      <c r="I310" s="214">
        <f ca="1">IFERROR(__xludf.DUMMYFUNCTION("""COMPUTED_VALUE"""),630)</f>
        <v>630</v>
      </c>
      <c r="J310" s="209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9"/>
    </row>
    <row r="311" spans="1:26" ht="18.75" customHeight="1">
      <c r="A311" s="210" t="str">
        <f ca="1">IFERROR(__xludf.DUMMYFUNCTION("""COMPUTED_VALUE"""),"Colinas")</f>
        <v>Colinas</v>
      </c>
      <c r="B311" s="210" t="str">
        <f ca="1">IFERROR(__xludf.DUMMYFUNCTION("""COMPUTED_VALUE"""),"Bernardo Sayao")</f>
        <v>Bernardo Sayao</v>
      </c>
      <c r="C311" s="211" t="str">
        <f ca="1">IFERROR(__xludf.DUMMYFUNCTION("""COMPUTED_VALUE"""),"A.A. COL. EST. BERNARDO SAYAO")</f>
        <v>A.A. COL. EST. BERNARDO SAYAO</v>
      </c>
      <c r="D311" s="212" t="str">
        <f ca="1">IFERROR(__xludf.DUMMYFUNCTION("""COMPUTED_VALUE"""),"01190188000140")</f>
        <v>01190188000140</v>
      </c>
      <c r="E311" s="212" t="str">
        <f ca="1">IFERROR(__xludf.DUMMYFUNCTION("""COMPUTED_VALUE"""),"001")</f>
        <v>001</v>
      </c>
      <c r="F311" s="212" t="str">
        <f ca="1">IFERROR(__xludf.DUMMYFUNCTION("""COMPUTED_VALUE"""),"0911")</f>
        <v>0911</v>
      </c>
      <c r="G311" s="213" t="str">
        <f ca="1">IFERROR(__xludf.DUMMYFUNCTION("""COMPUTED_VALUE"""),"369403")</f>
        <v>369403</v>
      </c>
      <c r="H311" s="211" t="str">
        <f ca="1">IFERROR(__xludf.DUMMYFUNCTION("""COMPUTED_VALUE"""),"AEE")</f>
        <v>AEE</v>
      </c>
      <c r="I311" s="214">
        <f ca="1">IFERROR(__xludf.DUMMYFUNCTION("""COMPUTED_VALUE"""),81.6)</f>
        <v>81.599999999999994</v>
      </c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</row>
    <row r="312" spans="1:26" ht="18.75" customHeight="1">
      <c r="A312" s="210" t="str">
        <f ca="1">IFERROR(__xludf.DUMMYFUNCTION("""COMPUTED_VALUE"""),"Colinas")</f>
        <v>Colinas</v>
      </c>
      <c r="B312" s="210" t="str">
        <f ca="1">IFERROR(__xludf.DUMMYFUNCTION("""COMPUTED_VALUE"""),"Bernardo Sayao")</f>
        <v>Bernardo Sayao</v>
      </c>
      <c r="C312" s="211" t="str">
        <f ca="1">IFERROR(__xludf.DUMMYFUNCTION("""COMPUTED_VALUE"""),"A.A. COL. EST. BERNARDO SAYAO")</f>
        <v>A.A. COL. EST. BERNARDO SAYAO</v>
      </c>
      <c r="D312" s="212" t="str">
        <f ca="1">IFERROR(__xludf.DUMMYFUNCTION("""COMPUTED_VALUE"""),"01190188000140")</f>
        <v>01190188000140</v>
      </c>
      <c r="E312" s="212" t="str">
        <f ca="1">IFERROR(__xludf.DUMMYFUNCTION("""COMPUTED_VALUE"""),"001")</f>
        <v>001</v>
      </c>
      <c r="F312" s="212" t="str">
        <f ca="1">IFERROR(__xludf.DUMMYFUNCTION("""COMPUTED_VALUE"""),"0911")</f>
        <v>0911</v>
      </c>
      <c r="G312" s="213" t="str">
        <f ca="1">IFERROR(__xludf.DUMMYFUNCTION("""COMPUTED_VALUE"""),"369403")</f>
        <v>369403</v>
      </c>
      <c r="H312" s="211" t="str">
        <f ca="1">IFERROR(__xludf.DUMMYFUNCTION("""COMPUTED_VALUE"""),"ENSINO MEDIO PARCIAL")</f>
        <v>ENSINO MEDIO PARCIAL</v>
      </c>
      <c r="I312" s="214">
        <f ca="1">IFERROR(__xludf.DUMMYFUNCTION("""COMPUTED_VALUE"""),1390)</f>
        <v>1390</v>
      </c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9"/>
    </row>
    <row r="313" spans="1:26" ht="18.75" customHeight="1">
      <c r="A313" s="210" t="str">
        <f ca="1">IFERROR(__xludf.DUMMYFUNCTION("""COMPUTED_VALUE"""),"Colinas")</f>
        <v>Colinas</v>
      </c>
      <c r="B313" s="210" t="str">
        <f ca="1">IFERROR(__xludf.DUMMYFUNCTION("""COMPUTED_VALUE"""),"Bernardo Sayao")</f>
        <v>Bernardo Sayao</v>
      </c>
      <c r="C313" s="211" t="str">
        <f ca="1">IFERROR(__xludf.DUMMYFUNCTION("""COMPUTED_VALUE"""),"A.A. COL. EST. BERNARDO SAYAO")</f>
        <v>A.A. COL. EST. BERNARDO SAYAO</v>
      </c>
      <c r="D313" s="212" t="str">
        <f ca="1">IFERROR(__xludf.DUMMYFUNCTION("""COMPUTED_VALUE"""),"01190188000140")</f>
        <v>01190188000140</v>
      </c>
      <c r="E313" s="212" t="str">
        <f ca="1">IFERROR(__xludf.DUMMYFUNCTION("""COMPUTED_VALUE"""),"001")</f>
        <v>001</v>
      </c>
      <c r="F313" s="212" t="str">
        <f ca="1">IFERROR(__xludf.DUMMYFUNCTION("""COMPUTED_VALUE"""),"0911")</f>
        <v>0911</v>
      </c>
      <c r="G313" s="213" t="str">
        <f ca="1">IFERROR(__xludf.DUMMYFUNCTION("""COMPUTED_VALUE"""),"369403")</f>
        <v>369403</v>
      </c>
      <c r="H313" s="211" t="str">
        <f ca="1">IFERROR(__xludf.DUMMYFUNCTION("""COMPUTED_VALUE"""),"EJA")</f>
        <v>EJA</v>
      </c>
      <c r="I313" s="214">
        <f ca="1">IFERROR(__xludf.DUMMYFUNCTION("""COMPUTED_VALUE"""),114.799999999999)</f>
        <v>114.799999999999</v>
      </c>
      <c r="J313" s="209"/>
      <c r="K313" s="209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9"/>
    </row>
    <row r="314" spans="1:26" ht="18.75" customHeight="1">
      <c r="A314" s="210" t="str">
        <f ca="1">IFERROR(__xludf.DUMMYFUNCTION("""COMPUTED_VALUE"""),"Colinas")</f>
        <v>Colinas</v>
      </c>
      <c r="B314" s="210" t="str">
        <f ca="1">IFERROR(__xludf.DUMMYFUNCTION("""COMPUTED_VALUE"""),"Brasilandia do Tocantins")</f>
        <v>Brasilandia do Tocantins</v>
      </c>
      <c r="C314" s="211" t="str">
        <f ca="1">IFERROR(__xludf.DUMMYFUNCTION("""COMPUTED_VALUE"""),"A.A. COL. EST. SEBASTIAO RODRIGUES SALES")</f>
        <v>A.A. COL. EST. SEBASTIAO RODRIGUES SALES</v>
      </c>
      <c r="D314" s="212" t="str">
        <f ca="1">IFERROR(__xludf.DUMMYFUNCTION("""COMPUTED_VALUE"""),"01138333000144")</f>
        <v>01138333000144</v>
      </c>
      <c r="E314" s="212" t="str">
        <f ca="1">IFERROR(__xludf.DUMMYFUNCTION("""COMPUTED_VALUE"""),"001")</f>
        <v>001</v>
      </c>
      <c r="F314" s="212" t="str">
        <f ca="1">IFERROR(__xludf.DUMMYFUNCTION("""COMPUTED_VALUE"""),"0911")</f>
        <v>0911</v>
      </c>
      <c r="G314" s="213" t="str">
        <f ca="1">IFERROR(__xludf.DUMMYFUNCTION("""COMPUTED_VALUE"""),"369365")</f>
        <v>369365</v>
      </c>
      <c r="H314" s="211" t="str">
        <f ca="1">IFERROR(__xludf.DUMMYFUNCTION("""COMPUTED_VALUE"""),"ENS FUND PARCIAL")</f>
        <v>ENS FUND PARCIAL</v>
      </c>
      <c r="I314" s="214">
        <f ca="1">IFERROR(__xludf.DUMMYFUNCTION("""COMPUTED_VALUE"""),1380)</f>
        <v>1380</v>
      </c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</row>
    <row r="315" spans="1:26" ht="18.75" customHeight="1">
      <c r="A315" s="210" t="str">
        <f ca="1">IFERROR(__xludf.DUMMYFUNCTION("""COMPUTED_VALUE"""),"Colinas")</f>
        <v>Colinas</v>
      </c>
      <c r="B315" s="210" t="str">
        <f ca="1">IFERROR(__xludf.DUMMYFUNCTION("""COMPUTED_VALUE"""),"Brasilandia do Tocantins")</f>
        <v>Brasilandia do Tocantins</v>
      </c>
      <c r="C315" s="211" t="str">
        <f ca="1">IFERROR(__xludf.DUMMYFUNCTION("""COMPUTED_VALUE"""),"A.A. COL. EST. SEBASTIAO RODRIGUES SALES")</f>
        <v>A.A. COL. EST. SEBASTIAO RODRIGUES SALES</v>
      </c>
      <c r="D315" s="212" t="str">
        <f ca="1">IFERROR(__xludf.DUMMYFUNCTION("""COMPUTED_VALUE"""),"01138333000144")</f>
        <v>01138333000144</v>
      </c>
      <c r="E315" s="212" t="str">
        <f ca="1">IFERROR(__xludf.DUMMYFUNCTION("""COMPUTED_VALUE"""),"001")</f>
        <v>001</v>
      </c>
      <c r="F315" s="212" t="str">
        <f ca="1">IFERROR(__xludf.DUMMYFUNCTION("""COMPUTED_VALUE"""),"0911")</f>
        <v>0911</v>
      </c>
      <c r="G315" s="213" t="str">
        <f ca="1">IFERROR(__xludf.DUMMYFUNCTION("""COMPUTED_VALUE"""),"369365")</f>
        <v>369365</v>
      </c>
      <c r="H315" s="211" t="str">
        <f ca="1">IFERROR(__xludf.DUMMYFUNCTION("""COMPUTED_VALUE"""),"ENSINO MEDIO PARCIAL")</f>
        <v>ENSINO MEDIO PARCIAL</v>
      </c>
      <c r="I315" s="214">
        <f ca="1">IFERROR(__xludf.DUMMYFUNCTION("""COMPUTED_VALUE"""),560)</f>
        <v>560</v>
      </c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</row>
    <row r="316" spans="1:26" ht="18.75" customHeight="1">
      <c r="A316" s="210" t="str">
        <f ca="1">IFERROR(__xludf.DUMMYFUNCTION("""COMPUTED_VALUE"""),"Colinas")</f>
        <v>Colinas</v>
      </c>
      <c r="B316" s="210" t="str">
        <f ca="1">IFERROR(__xludf.DUMMYFUNCTION("""COMPUTED_VALUE"""),"Colinas do Tocantins")</f>
        <v>Colinas do Tocantins</v>
      </c>
      <c r="C316" s="211" t="str">
        <f ca="1">IFERROR(__xludf.DUMMYFUNCTION("""COMPUTED_VALUE"""),"A.A. ESCOLA ESTADUAL ERNESTO BARROS")</f>
        <v>A.A. ESCOLA ESTADUAL ERNESTO BARROS</v>
      </c>
      <c r="D316" s="212" t="str">
        <f ca="1">IFERROR(__xludf.DUMMYFUNCTION("""COMPUTED_VALUE"""),"01064857000138")</f>
        <v>01064857000138</v>
      </c>
      <c r="E316" s="212" t="str">
        <f ca="1">IFERROR(__xludf.DUMMYFUNCTION("""COMPUTED_VALUE"""),"001")</f>
        <v>001</v>
      </c>
      <c r="F316" s="212" t="str">
        <f ca="1">IFERROR(__xludf.DUMMYFUNCTION("""COMPUTED_VALUE"""),"0911")</f>
        <v>0911</v>
      </c>
      <c r="G316" s="213" t="str">
        <f ca="1">IFERROR(__xludf.DUMMYFUNCTION("""COMPUTED_VALUE"""),"0368571")</f>
        <v>0368571</v>
      </c>
      <c r="H316" s="211" t="str">
        <f ca="1">IFERROR(__xludf.DUMMYFUNCTION("""COMPUTED_VALUE"""),"ENS FUND INTEGRAL")</f>
        <v>ENS FUND INTEGRAL</v>
      </c>
      <c r="I316" s="214">
        <f ca="1">IFERROR(__xludf.DUMMYFUNCTION("""COMPUTED_VALUE"""),8055.59999999999)</f>
        <v>8055.5999999999904</v>
      </c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</row>
    <row r="317" spans="1:26" ht="18.75" customHeight="1">
      <c r="A317" s="210" t="str">
        <f ca="1">IFERROR(__xludf.DUMMYFUNCTION("""COMPUTED_VALUE"""),"Colinas")</f>
        <v>Colinas</v>
      </c>
      <c r="B317" s="210" t="str">
        <f ca="1">IFERROR(__xludf.DUMMYFUNCTION("""COMPUTED_VALUE"""),"Colinas do Tocantins")</f>
        <v>Colinas do Tocantins</v>
      </c>
      <c r="C317" s="211" t="str">
        <f ca="1">IFERROR(__xludf.DUMMYFUNCTION("""COMPUTED_VALUE"""),"A.A. ESCOLA ESTADUAL ERNESTO BARROS")</f>
        <v>A.A. ESCOLA ESTADUAL ERNESTO BARROS</v>
      </c>
      <c r="D317" s="212" t="str">
        <f ca="1">IFERROR(__xludf.DUMMYFUNCTION("""COMPUTED_VALUE"""),"01064857000138")</f>
        <v>01064857000138</v>
      </c>
      <c r="E317" s="212" t="str">
        <f ca="1">IFERROR(__xludf.DUMMYFUNCTION("""COMPUTED_VALUE"""),"001")</f>
        <v>001</v>
      </c>
      <c r="F317" s="212" t="str">
        <f ca="1">IFERROR(__xludf.DUMMYFUNCTION("""COMPUTED_VALUE"""),"0911")</f>
        <v>0911</v>
      </c>
      <c r="G317" s="213" t="str">
        <f ca="1">IFERROR(__xludf.DUMMYFUNCTION("""COMPUTED_VALUE"""),"0368571")</f>
        <v>0368571</v>
      </c>
      <c r="H317" s="211" t="str">
        <f ca="1">IFERROR(__xludf.DUMMYFUNCTION("""COMPUTED_VALUE"""),"AEE")</f>
        <v>AEE</v>
      </c>
      <c r="I317" s="214">
        <f ca="1">IFERROR(__xludf.DUMMYFUNCTION("""COMPUTED_VALUE"""),176.799999999999)</f>
        <v>176.79999999999899</v>
      </c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</row>
    <row r="318" spans="1:26" ht="18.75" customHeight="1">
      <c r="A318" s="210" t="str">
        <f ca="1">IFERROR(__xludf.DUMMYFUNCTION("""COMPUTED_VALUE"""),"Colinas")</f>
        <v>Colinas</v>
      </c>
      <c r="B318" s="210" t="str">
        <f ca="1">IFERROR(__xludf.DUMMYFUNCTION("""COMPUTED_VALUE"""),"Colinas do Tocantins")</f>
        <v>Colinas do Tocantins</v>
      </c>
      <c r="C318" s="211" t="str">
        <f ca="1">IFERROR(__xludf.DUMMYFUNCTION("""COMPUTED_VALUE"""),"A.A.  COLEGIO JOAO XXIII")</f>
        <v>A.A.  COLEGIO JOAO XXIII</v>
      </c>
      <c r="D318" s="212" t="str">
        <f ca="1">IFERROR(__xludf.DUMMYFUNCTION("""COMPUTED_VALUE"""),"01064859000127")</f>
        <v>01064859000127</v>
      </c>
      <c r="E318" s="212" t="str">
        <f ca="1">IFERROR(__xludf.DUMMYFUNCTION("""COMPUTED_VALUE"""),"001")</f>
        <v>001</v>
      </c>
      <c r="F318" s="212" t="str">
        <f ca="1">IFERROR(__xludf.DUMMYFUNCTION("""COMPUTED_VALUE"""),"0911")</f>
        <v>0911</v>
      </c>
      <c r="G318" s="213" t="str">
        <f ca="1">IFERROR(__xludf.DUMMYFUNCTION("""COMPUTED_VALUE"""),"368555")</f>
        <v>368555</v>
      </c>
      <c r="H318" s="211" t="str">
        <f ca="1">IFERROR(__xludf.DUMMYFUNCTION("""COMPUTED_VALUE"""),"ENS FUND PARCIAL")</f>
        <v>ENS FUND PARCIAL</v>
      </c>
      <c r="I318" s="214">
        <f ca="1">IFERROR(__xludf.DUMMYFUNCTION("""COMPUTED_VALUE"""),4280)</f>
        <v>4280</v>
      </c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</row>
    <row r="319" spans="1:26" ht="18.75" customHeight="1">
      <c r="A319" s="210" t="str">
        <f ca="1">IFERROR(__xludf.DUMMYFUNCTION("""COMPUTED_VALUE"""),"Colinas")</f>
        <v>Colinas</v>
      </c>
      <c r="B319" s="210" t="str">
        <f ca="1">IFERROR(__xludf.DUMMYFUNCTION("""COMPUTED_VALUE"""),"Colinas do Tocantins")</f>
        <v>Colinas do Tocantins</v>
      </c>
      <c r="C319" s="211" t="str">
        <f ca="1">IFERROR(__xludf.DUMMYFUNCTION("""COMPUTED_VALUE"""),"A.A.  COLEGIO JOAO XXIII")</f>
        <v>A.A.  COLEGIO JOAO XXIII</v>
      </c>
      <c r="D319" s="212" t="str">
        <f ca="1">IFERROR(__xludf.DUMMYFUNCTION("""COMPUTED_VALUE"""),"01064859000127")</f>
        <v>01064859000127</v>
      </c>
      <c r="E319" s="212" t="str">
        <f ca="1">IFERROR(__xludf.DUMMYFUNCTION("""COMPUTED_VALUE"""),"001")</f>
        <v>001</v>
      </c>
      <c r="F319" s="212" t="str">
        <f ca="1">IFERROR(__xludf.DUMMYFUNCTION("""COMPUTED_VALUE"""),"0911")</f>
        <v>0911</v>
      </c>
      <c r="G319" s="213" t="str">
        <f ca="1">IFERROR(__xludf.DUMMYFUNCTION("""COMPUTED_VALUE"""),"368555")</f>
        <v>368555</v>
      </c>
      <c r="H319" s="211" t="str">
        <f ca="1">IFERROR(__xludf.DUMMYFUNCTION("""COMPUTED_VALUE"""),"AEE")</f>
        <v>AEE</v>
      </c>
      <c r="I319" s="214">
        <f ca="1">IFERROR(__xludf.DUMMYFUNCTION("""COMPUTED_VALUE"""),285.599999999999)</f>
        <v>285.599999999999</v>
      </c>
      <c r="J319" s="209"/>
      <c r="K319" s="209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9"/>
    </row>
    <row r="320" spans="1:26" ht="18.75" customHeight="1">
      <c r="A320" s="210" t="str">
        <f ca="1">IFERROR(__xludf.DUMMYFUNCTION("""COMPUTED_VALUE"""),"Colinas")</f>
        <v>Colinas</v>
      </c>
      <c r="B320" s="210" t="str">
        <f ca="1">IFERROR(__xludf.DUMMYFUNCTION("""COMPUTED_VALUE"""),"Colinas do Tocantins")</f>
        <v>Colinas do Tocantins</v>
      </c>
      <c r="C320" s="211" t="str">
        <f ca="1">IFERROR(__xludf.DUMMYFUNCTION("""COMPUTED_VALUE"""),"A.A.  COLEGIO JOAO XXIII")</f>
        <v>A.A.  COLEGIO JOAO XXIII</v>
      </c>
      <c r="D320" s="212" t="str">
        <f ca="1">IFERROR(__xludf.DUMMYFUNCTION("""COMPUTED_VALUE"""),"01064859000127")</f>
        <v>01064859000127</v>
      </c>
      <c r="E320" s="212" t="str">
        <f ca="1">IFERROR(__xludf.DUMMYFUNCTION("""COMPUTED_VALUE"""),"001")</f>
        <v>001</v>
      </c>
      <c r="F320" s="212" t="str">
        <f ca="1">IFERROR(__xludf.DUMMYFUNCTION("""COMPUTED_VALUE"""),"0911")</f>
        <v>0911</v>
      </c>
      <c r="G320" s="213" t="str">
        <f ca="1">IFERROR(__xludf.DUMMYFUNCTION("""COMPUTED_VALUE"""),"368555")</f>
        <v>368555</v>
      </c>
      <c r="H320" s="211" t="str">
        <f ca="1">IFERROR(__xludf.DUMMYFUNCTION("""COMPUTED_VALUE"""),"ENSINO MEDIO PARCIAL")</f>
        <v>ENSINO MEDIO PARCIAL</v>
      </c>
      <c r="I320" s="214">
        <f ca="1">IFERROR(__xludf.DUMMYFUNCTION("""COMPUTED_VALUE"""),3060)</f>
        <v>3060</v>
      </c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9"/>
    </row>
    <row r="321" spans="1:26" ht="18.75" customHeight="1">
      <c r="A321" s="210" t="str">
        <f ca="1">IFERROR(__xludf.DUMMYFUNCTION("""COMPUTED_VALUE"""),"Colinas")</f>
        <v>Colinas</v>
      </c>
      <c r="B321" s="210" t="str">
        <f ca="1">IFERROR(__xludf.DUMMYFUNCTION("""COMPUTED_VALUE"""),"Colinas do Tocantins")</f>
        <v>Colinas do Tocantins</v>
      </c>
      <c r="C321" s="211" t="str">
        <f ca="1">IFERROR(__xludf.DUMMYFUNCTION("""COMPUTED_VALUE"""),"A.A. E. PRESBITERIANA DE COLINAS")</f>
        <v>A.A. E. PRESBITERIANA DE COLINAS</v>
      </c>
      <c r="D321" s="212" t="str">
        <f ca="1">IFERROR(__xludf.DUMMYFUNCTION("""COMPUTED_VALUE"""),"01071410000196")</f>
        <v>01071410000196</v>
      </c>
      <c r="E321" s="212" t="str">
        <f ca="1">IFERROR(__xludf.DUMMYFUNCTION("""COMPUTED_VALUE"""),"001")</f>
        <v>001</v>
      </c>
      <c r="F321" s="212" t="str">
        <f ca="1">IFERROR(__xludf.DUMMYFUNCTION("""COMPUTED_VALUE"""),"0911")</f>
        <v>0911</v>
      </c>
      <c r="G321" s="213" t="str">
        <f ca="1">IFERROR(__xludf.DUMMYFUNCTION("""COMPUTED_VALUE"""),"368695")</f>
        <v>368695</v>
      </c>
      <c r="H321" s="211" t="str">
        <f ca="1">IFERROR(__xludf.DUMMYFUNCTION("""COMPUTED_VALUE"""),"ENS FUND PARCIAL")</f>
        <v>ENS FUND PARCIAL</v>
      </c>
      <c r="I321" s="214">
        <f ca="1">IFERROR(__xludf.DUMMYFUNCTION("""COMPUTED_VALUE"""),5250)</f>
        <v>5250</v>
      </c>
      <c r="J321" s="209"/>
      <c r="K321" s="209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9"/>
    </row>
    <row r="322" spans="1:26" ht="18.75" customHeight="1">
      <c r="A322" s="210" t="str">
        <f ca="1">IFERROR(__xludf.DUMMYFUNCTION("""COMPUTED_VALUE"""),"Colinas")</f>
        <v>Colinas</v>
      </c>
      <c r="B322" s="210" t="str">
        <f ca="1">IFERROR(__xludf.DUMMYFUNCTION("""COMPUTED_VALUE"""),"Colinas do Tocantins")</f>
        <v>Colinas do Tocantins</v>
      </c>
      <c r="C322" s="211" t="str">
        <f ca="1">IFERROR(__xludf.DUMMYFUNCTION("""COMPUTED_VALUE"""),"A.A. E. PRESBITERIANA DE COLINAS")</f>
        <v>A.A. E. PRESBITERIANA DE COLINAS</v>
      </c>
      <c r="D322" s="212" t="str">
        <f ca="1">IFERROR(__xludf.DUMMYFUNCTION("""COMPUTED_VALUE"""),"01071410000196")</f>
        <v>01071410000196</v>
      </c>
      <c r="E322" s="212" t="str">
        <f ca="1">IFERROR(__xludf.DUMMYFUNCTION("""COMPUTED_VALUE"""),"001")</f>
        <v>001</v>
      </c>
      <c r="F322" s="212" t="str">
        <f ca="1">IFERROR(__xludf.DUMMYFUNCTION("""COMPUTED_VALUE"""),"0911")</f>
        <v>0911</v>
      </c>
      <c r="G322" s="213" t="str">
        <f ca="1">IFERROR(__xludf.DUMMYFUNCTION("""COMPUTED_VALUE"""),"368695")</f>
        <v>368695</v>
      </c>
      <c r="H322" s="211" t="str">
        <f ca="1">IFERROR(__xludf.DUMMYFUNCTION("""COMPUTED_VALUE"""),"AEE")</f>
        <v>AEE</v>
      </c>
      <c r="I322" s="214">
        <f ca="1">IFERROR(__xludf.DUMMYFUNCTION("""COMPUTED_VALUE"""),285.599999999999)</f>
        <v>285.599999999999</v>
      </c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9"/>
    </row>
    <row r="323" spans="1:26" ht="18.75" customHeight="1">
      <c r="A323" s="210" t="str">
        <f ca="1">IFERROR(__xludf.DUMMYFUNCTION("""COMPUTED_VALUE"""),"Colinas")</f>
        <v>Colinas</v>
      </c>
      <c r="B323" s="210" t="str">
        <f ca="1">IFERROR(__xludf.DUMMYFUNCTION("""COMPUTED_VALUE"""),"Colinas do Tocantins")</f>
        <v>Colinas do Tocantins</v>
      </c>
      <c r="C323" s="211" t="str">
        <f ca="1">IFERROR(__xludf.DUMMYFUNCTION("""COMPUTED_VALUE"""),"ASSOC. DE APOIO DO COL. EST. CASTELO BRANCO")</f>
        <v>ASSOC. DE APOIO DO COL. EST. CASTELO BRANCO</v>
      </c>
      <c r="D323" s="212" t="str">
        <f ca="1">IFERROR(__xludf.DUMMYFUNCTION("""COMPUTED_VALUE"""),"01071413000120")</f>
        <v>01071413000120</v>
      </c>
      <c r="E323" s="212" t="str">
        <f ca="1">IFERROR(__xludf.DUMMYFUNCTION("""COMPUTED_VALUE"""),"001")</f>
        <v>001</v>
      </c>
      <c r="F323" s="212" t="str">
        <f ca="1">IFERROR(__xludf.DUMMYFUNCTION("""COMPUTED_VALUE"""),"0911")</f>
        <v>0911</v>
      </c>
      <c r="G323" s="213" t="str">
        <f ca="1">IFERROR(__xludf.DUMMYFUNCTION("""COMPUTED_VALUE"""),"187275")</f>
        <v>187275</v>
      </c>
      <c r="H323" s="211" t="str">
        <f ca="1">IFERROR(__xludf.DUMMYFUNCTION("""COMPUTED_VALUE"""),"AEE")</f>
        <v>AEE</v>
      </c>
      <c r="I323" s="214">
        <f ca="1">IFERROR(__xludf.DUMMYFUNCTION("""COMPUTED_VALUE"""),312.8)</f>
        <v>312.8</v>
      </c>
      <c r="J323" s="209"/>
      <c r="K323" s="209"/>
      <c r="L323" s="209"/>
      <c r="M323" s="209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9"/>
    </row>
    <row r="324" spans="1:26" ht="18.75" customHeight="1">
      <c r="A324" s="210" t="str">
        <f ca="1">IFERROR(__xludf.DUMMYFUNCTION("""COMPUTED_VALUE"""),"Colinas")</f>
        <v>Colinas</v>
      </c>
      <c r="B324" s="210" t="str">
        <f ca="1">IFERROR(__xludf.DUMMYFUNCTION("""COMPUTED_VALUE"""),"Colinas do Tocantins")</f>
        <v>Colinas do Tocantins</v>
      </c>
      <c r="C324" s="211" t="str">
        <f ca="1">IFERROR(__xludf.DUMMYFUNCTION("""COMPUTED_VALUE"""),"ASSOC. DE APOIO DO COL. EST. CASTELO BRANCO")</f>
        <v>ASSOC. DE APOIO DO COL. EST. CASTELO BRANCO</v>
      </c>
      <c r="D324" s="212" t="str">
        <f ca="1">IFERROR(__xludf.DUMMYFUNCTION("""COMPUTED_VALUE"""),"01071413000120")</f>
        <v>01071413000120</v>
      </c>
      <c r="E324" s="212" t="str">
        <f ca="1">IFERROR(__xludf.DUMMYFUNCTION("""COMPUTED_VALUE"""),"001")</f>
        <v>001</v>
      </c>
      <c r="F324" s="212" t="str">
        <f ca="1">IFERROR(__xludf.DUMMYFUNCTION("""COMPUTED_VALUE"""),"0911")</f>
        <v>0911</v>
      </c>
      <c r="G324" s="213" t="str">
        <f ca="1">IFERROR(__xludf.DUMMYFUNCTION("""COMPUTED_VALUE"""),"187275")</f>
        <v>187275</v>
      </c>
      <c r="H324" s="211" t="str">
        <f ca="1">IFERROR(__xludf.DUMMYFUNCTION("""COMPUTED_VALUE"""),"JOVEM AÇÃO")</f>
        <v>JOVEM AÇÃO</v>
      </c>
      <c r="I324" s="214">
        <f ca="1">IFERROR(__xludf.DUMMYFUNCTION("""COMPUTED_VALUE"""),9881.6)</f>
        <v>9881.6</v>
      </c>
      <c r="J324" s="209"/>
      <c r="K324" s="209"/>
      <c r="L324" s="209"/>
      <c r="M324" s="209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9"/>
    </row>
    <row r="325" spans="1:26" ht="18.75" customHeight="1">
      <c r="A325" s="210" t="str">
        <f ca="1">IFERROR(__xludf.DUMMYFUNCTION("""COMPUTED_VALUE"""),"Colinas")</f>
        <v>Colinas</v>
      </c>
      <c r="B325" s="210" t="str">
        <f ca="1">IFERROR(__xludf.DUMMYFUNCTION("""COMPUTED_VALUE"""),"Colinas do Tocantins")</f>
        <v>Colinas do Tocantins</v>
      </c>
      <c r="C325" s="211" t="str">
        <f ca="1">IFERROR(__xludf.DUMMYFUNCTION("""COMPUTED_VALUE"""),"ASSOC. DE APOIO DO COL. EST. CASTELO BRANCO")</f>
        <v>ASSOC. DE APOIO DO COL. EST. CASTELO BRANCO</v>
      </c>
      <c r="D325" s="212" t="str">
        <f ca="1">IFERROR(__xludf.DUMMYFUNCTION("""COMPUTED_VALUE"""),"01071413000120")</f>
        <v>01071413000120</v>
      </c>
      <c r="E325" s="212" t="str">
        <f ca="1">IFERROR(__xludf.DUMMYFUNCTION("""COMPUTED_VALUE"""),"001")</f>
        <v>001</v>
      </c>
      <c r="F325" s="212" t="str">
        <f ca="1">IFERROR(__xludf.DUMMYFUNCTION("""COMPUTED_VALUE"""),"0911")</f>
        <v>0911</v>
      </c>
      <c r="G325" s="213" t="str">
        <f ca="1">IFERROR(__xludf.DUMMYFUNCTION("""COMPUTED_VALUE"""),"187275")</f>
        <v>187275</v>
      </c>
      <c r="H325" s="211" t="str">
        <f ca="1">IFERROR(__xludf.DUMMYFUNCTION("""COMPUTED_VALUE"""),"EJA")</f>
        <v>EJA</v>
      </c>
      <c r="I325" s="214">
        <f ca="1">IFERROR(__xludf.DUMMYFUNCTION("""COMPUTED_VALUE"""),491.999999999999)</f>
        <v>491.99999999999898</v>
      </c>
      <c r="J325" s="209"/>
      <c r="K325" s="209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9"/>
    </row>
    <row r="326" spans="1:26" ht="18.75" customHeight="1">
      <c r="A326" s="210" t="str">
        <f ca="1">IFERROR(__xludf.DUMMYFUNCTION("""COMPUTED_VALUE"""),"Colinas")</f>
        <v>Colinas</v>
      </c>
      <c r="B326" s="210" t="str">
        <f ca="1">IFERROR(__xludf.DUMMYFUNCTION("""COMPUTED_VALUE"""),"Colinas do Tocantins")</f>
        <v>Colinas do Tocantins</v>
      </c>
      <c r="C326" s="211" t="str">
        <f ca="1">IFERROR(__xludf.DUMMYFUNCTION("""COMPUTED_VALUE"""),"A.A. E. E. LACERDINO OLIVEIRA CAMPOS")</f>
        <v>A.A. E. E. LACERDINO OLIVEIRA CAMPOS</v>
      </c>
      <c r="D326" s="212" t="str">
        <f ca="1">IFERROR(__xludf.DUMMYFUNCTION("""COMPUTED_VALUE"""),"01077439000185")</f>
        <v>01077439000185</v>
      </c>
      <c r="E326" s="212" t="str">
        <f ca="1">IFERROR(__xludf.DUMMYFUNCTION("""COMPUTED_VALUE"""),"001")</f>
        <v>001</v>
      </c>
      <c r="F326" s="212" t="str">
        <f ca="1">IFERROR(__xludf.DUMMYFUNCTION("""COMPUTED_VALUE"""),"0911")</f>
        <v>0911</v>
      </c>
      <c r="G326" s="213" t="str">
        <f ca="1">IFERROR(__xludf.DUMMYFUNCTION("""COMPUTED_VALUE"""),"368741")</f>
        <v>368741</v>
      </c>
      <c r="H326" s="211" t="str">
        <f ca="1">IFERROR(__xludf.DUMMYFUNCTION("""COMPUTED_VALUE"""),"ENS FUND INTEGRAL")</f>
        <v>ENS FUND INTEGRAL</v>
      </c>
      <c r="I326" s="214">
        <f ca="1">IFERROR(__xludf.DUMMYFUNCTION("""COMPUTED_VALUE"""),5918.4)</f>
        <v>5918.4</v>
      </c>
      <c r="J326" s="209"/>
      <c r="K326" s="209"/>
      <c r="L326" s="209"/>
      <c r="M326" s="209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9"/>
    </row>
    <row r="327" spans="1:26" ht="18.75" customHeight="1">
      <c r="A327" s="210" t="str">
        <f ca="1">IFERROR(__xludf.DUMMYFUNCTION("""COMPUTED_VALUE"""),"Colinas")</f>
        <v>Colinas</v>
      </c>
      <c r="B327" s="210" t="str">
        <f ca="1">IFERROR(__xludf.DUMMYFUNCTION("""COMPUTED_VALUE"""),"Colinas do Tocantins")</f>
        <v>Colinas do Tocantins</v>
      </c>
      <c r="C327" s="211" t="str">
        <f ca="1">IFERROR(__xludf.DUMMYFUNCTION("""COMPUTED_VALUE"""),"A.A. E. E. LACERDINO OLIVEIRA CAMPOS")</f>
        <v>A.A. E. E. LACERDINO OLIVEIRA CAMPOS</v>
      </c>
      <c r="D327" s="212" t="str">
        <f ca="1">IFERROR(__xludf.DUMMYFUNCTION("""COMPUTED_VALUE"""),"01077439000185")</f>
        <v>01077439000185</v>
      </c>
      <c r="E327" s="212" t="str">
        <f ca="1">IFERROR(__xludf.DUMMYFUNCTION("""COMPUTED_VALUE"""),"001")</f>
        <v>001</v>
      </c>
      <c r="F327" s="212" t="str">
        <f ca="1">IFERROR(__xludf.DUMMYFUNCTION("""COMPUTED_VALUE"""),"0911")</f>
        <v>0911</v>
      </c>
      <c r="G327" s="213" t="str">
        <f ca="1">IFERROR(__xludf.DUMMYFUNCTION("""COMPUTED_VALUE"""),"368741")</f>
        <v>368741</v>
      </c>
      <c r="H327" s="211" t="str">
        <f ca="1">IFERROR(__xludf.DUMMYFUNCTION("""COMPUTED_VALUE"""),"AEE")</f>
        <v>AEE</v>
      </c>
      <c r="I327" s="214">
        <f ca="1">IFERROR(__xludf.DUMMYFUNCTION("""COMPUTED_VALUE"""),272)</f>
        <v>272</v>
      </c>
      <c r="J327" s="209"/>
      <c r="K327" s="209"/>
      <c r="L327" s="209"/>
      <c r="M327" s="209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9"/>
    </row>
    <row r="328" spans="1:26" ht="18.75" customHeight="1">
      <c r="A328" s="210" t="str">
        <f ca="1">IFERROR(__xludf.DUMMYFUNCTION("""COMPUTED_VALUE"""),"Colinas")</f>
        <v>Colinas</v>
      </c>
      <c r="B328" s="210" t="str">
        <f ca="1">IFERROR(__xludf.DUMMYFUNCTION("""COMPUTED_VALUE"""),"Colinas do Tocantins")</f>
        <v>Colinas do Tocantins</v>
      </c>
      <c r="C328" s="211" t="str">
        <f ca="1">IFERROR(__xludf.DUMMYFUNCTION("""COMPUTED_VALUE"""),"A.A. E. E. LACERDINO OLIVEIRA CAMPOS")</f>
        <v>A.A. E. E. LACERDINO OLIVEIRA CAMPOS</v>
      </c>
      <c r="D328" s="212" t="str">
        <f ca="1">IFERROR(__xludf.DUMMYFUNCTION("""COMPUTED_VALUE"""),"01077439000185")</f>
        <v>01077439000185</v>
      </c>
      <c r="E328" s="212" t="str">
        <f ca="1">IFERROR(__xludf.DUMMYFUNCTION("""COMPUTED_VALUE"""),"001")</f>
        <v>001</v>
      </c>
      <c r="F328" s="212" t="str">
        <f ca="1">IFERROR(__xludf.DUMMYFUNCTION("""COMPUTED_VALUE"""),"0911")</f>
        <v>0911</v>
      </c>
      <c r="G328" s="213" t="str">
        <f ca="1">IFERROR(__xludf.DUMMYFUNCTION("""COMPUTED_VALUE"""),"368741")</f>
        <v>368741</v>
      </c>
      <c r="H328" s="211" t="str">
        <f ca="1">IFERROR(__xludf.DUMMYFUNCTION("""COMPUTED_VALUE"""),"ENSINO MEDIO PARCIAL")</f>
        <v>ENSINO MEDIO PARCIAL</v>
      </c>
      <c r="I328" s="214">
        <f ca="1">IFERROR(__xludf.DUMMYFUNCTION("""COMPUTED_VALUE"""),1720)</f>
        <v>1720</v>
      </c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</row>
    <row r="329" spans="1:26" ht="18.75" customHeight="1">
      <c r="A329" s="210" t="str">
        <f ca="1">IFERROR(__xludf.DUMMYFUNCTION("""COMPUTED_VALUE"""),"Colinas")</f>
        <v>Colinas</v>
      </c>
      <c r="B329" s="210" t="str">
        <f ca="1">IFERROR(__xludf.DUMMYFUNCTION("""COMPUTED_VALUE"""),"Colinas do Tocantins")</f>
        <v>Colinas do Tocantins</v>
      </c>
      <c r="C329" s="211" t="str">
        <f ca="1">IFERROR(__xludf.DUMMYFUNCTION("""COMPUTED_VALUE"""),"A.A. E. E. FRANCISCO PEREIRA FELICIO")</f>
        <v>A.A. E. E. FRANCISCO PEREIRA FELICIO</v>
      </c>
      <c r="D329" s="212" t="str">
        <f ca="1">IFERROR(__xludf.DUMMYFUNCTION("""COMPUTED_VALUE"""),"01086969000190")</f>
        <v>01086969000190</v>
      </c>
      <c r="E329" s="212" t="str">
        <f ca="1">IFERROR(__xludf.DUMMYFUNCTION("""COMPUTED_VALUE"""),"001")</f>
        <v>001</v>
      </c>
      <c r="F329" s="212" t="str">
        <f ca="1">IFERROR(__xludf.DUMMYFUNCTION("""COMPUTED_VALUE"""),"0911")</f>
        <v>0911</v>
      </c>
      <c r="G329" s="213" t="str">
        <f ca="1">IFERROR(__xludf.DUMMYFUNCTION("""COMPUTED_VALUE"""),"368814")</f>
        <v>368814</v>
      </c>
      <c r="H329" s="211" t="str">
        <f ca="1">IFERROR(__xludf.DUMMYFUNCTION("""COMPUTED_VALUE"""),"ENS FUND PARCIAL")</f>
        <v>ENS FUND PARCIAL</v>
      </c>
      <c r="I329" s="214">
        <f ca="1">IFERROR(__xludf.DUMMYFUNCTION("""COMPUTED_VALUE"""),2720)</f>
        <v>2720</v>
      </c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</row>
    <row r="330" spans="1:26" ht="18.75" customHeight="1">
      <c r="A330" s="210" t="str">
        <f ca="1">IFERROR(__xludf.DUMMYFUNCTION("""COMPUTED_VALUE"""),"Colinas")</f>
        <v>Colinas</v>
      </c>
      <c r="B330" s="210" t="str">
        <f ca="1">IFERROR(__xludf.DUMMYFUNCTION("""COMPUTED_VALUE"""),"Colinas do Tocantins")</f>
        <v>Colinas do Tocantins</v>
      </c>
      <c r="C330" s="211" t="str">
        <f ca="1">IFERROR(__xludf.DUMMYFUNCTION("""COMPUTED_VALUE"""),"A.A. E. E. FRANCISCO PEREIRA FELICIO")</f>
        <v>A.A. E. E. FRANCISCO PEREIRA FELICIO</v>
      </c>
      <c r="D330" s="212" t="str">
        <f ca="1">IFERROR(__xludf.DUMMYFUNCTION("""COMPUTED_VALUE"""),"01086969000190")</f>
        <v>01086969000190</v>
      </c>
      <c r="E330" s="212" t="str">
        <f ca="1">IFERROR(__xludf.DUMMYFUNCTION("""COMPUTED_VALUE"""),"001")</f>
        <v>001</v>
      </c>
      <c r="F330" s="212" t="str">
        <f ca="1">IFERROR(__xludf.DUMMYFUNCTION("""COMPUTED_VALUE"""),"0911")</f>
        <v>0911</v>
      </c>
      <c r="G330" s="213" t="str">
        <f ca="1">IFERROR(__xludf.DUMMYFUNCTION("""COMPUTED_VALUE"""),"368814")</f>
        <v>368814</v>
      </c>
      <c r="H330" s="211" t="str">
        <f ca="1">IFERROR(__xludf.DUMMYFUNCTION("""COMPUTED_VALUE"""),"AEE")</f>
        <v>AEE</v>
      </c>
      <c r="I330" s="214">
        <f ca="1">IFERROR(__xludf.DUMMYFUNCTION("""COMPUTED_VALUE"""),544)</f>
        <v>544</v>
      </c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</row>
    <row r="331" spans="1:26" ht="18.75" customHeight="1">
      <c r="A331" s="210" t="str">
        <f ca="1">IFERROR(__xludf.DUMMYFUNCTION("""COMPUTED_VALUE"""),"Colinas")</f>
        <v>Colinas</v>
      </c>
      <c r="B331" s="210" t="str">
        <f ca="1">IFERROR(__xludf.DUMMYFUNCTION("""COMPUTED_VALUE"""),"Colinas do Tocantins")</f>
        <v>Colinas do Tocantins</v>
      </c>
      <c r="C331" s="211" t="str">
        <f ca="1">IFERROR(__xludf.DUMMYFUNCTION("""COMPUTED_VALUE"""),"A.A. E. E. FRANCISCO PEREIRA FELICIO")</f>
        <v>A.A. E. E. FRANCISCO PEREIRA FELICIO</v>
      </c>
      <c r="D331" s="212" t="str">
        <f ca="1">IFERROR(__xludf.DUMMYFUNCTION("""COMPUTED_VALUE"""),"01086969000190")</f>
        <v>01086969000190</v>
      </c>
      <c r="E331" s="212" t="str">
        <f ca="1">IFERROR(__xludf.DUMMYFUNCTION("""COMPUTED_VALUE"""),"001")</f>
        <v>001</v>
      </c>
      <c r="F331" s="212" t="str">
        <f ca="1">IFERROR(__xludf.DUMMYFUNCTION("""COMPUTED_VALUE"""),"0911")</f>
        <v>0911</v>
      </c>
      <c r="G331" s="213" t="str">
        <f ca="1">IFERROR(__xludf.DUMMYFUNCTION("""COMPUTED_VALUE"""),"368814")</f>
        <v>368814</v>
      </c>
      <c r="H331" s="211" t="str">
        <f ca="1">IFERROR(__xludf.DUMMYFUNCTION("""COMPUTED_VALUE"""),"ENSINO MEDIO PARCIAL")</f>
        <v>ENSINO MEDIO PARCIAL</v>
      </c>
      <c r="I331" s="214">
        <f ca="1">IFERROR(__xludf.DUMMYFUNCTION("""COMPUTED_VALUE"""),8520)</f>
        <v>8520</v>
      </c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</row>
    <row r="332" spans="1:26" ht="18.75" customHeight="1">
      <c r="A332" s="210" t="str">
        <f ca="1">IFERROR(__xludf.DUMMYFUNCTION("""COMPUTED_VALUE"""),"Colinas")</f>
        <v>Colinas</v>
      </c>
      <c r="B332" s="210" t="str">
        <f ca="1">IFERROR(__xludf.DUMMYFUNCTION("""COMPUTED_VALUE"""),"Colinas do Tocantins")</f>
        <v>Colinas do Tocantins</v>
      </c>
      <c r="C332" s="211" t="str">
        <f ca="1">IFERROR(__xludf.DUMMYFUNCTION("""COMPUTED_VALUE"""),"A.A. E. E. FRANCISCO PEREIRA FELICIO")</f>
        <v>A.A. E. E. FRANCISCO PEREIRA FELICIO</v>
      </c>
      <c r="D332" s="212" t="str">
        <f ca="1">IFERROR(__xludf.DUMMYFUNCTION("""COMPUTED_VALUE"""),"01086969000190")</f>
        <v>01086969000190</v>
      </c>
      <c r="E332" s="212" t="str">
        <f ca="1">IFERROR(__xludf.DUMMYFUNCTION("""COMPUTED_VALUE"""),"001")</f>
        <v>001</v>
      </c>
      <c r="F332" s="212" t="str">
        <f ca="1">IFERROR(__xludf.DUMMYFUNCTION("""COMPUTED_VALUE"""),"0911")</f>
        <v>0911</v>
      </c>
      <c r="G332" s="213" t="str">
        <f ca="1">IFERROR(__xludf.DUMMYFUNCTION("""COMPUTED_VALUE"""),"368814")</f>
        <v>368814</v>
      </c>
      <c r="H332" s="211" t="str">
        <f ca="1">IFERROR(__xludf.DUMMYFUNCTION("""COMPUTED_VALUE"""),"EJA")</f>
        <v>EJA</v>
      </c>
      <c r="I332" s="214">
        <f ca="1">IFERROR(__xludf.DUMMYFUNCTION("""COMPUTED_VALUE"""),1131.6)</f>
        <v>1131.5999999999999</v>
      </c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</row>
    <row r="333" spans="1:26" ht="18.75" customHeight="1">
      <c r="A333" s="210" t="str">
        <f ca="1">IFERROR(__xludf.DUMMYFUNCTION("""COMPUTED_VALUE"""),"Colinas")</f>
        <v>Colinas</v>
      </c>
      <c r="B333" s="210" t="str">
        <f ca="1">IFERROR(__xludf.DUMMYFUNCTION("""COMPUTED_VALUE"""),"Colinas do Tocantins")</f>
        <v>Colinas do Tocantins</v>
      </c>
      <c r="C333" s="211" t="str">
        <f ca="1">IFERROR(__xludf.DUMMYFUNCTION("""COMPUTED_VALUE"""),"ASSOCIAÇÃO DE PAIS E ESTUDANTES DA ESCOLA FAMÍLIA AGRÍCOLA DE COLINAS")</f>
        <v>ASSOCIAÇÃO DE PAIS E ESTUDANTES DA ESCOLA FAMÍLIA AGRÍCOLA DE COLINAS</v>
      </c>
      <c r="D333" s="212" t="str">
        <f ca="1">IFERROR(__xludf.DUMMYFUNCTION("""COMPUTED_VALUE"""),"03421784000110")</f>
        <v>03421784000110</v>
      </c>
      <c r="E333" s="212" t="str">
        <f ca="1">IFERROR(__xludf.DUMMYFUNCTION("""COMPUTED_VALUE"""),"001")</f>
        <v>001</v>
      </c>
      <c r="F333" s="212" t="str">
        <f ca="1">IFERROR(__xludf.DUMMYFUNCTION("""COMPUTED_VALUE"""),"0911")</f>
        <v>0911</v>
      </c>
      <c r="G333" s="213" t="str">
        <f ca="1">IFERROR(__xludf.DUMMYFUNCTION("""COMPUTED_VALUE"""),"199672")</f>
        <v>199672</v>
      </c>
      <c r="H333" s="211" t="str">
        <f ca="1">IFERROR(__xludf.DUMMYFUNCTION("""COMPUTED_VALUE"""),"ENSINO MEDIO INTEGRAL")</f>
        <v>ENSINO MEDIO INTEGRAL</v>
      </c>
      <c r="I333" s="214">
        <f ca="1">IFERROR(__xludf.DUMMYFUNCTION("""COMPUTED_VALUE"""),5206)</f>
        <v>5206</v>
      </c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9"/>
    </row>
    <row r="334" spans="1:26" ht="18.75" customHeight="1">
      <c r="A334" s="210" t="str">
        <f ca="1">IFERROR(__xludf.DUMMYFUNCTION("""COMPUTED_VALUE"""),"Colinas")</f>
        <v>Colinas</v>
      </c>
      <c r="B334" s="210" t="str">
        <f ca="1">IFERROR(__xludf.DUMMYFUNCTION("""COMPUTED_VALUE"""),"Colinas do Tocantins")</f>
        <v>Colinas do Tocantins</v>
      </c>
      <c r="C334" s="211" t="str">
        <f ca="1">IFERROR(__xludf.DUMMYFUNCTION("""COMPUTED_VALUE"""),"ASSOC. APOIO AO INSTITUTO EDUC. GUNNAR VINGREN")</f>
        <v>ASSOC. APOIO AO INSTITUTO EDUC. GUNNAR VINGREN</v>
      </c>
      <c r="D334" s="212" t="str">
        <f ca="1">IFERROR(__xludf.DUMMYFUNCTION("""COMPUTED_VALUE"""),"05537107000197")</f>
        <v>05537107000197</v>
      </c>
      <c r="E334" s="212" t="str">
        <f ca="1">IFERROR(__xludf.DUMMYFUNCTION("""COMPUTED_VALUE"""),"001")</f>
        <v>001</v>
      </c>
      <c r="F334" s="212" t="str">
        <f ca="1">IFERROR(__xludf.DUMMYFUNCTION("""COMPUTED_VALUE"""),"0911")</f>
        <v>0911</v>
      </c>
      <c r="G334" s="213" t="str">
        <f ca="1">IFERROR(__xludf.DUMMYFUNCTION("""COMPUTED_VALUE"""),"172286")</f>
        <v>172286</v>
      </c>
      <c r="H334" s="211" t="str">
        <f ca="1">IFERROR(__xludf.DUMMYFUNCTION("""COMPUTED_VALUE"""),"ENS FUND PARCIAL")</f>
        <v>ENS FUND PARCIAL</v>
      </c>
      <c r="I334" s="214">
        <f ca="1">IFERROR(__xludf.DUMMYFUNCTION("""COMPUTED_VALUE"""),1010)</f>
        <v>1010</v>
      </c>
      <c r="J334" s="209"/>
      <c r="K334" s="209"/>
      <c r="L334" s="209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9"/>
    </row>
    <row r="335" spans="1:26" ht="18.75" customHeight="1">
      <c r="A335" s="210" t="str">
        <f ca="1">IFERROR(__xludf.DUMMYFUNCTION("""COMPUTED_VALUE"""),"Colinas")</f>
        <v>Colinas</v>
      </c>
      <c r="B335" s="210" t="str">
        <f ca="1">IFERROR(__xludf.DUMMYFUNCTION("""COMPUTED_VALUE"""),"Colinas do Tocantins")</f>
        <v>Colinas do Tocantins</v>
      </c>
      <c r="C335" s="211" t="str">
        <f ca="1">IFERROR(__xludf.DUMMYFUNCTION("""COMPUTED_VALUE"""),"ASSOC. APOIO AO INSTITUTO EDUC. GUNNAR VINGREN")</f>
        <v>ASSOC. APOIO AO INSTITUTO EDUC. GUNNAR VINGREN</v>
      </c>
      <c r="D335" s="212" t="str">
        <f ca="1">IFERROR(__xludf.DUMMYFUNCTION("""COMPUTED_VALUE"""),"05537107000197")</f>
        <v>05537107000197</v>
      </c>
      <c r="E335" s="212" t="str">
        <f ca="1">IFERROR(__xludf.DUMMYFUNCTION("""COMPUTED_VALUE"""),"001")</f>
        <v>001</v>
      </c>
      <c r="F335" s="212" t="str">
        <f ca="1">IFERROR(__xludf.DUMMYFUNCTION("""COMPUTED_VALUE"""),"0911")</f>
        <v>0911</v>
      </c>
      <c r="G335" s="213" t="str">
        <f ca="1">IFERROR(__xludf.DUMMYFUNCTION("""COMPUTED_VALUE"""),"172286")</f>
        <v>172286</v>
      </c>
      <c r="H335" s="211" t="str">
        <f ca="1">IFERROR(__xludf.DUMMYFUNCTION("""COMPUTED_VALUE"""),"AEE")</f>
        <v>AEE</v>
      </c>
      <c r="I335" s="214">
        <f ca="1">IFERROR(__xludf.DUMMYFUNCTION("""COMPUTED_VALUE"""),176.799999999999)</f>
        <v>176.79999999999899</v>
      </c>
      <c r="J335" s="209"/>
      <c r="K335" s="209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9"/>
    </row>
    <row r="336" spans="1:26" ht="18.75" customHeight="1">
      <c r="A336" s="210" t="str">
        <f ca="1">IFERROR(__xludf.DUMMYFUNCTION("""COMPUTED_VALUE"""),"Colinas")</f>
        <v>Colinas</v>
      </c>
      <c r="B336" s="210" t="str">
        <f ca="1">IFERROR(__xludf.DUMMYFUNCTION("""COMPUTED_VALUE"""),"Colinas do Tocantins")</f>
        <v>Colinas do Tocantins</v>
      </c>
      <c r="C336" s="211" t="str">
        <f ca="1">IFERROR(__xludf.DUMMYFUNCTION("""COMPUTED_VALUE"""),"ASSOC. APOIO AO INSTITUTO EDUC. GUNNAR VINGREN")</f>
        <v>ASSOC. APOIO AO INSTITUTO EDUC. GUNNAR VINGREN</v>
      </c>
      <c r="D336" s="212" t="str">
        <f ca="1">IFERROR(__xludf.DUMMYFUNCTION("""COMPUTED_VALUE"""),"05537107000197")</f>
        <v>05537107000197</v>
      </c>
      <c r="E336" s="212" t="str">
        <f ca="1">IFERROR(__xludf.DUMMYFUNCTION("""COMPUTED_VALUE"""),"001")</f>
        <v>001</v>
      </c>
      <c r="F336" s="212" t="str">
        <f ca="1">IFERROR(__xludf.DUMMYFUNCTION("""COMPUTED_VALUE"""),"0911")</f>
        <v>0911</v>
      </c>
      <c r="G336" s="213" t="str">
        <f ca="1">IFERROR(__xludf.DUMMYFUNCTION("""COMPUTED_VALUE"""),"172286")</f>
        <v>172286</v>
      </c>
      <c r="H336" s="211" t="str">
        <f ca="1">IFERROR(__xludf.DUMMYFUNCTION("""COMPUTED_VALUE"""),"ENSINO MEDIO PARCIAL")</f>
        <v>ENSINO MEDIO PARCIAL</v>
      </c>
      <c r="I336" s="214">
        <f ca="1">IFERROR(__xludf.DUMMYFUNCTION("""COMPUTED_VALUE"""),210)</f>
        <v>210</v>
      </c>
      <c r="J336" s="209"/>
      <c r="K336" s="209"/>
      <c r="L336" s="209"/>
      <c r="M336" s="209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9"/>
    </row>
    <row r="337" spans="1:26" ht="18.75" customHeight="1">
      <c r="A337" s="210" t="str">
        <f ca="1">IFERROR(__xludf.DUMMYFUNCTION("""COMPUTED_VALUE"""),"Colinas")</f>
        <v>Colinas</v>
      </c>
      <c r="B337" s="210" t="str">
        <f ca="1">IFERROR(__xludf.DUMMYFUNCTION("""COMPUTED_VALUE"""),"Colinas do Tocantins")</f>
        <v>Colinas do Tocantins</v>
      </c>
      <c r="C337" s="211" t="str">
        <f ca="1">IFERROR(__xludf.DUMMYFUNCTION("""COMPUTED_VALUE"""),"AAE ESPECIAL GOTA DE ESPERANÇA")</f>
        <v>AAE ESPECIAL GOTA DE ESPERANÇA</v>
      </c>
      <c r="D337" s="212" t="str">
        <f ca="1">IFERROR(__xludf.DUMMYFUNCTION("""COMPUTED_VALUE"""),"07944635000196")</f>
        <v>07944635000196</v>
      </c>
      <c r="E337" s="212" t="str">
        <f ca="1">IFERROR(__xludf.DUMMYFUNCTION("""COMPUTED_VALUE"""),"001")</f>
        <v>001</v>
      </c>
      <c r="F337" s="212" t="str">
        <f ca="1">IFERROR(__xludf.DUMMYFUNCTION("""COMPUTED_VALUE"""),"0911")</f>
        <v>0911</v>
      </c>
      <c r="G337" s="213" t="str">
        <f ca="1">IFERROR(__xludf.DUMMYFUNCTION("""COMPUTED_VALUE"""),"184861")</f>
        <v>184861</v>
      </c>
      <c r="H337" s="211" t="str">
        <f ca="1">IFERROR(__xludf.DUMMYFUNCTION("""COMPUTED_VALUE"""),"ENS FUND PARCIAL")</f>
        <v>ENS FUND PARCIAL</v>
      </c>
      <c r="I337" s="214">
        <f ca="1">IFERROR(__xludf.DUMMYFUNCTION("""COMPUTED_VALUE"""),300)</f>
        <v>300</v>
      </c>
      <c r="J337" s="209"/>
      <c r="K337" s="209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9"/>
    </row>
    <row r="338" spans="1:26" ht="18.75" customHeight="1">
      <c r="A338" s="210" t="str">
        <f ca="1">IFERROR(__xludf.DUMMYFUNCTION("""COMPUTED_VALUE"""),"Colinas")</f>
        <v>Colinas</v>
      </c>
      <c r="B338" s="210" t="str">
        <f ca="1">IFERROR(__xludf.DUMMYFUNCTION("""COMPUTED_VALUE"""),"Colinas do Tocantins")</f>
        <v>Colinas do Tocantins</v>
      </c>
      <c r="C338" s="211" t="str">
        <f ca="1">IFERROR(__xludf.DUMMYFUNCTION("""COMPUTED_VALUE"""),"AAE ESPECIAL GOTA DE ESPERANÇA")</f>
        <v>AAE ESPECIAL GOTA DE ESPERANÇA</v>
      </c>
      <c r="D338" s="212" t="str">
        <f ca="1">IFERROR(__xludf.DUMMYFUNCTION("""COMPUTED_VALUE"""),"07944635000196")</f>
        <v>07944635000196</v>
      </c>
      <c r="E338" s="212" t="str">
        <f ca="1">IFERROR(__xludf.DUMMYFUNCTION("""COMPUTED_VALUE"""),"001")</f>
        <v>001</v>
      </c>
      <c r="F338" s="212" t="str">
        <f ca="1">IFERROR(__xludf.DUMMYFUNCTION("""COMPUTED_VALUE"""),"0911")</f>
        <v>0911</v>
      </c>
      <c r="G338" s="213" t="str">
        <f ca="1">IFERROR(__xludf.DUMMYFUNCTION("""COMPUTED_VALUE"""),"184861")</f>
        <v>184861</v>
      </c>
      <c r="H338" s="211" t="str">
        <f ca="1">IFERROR(__xludf.DUMMYFUNCTION("""COMPUTED_VALUE"""),"AEE")</f>
        <v>AEE</v>
      </c>
      <c r="I338" s="214">
        <f ca="1">IFERROR(__xludf.DUMMYFUNCTION("""COMPUTED_VALUE"""),394.4)</f>
        <v>394.4</v>
      </c>
      <c r="J338" s="209"/>
      <c r="K338" s="209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9"/>
    </row>
    <row r="339" spans="1:26" ht="18.75" customHeight="1">
      <c r="A339" s="210" t="str">
        <f ca="1">IFERROR(__xludf.DUMMYFUNCTION("""COMPUTED_VALUE"""),"Colinas")</f>
        <v>Colinas</v>
      </c>
      <c r="B339" s="210" t="str">
        <f ca="1">IFERROR(__xludf.DUMMYFUNCTION("""COMPUTED_VALUE"""),"Colinas do Tocantins")</f>
        <v>Colinas do Tocantins</v>
      </c>
      <c r="C339" s="211" t="str">
        <f ca="1">IFERROR(__xludf.DUMMYFUNCTION("""COMPUTED_VALUE"""),"AAE ESPECIAL GOTA DE ESPERANÇA")</f>
        <v>AAE ESPECIAL GOTA DE ESPERANÇA</v>
      </c>
      <c r="D339" s="212" t="str">
        <f ca="1">IFERROR(__xludf.DUMMYFUNCTION("""COMPUTED_VALUE"""),"07944635000196")</f>
        <v>07944635000196</v>
      </c>
      <c r="E339" s="212" t="str">
        <f ca="1">IFERROR(__xludf.DUMMYFUNCTION("""COMPUTED_VALUE"""),"001")</f>
        <v>001</v>
      </c>
      <c r="F339" s="212" t="str">
        <f ca="1">IFERROR(__xludf.DUMMYFUNCTION("""COMPUTED_VALUE"""),"0911")</f>
        <v>0911</v>
      </c>
      <c r="G339" s="213" t="str">
        <f ca="1">IFERROR(__xludf.DUMMYFUNCTION("""COMPUTED_VALUE"""),"184861")</f>
        <v>184861</v>
      </c>
      <c r="H339" s="211" t="str">
        <f ca="1">IFERROR(__xludf.DUMMYFUNCTION("""COMPUTED_VALUE"""),"EJA")</f>
        <v>EJA</v>
      </c>
      <c r="I339" s="214">
        <f ca="1">IFERROR(__xludf.DUMMYFUNCTION("""COMPUTED_VALUE"""),754.4)</f>
        <v>754.4</v>
      </c>
      <c r="J339" s="209"/>
      <c r="K339" s="209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9"/>
    </row>
    <row r="340" spans="1:26" ht="18.75" customHeight="1">
      <c r="A340" s="210" t="str">
        <f ca="1">IFERROR(__xludf.DUMMYFUNCTION("""COMPUTED_VALUE"""),"Colinas")</f>
        <v>Colinas</v>
      </c>
      <c r="B340" s="210" t="str">
        <f ca="1">IFERROR(__xludf.DUMMYFUNCTION("""COMPUTED_VALUE"""),"Itapiratins")</f>
        <v>Itapiratins</v>
      </c>
      <c r="C340" s="211" t="str">
        <f ca="1">IFERROR(__xludf.DUMMYFUNCTION("""COMPUTED_VALUE"""),"A.A. ESCOLA ESTADUAL REZENDE DE ALMEIDA")</f>
        <v>A.A. ESCOLA ESTADUAL REZENDE DE ALMEIDA</v>
      </c>
      <c r="D340" s="212" t="str">
        <f ca="1">IFERROR(__xludf.DUMMYFUNCTION("""COMPUTED_VALUE"""),"01643863000140")</f>
        <v>01643863000140</v>
      </c>
      <c r="E340" s="212" t="str">
        <f ca="1">IFERROR(__xludf.DUMMYFUNCTION("""COMPUTED_VALUE"""),"001")</f>
        <v>001</v>
      </c>
      <c r="F340" s="212" t="str">
        <f ca="1">IFERROR(__xludf.DUMMYFUNCTION("""COMPUTED_VALUE"""),"2094")</f>
        <v>2094</v>
      </c>
      <c r="G340" s="213" t="str">
        <f ca="1">IFERROR(__xludf.DUMMYFUNCTION("""COMPUTED_VALUE"""),"27278")</f>
        <v>27278</v>
      </c>
      <c r="H340" s="211" t="str">
        <f ca="1">IFERROR(__xludf.DUMMYFUNCTION("""COMPUTED_VALUE"""),"ENS FUND PARCIAL")</f>
        <v>ENS FUND PARCIAL</v>
      </c>
      <c r="I340" s="214">
        <f ca="1">IFERROR(__xludf.DUMMYFUNCTION("""COMPUTED_VALUE"""),2750)</f>
        <v>2750</v>
      </c>
      <c r="J340" s="209"/>
      <c r="K340" s="209"/>
      <c r="L340" s="209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9"/>
    </row>
    <row r="341" spans="1:26" ht="18.75" customHeight="1">
      <c r="A341" s="210" t="str">
        <f ca="1">IFERROR(__xludf.DUMMYFUNCTION("""COMPUTED_VALUE"""),"Colinas")</f>
        <v>Colinas</v>
      </c>
      <c r="B341" s="210" t="str">
        <f ca="1">IFERROR(__xludf.DUMMYFUNCTION("""COMPUTED_VALUE"""),"Itapiratins")</f>
        <v>Itapiratins</v>
      </c>
      <c r="C341" s="211" t="str">
        <f ca="1">IFERROR(__xludf.DUMMYFUNCTION("""COMPUTED_VALUE"""),"A.A. ESCOLA ESTADUAL REZENDE DE ALMEIDA")</f>
        <v>A.A. ESCOLA ESTADUAL REZENDE DE ALMEIDA</v>
      </c>
      <c r="D341" s="212" t="str">
        <f ca="1">IFERROR(__xludf.DUMMYFUNCTION("""COMPUTED_VALUE"""),"01643863000140")</f>
        <v>01643863000140</v>
      </c>
      <c r="E341" s="212" t="str">
        <f ca="1">IFERROR(__xludf.DUMMYFUNCTION("""COMPUTED_VALUE"""),"001")</f>
        <v>001</v>
      </c>
      <c r="F341" s="212" t="str">
        <f ca="1">IFERROR(__xludf.DUMMYFUNCTION("""COMPUTED_VALUE"""),"2094")</f>
        <v>2094</v>
      </c>
      <c r="G341" s="213" t="str">
        <f ca="1">IFERROR(__xludf.DUMMYFUNCTION("""COMPUTED_VALUE"""),"27278")</f>
        <v>27278</v>
      </c>
      <c r="H341" s="211" t="str">
        <f ca="1">IFERROR(__xludf.DUMMYFUNCTION("""COMPUTED_VALUE"""),"ENSINO MEDIO PARCIAL")</f>
        <v>ENSINO MEDIO PARCIAL</v>
      </c>
      <c r="I341" s="214">
        <f ca="1">IFERROR(__xludf.DUMMYFUNCTION("""COMPUTED_VALUE"""),2070)</f>
        <v>2070</v>
      </c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9"/>
    </row>
    <row r="342" spans="1:26" ht="18.75" customHeight="1">
      <c r="A342" s="210" t="str">
        <f ca="1">IFERROR(__xludf.DUMMYFUNCTION("""COMPUTED_VALUE"""),"Colinas")</f>
        <v>Colinas</v>
      </c>
      <c r="B342" s="210" t="str">
        <f ca="1">IFERROR(__xludf.DUMMYFUNCTION("""COMPUTED_VALUE"""),"Itapiratins")</f>
        <v>Itapiratins</v>
      </c>
      <c r="C342" s="211" t="str">
        <f ca="1">IFERROR(__xludf.DUMMYFUNCTION("""COMPUTED_VALUE"""),"A.A. ESCOLA ESTADUAL REZENDE DE ALMEIDA")</f>
        <v>A.A. ESCOLA ESTADUAL REZENDE DE ALMEIDA</v>
      </c>
      <c r="D342" s="212" t="str">
        <f ca="1">IFERROR(__xludf.DUMMYFUNCTION("""COMPUTED_VALUE"""),"01643863000140")</f>
        <v>01643863000140</v>
      </c>
      <c r="E342" s="212" t="str">
        <f ca="1">IFERROR(__xludf.DUMMYFUNCTION("""COMPUTED_VALUE"""),"001")</f>
        <v>001</v>
      </c>
      <c r="F342" s="212" t="str">
        <f ca="1">IFERROR(__xludf.DUMMYFUNCTION("""COMPUTED_VALUE"""),"2094")</f>
        <v>2094</v>
      </c>
      <c r="G342" s="213" t="str">
        <f ca="1">IFERROR(__xludf.DUMMYFUNCTION("""COMPUTED_VALUE"""),"27278")</f>
        <v>27278</v>
      </c>
      <c r="H342" s="211" t="str">
        <f ca="1">IFERROR(__xludf.DUMMYFUNCTION("""COMPUTED_VALUE"""),"EJA")</f>
        <v>EJA</v>
      </c>
      <c r="I342" s="214">
        <f ca="1">IFERROR(__xludf.DUMMYFUNCTION("""COMPUTED_VALUE"""),98.3999999999999)</f>
        <v>98.399999999999906</v>
      </c>
      <c r="J342" s="209"/>
      <c r="K342" s="209"/>
      <c r="L342" s="209"/>
      <c r="M342" s="209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9"/>
    </row>
    <row r="343" spans="1:26" ht="18.75" customHeight="1">
      <c r="A343" s="210" t="str">
        <f ca="1">IFERROR(__xludf.DUMMYFUNCTION("""COMPUTED_VALUE"""),"Colinas")</f>
        <v>Colinas</v>
      </c>
      <c r="B343" s="210" t="str">
        <f ca="1">IFERROR(__xludf.DUMMYFUNCTION("""COMPUTED_VALUE"""),"Juarina")</f>
        <v>Juarina</v>
      </c>
      <c r="C343" s="211" t="str">
        <f ca="1">IFERROR(__xludf.DUMMYFUNCTION("""COMPUTED_VALUE"""),"A.A. ESCOLA ESTADUAL ZICO DORNELAS")</f>
        <v>A.A. ESCOLA ESTADUAL ZICO DORNELAS</v>
      </c>
      <c r="D343" s="212" t="str">
        <f ca="1">IFERROR(__xludf.DUMMYFUNCTION("""COMPUTED_VALUE"""),"01136018000188")</f>
        <v>01136018000188</v>
      </c>
      <c r="E343" s="212" t="str">
        <f ca="1">IFERROR(__xludf.DUMMYFUNCTION("""COMPUTED_VALUE"""),"001")</f>
        <v>001</v>
      </c>
      <c r="F343" s="212" t="str">
        <f ca="1">IFERROR(__xludf.DUMMYFUNCTION("""COMPUTED_VALUE"""),"0911")</f>
        <v>0911</v>
      </c>
      <c r="G343" s="213" t="str">
        <f ca="1">IFERROR(__xludf.DUMMYFUNCTION("""COMPUTED_VALUE"""),"369349")</f>
        <v>369349</v>
      </c>
      <c r="H343" s="211" t="str">
        <f ca="1">IFERROR(__xludf.DUMMYFUNCTION("""COMPUTED_VALUE"""),"ENS FUND PARCIAL")</f>
        <v>ENS FUND PARCIAL</v>
      </c>
      <c r="I343" s="214">
        <f ca="1">IFERROR(__xludf.DUMMYFUNCTION("""COMPUTED_VALUE"""),860)</f>
        <v>860</v>
      </c>
      <c r="J343" s="209"/>
      <c r="K343" s="209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9"/>
    </row>
    <row r="344" spans="1:26" ht="18.75" customHeight="1">
      <c r="A344" s="210" t="str">
        <f ca="1">IFERROR(__xludf.DUMMYFUNCTION("""COMPUTED_VALUE"""),"Colinas")</f>
        <v>Colinas</v>
      </c>
      <c r="B344" s="210" t="str">
        <f ca="1">IFERROR(__xludf.DUMMYFUNCTION("""COMPUTED_VALUE"""),"Juarina")</f>
        <v>Juarina</v>
      </c>
      <c r="C344" s="211" t="str">
        <f ca="1">IFERROR(__xludf.DUMMYFUNCTION("""COMPUTED_VALUE"""),"A.A. ESCOLA ESTADUAL ZICO DORNELAS")</f>
        <v>A.A. ESCOLA ESTADUAL ZICO DORNELAS</v>
      </c>
      <c r="D344" s="212" t="str">
        <f ca="1">IFERROR(__xludf.DUMMYFUNCTION("""COMPUTED_VALUE"""),"01136018000188")</f>
        <v>01136018000188</v>
      </c>
      <c r="E344" s="212" t="str">
        <f ca="1">IFERROR(__xludf.DUMMYFUNCTION("""COMPUTED_VALUE"""),"001")</f>
        <v>001</v>
      </c>
      <c r="F344" s="212" t="str">
        <f ca="1">IFERROR(__xludf.DUMMYFUNCTION("""COMPUTED_VALUE"""),"0911")</f>
        <v>0911</v>
      </c>
      <c r="G344" s="213" t="str">
        <f ca="1">IFERROR(__xludf.DUMMYFUNCTION("""COMPUTED_VALUE"""),"369349")</f>
        <v>369349</v>
      </c>
      <c r="H344" s="211" t="str">
        <f ca="1">IFERROR(__xludf.DUMMYFUNCTION("""COMPUTED_VALUE"""),"AEE")</f>
        <v>AEE</v>
      </c>
      <c r="I344" s="214">
        <f ca="1">IFERROR(__xludf.DUMMYFUNCTION("""COMPUTED_VALUE"""),136)</f>
        <v>136</v>
      </c>
      <c r="J344" s="209"/>
      <c r="K344" s="209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9"/>
    </row>
    <row r="345" spans="1:26" ht="18.75" customHeight="1">
      <c r="A345" s="210" t="str">
        <f ca="1">IFERROR(__xludf.DUMMYFUNCTION("""COMPUTED_VALUE"""),"Colinas")</f>
        <v>Colinas</v>
      </c>
      <c r="B345" s="210" t="str">
        <f ca="1">IFERROR(__xludf.DUMMYFUNCTION("""COMPUTED_VALUE"""),"Juarina")</f>
        <v>Juarina</v>
      </c>
      <c r="C345" s="211" t="str">
        <f ca="1">IFERROR(__xludf.DUMMYFUNCTION("""COMPUTED_VALUE"""),"A.A. ESCOLA ESTADUAL ZICO DORNELAS")</f>
        <v>A.A. ESCOLA ESTADUAL ZICO DORNELAS</v>
      </c>
      <c r="D345" s="212" t="str">
        <f ca="1">IFERROR(__xludf.DUMMYFUNCTION("""COMPUTED_VALUE"""),"01136018000188")</f>
        <v>01136018000188</v>
      </c>
      <c r="E345" s="212" t="str">
        <f ca="1">IFERROR(__xludf.DUMMYFUNCTION("""COMPUTED_VALUE"""),"001")</f>
        <v>001</v>
      </c>
      <c r="F345" s="212" t="str">
        <f ca="1">IFERROR(__xludf.DUMMYFUNCTION("""COMPUTED_VALUE"""),"0911")</f>
        <v>0911</v>
      </c>
      <c r="G345" s="213" t="str">
        <f ca="1">IFERROR(__xludf.DUMMYFUNCTION("""COMPUTED_VALUE"""),"369349")</f>
        <v>369349</v>
      </c>
      <c r="H345" s="211" t="str">
        <f ca="1">IFERROR(__xludf.DUMMYFUNCTION("""COMPUTED_VALUE"""),"ENSINO MEDIO PARCIAL")</f>
        <v>ENSINO MEDIO PARCIAL</v>
      </c>
      <c r="I345" s="214">
        <f ca="1">IFERROR(__xludf.DUMMYFUNCTION("""COMPUTED_VALUE"""),980)</f>
        <v>980</v>
      </c>
      <c r="J345" s="209"/>
      <c r="K345" s="209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9"/>
    </row>
    <row r="346" spans="1:26" ht="18.75" customHeight="1">
      <c r="A346" s="210" t="str">
        <f ca="1">IFERROR(__xludf.DUMMYFUNCTION("""COMPUTED_VALUE"""),"Colinas")</f>
        <v>Colinas</v>
      </c>
      <c r="B346" s="210" t="str">
        <f ca="1">IFERROR(__xludf.DUMMYFUNCTION("""COMPUTED_VALUE"""),"Palmeirante")</f>
        <v>Palmeirante</v>
      </c>
      <c r="C346" s="211" t="str">
        <f ca="1">IFERROR(__xludf.DUMMYFUNCTION("""COMPUTED_VALUE"""),"ASS. COM. ESC. EST JOAO AIRES GABRIEL")</f>
        <v>ASS. COM. ESC. EST JOAO AIRES GABRIEL</v>
      </c>
      <c r="D346" s="212" t="str">
        <f ca="1">IFERROR(__xludf.DUMMYFUNCTION("""COMPUTED_VALUE"""),"01465793000187")</f>
        <v>01465793000187</v>
      </c>
      <c r="E346" s="212" t="str">
        <f ca="1">IFERROR(__xludf.DUMMYFUNCTION("""COMPUTED_VALUE"""),"001")</f>
        <v>001</v>
      </c>
      <c r="F346" s="212" t="str">
        <f ca="1">IFERROR(__xludf.DUMMYFUNCTION("""COMPUTED_VALUE"""),"0911")</f>
        <v>0911</v>
      </c>
      <c r="G346" s="213" t="str">
        <f ca="1">IFERROR(__xludf.DUMMYFUNCTION("""COMPUTED_VALUE"""),"342246")</f>
        <v>342246</v>
      </c>
      <c r="H346" s="211" t="str">
        <f ca="1">IFERROR(__xludf.DUMMYFUNCTION("""COMPUTED_VALUE"""),"ENS FUND PARCIAL")</f>
        <v>ENS FUND PARCIAL</v>
      </c>
      <c r="I346" s="214">
        <f ca="1">IFERROR(__xludf.DUMMYFUNCTION("""COMPUTED_VALUE"""),1700)</f>
        <v>1700</v>
      </c>
      <c r="J346" s="209"/>
      <c r="K346" s="209"/>
      <c r="L346" s="209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9"/>
    </row>
    <row r="347" spans="1:26" ht="18.75" customHeight="1">
      <c r="A347" s="210" t="str">
        <f ca="1">IFERROR(__xludf.DUMMYFUNCTION("""COMPUTED_VALUE"""),"Colinas")</f>
        <v>Colinas</v>
      </c>
      <c r="B347" s="210" t="str">
        <f ca="1">IFERROR(__xludf.DUMMYFUNCTION("""COMPUTED_VALUE"""),"Palmeirante")</f>
        <v>Palmeirante</v>
      </c>
      <c r="C347" s="211" t="str">
        <f ca="1">IFERROR(__xludf.DUMMYFUNCTION("""COMPUTED_VALUE"""),"ASS. COM. ESC. EST JOAO AIRES GABRIEL")</f>
        <v>ASS. COM. ESC. EST JOAO AIRES GABRIEL</v>
      </c>
      <c r="D347" s="212" t="str">
        <f ca="1">IFERROR(__xludf.DUMMYFUNCTION("""COMPUTED_VALUE"""),"01465793000187")</f>
        <v>01465793000187</v>
      </c>
      <c r="E347" s="212" t="str">
        <f ca="1">IFERROR(__xludf.DUMMYFUNCTION("""COMPUTED_VALUE"""),"001")</f>
        <v>001</v>
      </c>
      <c r="F347" s="212" t="str">
        <f ca="1">IFERROR(__xludf.DUMMYFUNCTION("""COMPUTED_VALUE"""),"0911")</f>
        <v>0911</v>
      </c>
      <c r="G347" s="213" t="str">
        <f ca="1">IFERROR(__xludf.DUMMYFUNCTION("""COMPUTED_VALUE"""),"342246")</f>
        <v>342246</v>
      </c>
      <c r="H347" s="211" t="str">
        <f ca="1">IFERROR(__xludf.DUMMYFUNCTION("""COMPUTED_VALUE"""),"AEE")</f>
        <v>AEE</v>
      </c>
      <c r="I347" s="214">
        <f ca="1">IFERROR(__xludf.DUMMYFUNCTION("""COMPUTED_VALUE"""),204)</f>
        <v>204</v>
      </c>
      <c r="J347" s="209"/>
      <c r="K347" s="209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9"/>
    </row>
    <row r="348" spans="1:26" ht="18.75" customHeight="1">
      <c r="A348" s="210" t="str">
        <f ca="1">IFERROR(__xludf.DUMMYFUNCTION("""COMPUTED_VALUE"""),"Colinas")</f>
        <v>Colinas</v>
      </c>
      <c r="B348" s="210" t="str">
        <f ca="1">IFERROR(__xludf.DUMMYFUNCTION("""COMPUTED_VALUE"""),"Palmeirante")</f>
        <v>Palmeirante</v>
      </c>
      <c r="C348" s="211" t="str">
        <f ca="1">IFERROR(__xludf.DUMMYFUNCTION("""COMPUTED_VALUE"""),"ASS. COM. ESC. EST JOAO AIRES GABRIEL")</f>
        <v>ASS. COM. ESC. EST JOAO AIRES GABRIEL</v>
      </c>
      <c r="D348" s="212" t="str">
        <f ca="1">IFERROR(__xludf.DUMMYFUNCTION("""COMPUTED_VALUE"""),"01465793000187")</f>
        <v>01465793000187</v>
      </c>
      <c r="E348" s="212" t="str">
        <f ca="1">IFERROR(__xludf.DUMMYFUNCTION("""COMPUTED_VALUE"""),"001")</f>
        <v>001</v>
      </c>
      <c r="F348" s="212" t="str">
        <f ca="1">IFERROR(__xludf.DUMMYFUNCTION("""COMPUTED_VALUE"""),"0911")</f>
        <v>0911</v>
      </c>
      <c r="G348" s="213" t="str">
        <f ca="1">IFERROR(__xludf.DUMMYFUNCTION("""COMPUTED_VALUE"""),"342246")</f>
        <v>342246</v>
      </c>
      <c r="H348" s="211" t="str">
        <f ca="1">IFERROR(__xludf.DUMMYFUNCTION("""COMPUTED_VALUE"""),"ENSINO MEDIO PARCIAL")</f>
        <v>ENSINO MEDIO PARCIAL</v>
      </c>
      <c r="I348" s="214">
        <f ca="1">IFERROR(__xludf.DUMMYFUNCTION("""COMPUTED_VALUE"""),1930)</f>
        <v>1930</v>
      </c>
      <c r="J348" s="209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9"/>
    </row>
    <row r="349" spans="1:26" ht="18.75" customHeight="1">
      <c r="A349" s="210" t="str">
        <f ca="1">IFERROR(__xludf.DUMMYFUNCTION("""COMPUTED_VALUE"""),"Colinas")</f>
        <v>Colinas</v>
      </c>
      <c r="B349" s="210" t="str">
        <f ca="1">IFERROR(__xludf.DUMMYFUNCTION("""COMPUTED_VALUE"""),"Pau D'arco")</f>
        <v>Pau D'arco</v>
      </c>
      <c r="C349" s="211" t="str">
        <f ca="1">IFERROR(__xludf.DUMMYFUNCTION("""COMPUTED_VALUE"""),"A.COM. ESCOLA EST. ULISSES GUIMARAES")</f>
        <v>A.COM. ESCOLA EST. ULISSES GUIMARAES</v>
      </c>
      <c r="D349" s="212" t="str">
        <f ca="1">IFERROR(__xludf.DUMMYFUNCTION("""COMPUTED_VALUE"""),"01181178000149")</f>
        <v>01181178000149</v>
      </c>
      <c r="E349" s="212" t="str">
        <f ca="1">IFERROR(__xludf.DUMMYFUNCTION("""COMPUTED_VALUE"""),"001")</f>
        <v>001</v>
      </c>
      <c r="F349" s="212" t="str">
        <f ca="1">IFERROR(__xludf.DUMMYFUNCTION("""COMPUTED_VALUE"""),"0911")</f>
        <v>0911</v>
      </c>
      <c r="G349" s="213" t="str">
        <f ca="1">IFERROR(__xludf.DUMMYFUNCTION("""COMPUTED_VALUE"""),"23485")</f>
        <v>23485</v>
      </c>
      <c r="H349" s="211" t="str">
        <f ca="1">IFERROR(__xludf.DUMMYFUNCTION("""COMPUTED_VALUE"""),"ENS FUND PARCIAL")</f>
        <v>ENS FUND PARCIAL</v>
      </c>
      <c r="I349" s="214">
        <f ca="1">IFERROR(__xludf.DUMMYFUNCTION("""COMPUTED_VALUE"""),2790)</f>
        <v>2790</v>
      </c>
      <c r="J349" s="209"/>
      <c r="K349" s="209"/>
      <c r="L349" s="209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9"/>
    </row>
    <row r="350" spans="1:26" ht="18.75" customHeight="1">
      <c r="A350" s="210" t="str">
        <f ca="1">IFERROR(__xludf.DUMMYFUNCTION("""COMPUTED_VALUE"""),"Colinas")</f>
        <v>Colinas</v>
      </c>
      <c r="B350" s="210" t="str">
        <f ca="1">IFERROR(__xludf.DUMMYFUNCTION("""COMPUTED_VALUE"""),"Pau D'arco")</f>
        <v>Pau D'arco</v>
      </c>
      <c r="C350" s="211" t="str">
        <f ca="1">IFERROR(__xludf.DUMMYFUNCTION("""COMPUTED_VALUE"""),"A.COM. ESCOLA EST. ULISSES GUIMARAES")</f>
        <v>A.COM. ESCOLA EST. ULISSES GUIMARAES</v>
      </c>
      <c r="D350" s="212" t="str">
        <f ca="1">IFERROR(__xludf.DUMMYFUNCTION("""COMPUTED_VALUE"""),"01181178000149")</f>
        <v>01181178000149</v>
      </c>
      <c r="E350" s="212" t="str">
        <f ca="1">IFERROR(__xludf.DUMMYFUNCTION("""COMPUTED_VALUE"""),"001")</f>
        <v>001</v>
      </c>
      <c r="F350" s="212" t="str">
        <f ca="1">IFERROR(__xludf.DUMMYFUNCTION("""COMPUTED_VALUE"""),"0911")</f>
        <v>0911</v>
      </c>
      <c r="G350" s="213" t="str">
        <f ca="1">IFERROR(__xludf.DUMMYFUNCTION("""COMPUTED_VALUE"""),"23485")</f>
        <v>23485</v>
      </c>
      <c r="H350" s="211" t="str">
        <f ca="1">IFERROR(__xludf.DUMMYFUNCTION("""COMPUTED_VALUE"""),"AEE")</f>
        <v>AEE</v>
      </c>
      <c r="I350" s="214">
        <f ca="1">IFERROR(__xludf.DUMMYFUNCTION("""COMPUTED_VALUE"""),340)</f>
        <v>340</v>
      </c>
      <c r="J350" s="209"/>
      <c r="K350" s="209"/>
      <c r="L350" s="209"/>
      <c r="M350" s="209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9"/>
    </row>
    <row r="351" spans="1:26" ht="18.75" customHeight="1">
      <c r="A351" s="210" t="str">
        <f ca="1">IFERROR(__xludf.DUMMYFUNCTION("""COMPUTED_VALUE"""),"Colinas")</f>
        <v>Colinas</v>
      </c>
      <c r="B351" s="210" t="str">
        <f ca="1">IFERROR(__xludf.DUMMYFUNCTION("""COMPUTED_VALUE"""),"Pau D'arco")</f>
        <v>Pau D'arco</v>
      </c>
      <c r="C351" s="211" t="str">
        <f ca="1">IFERROR(__xludf.DUMMYFUNCTION("""COMPUTED_VALUE"""),"A.COM. ESCOLA EST. ULISSES GUIMARAES")</f>
        <v>A.COM. ESCOLA EST. ULISSES GUIMARAES</v>
      </c>
      <c r="D351" s="212" t="str">
        <f ca="1">IFERROR(__xludf.DUMMYFUNCTION("""COMPUTED_VALUE"""),"01181178000149")</f>
        <v>01181178000149</v>
      </c>
      <c r="E351" s="212" t="str">
        <f ca="1">IFERROR(__xludf.DUMMYFUNCTION("""COMPUTED_VALUE"""),"001")</f>
        <v>001</v>
      </c>
      <c r="F351" s="212" t="str">
        <f ca="1">IFERROR(__xludf.DUMMYFUNCTION("""COMPUTED_VALUE"""),"0911")</f>
        <v>0911</v>
      </c>
      <c r="G351" s="213" t="str">
        <f ca="1">IFERROR(__xludf.DUMMYFUNCTION("""COMPUTED_VALUE"""),"23485")</f>
        <v>23485</v>
      </c>
      <c r="H351" s="211" t="str">
        <f ca="1">IFERROR(__xludf.DUMMYFUNCTION("""COMPUTED_VALUE"""),"ENSINO MEDIO PARCIAL")</f>
        <v>ENSINO MEDIO PARCIAL</v>
      </c>
      <c r="I351" s="214">
        <f ca="1">IFERROR(__xludf.DUMMYFUNCTION("""COMPUTED_VALUE"""),1420)</f>
        <v>1420</v>
      </c>
      <c r="J351" s="209"/>
      <c r="K351" s="209"/>
      <c r="L351" s="209"/>
      <c r="M351" s="209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9"/>
    </row>
    <row r="352" spans="1:26" ht="18.75" customHeight="1">
      <c r="A352" s="210" t="str">
        <f ca="1">IFERROR(__xludf.DUMMYFUNCTION("""COMPUTED_VALUE"""),"Colinas")</f>
        <v>Colinas</v>
      </c>
      <c r="B352" s="210" t="str">
        <f ca="1">IFERROR(__xludf.DUMMYFUNCTION("""COMPUTED_VALUE"""),"Tupiratins")</f>
        <v>Tupiratins</v>
      </c>
      <c r="C352" s="211" t="str">
        <f ca="1">IFERROR(__xludf.DUMMYFUNCTION("""COMPUTED_VALUE"""),"A. DE AP. DA ESC. EST. SAO TOMAS DE AQUINO")</f>
        <v>A. DE AP. DA ESC. EST. SAO TOMAS DE AQUINO</v>
      </c>
      <c r="D352" s="212" t="str">
        <f ca="1">IFERROR(__xludf.DUMMYFUNCTION("""COMPUTED_VALUE"""),"01334791000159")</f>
        <v>01334791000159</v>
      </c>
      <c r="E352" s="212" t="str">
        <f ca="1">IFERROR(__xludf.DUMMYFUNCTION("""COMPUTED_VALUE"""),"001")</f>
        <v>001</v>
      </c>
      <c r="F352" s="212" t="str">
        <f ca="1">IFERROR(__xludf.DUMMYFUNCTION("""COMPUTED_VALUE"""),"0911")</f>
        <v>0911</v>
      </c>
      <c r="G352" s="213" t="str">
        <f ca="1">IFERROR(__xludf.DUMMYFUNCTION("""COMPUTED_VALUE"""),"370045")</f>
        <v>370045</v>
      </c>
      <c r="H352" s="211" t="str">
        <f ca="1">IFERROR(__xludf.DUMMYFUNCTION("""COMPUTED_VALUE"""),"ENS FUND PARCIAL")</f>
        <v>ENS FUND PARCIAL</v>
      </c>
      <c r="I352" s="214">
        <f ca="1">IFERROR(__xludf.DUMMYFUNCTION("""COMPUTED_VALUE"""),1430)</f>
        <v>1430</v>
      </c>
      <c r="J352" s="209"/>
      <c r="K352" s="209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9"/>
    </row>
    <row r="353" spans="1:26" ht="18.75" customHeight="1">
      <c r="A353" s="210" t="str">
        <f ca="1">IFERROR(__xludf.DUMMYFUNCTION("""COMPUTED_VALUE"""),"Colinas")</f>
        <v>Colinas</v>
      </c>
      <c r="B353" s="210" t="str">
        <f ca="1">IFERROR(__xludf.DUMMYFUNCTION("""COMPUTED_VALUE"""),"Tupiratins")</f>
        <v>Tupiratins</v>
      </c>
      <c r="C353" s="211" t="str">
        <f ca="1">IFERROR(__xludf.DUMMYFUNCTION("""COMPUTED_VALUE"""),"A. DE AP. DA ESC. EST. SAO TOMAS DE AQUINO")</f>
        <v>A. DE AP. DA ESC. EST. SAO TOMAS DE AQUINO</v>
      </c>
      <c r="D353" s="212" t="str">
        <f ca="1">IFERROR(__xludf.DUMMYFUNCTION("""COMPUTED_VALUE"""),"01334791000159")</f>
        <v>01334791000159</v>
      </c>
      <c r="E353" s="212" t="str">
        <f ca="1">IFERROR(__xludf.DUMMYFUNCTION("""COMPUTED_VALUE"""),"001")</f>
        <v>001</v>
      </c>
      <c r="F353" s="212" t="str">
        <f ca="1">IFERROR(__xludf.DUMMYFUNCTION("""COMPUTED_VALUE"""),"0911")</f>
        <v>0911</v>
      </c>
      <c r="G353" s="213" t="str">
        <f ca="1">IFERROR(__xludf.DUMMYFUNCTION("""COMPUTED_VALUE"""),"370045")</f>
        <v>370045</v>
      </c>
      <c r="H353" s="211" t="str">
        <f ca="1">IFERROR(__xludf.DUMMYFUNCTION("""COMPUTED_VALUE"""),"ENSINO MEDIO PARCIAL")</f>
        <v>ENSINO MEDIO PARCIAL</v>
      </c>
      <c r="I353" s="214">
        <f ca="1">IFERROR(__xludf.DUMMYFUNCTION("""COMPUTED_VALUE"""),740)</f>
        <v>740</v>
      </c>
      <c r="J353" s="209"/>
      <c r="K353" s="209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9"/>
    </row>
    <row r="354" spans="1:26" ht="18.75" customHeight="1">
      <c r="A354" s="210" t="str">
        <f ca="1">IFERROR(__xludf.DUMMYFUNCTION("""COMPUTED_VALUE"""),"Dianópolis")</f>
        <v>Dianópolis</v>
      </c>
      <c r="B354" s="210" t="str">
        <f ca="1">IFERROR(__xludf.DUMMYFUNCTION("""COMPUTED_VALUE"""),"Almas")</f>
        <v>Almas</v>
      </c>
      <c r="C354" s="211" t="str">
        <f ca="1">IFERROR(__xludf.DUMMYFUNCTION("""COMPUTED_VALUE"""),"A.A.  ESC. ESTADUAL DEOCLIDES MUNIZ")</f>
        <v>A.A.  ESC. ESTADUAL DEOCLIDES MUNIZ</v>
      </c>
      <c r="D354" s="212" t="str">
        <f ca="1">IFERROR(__xludf.DUMMYFUNCTION("""COMPUTED_VALUE"""),"01143807000146")</f>
        <v>01143807000146</v>
      </c>
      <c r="E354" s="212" t="str">
        <f ca="1">IFERROR(__xludf.DUMMYFUNCTION("""COMPUTED_VALUE"""),"001")</f>
        <v>001</v>
      </c>
      <c r="F354" s="212" t="str">
        <f ca="1">IFERROR(__xludf.DUMMYFUNCTION("""COMPUTED_VALUE"""),"1307")</f>
        <v>1307</v>
      </c>
      <c r="G354" s="213" t="str">
        <f ca="1">IFERROR(__xludf.DUMMYFUNCTION("""COMPUTED_VALUE"""),"107786")</f>
        <v>107786</v>
      </c>
      <c r="H354" s="211" t="str">
        <f ca="1">IFERROR(__xludf.DUMMYFUNCTION("""COMPUTED_VALUE"""),"ENS FUND INTEGRAL")</f>
        <v>ENS FUND INTEGRAL</v>
      </c>
      <c r="I354" s="214">
        <f ca="1">IFERROR(__xludf.DUMMYFUNCTION("""COMPUTED_VALUE"""),4685.4)</f>
        <v>4685.3999999999996</v>
      </c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9"/>
    </row>
    <row r="355" spans="1:26" ht="18.75" customHeight="1">
      <c r="A355" s="210" t="str">
        <f ca="1">IFERROR(__xludf.DUMMYFUNCTION("""COMPUTED_VALUE"""),"Dianópolis")</f>
        <v>Dianópolis</v>
      </c>
      <c r="B355" s="210" t="str">
        <f ca="1">IFERROR(__xludf.DUMMYFUNCTION("""COMPUTED_VALUE"""),"Almas")</f>
        <v>Almas</v>
      </c>
      <c r="C355" s="211" t="str">
        <f ca="1">IFERROR(__xludf.DUMMYFUNCTION("""COMPUTED_VALUE"""),"A.A.  ESC. ESTADUAL DEOCLIDES MUNIZ")</f>
        <v>A.A.  ESC. ESTADUAL DEOCLIDES MUNIZ</v>
      </c>
      <c r="D355" s="212" t="str">
        <f ca="1">IFERROR(__xludf.DUMMYFUNCTION("""COMPUTED_VALUE"""),"01143807000146")</f>
        <v>01143807000146</v>
      </c>
      <c r="E355" s="212" t="str">
        <f ca="1">IFERROR(__xludf.DUMMYFUNCTION("""COMPUTED_VALUE"""),"001")</f>
        <v>001</v>
      </c>
      <c r="F355" s="212" t="str">
        <f ca="1">IFERROR(__xludf.DUMMYFUNCTION("""COMPUTED_VALUE"""),"1307")</f>
        <v>1307</v>
      </c>
      <c r="G355" s="213" t="str">
        <f ca="1">IFERROR(__xludf.DUMMYFUNCTION("""COMPUTED_VALUE"""),"107786")</f>
        <v>107786</v>
      </c>
      <c r="H355" s="211" t="str">
        <f ca="1">IFERROR(__xludf.DUMMYFUNCTION("""COMPUTED_VALUE"""),"AEE")</f>
        <v>AEE</v>
      </c>
      <c r="I355" s="214">
        <f ca="1">IFERROR(__xludf.DUMMYFUNCTION("""COMPUTED_VALUE"""),176.799999999999)</f>
        <v>176.79999999999899</v>
      </c>
      <c r="J355" s="209"/>
      <c r="K355" s="209"/>
      <c r="L355" s="209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9"/>
    </row>
    <row r="356" spans="1:26" ht="18.75" customHeight="1">
      <c r="A356" s="210" t="str">
        <f ca="1">IFERROR(__xludf.DUMMYFUNCTION("""COMPUTED_VALUE"""),"Dianópolis")</f>
        <v>Dianópolis</v>
      </c>
      <c r="B356" s="210" t="str">
        <f ca="1">IFERROR(__xludf.DUMMYFUNCTION("""COMPUTED_VALUE"""),"Almas")</f>
        <v>Almas</v>
      </c>
      <c r="C356" s="211" t="str">
        <f ca="1">IFERROR(__xludf.DUMMYFUNCTION("""COMPUTED_VALUE"""),"A.A.  ESC. ESTADUAL DEOCLIDES MUNIZ")</f>
        <v>A.A.  ESC. ESTADUAL DEOCLIDES MUNIZ</v>
      </c>
      <c r="D356" s="212" t="str">
        <f ca="1">IFERROR(__xludf.DUMMYFUNCTION("""COMPUTED_VALUE"""),"01143807000146")</f>
        <v>01143807000146</v>
      </c>
      <c r="E356" s="212" t="str">
        <f ca="1">IFERROR(__xludf.DUMMYFUNCTION("""COMPUTED_VALUE"""),"001")</f>
        <v>001</v>
      </c>
      <c r="F356" s="212" t="str">
        <f ca="1">IFERROR(__xludf.DUMMYFUNCTION("""COMPUTED_VALUE"""),"1307")</f>
        <v>1307</v>
      </c>
      <c r="G356" s="213" t="str">
        <f ca="1">IFERROR(__xludf.DUMMYFUNCTION("""COMPUTED_VALUE"""),"107786")</f>
        <v>107786</v>
      </c>
      <c r="H356" s="211" t="str">
        <f ca="1">IFERROR(__xludf.DUMMYFUNCTION("""COMPUTED_VALUE"""),"JOVEM AÇÃO")</f>
        <v>JOVEM AÇÃO</v>
      </c>
      <c r="I356" s="214">
        <f ca="1">IFERROR(__xludf.DUMMYFUNCTION("""COMPUTED_VALUE"""),2048)</f>
        <v>2048</v>
      </c>
      <c r="J356" s="209"/>
      <c r="K356" s="209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9"/>
    </row>
    <row r="357" spans="1:26" ht="18.75" customHeight="1">
      <c r="A357" s="210" t="str">
        <f ca="1">IFERROR(__xludf.DUMMYFUNCTION("""COMPUTED_VALUE"""),"Dianópolis")</f>
        <v>Dianópolis</v>
      </c>
      <c r="B357" s="210" t="str">
        <f ca="1">IFERROR(__xludf.DUMMYFUNCTION("""COMPUTED_VALUE"""),"Almas")</f>
        <v>Almas</v>
      </c>
      <c r="C357" s="211" t="str">
        <f ca="1">IFERROR(__xludf.DUMMYFUNCTION("""COMPUTED_VALUE"""),"A.A. COL. E.II GRAU DR.ABNER A.PACINI")</f>
        <v>A.A. COL. E.II GRAU DR.ABNER A.PACINI</v>
      </c>
      <c r="D357" s="212" t="str">
        <f ca="1">IFERROR(__xludf.DUMMYFUNCTION("""COMPUTED_VALUE"""),"01197160000135")</f>
        <v>01197160000135</v>
      </c>
      <c r="E357" s="212" t="str">
        <f ca="1">IFERROR(__xludf.DUMMYFUNCTION("""COMPUTED_VALUE"""),"001")</f>
        <v>001</v>
      </c>
      <c r="F357" s="212" t="str">
        <f ca="1">IFERROR(__xludf.DUMMYFUNCTION("""COMPUTED_VALUE"""),"1307")</f>
        <v>1307</v>
      </c>
      <c r="G357" s="213" t="str">
        <f ca="1">IFERROR(__xludf.DUMMYFUNCTION("""COMPUTED_VALUE"""),"0107700")</f>
        <v>0107700</v>
      </c>
      <c r="H357" s="211" t="str">
        <f ca="1">IFERROR(__xludf.DUMMYFUNCTION("""COMPUTED_VALUE"""),"ENS FUND PARCIAL")</f>
        <v>ENS FUND PARCIAL</v>
      </c>
      <c r="I357" s="214">
        <f ca="1">IFERROR(__xludf.DUMMYFUNCTION("""COMPUTED_VALUE"""),3870)</f>
        <v>3870</v>
      </c>
      <c r="J357" s="209"/>
      <c r="K357" s="209"/>
      <c r="L357" s="209"/>
      <c r="M357" s="209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9"/>
    </row>
    <row r="358" spans="1:26" ht="18.75" customHeight="1">
      <c r="A358" s="210" t="str">
        <f ca="1">IFERROR(__xludf.DUMMYFUNCTION("""COMPUTED_VALUE"""),"Dianópolis")</f>
        <v>Dianópolis</v>
      </c>
      <c r="B358" s="210" t="str">
        <f ca="1">IFERROR(__xludf.DUMMYFUNCTION("""COMPUTED_VALUE"""),"Almas")</f>
        <v>Almas</v>
      </c>
      <c r="C358" s="211" t="str">
        <f ca="1">IFERROR(__xludf.DUMMYFUNCTION("""COMPUTED_VALUE"""),"A.A. COL. E.II GRAU DR.ABNER A.PACINI")</f>
        <v>A.A. COL. E.II GRAU DR.ABNER A.PACINI</v>
      </c>
      <c r="D358" s="212" t="str">
        <f ca="1">IFERROR(__xludf.DUMMYFUNCTION("""COMPUTED_VALUE"""),"01197160000135")</f>
        <v>01197160000135</v>
      </c>
      <c r="E358" s="212" t="str">
        <f ca="1">IFERROR(__xludf.DUMMYFUNCTION("""COMPUTED_VALUE"""),"001")</f>
        <v>001</v>
      </c>
      <c r="F358" s="212" t="str">
        <f ca="1">IFERROR(__xludf.DUMMYFUNCTION("""COMPUTED_VALUE"""),"1307")</f>
        <v>1307</v>
      </c>
      <c r="G358" s="213" t="str">
        <f ca="1">IFERROR(__xludf.DUMMYFUNCTION("""COMPUTED_VALUE"""),"0107700")</f>
        <v>0107700</v>
      </c>
      <c r="H358" s="211" t="str">
        <f ca="1">IFERROR(__xludf.DUMMYFUNCTION("""COMPUTED_VALUE"""),"AEE")</f>
        <v>AEE</v>
      </c>
      <c r="I358" s="214">
        <f ca="1">IFERROR(__xludf.DUMMYFUNCTION("""COMPUTED_VALUE"""),204)</f>
        <v>204</v>
      </c>
      <c r="J358" s="209"/>
      <c r="K358" s="209"/>
      <c r="L358" s="209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9"/>
    </row>
    <row r="359" spans="1:26" ht="18.75" customHeight="1">
      <c r="A359" s="210" t="str">
        <f ca="1">IFERROR(__xludf.DUMMYFUNCTION("""COMPUTED_VALUE"""),"Dianópolis")</f>
        <v>Dianópolis</v>
      </c>
      <c r="B359" s="210" t="str">
        <f ca="1">IFERROR(__xludf.DUMMYFUNCTION("""COMPUTED_VALUE"""),"Almas")</f>
        <v>Almas</v>
      </c>
      <c r="C359" s="211" t="str">
        <f ca="1">IFERROR(__xludf.DUMMYFUNCTION("""COMPUTED_VALUE"""),"A.A. COL. E.II GRAU DR.ABNER A.PACINI")</f>
        <v>A.A. COL. E.II GRAU DR.ABNER A.PACINI</v>
      </c>
      <c r="D359" s="212" t="str">
        <f ca="1">IFERROR(__xludf.DUMMYFUNCTION("""COMPUTED_VALUE"""),"01197160000135")</f>
        <v>01197160000135</v>
      </c>
      <c r="E359" s="212" t="str">
        <f ca="1">IFERROR(__xludf.DUMMYFUNCTION("""COMPUTED_VALUE"""),"001")</f>
        <v>001</v>
      </c>
      <c r="F359" s="212" t="str">
        <f ca="1">IFERROR(__xludf.DUMMYFUNCTION("""COMPUTED_VALUE"""),"1307")</f>
        <v>1307</v>
      </c>
      <c r="G359" s="213" t="str">
        <f ca="1">IFERROR(__xludf.DUMMYFUNCTION("""COMPUTED_VALUE"""),"0107700")</f>
        <v>0107700</v>
      </c>
      <c r="H359" s="211" t="str">
        <f ca="1">IFERROR(__xludf.DUMMYFUNCTION("""COMPUTED_VALUE"""),"ENSINO MEDIO PARCIAL")</f>
        <v>ENSINO MEDIO PARCIAL</v>
      </c>
      <c r="I359" s="214">
        <f ca="1">IFERROR(__xludf.DUMMYFUNCTION("""COMPUTED_VALUE"""),1860)</f>
        <v>1860</v>
      </c>
      <c r="J359" s="209"/>
      <c r="K359" s="209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</row>
    <row r="360" spans="1:26" ht="18.75" customHeight="1">
      <c r="A360" s="210" t="str">
        <f ca="1">IFERROR(__xludf.DUMMYFUNCTION("""COMPUTED_VALUE"""),"Dianópolis")</f>
        <v>Dianópolis</v>
      </c>
      <c r="B360" s="210" t="str">
        <f ca="1">IFERROR(__xludf.DUMMYFUNCTION("""COMPUTED_VALUE"""),"Almas")</f>
        <v>Almas</v>
      </c>
      <c r="C360" s="211" t="str">
        <f ca="1">IFERROR(__xludf.DUMMYFUNCTION("""COMPUTED_VALUE"""),"ASSOC.MES.P.EDUC.FUNC.DO COL.AGROP.ALMAS")</f>
        <v>ASSOC.MES.P.EDUC.FUNC.DO COL.AGROP.ALMAS</v>
      </c>
      <c r="D360" s="212" t="str">
        <f ca="1">IFERROR(__xludf.DUMMYFUNCTION("""COMPUTED_VALUE"""),"03751406000102")</f>
        <v>03751406000102</v>
      </c>
      <c r="E360" s="212" t="str">
        <f ca="1">IFERROR(__xludf.DUMMYFUNCTION("""COMPUTED_VALUE"""),"001")</f>
        <v>001</v>
      </c>
      <c r="F360" s="212" t="str">
        <f ca="1">IFERROR(__xludf.DUMMYFUNCTION("""COMPUTED_VALUE"""),"1307")</f>
        <v>1307</v>
      </c>
      <c r="G360" s="213" t="str">
        <f ca="1">IFERROR(__xludf.DUMMYFUNCTION("""COMPUTED_VALUE"""),"115312")</f>
        <v>115312</v>
      </c>
      <c r="H360" s="211" t="str">
        <f ca="1">IFERROR(__xludf.DUMMYFUNCTION("""COMPUTED_VALUE"""),"ENS FUND INTEGRAL")</f>
        <v>ENS FUND INTEGRAL</v>
      </c>
      <c r="I360" s="214">
        <f ca="1">IFERROR(__xludf.DUMMYFUNCTION("""COMPUTED_VALUE"""),2137.2)</f>
        <v>2137.1999999999998</v>
      </c>
      <c r="J360" s="209"/>
      <c r="K360" s="209"/>
      <c r="L360" s="209"/>
      <c r="M360" s="209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9"/>
    </row>
    <row r="361" spans="1:26" ht="18.75" customHeight="1">
      <c r="A361" s="210" t="str">
        <f ca="1">IFERROR(__xludf.DUMMYFUNCTION("""COMPUTED_VALUE"""),"Dianópolis")</f>
        <v>Dianópolis</v>
      </c>
      <c r="B361" s="210" t="str">
        <f ca="1">IFERROR(__xludf.DUMMYFUNCTION("""COMPUTED_VALUE"""),"Almas")</f>
        <v>Almas</v>
      </c>
      <c r="C361" s="211" t="str">
        <f ca="1">IFERROR(__xludf.DUMMYFUNCTION("""COMPUTED_VALUE"""),"ASSOC.MES.P.EDUC.FUNC.DO COL.AGROP.ALMAS")</f>
        <v>ASSOC.MES.P.EDUC.FUNC.DO COL.AGROP.ALMAS</v>
      </c>
      <c r="D361" s="212" t="str">
        <f ca="1">IFERROR(__xludf.DUMMYFUNCTION("""COMPUTED_VALUE"""),"03751406000102")</f>
        <v>03751406000102</v>
      </c>
      <c r="E361" s="212" t="str">
        <f ca="1">IFERROR(__xludf.DUMMYFUNCTION("""COMPUTED_VALUE"""),"001")</f>
        <v>001</v>
      </c>
      <c r="F361" s="212" t="str">
        <f ca="1">IFERROR(__xludf.DUMMYFUNCTION("""COMPUTED_VALUE"""),"1307")</f>
        <v>1307</v>
      </c>
      <c r="G361" s="213" t="str">
        <f ca="1">IFERROR(__xludf.DUMMYFUNCTION("""COMPUTED_VALUE"""),"115312")</f>
        <v>115312</v>
      </c>
      <c r="H361" s="211" t="str">
        <f ca="1">IFERROR(__xludf.DUMMYFUNCTION("""COMPUTED_VALUE"""),"ENSINO MEDIO INTEGRAL")</f>
        <v>ENSINO MEDIO INTEGRAL</v>
      </c>
      <c r="I361" s="214">
        <f ca="1">IFERROR(__xludf.DUMMYFUNCTION("""COMPUTED_VALUE"""),8274.8)</f>
        <v>8274.7999999999993</v>
      </c>
      <c r="J361" s="209"/>
      <c r="K361" s="209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9"/>
    </row>
    <row r="362" spans="1:26" ht="18.75" customHeight="1">
      <c r="A362" s="210" t="str">
        <f ca="1">IFERROR(__xludf.DUMMYFUNCTION("""COMPUTED_VALUE"""),"Dianópolis")</f>
        <v>Dianópolis</v>
      </c>
      <c r="B362" s="210" t="str">
        <f ca="1">IFERROR(__xludf.DUMMYFUNCTION("""COMPUTED_VALUE"""),"Conceicao do Tocantins")</f>
        <v>Conceicao do Tocantins</v>
      </c>
      <c r="C362" s="211" t="str">
        <f ca="1">IFERROR(__xludf.DUMMYFUNCTION("""COMPUTED_VALUE"""),"A.A. E. CEL JOSE FRANCISCO DE AZEVEDO")</f>
        <v>A.A. E. CEL JOSE FRANCISCO DE AZEVEDO</v>
      </c>
      <c r="D362" s="212" t="str">
        <f ca="1">IFERROR(__xludf.DUMMYFUNCTION("""COMPUTED_VALUE"""),"01136040000128")</f>
        <v>01136040000128</v>
      </c>
      <c r="E362" s="212" t="str">
        <f ca="1">IFERROR(__xludf.DUMMYFUNCTION("""COMPUTED_VALUE"""),"001")</f>
        <v>001</v>
      </c>
      <c r="F362" s="212" t="str">
        <f ca="1">IFERROR(__xludf.DUMMYFUNCTION("""COMPUTED_VALUE"""),"1307")</f>
        <v>1307</v>
      </c>
      <c r="G362" s="213" t="str">
        <f ca="1">IFERROR(__xludf.DUMMYFUNCTION("""COMPUTED_VALUE"""),"106208")</f>
        <v>106208</v>
      </c>
      <c r="H362" s="211" t="str">
        <f ca="1">IFERROR(__xludf.DUMMYFUNCTION("""COMPUTED_VALUE"""),"ENS FUND PARCIAL")</f>
        <v>ENS FUND PARCIAL</v>
      </c>
      <c r="I362" s="214">
        <f ca="1">IFERROR(__xludf.DUMMYFUNCTION("""COMPUTED_VALUE"""),2490)</f>
        <v>2490</v>
      </c>
      <c r="J362" s="209"/>
      <c r="K362" s="209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9"/>
    </row>
    <row r="363" spans="1:26" ht="18.75" customHeight="1">
      <c r="A363" s="210" t="str">
        <f ca="1">IFERROR(__xludf.DUMMYFUNCTION("""COMPUTED_VALUE"""),"Dianópolis")</f>
        <v>Dianópolis</v>
      </c>
      <c r="B363" s="210" t="str">
        <f ca="1">IFERROR(__xludf.DUMMYFUNCTION("""COMPUTED_VALUE"""),"Conceicao do Tocantins")</f>
        <v>Conceicao do Tocantins</v>
      </c>
      <c r="C363" s="211" t="str">
        <f ca="1">IFERROR(__xludf.DUMMYFUNCTION("""COMPUTED_VALUE"""),"A.A. E. CEL JOSE FRANCISCO DE AZEVEDO")</f>
        <v>A.A. E. CEL JOSE FRANCISCO DE AZEVEDO</v>
      </c>
      <c r="D363" s="212" t="str">
        <f ca="1">IFERROR(__xludf.DUMMYFUNCTION("""COMPUTED_VALUE"""),"01136040000128")</f>
        <v>01136040000128</v>
      </c>
      <c r="E363" s="212" t="str">
        <f ca="1">IFERROR(__xludf.DUMMYFUNCTION("""COMPUTED_VALUE"""),"001")</f>
        <v>001</v>
      </c>
      <c r="F363" s="212" t="str">
        <f ca="1">IFERROR(__xludf.DUMMYFUNCTION("""COMPUTED_VALUE"""),"1307")</f>
        <v>1307</v>
      </c>
      <c r="G363" s="213" t="str">
        <f ca="1">IFERROR(__xludf.DUMMYFUNCTION("""COMPUTED_VALUE"""),"106208")</f>
        <v>106208</v>
      </c>
      <c r="H363" s="211" t="str">
        <f ca="1">IFERROR(__xludf.DUMMYFUNCTION("""COMPUTED_VALUE"""),"AEE")</f>
        <v>AEE</v>
      </c>
      <c r="I363" s="214">
        <f ca="1">IFERROR(__xludf.DUMMYFUNCTION("""COMPUTED_VALUE"""),231.2)</f>
        <v>231.2</v>
      </c>
      <c r="J363" s="209"/>
      <c r="K363" s="209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9"/>
    </row>
    <row r="364" spans="1:26" ht="18.75" customHeight="1">
      <c r="A364" s="210" t="str">
        <f ca="1">IFERROR(__xludf.DUMMYFUNCTION("""COMPUTED_VALUE"""),"Dianópolis")</f>
        <v>Dianópolis</v>
      </c>
      <c r="B364" s="210" t="str">
        <f ca="1">IFERROR(__xludf.DUMMYFUNCTION("""COMPUTED_VALUE"""),"Conceicao do Tocantins")</f>
        <v>Conceicao do Tocantins</v>
      </c>
      <c r="C364" s="211" t="str">
        <f ca="1">IFERROR(__xludf.DUMMYFUNCTION("""COMPUTED_VALUE"""),"A.A. E. CEL JOSE FRANCISCO DE AZEVEDO")</f>
        <v>A.A. E. CEL JOSE FRANCISCO DE AZEVEDO</v>
      </c>
      <c r="D364" s="212" t="str">
        <f ca="1">IFERROR(__xludf.DUMMYFUNCTION("""COMPUTED_VALUE"""),"01136040000128")</f>
        <v>01136040000128</v>
      </c>
      <c r="E364" s="212" t="str">
        <f ca="1">IFERROR(__xludf.DUMMYFUNCTION("""COMPUTED_VALUE"""),"001")</f>
        <v>001</v>
      </c>
      <c r="F364" s="212" t="str">
        <f ca="1">IFERROR(__xludf.DUMMYFUNCTION("""COMPUTED_VALUE"""),"1307")</f>
        <v>1307</v>
      </c>
      <c r="G364" s="213" t="str">
        <f ca="1">IFERROR(__xludf.DUMMYFUNCTION("""COMPUTED_VALUE"""),"106208")</f>
        <v>106208</v>
      </c>
      <c r="H364" s="211" t="str">
        <f ca="1">IFERROR(__xludf.DUMMYFUNCTION("""COMPUTED_VALUE"""),"ENSINO MEDIO PARCIAL")</f>
        <v>ENSINO MEDIO PARCIAL</v>
      </c>
      <c r="I364" s="214">
        <f ca="1">IFERROR(__xludf.DUMMYFUNCTION("""COMPUTED_VALUE"""),1870)</f>
        <v>1870</v>
      </c>
      <c r="J364" s="209"/>
      <c r="K364" s="209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9"/>
    </row>
    <row r="365" spans="1:26" ht="18.75" customHeight="1">
      <c r="A365" s="210" t="str">
        <f ca="1">IFERROR(__xludf.DUMMYFUNCTION("""COMPUTED_VALUE"""),"Dianópolis")</f>
        <v>Dianópolis</v>
      </c>
      <c r="B365" s="210" t="str">
        <f ca="1">IFERROR(__xludf.DUMMYFUNCTION("""COMPUTED_VALUE"""),"Dianopolis")</f>
        <v>Dianopolis</v>
      </c>
      <c r="C365" s="211" t="str">
        <f ca="1">IFERROR(__xludf.DUMMYFUNCTION("""COMPUTED_VALUE"""),"A. ESC. COMUN.DA E. EST. ANTONIO POVOA")</f>
        <v>A. ESC. COMUN.DA E. EST. ANTONIO POVOA</v>
      </c>
      <c r="D365" s="212" t="str">
        <f ca="1">IFERROR(__xludf.DUMMYFUNCTION("""COMPUTED_VALUE"""),"00895665000100")</f>
        <v>00895665000100</v>
      </c>
      <c r="E365" s="212" t="str">
        <f ca="1">IFERROR(__xludf.DUMMYFUNCTION("""COMPUTED_VALUE"""),"001")</f>
        <v>001</v>
      </c>
      <c r="F365" s="212" t="str">
        <f ca="1">IFERROR(__xludf.DUMMYFUNCTION("""COMPUTED_VALUE"""),"1307")</f>
        <v>1307</v>
      </c>
      <c r="G365" s="213" t="str">
        <f ca="1">IFERROR(__xludf.DUMMYFUNCTION("""COMPUTED_VALUE"""),"010616X")</f>
        <v>010616X</v>
      </c>
      <c r="H365" s="211" t="str">
        <f ca="1">IFERROR(__xludf.DUMMYFUNCTION("""COMPUTED_VALUE"""),"ENS FUND PARCIAL")</f>
        <v>ENS FUND PARCIAL</v>
      </c>
      <c r="I365" s="214">
        <f ca="1">IFERROR(__xludf.DUMMYFUNCTION("""COMPUTED_VALUE"""),340)</f>
        <v>340</v>
      </c>
      <c r="J365" s="209"/>
      <c r="K365" s="209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9"/>
    </row>
    <row r="366" spans="1:26" ht="18.75" customHeight="1">
      <c r="A366" s="210" t="str">
        <f ca="1">IFERROR(__xludf.DUMMYFUNCTION("""COMPUTED_VALUE"""),"Dianópolis")</f>
        <v>Dianópolis</v>
      </c>
      <c r="B366" s="210" t="str">
        <f ca="1">IFERROR(__xludf.DUMMYFUNCTION("""COMPUTED_VALUE"""),"Dianopolis")</f>
        <v>Dianopolis</v>
      </c>
      <c r="C366" s="211" t="str">
        <f ca="1">IFERROR(__xludf.DUMMYFUNCTION("""COMPUTED_VALUE"""),"A. ESC. COMUN.DA E. EST. ANTONIO POVOA")</f>
        <v>A. ESC. COMUN.DA E. EST. ANTONIO POVOA</v>
      </c>
      <c r="D366" s="212" t="str">
        <f ca="1">IFERROR(__xludf.DUMMYFUNCTION("""COMPUTED_VALUE"""),"00895665000100")</f>
        <v>00895665000100</v>
      </c>
      <c r="E366" s="212" t="str">
        <f ca="1">IFERROR(__xludf.DUMMYFUNCTION("""COMPUTED_VALUE"""),"001")</f>
        <v>001</v>
      </c>
      <c r="F366" s="212" t="str">
        <f ca="1">IFERROR(__xludf.DUMMYFUNCTION("""COMPUTED_VALUE"""),"1307")</f>
        <v>1307</v>
      </c>
      <c r="G366" s="213" t="str">
        <f ca="1">IFERROR(__xludf.DUMMYFUNCTION("""COMPUTED_VALUE"""),"010616X")</f>
        <v>010616X</v>
      </c>
      <c r="H366" s="211" t="str">
        <f ca="1">IFERROR(__xludf.DUMMYFUNCTION("""COMPUTED_VALUE"""),"ENS FUND INTEGRAL")</f>
        <v>ENS FUND INTEGRAL</v>
      </c>
      <c r="I366" s="214">
        <f ca="1">IFERROR(__xludf.DUMMYFUNCTION("""COMPUTED_VALUE"""),1041.2)</f>
        <v>1041.2</v>
      </c>
      <c r="J366" s="209"/>
      <c r="K366" s="209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9"/>
    </row>
    <row r="367" spans="1:26" ht="18.75" customHeight="1">
      <c r="A367" s="210" t="str">
        <f ca="1">IFERROR(__xludf.DUMMYFUNCTION("""COMPUTED_VALUE"""),"Dianópolis")</f>
        <v>Dianópolis</v>
      </c>
      <c r="B367" s="210" t="str">
        <f ca="1">IFERROR(__xludf.DUMMYFUNCTION("""COMPUTED_VALUE"""),"Dianopolis")</f>
        <v>Dianopolis</v>
      </c>
      <c r="C367" s="211" t="str">
        <f ca="1">IFERROR(__xludf.DUMMYFUNCTION("""COMPUTED_VALUE"""),"A. ESC. COMUN.DA E. EST. ANTONIO POVOA")</f>
        <v>A. ESC. COMUN.DA E. EST. ANTONIO POVOA</v>
      </c>
      <c r="D367" s="212" t="str">
        <f ca="1">IFERROR(__xludf.DUMMYFUNCTION("""COMPUTED_VALUE"""),"00895665000100")</f>
        <v>00895665000100</v>
      </c>
      <c r="E367" s="212" t="str">
        <f ca="1">IFERROR(__xludf.DUMMYFUNCTION("""COMPUTED_VALUE"""),"001")</f>
        <v>001</v>
      </c>
      <c r="F367" s="212" t="str">
        <f ca="1">IFERROR(__xludf.DUMMYFUNCTION("""COMPUTED_VALUE"""),"1307")</f>
        <v>1307</v>
      </c>
      <c r="G367" s="213" t="str">
        <f ca="1">IFERROR(__xludf.DUMMYFUNCTION("""COMPUTED_VALUE"""),"010616X")</f>
        <v>010616X</v>
      </c>
      <c r="H367" s="211" t="str">
        <f ca="1">IFERROR(__xludf.DUMMYFUNCTION("""COMPUTED_VALUE"""),"JOVEM AÇÃO")</f>
        <v>JOVEM AÇÃO</v>
      </c>
      <c r="I367" s="214">
        <f ca="1">IFERROR(__xludf.DUMMYFUNCTION("""COMPUTED_VALUE"""),4454.4)</f>
        <v>4454.3999999999996</v>
      </c>
      <c r="J367" s="209"/>
      <c r="K367" s="209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</row>
    <row r="368" spans="1:26" ht="18.75" customHeight="1">
      <c r="A368" s="210" t="str">
        <f ca="1">IFERROR(__xludf.DUMMYFUNCTION("""COMPUTED_VALUE"""),"Dianópolis")</f>
        <v>Dianópolis</v>
      </c>
      <c r="B368" s="210" t="str">
        <f ca="1">IFERROR(__xludf.DUMMYFUNCTION("""COMPUTED_VALUE"""),"Dianopolis")</f>
        <v>Dianopolis</v>
      </c>
      <c r="C368" s="211" t="str">
        <f ca="1">IFERROR(__xludf.DUMMYFUNCTION("""COMPUTED_VALUE"""),"A. ESC. COMUN.DA E. EST. ANTONIO POVOA")</f>
        <v>A. ESC. COMUN.DA E. EST. ANTONIO POVOA</v>
      </c>
      <c r="D368" s="212" t="str">
        <f ca="1">IFERROR(__xludf.DUMMYFUNCTION("""COMPUTED_VALUE"""),"00895665000100")</f>
        <v>00895665000100</v>
      </c>
      <c r="E368" s="212" t="str">
        <f ca="1">IFERROR(__xludf.DUMMYFUNCTION("""COMPUTED_VALUE"""),"001")</f>
        <v>001</v>
      </c>
      <c r="F368" s="212" t="str">
        <f ca="1">IFERROR(__xludf.DUMMYFUNCTION("""COMPUTED_VALUE"""),"1307")</f>
        <v>1307</v>
      </c>
      <c r="G368" s="213" t="str">
        <f ca="1">IFERROR(__xludf.DUMMYFUNCTION("""COMPUTED_VALUE"""),"010616X")</f>
        <v>010616X</v>
      </c>
      <c r="H368" s="211" t="str">
        <f ca="1">IFERROR(__xludf.DUMMYFUNCTION("""COMPUTED_VALUE"""),"EJA")</f>
        <v>EJA</v>
      </c>
      <c r="I368" s="214">
        <f ca="1">IFERROR(__xludf.DUMMYFUNCTION("""COMPUTED_VALUE"""),483.799999999999)</f>
        <v>483.79999999999899</v>
      </c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</row>
    <row r="369" spans="1:26" ht="18.75" customHeight="1">
      <c r="A369" s="210" t="str">
        <f ca="1">IFERROR(__xludf.DUMMYFUNCTION("""COMPUTED_VALUE"""),"Dianópolis")</f>
        <v>Dianópolis</v>
      </c>
      <c r="B369" s="210" t="str">
        <f ca="1">IFERROR(__xludf.DUMMYFUNCTION("""COMPUTED_VALUE"""),"Dianopolis")</f>
        <v>Dianopolis</v>
      </c>
      <c r="C369" s="211" t="str">
        <f ca="1">IFERROR(__xludf.DUMMYFUNCTION("""COMPUTED_VALUE"""),"A.A. ESCOLA ESTADUAL JOCA COSTA")</f>
        <v>A.A. ESCOLA ESTADUAL JOCA COSTA</v>
      </c>
      <c r="D369" s="212" t="str">
        <f ca="1">IFERROR(__xludf.DUMMYFUNCTION("""COMPUTED_VALUE"""),"01138323000109")</f>
        <v>01138323000109</v>
      </c>
      <c r="E369" s="212" t="str">
        <f ca="1">IFERROR(__xludf.DUMMYFUNCTION("""COMPUTED_VALUE"""),"001")</f>
        <v>001</v>
      </c>
      <c r="F369" s="212" t="str">
        <f ca="1">IFERROR(__xludf.DUMMYFUNCTION("""COMPUTED_VALUE"""),"1307")</f>
        <v>1307</v>
      </c>
      <c r="G369" s="213" t="str">
        <f ca="1">IFERROR(__xludf.DUMMYFUNCTION("""COMPUTED_VALUE"""),"107492")</f>
        <v>107492</v>
      </c>
      <c r="H369" s="211" t="str">
        <f ca="1">IFERROR(__xludf.DUMMYFUNCTION("""COMPUTED_VALUE"""),"ENS FUND PARCIAL")</f>
        <v>ENS FUND PARCIAL</v>
      </c>
      <c r="I369" s="214">
        <f ca="1">IFERROR(__xludf.DUMMYFUNCTION("""COMPUTED_VALUE"""),3650)</f>
        <v>3650</v>
      </c>
      <c r="J369" s="209"/>
      <c r="K369" s="209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</row>
    <row r="370" spans="1:26" ht="18.75" customHeight="1">
      <c r="A370" s="210" t="str">
        <f ca="1">IFERROR(__xludf.DUMMYFUNCTION("""COMPUTED_VALUE"""),"Dianópolis")</f>
        <v>Dianópolis</v>
      </c>
      <c r="B370" s="210" t="str">
        <f ca="1">IFERROR(__xludf.DUMMYFUNCTION("""COMPUTED_VALUE"""),"Dianopolis")</f>
        <v>Dianopolis</v>
      </c>
      <c r="C370" s="211" t="str">
        <f ca="1">IFERROR(__xludf.DUMMYFUNCTION("""COMPUTED_VALUE"""),"A.A. ESCOLA ESTADUAL JOCA COSTA")</f>
        <v>A.A. ESCOLA ESTADUAL JOCA COSTA</v>
      </c>
      <c r="D370" s="212" t="str">
        <f ca="1">IFERROR(__xludf.DUMMYFUNCTION("""COMPUTED_VALUE"""),"01138323000109")</f>
        <v>01138323000109</v>
      </c>
      <c r="E370" s="212" t="str">
        <f ca="1">IFERROR(__xludf.DUMMYFUNCTION("""COMPUTED_VALUE"""),"001")</f>
        <v>001</v>
      </c>
      <c r="F370" s="212" t="str">
        <f ca="1">IFERROR(__xludf.DUMMYFUNCTION("""COMPUTED_VALUE"""),"1307")</f>
        <v>1307</v>
      </c>
      <c r="G370" s="213" t="str">
        <f ca="1">IFERROR(__xludf.DUMMYFUNCTION("""COMPUTED_VALUE"""),"107492")</f>
        <v>107492</v>
      </c>
      <c r="H370" s="211" t="str">
        <f ca="1">IFERROR(__xludf.DUMMYFUNCTION("""COMPUTED_VALUE"""),"AEE")</f>
        <v>AEE</v>
      </c>
      <c r="I370" s="214">
        <f ca="1">IFERROR(__xludf.DUMMYFUNCTION("""COMPUTED_VALUE"""),353.599999999999)</f>
        <v>353.599999999999</v>
      </c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</row>
    <row r="371" spans="1:26" ht="18.75" customHeight="1">
      <c r="A371" s="210" t="str">
        <f ca="1">IFERROR(__xludf.DUMMYFUNCTION("""COMPUTED_VALUE"""),"Dianópolis")</f>
        <v>Dianópolis</v>
      </c>
      <c r="B371" s="210" t="str">
        <f ca="1">IFERROR(__xludf.DUMMYFUNCTION("""COMPUTED_VALUE"""),"Dianopolis")</f>
        <v>Dianopolis</v>
      </c>
      <c r="C371" s="211" t="str">
        <f ca="1">IFERROR(__xludf.DUMMYFUNCTION("""COMPUTED_VALUE"""),"ASS. APOIO ESC. EST.CEL.ABILIO WOLNEY")</f>
        <v>ASS. APOIO ESC. EST.CEL.ABILIO WOLNEY</v>
      </c>
      <c r="D371" s="212" t="str">
        <f ca="1">IFERROR(__xludf.DUMMYFUNCTION("""COMPUTED_VALUE"""),"01197161000180")</f>
        <v>01197161000180</v>
      </c>
      <c r="E371" s="212" t="str">
        <f ca="1">IFERROR(__xludf.DUMMYFUNCTION("""COMPUTED_VALUE"""),"001")</f>
        <v>001</v>
      </c>
      <c r="F371" s="212" t="str">
        <f ca="1">IFERROR(__xludf.DUMMYFUNCTION("""COMPUTED_VALUE"""),"1307")</f>
        <v>1307</v>
      </c>
      <c r="G371" s="213" t="str">
        <f ca="1">IFERROR(__xludf.DUMMYFUNCTION("""COMPUTED_VALUE"""),"120464")</f>
        <v>120464</v>
      </c>
      <c r="H371" s="211" t="str">
        <f ca="1">IFERROR(__xludf.DUMMYFUNCTION("""COMPUTED_VALUE"""),"ENS FUND PARCIAL")</f>
        <v>ENS FUND PARCIAL</v>
      </c>
      <c r="I371" s="214">
        <f ca="1">IFERROR(__xludf.DUMMYFUNCTION("""COMPUTED_VALUE"""),4420)</f>
        <v>4420</v>
      </c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</row>
    <row r="372" spans="1:26" ht="18.75" customHeight="1">
      <c r="A372" s="210" t="str">
        <f ca="1">IFERROR(__xludf.DUMMYFUNCTION("""COMPUTED_VALUE"""),"Dianópolis")</f>
        <v>Dianópolis</v>
      </c>
      <c r="B372" s="210" t="str">
        <f ca="1">IFERROR(__xludf.DUMMYFUNCTION("""COMPUTED_VALUE"""),"Dianopolis")</f>
        <v>Dianopolis</v>
      </c>
      <c r="C372" s="211" t="str">
        <f ca="1">IFERROR(__xludf.DUMMYFUNCTION("""COMPUTED_VALUE"""),"ASS. APOIO ESC. EST.CEL.ABILIO WOLNEY")</f>
        <v>ASS. APOIO ESC. EST.CEL.ABILIO WOLNEY</v>
      </c>
      <c r="D372" s="212" t="str">
        <f ca="1">IFERROR(__xludf.DUMMYFUNCTION("""COMPUTED_VALUE"""),"01197161000180")</f>
        <v>01197161000180</v>
      </c>
      <c r="E372" s="212" t="str">
        <f ca="1">IFERROR(__xludf.DUMMYFUNCTION("""COMPUTED_VALUE"""),"001")</f>
        <v>001</v>
      </c>
      <c r="F372" s="212" t="str">
        <f ca="1">IFERROR(__xludf.DUMMYFUNCTION("""COMPUTED_VALUE"""),"1307")</f>
        <v>1307</v>
      </c>
      <c r="G372" s="213" t="str">
        <f ca="1">IFERROR(__xludf.DUMMYFUNCTION("""COMPUTED_VALUE"""),"120464")</f>
        <v>120464</v>
      </c>
      <c r="H372" s="211" t="str">
        <f ca="1">IFERROR(__xludf.DUMMYFUNCTION("""COMPUTED_VALUE"""),"ENSINO MEDIO PARCIAL")</f>
        <v>ENSINO MEDIO PARCIAL</v>
      </c>
      <c r="I372" s="214">
        <f ca="1">IFERROR(__xludf.DUMMYFUNCTION("""COMPUTED_VALUE"""),5420)</f>
        <v>5420</v>
      </c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</row>
    <row r="373" spans="1:26" ht="18.75" customHeight="1">
      <c r="A373" s="210" t="str">
        <f ca="1">IFERROR(__xludf.DUMMYFUNCTION("""COMPUTED_VALUE"""),"Dianópolis")</f>
        <v>Dianópolis</v>
      </c>
      <c r="B373" s="210" t="str">
        <f ca="1">IFERROR(__xludf.DUMMYFUNCTION("""COMPUTED_VALUE"""),"Dianopolis")</f>
        <v>Dianopolis</v>
      </c>
      <c r="C373" s="211" t="str">
        <f ca="1">IFERROR(__xludf.DUMMYFUNCTION("""COMPUTED_VALUE"""),"A. DE APOIO AO COLEGIO JOAO DE ABREU")</f>
        <v>A. DE APOIO AO COLEGIO JOAO DE ABREU</v>
      </c>
      <c r="D373" s="212" t="str">
        <f ca="1">IFERROR(__xludf.DUMMYFUNCTION("""COMPUTED_VALUE"""),"05059617000104")</f>
        <v>05059617000104</v>
      </c>
      <c r="E373" s="212" t="str">
        <f ca="1">IFERROR(__xludf.DUMMYFUNCTION("""COMPUTED_VALUE"""),"001")</f>
        <v>001</v>
      </c>
      <c r="F373" s="212" t="str">
        <f ca="1">IFERROR(__xludf.DUMMYFUNCTION("""COMPUTED_VALUE"""),"1307")</f>
        <v>1307</v>
      </c>
      <c r="G373" s="213" t="str">
        <f ca="1">IFERROR(__xludf.DUMMYFUNCTION("""COMPUTED_VALUE"""),"127027")</f>
        <v>127027</v>
      </c>
      <c r="H373" s="211" t="str">
        <f ca="1">IFERROR(__xludf.DUMMYFUNCTION("""COMPUTED_VALUE"""),"ENS FUND PARCIAL")</f>
        <v>ENS FUND PARCIAL</v>
      </c>
      <c r="I373" s="214">
        <f ca="1">IFERROR(__xludf.DUMMYFUNCTION("""COMPUTED_VALUE"""),6050)</f>
        <v>6050</v>
      </c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</row>
    <row r="374" spans="1:26" ht="18.75" customHeight="1">
      <c r="A374" s="210" t="str">
        <f ca="1">IFERROR(__xludf.DUMMYFUNCTION("""COMPUTED_VALUE"""),"Dianópolis")</f>
        <v>Dianópolis</v>
      </c>
      <c r="B374" s="210" t="str">
        <f ca="1">IFERROR(__xludf.DUMMYFUNCTION("""COMPUTED_VALUE"""),"Dianopolis")</f>
        <v>Dianopolis</v>
      </c>
      <c r="C374" s="211" t="str">
        <f ca="1">IFERROR(__xludf.DUMMYFUNCTION("""COMPUTED_VALUE"""),"A. DE APOIO AO COLEGIO JOAO DE ABREU")</f>
        <v>A. DE APOIO AO COLEGIO JOAO DE ABREU</v>
      </c>
      <c r="D374" s="212" t="str">
        <f ca="1">IFERROR(__xludf.DUMMYFUNCTION("""COMPUTED_VALUE"""),"05059617000104")</f>
        <v>05059617000104</v>
      </c>
      <c r="E374" s="212" t="str">
        <f ca="1">IFERROR(__xludf.DUMMYFUNCTION("""COMPUTED_VALUE"""),"001")</f>
        <v>001</v>
      </c>
      <c r="F374" s="212" t="str">
        <f ca="1">IFERROR(__xludf.DUMMYFUNCTION("""COMPUTED_VALUE"""),"1307")</f>
        <v>1307</v>
      </c>
      <c r="G374" s="213" t="str">
        <f ca="1">IFERROR(__xludf.DUMMYFUNCTION("""COMPUTED_VALUE"""),"127027")</f>
        <v>127027</v>
      </c>
      <c r="H374" s="211" t="str">
        <f ca="1">IFERROR(__xludf.DUMMYFUNCTION("""COMPUTED_VALUE"""),"AEE")</f>
        <v>AEE</v>
      </c>
      <c r="I374" s="214">
        <f ca="1">IFERROR(__xludf.DUMMYFUNCTION("""COMPUTED_VALUE"""),217.6)</f>
        <v>217.6</v>
      </c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</row>
    <row r="375" spans="1:26" ht="18.75" customHeight="1">
      <c r="A375" s="210" t="str">
        <f ca="1">IFERROR(__xludf.DUMMYFUNCTION("""COMPUTED_VALUE"""),"Dianópolis")</f>
        <v>Dianópolis</v>
      </c>
      <c r="B375" s="210" t="str">
        <f ca="1">IFERROR(__xludf.DUMMYFUNCTION("""COMPUTED_VALUE"""),"Dianopolis")</f>
        <v>Dianopolis</v>
      </c>
      <c r="C375" s="211" t="str">
        <f ca="1">IFERROR(__xludf.DUMMYFUNCTION("""COMPUTED_VALUE"""),"A. DE APOIO AO COLEGIO JOAO DE ABREU")</f>
        <v>A. DE APOIO AO COLEGIO JOAO DE ABREU</v>
      </c>
      <c r="D375" s="212" t="str">
        <f ca="1">IFERROR(__xludf.DUMMYFUNCTION("""COMPUTED_VALUE"""),"05059617000104")</f>
        <v>05059617000104</v>
      </c>
      <c r="E375" s="212" t="str">
        <f ca="1">IFERROR(__xludf.DUMMYFUNCTION("""COMPUTED_VALUE"""),"001")</f>
        <v>001</v>
      </c>
      <c r="F375" s="212" t="str">
        <f ca="1">IFERROR(__xludf.DUMMYFUNCTION("""COMPUTED_VALUE"""),"1307")</f>
        <v>1307</v>
      </c>
      <c r="G375" s="213" t="str">
        <f ca="1">IFERROR(__xludf.DUMMYFUNCTION("""COMPUTED_VALUE"""),"127027")</f>
        <v>127027</v>
      </c>
      <c r="H375" s="211" t="str">
        <f ca="1">IFERROR(__xludf.DUMMYFUNCTION("""COMPUTED_VALUE"""),"ENSINO MEDIO PARCIAL")</f>
        <v>ENSINO MEDIO PARCIAL</v>
      </c>
      <c r="I375" s="214">
        <f ca="1">IFERROR(__xludf.DUMMYFUNCTION("""COMPUTED_VALUE"""),3510)</f>
        <v>3510</v>
      </c>
      <c r="J375" s="209"/>
      <c r="K375" s="209"/>
      <c r="L375" s="209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9"/>
    </row>
    <row r="376" spans="1:26" ht="18.75" customHeight="1">
      <c r="A376" s="210" t="str">
        <f ca="1">IFERROR(__xludf.DUMMYFUNCTION("""COMPUTED_VALUE"""),"Dianópolis")</f>
        <v>Dianópolis</v>
      </c>
      <c r="B376" s="210" t="str">
        <f ca="1">IFERROR(__xludf.DUMMYFUNCTION("""COMPUTED_VALUE"""),"Dianopolis")</f>
        <v>Dianopolis</v>
      </c>
      <c r="C376" s="211" t="str">
        <f ca="1">IFERROR(__xludf.DUMMYFUNCTION("""COMPUTED_VALUE"""),"ASSOC. DE APOIO A ESCOLA COOPERATIVA CHAPADÃO/DIANÓPOLIS")</f>
        <v>ASSOC. DE APOIO A ESCOLA COOPERATIVA CHAPADÃO/DIANÓPOLIS</v>
      </c>
      <c r="D376" s="212" t="str">
        <f ca="1">IFERROR(__xludf.DUMMYFUNCTION("""COMPUTED_VALUE"""),"07056712000171")</f>
        <v>07056712000171</v>
      </c>
      <c r="E376" s="212" t="str">
        <f ca="1">IFERROR(__xludf.DUMMYFUNCTION("""COMPUTED_VALUE"""),"001")</f>
        <v>001</v>
      </c>
      <c r="F376" s="212" t="str">
        <f ca="1">IFERROR(__xludf.DUMMYFUNCTION("""COMPUTED_VALUE"""),"1307")</f>
        <v>1307</v>
      </c>
      <c r="G376" s="213" t="str">
        <f ca="1">IFERROR(__xludf.DUMMYFUNCTION("""COMPUTED_VALUE"""),"15704X")</f>
        <v>15704X</v>
      </c>
      <c r="H376" s="211" t="str">
        <f ca="1">IFERROR(__xludf.DUMMYFUNCTION("""COMPUTED_VALUE"""),"ENS FUND PARCIAL")</f>
        <v>ENS FUND PARCIAL</v>
      </c>
      <c r="I376" s="214">
        <f ca="1">IFERROR(__xludf.DUMMYFUNCTION("""COMPUTED_VALUE"""),1340)</f>
        <v>1340</v>
      </c>
      <c r="J376" s="209"/>
      <c r="K376" s="209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9"/>
    </row>
    <row r="377" spans="1:26" ht="18.75" customHeight="1">
      <c r="A377" s="210" t="str">
        <f ca="1">IFERROR(__xludf.DUMMYFUNCTION("""COMPUTED_VALUE"""),"Dianópolis")</f>
        <v>Dianópolis</v>
      </c>
      <c r="B377" s="210" t="str">
        <f ca="1">IFERROR(__xludf.DUMMYFUNCTION("""COMPUTED_VALUE"""),"Dianopolis")</f>
        <v>Dianopolis</v>
      </c>
      <c r="C377" s="211" t="str">
        <f ca="1">IFERROR(__xludf.DUMMYFUNCTION("""COMPUTED_VALUE"""),"ASSOC. DE APOIO A ESCOLA COOPERATIVA CHAPADÃO/DIANÓPOLIS")</f>
        <v>ASSOC. DE APOIO A ESCOLA COOPERATIVA CHAPADÃO/DIANÓPOLIS</v>
      </c>
      <c r="D377" s="212" t="str">
        <f ca="1">IFERROR(__xludf.DUMMYFUNCTION("""COMPUTED_VALUE"""),"07056712000171")</f>
        <v>07056712000171</v>
      </c>
      <c r="E377" s="212" t="str">
        <f ca="1">IFERROR(__xludf.DUMMYFUNCTION("""COMPUTED_VALUE"""),"001")</f>
        <v>001</v>
      </c>
      <c r="F377" s="212" t="str">
        <f ca="1">IFERROR(__xludf.DUMMYFUNCTION("""COMPUTED_VALUE"""),"1307")</f>
        <v>1307</v>
      </c>
      <c r="G377" s="213" t="str">
        <f ca="1">IFERROR(__xludf.DUMMYFUNCTION("""COMPUTED_VALUE"""),"15704X")</f>
        <v>15704X</v>
      </c>
      <c r="H377" s="211" t="str">
        <f ca="1">IFERROR(__xludf.DUMMYFUNCTION("""COMPUTED_VALUE"""),"AEE")</f>
        <v>AEE</v>
      </c>
      <c r="I377" s="214">
        <f ca="1">IFERROR(__xludf.DUMMYFUNCTION("""COMPUTED_VALUE"""),190.4)</f>
        <v>190.4</v>
      </c>
      <c r="J377" s="209"/>
      <c r="K377" s="209"/>
      <c r="L377" s="209"/>
      <c r="M377" s="209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9"/>
    </row>
    <row r="378" spans="1:26" ht="18.75" customHeight="1">
      <c r="A378" s="210" t="str">
        <f ca="1">IFERROR(__xludf.DUMMYFUNCTION("""COMPUTED_VALUE"""),"Dianópolis")</f>
        <v>Dianópolis</v>
      </c>
      <c r="B378" s="210" t="str">
        <f ca="1">IFERROR(__xludf.DUMMYFUNCTION("""COMPUTED_VALUE"""),"Dianopolis")</f>
        <v>Dianopolis</v>
      </c>
      <c r="C378" s="211" t="str">
        <f ca="1">IFERROR(__xludf.DUMMYFUNCTION("""COMPUTED_VALUE"""),"ASSOC. DE APOIO A ESCOLA COOPERATIVA CHAPADÃO/DIANÓPOLIS")</f>
        <v>ASSOC. DE APOIO A ESCOLA COOPERATIVA CHAPADÃO/DIANÓPOLIS</v>
      </c>
      <c r="D378" s="212" t="str">
        <f ca="1">IFERROR(__xludf.DUMMYFUNCTION("""COMPUTED_VALUE"""),"07056712000171")</f>
        <v>07056712000171</v>
      </c>
      <c r="E378" s="212" t="str">
        <f ca="1">IFERROR(__xludf.DUMMYFUNCTION("""COMPUTED_VALUE"""),"001")</f>
        <v>001</v>
      </c>
      <c r="F378" s="212" t="str">
        <f ca="1">IFERROR(__xludf.DUMMYFUNCTION("""COMPUTED_VALUE"""),"1307")</f>
        <v>1307</v>
      </c>
      <c r="G378" s="213" t="str">
        <f ca="1">IFERROR(__xludf.DUMMYFUNCTION("""COMPUTED_VALUE"""),"15704X")</f>
        <v>15704X</v>
      </c>
      <c r="H378" s="211" t="str">
        <f ca="1">IFERROR(__xludf.DUMMYFUNCTION("""COMPUTED_VALUE"""),"ENSINO MEDIO PARCIAL")</f>
        <v>ENSINO MEDIO PARCIAL</v>
      </c>
      <c r="I378" s="214">
        <f ca="1">IFERROR(__xludf.DUMMYFUNCTION("""COMPUTED_VALUE"""),240)</f>
        <v>240</v>
      </c>
      <c r="J378" s="209"/>
      <c r="K378" s="209"/>
      <c r="L378" s="209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9"/>
    </row>
    <row r="379" spans="1:26" ht="18.75" customHeight="1">
      <c r="A379" s="210" t="str">
        <f ca="1">IFERROR(__xludf.DUMMYFUNCTION("""COMPUTED_VALUE"""),"Dianópolis")</f>
        <v>Dianópolis</v>
      </c>
      <c r="B379" s="210" t="str">
        <f ca="1">IFERROR(__xludf.DUMMYFUNCTION("""COMPUTED_VALUE"""),"Dianopolis")</f>
        <v>Dianopolis</v>
      </c>
      <c r="C379" s="211" t="str">
        <f ca="1">IFERROR(__xludf.DUMMYFUNCTION("""COMPUTED_VALUE"""),"ESCOLA ESPECIAL COLIBRI")</f>
        <v>ESCOLA ESPECIAL COLIBRI</v>
      </c>
      <c r="D379" s="212" t="str">
        <f ca="1">IFERROR(__xludf.DUMMYFUNCTION("""COMPUTED_VALUE"""),"15413383000105")</f>
        <v>15413383000105</v>
      </c>
      <c r="E379" s="212" t="str">
        <f ca="1">IFERROR(__xludf.DUMMYFUNCTION("""COMPUTED_VALUE"""),"001")</f>
        <v>001</v>
      </c>
      <c r="F379" s="212" t="str">
        <f ca="1">IFERROR(__xludf.DUMMYFUNCTION("""COMPUTED_VALUE"""),"1307")</f>
        <v>1307</v>
      </c>
      <c r="G379" s="213" t="str">
        <f ca="1">IFERROR(__xludf.DUMMYFUNCTION("""COMPUTED_VALUE"""),"312967")</f>
        <v>312967</v>
      </c>
      <c r="H379" s="211" t="str">
        <f ca="1">IFERROR(__xludf.DUMMYFUNCTION("""COMPUTED_VALUE"""),"ENS FUND PARCIAL")</f>
        <v>ENS FUND PARCIAL</v>
      </c>
      <c r="I379" s="214">
        <f ca="1">IFERROR(__xludf.DUMMYFUNCTION("""COMPUTED_VALUE"""),250)</f>
        <v>250</v>
      </c>
      <c r="J379" s="209"/>
      <c r="K379" s="209"/>
      <c r="L379" s="209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9"/>
    </row>
    <row r="380" spans="1:26" ht="18.75" customHeight="1">
      <c r="A380" s="210" t="str">
        <f ca="1">IFERROR(__xludf.DUMMYFUNCTION("""COMPUTED_VALUE"""),"Dianópolis")</f>
        <v>Dianópolis</v>
      </c>
      <c r="B380" s="210" t="str">
        <f ca="1">IFERROR(__xludf.DUMMYFUNCTION("""COMPUTED_VALUE"""),"Dianopolis")</f>
        <v>Dianopolis</v>
      </c>
      <c r="C380" s="211" t="str">
        <f ca="1">IFERROR(__xludf.DUMMYFUNCTION("""COMPUTED_VALUE"""),"ESCOLA ESPECIAL COLIBRI")</f>
        <v>ESCOLA ESPECIAL COLIBRI</v>
      </c>
      <c r="D380" s="212" t="str">
        <f ca="1">IFERROR(__xludf.DUMMYFUNCTION("""COMPUTED_VALUE"""),"15413383000105")</f>
        <v>15413383000105</v>
      </c>
      <c r="E380" s="212" t="str">
        <f ca="1">IFERROR(__xludf.DUMMYFUNCTION("""COMPUTED_VALUE"""),"001")</f>
        <v>001</v>
      </c>
      <c r="F380" s="212" t="str">
        <f ca="1">IFERROR(__xludf.DUMMYFUNCTION("""COMPUTED_VALUE"""),"1307")</f>
        <v>1307</v>
      </c>
      <c r="G380" s="213" t="str">
        <f ca="1">IFERROR(__xludf.DUMMYFUNCTION("""COMPUTED_VALUE"""),"312967")</f>
        <v>312967</v>
      </c>
      <c r="H380" s="211" t="str">
        <f ca="1">IFERROR(__xludf.DUMMYFUNCTION("""COMPUTED_VALUE"""),"AEE")</f>
        <v>AEE</v>
      </c>
      <c r="I380" s="214">
        <f ca="1">IFERROR(__xludf.DUMMYFUNCTION("""COMPUTED_VALUE"""),272)</f>
        <v>272</v>
      </c>
      <c r="J380" s="209"/>
      <c r="K380" s="209"/>
      <c r="L380" s="209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9"/>
    </row>
    <row r="381" spans="1:26" ht="18.75" customHeight="1">
      <c r="A381" s="210" t="str">
        <f ca="1">IFERROR(__xludf.DUMMYFUNCTION("""COMPUTED_VALUE"""),"Dianópolis")</f>
        <v>Dianópolis</v>
      </c>
      <c r="B381" s="210" t="str">
        <f ca="1">IFERROR(__xludf.DUMMYFUNCTION("""COMPUTED_VALUE"""),"Dianopolis")</f>
        <v>Dianopolis</v>
      </c>
      <c r="C381" s="211" t="str">
        <f ca="1">IFERROR(__xludf.DUMMYFUNCTION("""COMPUTED_VALUE"""),"ESCOLA ESPECIAL COLIBRI")</f>
        <v>ESCOLA ESPECIAL COLIBRI</v>
      </c>
      <c r="D381" s="212" t="str">
        <f ca="1">IFERROR(__xludf.DUMMYFUNCTION("""COMPUTED_VALUE"""),"15413383000105")</f>
        <v>15413383000105</v>
      </c>
      <c r="E381" s="212" t="str">
        <f ca="1">IFERROR(__xludf.DUMMYFUNCTION("""COMPUTED_VALUE"""),"001")</f>
        <v>001</v>
      </c>
      <c r="F381" s="212" t="str">
        <f ca="1">IFERROR(__xludf.DUMMYFUNCTION("""COMPUTED_VALUE"""),"1307")</f>
        <v>1307</v>
      </c>
      <c r="G381" s="213" t="str">
        <f ca="1">IFERROR(__xludf.DUMMYFUNCTION("""COMPUTED_VALUE"""),"312967")</f>
        <v>312967</v>
      </c>
      <c r="H381" s="211" t="str">
        <f ca="1">IFERROR(__xludf.DUMMYFUNCTION("""COMPUTED_VALUE"""),"EJA")</f>
        <v>EJA</v>
      </c>
      <c r="I381" s="214">
        <f ca="1">IFERROR(__xludf.DUMMYFUNCTION("""COMPUTED_VALUE"""),409.999999999999)</f>
        <v>409.99999999999898</v>
      </c>
      <c r="J381" s="209"/>
      <c r="K381" s="209"/>
      <c r="L381" s="209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9"/>
    </row>
    <row r="382" spans="1:26" ht="18.75" customHeight="1">
      <c r="A382" s="210" t="str">
        <f ca="1">IFERROR(__xludf.DUMMYFUNCTION("""COMPUTED_VALUE"""),"Dianópolis")</f>
        <v>Dianópolis</v>
      </c>
      <c r="B382" s="210" t="str">
        <f ca="1">IFERROR(__xludf.DUMMYFUNCTION("""COMPUTED_VALUE"""),"Novo Jardim")</f>
        <v>Novo Jardim</v>
      </c>
      <c r="C382" s="211" t="str">
        <f ca="1">IFERROR(__xludf.DUMMYFUNCTION("""COMPUTED_VALUE"""),"ASS. DE AP. DA ESCOLA ESTADUAL JARDIM")</f>
        <v>ASS. DE AP. DA ESCOLA ESTADUAL JARDIM</v>
      </c>
      <c r="D382" s="212" t="str">
        <f ca="1">IFERROR(__xludf.DUMMYFUNCTION("""COMPUTED_VALUE"""),"01408711000162")</f>
        <v>01408711000162</v>
      </c>
      <c r="E382" s="212" t="str">
        <f ca="1">IFERROR(__xludf.DUMMYFUNCTION("""COMPUTED_VALUE"""),"001")</f>
        <v>001</v>
      </c>
      <c r="F382" s="212" t="str">
        <f ca="1">IFERROR(__xludf.DUMMYFUNCTION("""COMPUTED_VALUE"""),"1307")</f>
        <v>1307</v>
      </c>
      <c r="G382" s="213" t="str">
        <f ca="1">IFERROR(__xludf.DUMMYFUNCTION("""COMPUTED_VALUE"""),"106453")</f>
        <v>106453</v>
      </c>
      <c r="H382" s="211" t="str">
        <f ca="1">IFERROR(__xludf.DUMMYFUNCTION("""COMPUTED_VALUE"""),"ENS FUND PARCIAL")</f>
        <v>ENS FUND PARCIAL</v>
      </c>
      <c r="I382" s="214">
        <f ca="1">IFERROR(__xludf.DUMMYFUNCTION("""COMPUTED_VALUE"""),2070)</f>
        <v>2070</v>
      </c>
      <c r="J382" s="209"/>
      <c r="K382" s="209"/>
      <c r="L382" s="209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9"/>
    </row>
    <row r="383" spans="1:26" ht="18.75" customHeight="1">
      <c r="A383" s="210" t="str">
        <f ca="1">IFERROR(__xludf.DUMMYFUNCTION("""COMPUTED_VALUE"""),"Dianópolis")</f>
        <v>Dianópolis</v>
      </c>
      <c r="B383" s="210" t="str">
        <f ca="1">IFERROR(__xludf.DUMMYFUNCTION("""COMPUTED_VALUE"""),"Novo Jardim")</f>
        <v>Novo Jardim</v>
      </c>
      <c r="C383" s="211" t="str">
        <f ca="1">IFERROR(__xludf.DUMMYFUNCTION("""COMPUTED_VALUE"""),"ASS. DE AP. DA ESCOLA ESTADUAL JARDIM")</f>
        <v>ASS. DE AP. DA ESCOLA ESTADUAL JARDIM</v>
      </c>
      <c r="D383" s="212" t="str">
        <f ca="1">IFERROR(__xludf.DUMMYFUNCTION("""COMPUTED_VALUE"""),"01408711000162")</f>
        <v>01408711000162</v>
      </c>
      <c r="E383" s="212" t="str">
        <f ca="1">IFERROR(__xludf.DUMMYFUNCTION("""COMPUTED_VALUE"""),"001")</f>
        <v>001</v>
      </c>
      <c r="F383" s="212" t="str">
        <f ca="1">IFERROR(__xludf.DUMMYFUNCTION("""COMPUTED_VALUE"""),"1307")</f>
        <v>1307</v>
      </c>
      <c r="G383" s="213" t="str">
        <f ca="1">IFERROR(__xludf.DUMMYFUNCTION("""COMPUTED_VALUE"""),"106453")</f>
        <v>106453</v>
      </c>
      <c r="H383" s="211" t="str">
        <f ca="1">IFERROR(__xludf.DUMMYFUNCTION("""COMPUTED_VALUE"""),"ENSINO MEDIO PARCIAL")</f>
        <v>ENSINO MEDIO PARCIAL</v>
      </c>
      <c r="I383" s="214">
        <f ca="1">IFERROR(__xludf.DUMMYFUNCTION("""COMPUTED_VALUE"""),620)</f>
        <v>620</v>
      </c>
      <c r="J383" s="209"/>
      <c r="K383" s="209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9"/>
    </row>
    <row r="384" spans="1:26" ht="18.75" customHeight="1">
      <c r="A384" s="210" t="str">
        <f ca="1">IFERROR(__xludf.DUMMYFUNCTION("""COMPUTED_VALUE"""),"Dianópolis")</f>
        <v>Dianópolis</v>
      </c>
      <c r="B384" s="210" t="str">
        <f ca="1">IFERROR(__xludf.DUMMYFUNCTION("""COMPUTED_VALUE"""),"Ponte Alta do Bom Jesus")</f>
        <v>Ponte Alta do Bom Jesus</v>
      </c>
      <c r="C384" s="211" t="str">
        <f ca="1">IFERROR(__xludf.DUMMYFUNCTION("""COMPUTED_VALUE"""),"A.A. E. ESC. EST. BOA VISTA DE BELEM")</f>
        <v>A.A. E. ESC. EST. BOA VISTA DE BELEM</v>
      </c>
      <c r="D384" s="212" t="str">
        <f ca="1">IFERROR(__xludf.DUMMYFUNCTION("""COMPUTED_VALUE"""),"01136045000150")</f>
        <v>01136045000150</v>
      </c>
      <c r="E384" s="212" t="str">
        <f ca="1">IFERROR(__xludf.DUMMYFUNCTION("""COMPUTED_VALUE"""),"001")</f>
        <v>001</v>
      </c>
      <c r="F384" s="212" t="str">
        <f ca="1">IFERROR(__xludf.DUMMYFUNCTION("""COMPUTED_VALUE"""),"1307")</f>
        <v>1307</v>
      </c>
      <c r="G384" s="213" t="str">
        <f ca="1">IFERROR(__xludf.DUMMYFUNCTION("""COMPUTED_VALUE"""),"010762X")</f>
        <v>010762X</v>
      </c>
      <c r="H384" s="211" t="str">
        <f ca="1">IFERROR(__xludf.DUMMYFUNCTION("""COMPUTED_VALUE"""),"ENS FUND PARCIAL")</f>
        <v>ENS FUND PARCIAL</v>
      </c>
      <c r="I384" s="214">
        <f ca="1">IFERROR(__xludf.DUMMYFUNCTION("""COMPUTED_VALUE"""),910)</f>
        <v>910</v>
      </c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</row>
    <row r="385" spans="1:26" ht="18.75" customHeight="1">
      <c r="A385" s="210" t="str">
        <f ca="1">IFERROR(__xludf.DUMMYFUNCTION("""COMPUTED_VALUE"""),"Dianópolis")</f>
        <v>Dianópolis</v>
      </c>
      <c r="B385" s="210" t="str">
        <f ca="1">IFERROR(__xludf.DUMMYFUNCTION("""COMPUTED_VALUE"""),"Ponte Alta do Bom Jesus")</f>
        <v>Ponte Alta do Bom Jesus</v>
      </c>
      <c r="C385" s="211" t="str">
        <f ca="1">IFERROR(__xludf.DUMMYFUNCTION("""COMPUTED_VALUE"""),"A.A. E. ESC. EST. BOA VISTA DE BELEM")</f>
        <v>A.A. E. ESC. EST. BOA VISTA DE BELEM</v>
      </c>
      <c r="D385" s="212" t="str">
        <f ca="1">IFERROR(__xludf.DUMMYFUNCTION("""COMPUTED_VALUE"""),"01136045000150")</f>
        <v>01136045000150</v>
      </c>
      <c r="E385" s="212" t="str">
        <f ca="1">IFERROR(__xludf.DUMMYFUNCTION("""COMPUTED_VALUE"""),"001")</f>
        <v>001</v>
      </c>
      <c r="F385" s="212" t="str">
        <f ca="1">IFERROR(__xludf.DUMMYFUNCTION("""COMPUTED_VALUE"""),"1307")</f>
        <v>1307</v>
      </c>
      <c r="G385" s="213" t="str">
        <f ca="1">IFERROR(__xludf.DUMMYFUNCTION("""COMPUTED_VALUE"""),"010762X")</f>
        <v>010762X</v>
      </c>
      <c r="H385" s="211" t="str">
        <f ca="1">IFERROR(__xludf.DUMMYFUNCTION("""COMPUTED_VALUE"""),"ENSINO MEDIO PARCIAL")</f>
        <v>ENSINO MEDIO PARCIAL</v>
      </c>
      <c r="I385" s="214">
        <f ca="1">IFERROR(__xludf.DUMMYFUNCTION("""COMPUTED_VALUE"""),190)</f>
        <v>190</v>
      </c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</row>
    <row r="386" spans="1:26" ht="18.75" customHeight="1">
      <c r="A386" s="210" t="str">
        <f ca="1">IFERROR(__xludf.DUMMYFUNCTION("""COMPUTED_VALUE"""),"Dianópolis")</f>
        <v>Dianópolis</v>
      </c>
      <c r="B386" s="210" t="str">
        <f ca="1">IFERROR(__xludf.DUMMYFUNCTION("""COMPUTED_VALUE"""),"Ponte Alta do Bom Jesus")</f>
        <v>Ponte Alta do Bom Jesus</v>
      </c>
      <c r="C386" s="211" t="str">
        <f ca="1">IFERROR(__xludf.DUMMYFUNCTION("""COMPUTED_VALUE"""),"A.A. ESC. E. ANTONIO CARLOS DE FRANCA")</f>
        <v>A.A. ESC. E. ANTONIO CARLOS DE FRANCA</v>
      </c>
      <c r="D386" s="212" t="str">
        <f ca="1">IFERROR(__xludf.DUMMYFUNCTION("""COMPUTED_VALUE"""),"01223633000121")</f>
        <v>01223633000121</v>
      </c>
      <c r="E386" s="212" t="str">
        <f ca="1">IFERROR(__xludf.DUMMYFUNCTION("""COMPUTED_VALUE"""),"001")</f>
        <v>001</v>
      </c>
      <c r="F386" s="212" t="str">
        <f ca="1">IFERROR(__xludf.DUMMYFUNCTION("""COMPUTED_VALUE"""),"2704")</f>
        <v>2704</v>
      </c>
      <c r="G386" s="213" t="str">
        <f ca="1">IFERROR(__xludf.DUMMYFUNCTION("""COMPUTED_VALUE"""),"102733")</f>
        <v>102733</v>
      </c>
      <c r="H386" s="211" t="str">
        <f ca="1">IFERROR(__xludf.DUMMYFUNCTION("""COMPUTED_VALUE"""),"ENS FUND PARCIAL")</f>
        <v>ENS FUND PARCIAL</v>
      </c>
      <c r="I386" s="214">
        <f ca="1">IFERROR(__xludf.DUMMYFUNCTION("""COMPUTED_VALUE"""),2020)</f>
        <v>2020</v>
      </c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</row>
    <row r="387" spans="1:26" ht="18.75" customHeight="1">
      <c r="A387" s="210" t="str">
        <f ca="1">IFERROR(__xludf.DUMMYFUNCTION("""COMPUTED_VALUE"""),"Dianópolis")</f>
        <v>Dianópolis</v>
      </c>
      <c r="B387" s="210" t="str">
        <f ca="1">IFERROR(__xludf.DUMMYFUNCTION("""COMPUTED_VALUE"""),"Ponte Alta do Bom Jesus")</f>
        <v>Ponte Alta do Bom Jesus</v>
      </c>
      <c r="C387" s="211" t="str">
        <f ca="1">IFERROR(__xludf.DUMMYFUNCTION("""COMPUTED_VALUE"""),"A.A. ESC. E. ANTONIO CARLOS DE FRANCA")</f>
        <v>A.A. ESC. E. ANTONIO CARLOS DE FRANCA</v>
      </c>
      <c r="D387" s="212" t="str">
        <f ca="1">IFERROR(__xludf.DUMMYFUNCTION("""COMPUTED_VALUE"""),"01223633000121")</f>
        <v>01223633000121</v>
      </c>
      <c r="E387" s="212" t="str">
        <f ca="1">IFERROR(__xludf.DUMMYFUNCTION("""COMPUTED_VALUE"""),"001")</f>
        <v>001</v>
      </c>
      <c r="F387" s="212" t="str">
        <f ca="1">IFERROR(__xludf.DUMMYFUNCTION("""COMPUTED_VALUE"""),"2704")</f>
        <v>2704</v>
      </c>
      <c r="G387" s="213" t="str">
        <f ca="1">IFERROR(__xludf.DUMMYFUNCTION("""COMPUTED_VALUE"""),"102733")</f>
        <v>102733</v>
      </c>
      <c r="H387" s="211" t="str">
        <f ca="1">IFERROR(__xludf.DUMMYFUNCTION("""COMPUTED_VALUE"""),"ENSINO MEDIO PARCIAL")</f>
        <v>ENSINO MEDIO PARCIAL</v>
      </c>
      <c r="I387" s="214">
        <f ca="1">IFERROR(__xludf.DUMMYFUNCTION("""COMPUTED_VALUE"""),1670)</f>
        <v>1670</v>
      </c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</row>
    <row r="388" spans="1:26" ht="18.75" customHeight="1">
      <c r="A388" s="210" t="str">
        <f ca="1">IFERROR(__xludf.DUMMYFUNCTION("""COMPUTED_VALUE"""),"Dianópolis")</f>
        <v>Dianópolis</v>
      </c>
      <c r="B388" s="210" t="str">
        <f ca="1">IFERROR(__xludf.DUMMYFUNCTION("""COMPUTED_VALUE"""),"Porto Alegre do Tocantins")</f>
        <v>Porto Alegre do Tocantins</v>
      </c>
      <c r="C388" s="211" t="str">
        <f ca="1">IFERROR(__xludf.DUMMYFUNCTION("""COMPUTED_VALUE"""),"ASSOC. APOIO ESC. EST. ALFREDO NASSER")</f>
        <v>ASSOC. APOIO ESC. EST. ALFREDO NASSER</v>
      </c>
      <c r="D388" s="212" t="str">
        <f ca="1">IFERROR(__xludf.DUMMYFUNCTION("""COMPUTED_VALUE"""),"01105525000154")</f>
        <v>01105525000154</v>
      </c>
      <c r="E388" s="212" t="str">
        <f ca="1">IFERROR(__xludf.DUMMYFUNCTION("""COMPUTED_VALUE"""),"001")</f>
        <v>001</v>
      </c>
      <c r="F388" s="212" t="str">
        <f ca="1">IFERROR(__xludf.DUMMYFUNCTION("""COMPUTED_VALUE"""),"1307")</f>
        <v>1307</v>
      </c>
      <c r="G388" s="213" t="str">
        <f ca="1">IFERROR(__xludf.DUMMYFUNCTION("""COMPUTED_VALUE"""),"0106321")</f>
        <v>0106321</v>
      </c>
      <c r="H388" s="211" t="str">
        <f ca="1">IFERROR(__xludf.DUMMYFUNCTION("""COMPUTED_VALUE"""),"ENS FUND PARCIAL")</f>
        <v>ENS FUND PARCIAL</v>
      </c>
      <c r="I388" s="214">
        <f ca="1">IFERROR(__xludf.DUMMYFUNCTION("""COMPUTED_VALUE"""),2400)</f>
        <v>2400</v>
      </c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</row>
    <row r="389" spans="1:26" ht="18.75" customHeight="1">
      <c r="A389" s="210" t="str">
        <f ca="1">IFERROR(__xludf.DUMMYFUNCTION("""COMPUTED_VALUE"""),"Dianópolis")</f>
        <v>Dianópolis</v>
      </c>
      <c r="B389" s="210" t="str">
        <f ca="1">IFERROR(__xludf.DUMMYFUNCTION("""COMPUTED_VALUE"""),"Porto Alegre do Tocantins")</f>
        <v>Porto Alegre do Tocantins</v>
      </c>
      <c r="C389" s="211" t="str">
        <f ca="1">IFERROR(__xludf.DUMMYFUNCTION("""COMPUTED_VALUE"""),"ASSOC. APOIO ESC. EST. ALFREDO NASSER")</f>
        <v>ASSOC. APOIO ESC. EST. ALFREDO NASSER</v>
      </c>
      <c r="D389" s="212" t="str">
        <f ca="1">IFERROR(__xludf.DUMMYFUNCTION("""COMPUTED_VALUE"""),"01105525000154")</f>
        <v>01105525000154</v>
      </c>
      <c r="E389" s="212" t="str">
        <f ca="1">IFERROR(__xludf.DUMMYFUNCTION("""COMPUTED_VALUE"""),"001")</f>
        <v>001</v>
      </c>
      <c r="F389" s="212" t="str">
        <f ca="1">IFERROR(__xludf.DUMMYFUNCTION("""COMPUTED_VALUE"""),"1307")</f>
        <v>1307</v>
      </c>
      <c r="G389" s="213" t="str">
        <f ca="1">IFERROR(__xludf.DUMMYFUNCTION("""COMPUTED_VALUE"""),"0106321")</f>
        <v>0106321</v>
      </c>
      <c r="H389" s="211" t="str">
        <f ca="1">IFERROR(__xludf.DUMMYFUNCTION("""COMPUTED_VALUE"""),"AEE")</f>
        <v>AEE</v>
      </c>
      <c r="I389" s="214">
        <f ca="1">IFERROR(__xludf.DUMMYFUNCTION("""COMPUTED_VALUE"""),340)</f>
        <v>340</v>
      </c>
      <c r="J389" s="209"/>
      <c r="K389" s="209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9"/>
    </row>
    <row r="390" spans="1:26" ht="18.75" customHeight="1">
      <c r="A390" s="210" t="str">
        <f ca="1">IFERROR(__xludf.DUMMYFUNCTION("""COMPUTED_VALUE"""),"Dianópolis")</f>
        <v>Dianópolis</v>
      </c>
      <c r="B390" s="210" t="str">
        <f ca="1">IFERROR(__xludf.DUMMYFUNCTION("""COMPUTED_VALUE"""),"Porto Alegre do Tocantins")</f>
        <v>Porto Alegre do Tocantins</v>
      </c>
      <c r="C390" s="211" t="str">
        <f ca="1">IFERROR(__xludf.DUMMYFUNCTION("""COMPUTED_VALUE"""),"ASSOC. APOIO ESC. EST. ALFREDO NASSER")</f>
        <v>ASSOC. APOIO ESC. EST. ALFREDO NASSER</v>
      </c>
      <c r="D390" s="212" t="str">
        <f ca="1">IFERROR(__xludf.DUMMYFUNCTION("""COMPUTED_VALUE"""),"01105525000154")</f>
        <v>01105525000154</v>
      </c>
      <c r="E390" s="212" t="str">
        <f ca="1">IFERROR(__xludf.DUMMYFUNCTION("""COMPUTED_VALUE"""),"001")</f>
        <v>001</v>
      </c>
      <c r="F390" s="212" t="str">
        <f ca="1">IFERROR(__xludf.DUMMYFUNCTION("""COMPUTED_VALUE"""),"1307")</f>
        <v>1307</v>
      </c>
      <c r="G390" s="213" t="str">
        <f ca="1">IFERROR(__xludf.DUMMYFUNCTION("""COMPUTED_VALUE"""),"0106321")</f>
        <v>0106321</v>
      </c>
      <c r="H390" s="211" t="str">
        <f ca="1">IFERROR(__xludf.DUMMYFUNCTION("""COMPUTED_VALUE"""),"ENSINO MEDIO PARCIAL")</f>
        <v>ENSINO MEDIO PARCIAL</v>
      </c>
      <c r="I390" s="214">
        <f ca="1">IFERROR(__xludf.DUMMYFUNCTION("""COMPUTED_VALUE"""),1210)</f>
        <v>1210</v>
      </c>
      <c r="J390" s="209"/>
      <c r="K390" s="209"/>
      <c r="L390" s="209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9"/>
    </row>
    <row r="391" spans="1:26" ht="18.75" customHeight="1">
      <c r="A391" s="210" t="str">
        <f ca="1">IFERROR(__xludf.DUMMYFUNCTION("""COMPUTED_VALUE"""),"Dianópolis")</f>
        <v>Dianópolis</v>
      </c>
      <c r="B391" s="210" t="str">
        <f ca="1">IFERROR(__xludf.DUMMYFUNCTION("""COMPUTED_VALUE"""),"Rio da Conceicao")</f>
        <v>Rio da Conceicao</v>
      </c>
      <c r="C391" s="211" t="str">
        <f ca="1">IFERROR(__xludf.DUMMYFUNCTION("""COMPUTED_VALUE"""),"A.A. E. E.VIRGILIO FERREIRA DE FRANCA")</f>
        <v>A.A. E. E.VIRGILIO FERREIRA DE FRANCA</v>
      </c>
      <c r="D391" s="212" t="str">
        <f ca="1">IFERROR(__xludf.DUMMYFUNCTION("""COMPUTED_VALUE"""),"01136115000170")</f>
        <v>01136115000170</v>
      </c>
      <c r="E391" s="212" t="str">
        <f ca="1">IFERROR(__xludf.DUMMYFUNCTION("""COMPUTED_VALUE"""),"001")</f>
        <v>001</v>
      </c>
      <c r="F391" s="212" t="str">
        <f ca="1">IFERROR(__xludf.DUMMYFUNCTION("""COMPUTED_VALUE"""),"1307")</f>
        <v>1307</v>
      </c>
      <c r="G391" s="213" t="str">
        <f ca="1">IFERROR(__xludf.DUMMYFUNCTION("""COMPUTED_VALUE"""),"106305")</f>
        <v>106305</v>
      </c>
      <c r="H391" s="211" t="str">
        <f ca="1">IFERROR(__xludf.DUMMYFUNCTION("""COMPUTED_VALUE"""),"ENS FUND PARCIAL")</f>
        <v>ENS FUND PARCIAL</v>
      </c>
      <c r="I391" s="214">
        <f ca="1">IFERROR(__xludf.DUMMYFUNCTION("""COMPUTED_VALUE"""),1390)</f>
        <v>1390</v>
      </c>
      <c r="J391" s="209"/>
      <c r="K391" s="209"/>
      <c r="L391" s="209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9"/>
    </row>
    <row r="392" spans="1:26" ht="18.75" customHeight="1">
      <c r="A392" s="210" t="str">
        <f ca="1">IFERROR(__xludf.DUMMYFUNCTION("""COMPUTED_VALUE"""),"Dianópolis")</f>
        <v>Dianópolis</v>
      </c>
      <c r="B392" s="210" t="str">
        <f ca="1">IFERROR(__xludf.DUMMYFUNCTION("""COMPUTED_VALUE"""),"Rio da Conceicao")</f>
        <v>Rio da Conceicao</v>
      </c>
      <c r="C392" s="211" t="str">
        <f ca="1">IFERROR(__xludf.DUMMYFUNCTION("""COMPUTED_VALUE"""),"A.A. E. E.VIRGILIO FERREIRA DE FRANCA")</f>
        <v>A.A. E. E.VIRGILIO FERREIRA DE FRANCA</v>
      </c>
      <c r="D392" s="212" t="str">
        <f ca="1">IFERROR(__xludf.DUMMYFUNCTION("""COMPUTED_VALUE"""),"01136115000170")</f>
        <v>01136115000170</v>
      </c>
      <c r="E392" s="212" t="str">
        <f ca="1">IFERROR(__xludf.DUMMYFUNCTION("""COMPUTED_VALUE"""),"001")</f>
        <v>001</v>
      </c>
      <c r="F392" s="212" t="str">
        <f ca="1">IFERROR(__xludf.DUMMYFUNCTION("""COMPUTED_VALUE"""),"1307")</f>
        <v>1307</v>
      </c>
      <c r="G392" s="213" t="str">
        <f ca="1">IFERROR(__xludf.DUMMYFUNCTION("""COMPUTED_VALUE"""),"106305")</f>
        <v>106305</v>
      </c>
      <c r="H392" s="211" t="str">
        <f ca="1">IFERROR(__xludf.DUMMYFUNCTION("""COMPUTED_VALUE"""),"AEE")</f>
        <v>AEE</v>
      </c>
      <c r="I392" s="214">
        <f ca="1">IFERROR(__xludf.DUMMYFUNCTION("""COMPUTED_VALUE"""),95.2)</f>
        <v>95.2</v>
      </c>
      <c r="J392" s="209"/>
      <c r="K392" s="209"/>
      <c r="L392" s="209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9"/>
    </row>
    <row r="393" spans="1:26" ht="18.75" customHeight="1">
      <c r="A393" s="210" t="str">
        <f ca="1">IFERROR(__xludf.DUMMYFUNCTION("""COMPUTED_VALUE"""),"Dianópolis")</f>
        <v>Dianópolis</v>
      </c>
      <c r="B393" s="210" t="str">
        <f ca="1">IFERROR(__xludf.DUMMYFUNCTION("""COMPUTED_VALUE"""),"Rio da Conceicao")</f>
        <v>Rio da Conceicao</v>
      </c>
      <c r="C393" s="211" t="str">
        <f ca="1">IFERROR(__xludf.DUMMYFUNCTION("""COMPUTED_VALUE"""),"A.A. E. E.VIRGILIO FERREIRA DE FRANCA")</f>
        <v>A.A. E. E.VIRGILIO FERREIRA DE FRANCA</v>
      </c>
      <c r="D393" s="212" t="str">
        <f ca="1">IFERROR(__xludf.DUMMYFUNCTION("""COMPUTED_VALUE"""),"01136115000170")</f>
        <v>01136115000170</v>
      </c>
      <c r="E393" s="212" t="str">
        <f ca="1">IFERROR(__xludf.DUMMYFUNCTION("""COMPUTED_VALUE"""),"001")</f>
        <v>001</v>
      </c>
      <c r="F393" s="212" t="str">
        <f ca="1">IFERROR(__xludf.DUMMYFUNCTION("""COMPUTED_VALUE"""),"1307")</f>
        <v>1307</v>
      </c>
      <c r="G393" s="213" t="str">
        <f ca="1">IFERROR(__xludf.DUMMYFUNCTION("""COMPUTED_VALUE"""),"106305")</f>
        <v>106305</v>
      </c>
      <c r="H393" s="211" t="str">
        <f ca="1">IFERROR(__xludf.DUMMYFUNCTION("""COMPUTED_VALUE"""),"ENSINO MEDIO PARCIAL")</f>
        <v>ENSINO MEDIO PARCIAL</v>
      </c>
      <c r="I393" s="214">
        <f ca="1">IFERROR(__xludf.DUMMYFUNCTION("""COMPUTED_VALUE"""),650)</f>
        <v>650</v>
      </c>
      <c r="J393" s="209"/>
      <c r="K393" s="209"/>
      <c r="L393" s="209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9"/>
    </row>
    <row r="394" spans="1:26" ht="18.75" customHeight="1">
      <c r="A394" s="210" t="str">
        <f ca="1">IFERROR(__xludf.DUMMYFUNCTION("""COMPUTED_VALUE"""),"Dianópolis")</f>
        <v>Dianópolis</v>
      </c>
      <c r="B394" s="210" t="str">
        <f ca="1">IFERROR(__xludf.DUMMYFUNCTION("""COMPUTED_VALUE"""),"Taguatinga")</f>
        <v>Taguatinga</v>
      </c>
      <c r="C394" s="211" t="str">
        <f ca="1">IFERROR(__xludf.DUMMYFUNCTION("""COMPUTED_VALUE"""),"A.A. COL. EST. PROFESSOR AURELIANO")</f>
        <v>A.A. COL. EST. PROFESSOR AURELIANO</v>
      </c>
      <c r="D394" s="212" t="str">
        <f ca="1">IFERROR(__xludf.DUMMYFUNCTION("""COMPUTED_VALUE"""),"01133709000128")</f>
        <v>01133709000128</v>
      </c>
      <c r="E394" s="212" t="str">
        <f ca="1">IFERROR(__xludf.DUMMYFUNCTION("""COMPUTED_VALUE"""),"001")</f>
        <v>001</v>
      </c>
      <c r="F394" s="212" t="str">
        <f ca="1">IFERROR(__xludf.DUMMYFUNCTION("""COMPUTED_VALUE"""),"2704")</f>
        <v>2704</v>
      </c>
      <c r="G394" s="213" t="str">
        <f ca="1">IFERROR(__xludf.DUMMYFUNCTION("""COMPUTED_VALUE"""),"102717")</f>
        <v>102717</v>
      </c>
      <c r="H394" s="211" t="str">
        <f ca="1">IFERROR(__xludf.DUMMYFUNCTION("""COMPUTED_VALUE"""),"AEE")</f>
        <v>AEE</v>
      </c>
      <c r="I394" s="214">
        <f ca="1">IFERROR(__xludf.DUMMYFUNCTION("""COMPUTED_VALUE"""),149.6)</f>
        <v>149.6</v>
      </c>
      <c r="J394" s="209"/>
      <c r="K394" s="209"/>
      <c r="L394" s="209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9"/>
    </row>
    <row r="395" spans="1:26" ht="18.75" customHeight="1">
      <c r="A395" s="210" t="str">
        <f ca="1">IFERROR(__xludf.DUMMYFUNCTION("""COMPUTED_VALUE"""),"Dianópolis")</f>
        <v>Dianópolis</v>
      </c>
      <c r="B395" s="210" t="str">
        <f ca="1">IFERROR(__xludf.DUMMYFUNCTION("""COMPUTED_VALUE"""),"Taguatinga")</f>
        <v>Taguatinga</v>
      </c>
      <c r="C395" s="211" t="str">
        <f ca="1">IFERROR(__xludf.DUMMYFUNCTION("""COMPUTED_VALUE"""),"A.A. COL. EST. PROFESSOR AURELIANO")</f>
        <v>A.A. COL. EST. PROFESSOR AURELIANO</v>
      </c>
      <c r="D395" s="212" t="str">
        <f ca="1">IFERROR(__xludf.DUMMYFUNCTION("""COMPUTED_VALUE"""),"01133709000128")</f>
        <v>01133709000128</v>
      </c>
      <c r="E395" s="212" t="str">
        <f ca="1">IFERROR(__xludf.DUMMYFUNCTION("""COMPUTED_VALUE"""),"001")</f>
        <v>001</v>
      </c>
      <c r="F395" s="212" t="str">
        <f ca="1">IFERROR(__xludf.DUMMYFUNCTION("""COMPUTED_VALUE"""),"2704")</f>
        <v>2704</v>
      </c>
      <c r="G395" s="213" t="str">
        <f ca="1">IFERROR(__xludf.DUMMYFUNCTION("""COMPUTED_VALUE"""),"102717")</f>
        <v>102717</v>
      </c>
      <c r="H395" s="211" t="str">
        <f ca="1">IFERROR(__xludf.DUMMYFUNCTION("""COMPUTED_VALUE"""),"JOVEM AÇÃO")</f>
        <v>JOVEM AÇÃO</v>
      </c>
      <c r="I395" s="214">
        <f ca="1">IFERROR(__xludf.DUMMYFUNCTION("""COMPUTED_VALUE"""),6348.8)</f>
        <v>6348.8</v>
      </c>
      <c r="J395" s="209"/>
      <c r="K395" s="209"/>
      <c r="L395" s="209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9"/>
    </row>
    <row r="396" spans="1:26" ht="18.75" customHeight="1">
      <c r="A396" s="210" t="str">
        <f ca="1">IFERROR(__xludf.DUMMYFUNCTION("""COMPUTED_VALUE"""),"Dianópolis")</f>
        <v>Dianópolis</v>
      </c>
      <c r="B396" s="210" t="str">
        <f ca="1">IFERROR(__xludf.DUMMYFUNCTION("""COMPUTED_VALUE"""),"Taguatinga")</f>
        <v>Taguatinga</v>
      </c>
      <c r="C396" s="211" t="str">
        <f ca="1">IFERROR(__xludf.DUMMYFUNCTION("""COMPUTED_VALUE"""),"A.A.  ESCOLA EST. JUSTINO DE ALMEIDA")</f>
        <v>A.A.  ESCOLA EST. JUSTINO DE ALMEIDA</v>
      </c>
      <c r="D396" s="212" t="str">
        <f ca="1">IFERROR(__xludf.DUMMYFUNCTION("""COMPUTED_VALUE"""),"01184379000108")</f>
        <v>01184379000108</v>
      </c>
      <c r="E396" s="212" t="str">
        <f ca="1">IFERROR(__xludf.DUMMYFUNCTION("""COMPUTED_VALUE"""),"001")</f>
        <v>001</v>
      </c>
      <c r="F396" s="212" t="str">
        <f ca="1">IFERROR(__xludf.DUMMYFUNCTION("""COMPUTED_VALUE"""),"2704")</f>
        <v>2704</v>
      </c>
      <c r="G396" s="213" t="str">
        <f ca="1">IFERROR(__xludf.DUMMYFUNCTION("""COMPUTED_VALUE"""),"102563")</f>
        <v>102563</v>
      </c>
      <c r="H396" s="211" t="str">
        <f ca="1">IFERROR(__xludf.DUMMYFUNCTION("""COMPUTED_VALUE"""),"ENS FUND PARCIAL")</f>
        <v>ENS FUND PARCIAL</v>
      </c>
      <c r="I396" s="214">
        <f ca="1">IFERROR(__xludf.DUMMYFUNCTION("""COMPUTED_VALUE"""),2420)</f>
        <v>2420</v>
      </c>
      <c r="J396" s="209"/>
      <c r="K396" s="209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9"/>
    </row>
    <row r="397" spans="1:26" ht="18.75" customHeight="1">
      <c r="A397" s="210" t="str">
        <f ca="1">IFERROR(__xludf.DUMMYFUNCTION("""COMPUTED_VALUE"""),"Dianópolis")</f>
        <v>Dianópolis</v>
      </c>
      <c r="B397" s="210" t="str">
        <f ca="1">IFERROR(__xludf.DUMMYFUNCTION("""COMPUTED_VALUE"""),"Taguatinga")</f>
        <v>Taguatinga</v>
      </c>
      <c r="C397" s="211" t="str">
        <f ca="1">IFERROR(__xludf.DUMMYFUNCTION("""COMPUTED_VALUE"""),"A.A.  ESCOLA EST. JUSTINO DE ALMEIDA")</f>
        <v>A.A.  ESCOLA EST. JUSTINO DE ALMEIDA</v>
      </c>
      <c r="D397" s="212" t="str">
        <f ca="1">IFERROR(__xludf.DUMMYFUNCTION("""COMPUTED_VALUE"""),"01184379000108")</f>
        <v>01184379000108</v>
      </c>
      <c r="E397" s="212" t="str">
        <f ca="1">IFERROR(__xludf.DUMMYFUNCTION("""COMPUTED_VALUE"""),"001")</f>
        <v>001</v>
      </c>
      <c r="F397" s="212" t="str">
        <f ca="1">IFERROR(__xludf.DUMMYFUNCTION("""COMPUTED_VALUE"""),"2704")</f>
        <v>2704</v>
      </c>
      <c r="G397" s="213" t="str">
        <f ca="1">IFERROR(__xludf.DUMMYFUNCTION("""COMPUTED_VALUE"""),"102563")</f>
        <v>102563</v>
      </c>
      <c r="H397" s="211" t="str">
        <f ca="1">IFERROR(__xludf.DUMMYFUNCTION("""COMPUTED_VALUE"""),"AEE")</f>
        <v>AEE</v>
      </c>
      <c r="I397" s="214">
        <f ca="1">IFERROR(__xludf.DUMMYFUNCTION("""COMPUTED_VALUE"""),136)</f>
        <v>136</v>
      </c>
      <c r="J397" s="209"/>
      <c r="K397" s="209"/>
      <c r="L397" s="209"/>
      <c r="M397" s="209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9"/>
    </row>
    <row r="398" spans="1:26" ht="18.75" customHeight="1">
      <c r="A398" s="210" t="str">
        <f ca="1">IFERROR(__xludf.DUMMYFUNCTION("""COMPUTED_VALUE"""),"Dianópolis")</f>
        <v>Dianópolis</v>
      </c>
      <c r="B398" s="210" t="str">
        <f ca="1">IFERROR(__xludf.DUMMYFUNCTION("""COMPUTED_VALUE"""),"Taguatinga")</f>
        <v>Taguatinga</v>
      </c>
      <c r="C398" s="211" t="str">
        <f ca="1">IFERROR(__xludf.DUMMYFUNCTION("""COMPUTED_VALUE"""),"A.A.  ESCOLA EST. JUSTINO DE ALMEIDA")</f>
        <v>A.A.  ESCOLA EST. JUSTINO DE ALMEIDA</v>
      </c>
      <c r="D398" s="212" t="str">
        <f ca="1">IFERROR(__xludf.DUMMYFUNCTION("""COMPUTED_VALUE"""),"01184379000108")</f>
        <v>01184379000108</v>
      </c>
      <c r="E398" s="212" t="str">
        <f ca="1">IFERROR(__xludf.DUMMYFUNCTION("""COMPUTED_VALUE"""),"001")</f>
        <v>001</v>
      </c>
      <c r="F398" s="212" t="str">
        <f ca="1">IFERROR(__xludf.DUMMYFUNCTION("""COMPUTED_VALUE"""),"2704")</f>
        <v>2704</v>
      </c>
      <c r="G398" s="213" t="str">
        <f ca="1">IFERROR(__xludf.DUMMYFUNCTION("""COMPUTED_VALUE"""),"102563")</f>
        <v>102563</v>
      </c>
      <c r="H398" s="211" t="str">
        <f ca="1">IFERROR(__xludf.DUMMYFUNCTION("""COMPUTED_VALUE"""),"ENSINO MEDIO PARCIAL")</f>
        <v>ENSINO MEDIO PARCIAL</v>
      </c>
      <c r="I398" s="214">
        <f ca="1">IFERROR(__xludf.DUMMYFUNCTION("""COMPUTED_VALUE"""),3570)</f>
        <v>3570</v>
      </c>
      <c r="J398" s="209"/>
      <c r="K398" s="209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9"/>
    </row>
    <row r="399" spans="1:26" ht="18.75" customHeight="1">
      <c r="A399" s="210" t="str">
        <f ca="1">IFERROR(__xludf.DUMMYFUNCTION("""COMPUTED_VALUE"""),"Dianópolis")</f>
        <v>Dianópolis</v>
      </c>
      <c r="B399" s="210" t="str">
        <f ca="1">IFERROR(__xludf.DUMMYFUNCTION("""COMPUTED_VALUE"""),"Taguatinga")</f>
        <v>Taguatinga</v>
      </c>
      <c r="C399" s="211" t="str">
        <f ca="1">IFERROR(__xludf.DUMMYFUNCTION("""COMPUTED_VALUE"""),"A.A.  ESCOLA EST. JUSTINO DE ALMEIDA")</f>
        <v>A.A.  ESCOLA EST. JUSTINO DE ALMEIDA</v>
      </c>
      <c r="D399" s="212" t="str">
        <f ca="1">IFERROR(__xludf.DUMMYFUNCTION("""COMPUTED_VALUE"""),"01184379000108")</f>
        <v>01184379000108</v>
      </c>
      <c r="E399" s="212" t="str">
        <f ca="1">IFERROR(__xludf.DUMMYFUNCTION("""COMPUTED_VALUE"""),"001")</f>
        <v>001</v>
      </c>
      <c r="F399" s="212" t="str">
        <f ca="1">IFERROR(__xludf.DUMMYFUNCTION("""COMPUTED_VALUE"""),"2704")</f>
        <v>2704</v>
      </c>
      <c r="G399" s="213" t="str">
        <f ca="1">IFERROR(__xludf.DUMMYFUNCTION("""COMPUTED_VALUE"""),"102563")</f>
        <v>102563</v>
      </c>
      <c r="H399" s="211" t="str">
        <f ca="1">IFERROR(__xludf.DUMMYFUNCTION("""COMPUTED_VALUE"""),"EJA")</f>
        <v>EJA</v>
      </c>
      <c r="I399" s="214">
        <f ca="1">IFERROR(__xludf.DUMMYFUNCTION("""COMPUTED_VALUE"""),713.4)</f>
        <v>713.4</v>
      </c>
      <c r="J399" s="209"/>
      <c r="K399" s="209"/>
      <c r="L399" s="209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9"/>
    </row>
    <row r="400" spans="1:26" ht="18.75" customHeight="1">
      <c r="A400" s="210" t="str">
        <f ca="1">IFERROR(__xludf.DUMMYFUNCTION("""COMPUTED_VALUE"""),"Dianópolis")</f>
        <v>Dianópolis</v>
      </c>
      <c r="B400" s="210" t="str">
        <f ca="1">IFERROR(__xludf.DUMMYFUNCTION("""COMPUTED_VALUE"""),"Taguatinga")</f>
        <v>Taguatinga</v>
      </c>
      <c r="C400" s="211" t="str">
        <f ca="1">IFERROR(__xludf.DUMMYFUNCTION("""COMPUTED_VALUE"""),"A.A. ESC. EST. AGOSTINHO DE ALMEIDA")</f>
        <v>A.A. ESC. EST. AGOSTINHO DE ALMEIDA</v>
      </c>
      <c r="D400" s="212" t="str">
        <f ca="1">IFERROR(__xludf.DUMMYFUNCTION("""COMPUTED_VALUE"""),"01197159000100")</f>
        <v>01197159000100</v>
      </c>
      <c r="E400" s="212" t="str">
        <f ca="1">IFERROR(__xludf.DUMMYFUNCTION("""COMPUTED_VALUE"""),"001")</f>
        <v>001</v>
      </c>
      <c r="F400" s="212" t="str">
        <f ca="1">IFERROR(__xludf.DUMMYFUNCTION("""COMPUTED_VALUE"""),"2704")</f>
        <v>2704</v>
      </c>
      <c r="G400" s="213" t="str">
        <f ca="1">IFERROR(__xludf.DUMMYFUNCTION("""COMPUTED_VALUE"""),"102555")</f>
        <v>102555</v>
      </c>
      <c r="H400" s="211" t="str">
        <f ca="1">IFERROR(__xludf.DUMMYFUNCTION("""COMPUTED_VALUE"""),"ENS FUND PARCIAL")</f>
        <v>ENS FUND PARCIAL</v>
      </c>
      <c r="I400" s="214">
        <f ca="1">IFERROR(__xludf.DUMMYFUNCTION("""COMPUTED_VALUE"""),3180)</f>
        <v>3180</v>
      </c>
      <c r="J400" s="209"/>
      <c r="K400" s="209"/>
      <c r="L400" s="209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9"/>
    </row>
    <row r="401" spans="1:26" ht="18.75" customHeight="1">
      <c r="A401" s="210" t="str">
        <f ca="1">IFERROR(__xludf.DUMMYFUNCTION("""COMPUTED_VALUE"""),"Dianópolis")</f>
        <v>Dianópolis</v>
      </c>
      <c r="B401" s="210" t="str">
        <f ca="1">IFERROR(__xludf.DUMMYFUNCTION("""COMPUTED_VALUE"""),"Taguatinga")</f>
        <v>Taguatinga</v>
      </c>
      <c r="C401" s="211" t="str">
        <f ca="1">IFERROR(__xludf.DUMMYFUNCTION("""COMPUTED_VALUE"""),"A.A. ESC. EST. AGOSTINHO DE ALMEIDA")</f>
        <v>A.A. ESC. EST. AGOSTINHO DE ALMEIDA</v>
      </c>
      <c r="D401" s="212" t="str">
        <f ca="1">IFERROR(__xludf.DUMMYFUNCTION("""COMPUTED_VALUE"""),"01197159000100")</f>
        <v>01197159000100</v>
      </c>
      <c r="E401" s="212" t="str">
        <f ca="1">IFERROR(__xludf.DUMMYFUNCTION("""COMPUTED_VALUE"""),"001")</f>
        <v>001</v>
      </c>
      <c r="F401" s="212" t="str">
        <f ca="1">IFERROR(__xludf.DUMMYFUNCTION("""COMPUTED_VALUE"""),"2704")</f>
        <v>2704</v>
      </c>
      <c r="G401" s="213" t="str">
        <f ca="1">IFERROR(__xludf.DUMMYFUNCTION("""COMPUTED_VALUE"""),"102555")</f>
        <v>102555</v>
      </c>
      <c r="H401" s="211" t="str">
        <f ca="1">IFERROR(__xludf.DUMMYFUNCTION("""COMPUTED_VALUE"""),"AEE")</f>
        <v>AEE</v>
      </c>
      <c r="I401" s="214">
        <f ca="1">IFERROR(__xludf.DUMMYFUNCTION("""COMPUTED_VALUE"""),258.4)</f>
        <v>258.39999999999998</v>
      </c>
      <c r="J401" s="209"/>
      <c r="K401" s="209"/>
      <c r="L401" s="209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9"/>
    </row>
    <row r="402" spans="1:26" ht="18.75" customHeight="1">
      <c r="A402" s="210" t="str">
        <f ca="1">IFERROR(__xludf.DUMMYFUNCTION("""COMPUTED_VALUE"""),"Dianópolis")</f>
        <v>Dianópolis</v>
      </c>
      <c r="B402" s="210" t="str">
        <f ca="1">IFERROR(__xludf.DUMMYFUNCTION("""COMPUTED_VALUE"""),"Taipas do Tocantins")</f>
        <v>Taipas do Tocantins</v>
      </c>
      <c r="C402" s="211" t="str">
        <f ca="1">IFERROR(__xludf.DUMMYFUNCTION("""COMPUTED_VALUE"""),"A.A. E. EST. JOAQUIM FRANCISCO AZEVEDO")</f>
        <v>A.A. E. EST. JOAQUIM FRANCISCO AZEVEDO</v>
      </c>
      <c r="D402" s="212" t="str">
        <f ca="1">IFERROR(__xludf.DUMMYFUNCTION("""COMPUTED_VALUE"""),"01136011000166")</f>
        <v>01136011000166</v>
      </c>
      <c r="E402" s="212" t="str">
        <f ca="1">IFERROR(__xludf.DUMMYFUNCTION("""COMPUTED_VALUE"""),"001")</f>
        <v>001</v>
      </c>
      <c r="F402" s="212" t="str">
        <f ca="1">IFERROR(__xludf.DUMMYFUNCTION("""COMPUTED_VALUE"""),"1307")</f>
        <v>1307</v>
      </c>
      <c r="G402" s="213" t="str">
        <f ca="1">IFERROR(__xludf.DUMMYFUNCTION("""COMPUTED_VALUE"""),"0106291")</f>
        <v>0106291</v>
      </c>
      <c r="H402" s="211" t="str">
        <f ca="1">IFERROR(__xludf.DUMMYFUNCTION("""COMPUTED_VALUE"""),"ENS FUND PARCIAL")</f>
        <v>ENS FUND PARCIAL</v>
      </c>
      <c r="I402" s="214">
        <f ca="1">IFERROR(__xludf.DUMMYFUNCTION("""COMPUTED_VALUE"""),1670)</f>
        <v>1670</v>
      </c>
      <c r="J402" s="209"/>
      <c r="K402" s="209"/>
      <c r="L402" s="209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9"/>
    </row>
    <row r="403" spans="1:26" ht="18.75" customHeight="1">
      <c r="A403" s="210" t="str">
        <f ca="1">IFERROR(__xludf.DUMMYFUNCTION("""COMPUTED_VALUE"""),"Dianópolis")</f>
        <v>Dianópolis</v>
      </c>
      <c r="B403" s="210" t="str">
        <f ca="1">IFERROR(__xludf.DUMMYFUNCTION("""COMPUTED_VALUE"""),"Taipas do Tocantins")</f>
        <v>Taipas do Tocantins</v>
      </c>
      <c r="C403" s="211" t="str">
        <f ca="1">IFERROR(__xludf.DUMMYFUNCTION("""COMPUTED_VALUE"""),"A.A. E. EST. JOAQUIM FRANCISCO AZEVEDO")</f>
        <v>A.A. E. EST. JOAQUIM FRANCISCO AZEVEDO</v>
      </c>
      <c r="D403" s="212" t="str">
        <f ca="1">IFERROR(__xludf.DUMMYFUNCTION("""COMPUTED_VALUE"""),"01136011000166")</f>
        <v>01136011000166</v>
      </c>
      <c r="E403" s="212" t="str">
        <f ca="1">IFERROR(__xludf.DUMMYFUNCTION("""COMPUTED_VALUE"""),"001")</f>
        <v>001</v>
      </c>
      <c r="F403" s="212" t="str">
        <f ca="1">IFERROR(__xludf.DUMMYFUNCTION("""COMPUTED_VALUE"""),"1307")</f>
        <v>1307</v>
      </c>
      <c r="G403" s="213" t="str">
        <f ca="1">IFERROR(__xludf.DUMMYFUNCTION("""COMPUTED_VALUE"""),"0106291")</f>
        <v>0106291</v>
      </c>
      <c r="H403" s="211" t="str">
        <f ca="1">IFERROR(__xludf.DUMMYFUNCTION("""COMPUTED_VALUE"""),"AEE")</f>
        <v>AEE</v>
      </c>
      <c r="I403" s="214">
        <f ca="1">IFERROR(__xludf.DUMMYFUNCTION("""COMPUTED_VALUE"""),190.4)</f>
        <v>190.4</v>
      </c>
      <c r="J403" s="209"/>
      <c r="K403" s="209"/>
      <c r="L403" s="209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9"/>
    </row>
    <row r="404" spans="1:26" ht="18.75" customHeight="1">
      <c r="A404" s="210" t="str">
        <f ca="1">IFERROR(__xludf.DUMMYFUNCTION("""COMPUTED_VALUE"""),"Dianópolis")</f>
        <v>Dianópolis</v>
      </c>
      <c r="B404" s="210" t="str">
        <f ca="1">IFERROR(__xludf.DUMMYFUNCTION("""COMPUTED_VALUE"""),"Taipas do Tocantins")</f>
        <v>Taipas do Tocantins</v>
      </c>
      <c r="C404" s="211" t="str">
        <f ca="1">IFERROR(__xludf.DUMMYFUNCTION("""COMPUTED_VALUE"""),"A.A. E. EST. JOAQUIM FRANCISCO AZEVEDO")</f>
        <v>A.A. E. EST. JOAQUIM FRANCISCO AZEVEDO</v>
      </c>
      <c r="D404" s="212" t="str">
        <f ca="1">IFERROR(__xludf.DUMMYFUNCTION("""COMPUTED_VALUE"""),"01136011000166")</f>
        <v>01136011000166</v>
      </c>
      <c r="E404" s="212" t="str">
        <f ca="1">IFERROR(__xludf.DUMMYFUNCTION("""COMPUTED_VALUE"""),"001")</f>
        <v>001</v>
      </c>
      <c r="F404" s="212" t="str">
        <f ca="1">IFERROR(__xludf.DUMMYFUNCTION("""COMPUTED_VALUE"""),"1307")</f>
        <v>1307</v>
      </c>
      <c r="G404" s="213" t="str">
        <f ca="1">IFERROR(__xludf.DUMMYFUNCTION("""COMPUTED_VALUE"""),"0106291")</f>
        <v>0106291</v>
      </c>
      <c r="H404" s="211" t="str">
        <f ca="1">IFERROR(__xludf.DUMMYFUNCTION("""COMPUTED_VALUE"""),"ENSINO MEDIO PARCIAL")</f>
        <v>ENSINO MEDIO PARCIAL</v>
      </c>
      <c r="I404" s="214">
        <f ca="1">IFERROR(__xludf.DUMMYFUNCTION("""COMPUTED_VALUE"""),660)</f>
        <v>660</v>
      </c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</row>
    <row r="405" spans="1:26" ht="18.75" customHeight="1">
      <c r="A405" s="210" t="str">
        <f ca="1">IFERROR(__xludf.DUMMYFUNCTION("""COMPUTED_VALUE"""),"Dianópolis")</f>
        <v>Dianópolis</v>
      </c>
      <c r="B405" s="210" t="str">
        <f ca="1">IFERROR(__xludf.DUMMYFUNCTION("""COMPUTED_VALUE"""),"Taipas do Tocantins")</f>
        <v>Taipas do Tocantins</v>
      </c>
      <c r="C405" s="211" t="str">
        <f ca="1">IFERROR(__xludf.DUMMYFUNCTION("""COMPUTED_VALUE"""),"A.A. E. EST. JOAQUIM FRANCISCO AZEVEDO")</f>
        <v>A.A. E. EST. JOAQUIM FRANCISCO AZEVEDO</v>
      </c>
      <c r="D405" s="212" t="str">
        <f ca="1">IFERROR(__xludf.DUMMYFUNCTION("""COMPUTED_VALUE"""),"01136011000166")</f>
        <v>01136011000166</v>
      </c>
      <c r="E405" s="212" t="str">
        <f ca="1">IFERROR(__xludf.DUMMYFUNCTION("""COMPUTED_VALUE"""),"001")</f>
        <v>001</v>
      </c>
      <c r="F405" s="212" t="str">
        <f ca="1">IFERROR(__xludf.DUMMYFUNCTION("""COMPUTED_VALUE"""),"1307")</f>
        <v>1307</v>
      </c>
      <c r="G405" s="213" t="str">
        <f ca="1">IFERROR(__xludf.DUMMYFUNCTION("""COMPUTED_VALUE"""),"0106291")</f>
        <v>0106291</v>
      </c>
      <c r="H405" s="211" t="str">
        <f ca="1">IFERROR(__xludf.DUMMYFUNCTION("""COMPUTED_VALUE"""),"EJA")</f>
        <v>EJA</v>
      </c>
      <c r="I405" s="214">
        <f ca="1">IFERROR(__xludf.DUMMYFUNCTION("""COMPUTED_VALUE"""),155.799999999999)</f>
        <v>155.79999999999899</v>
      </c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</row>
    <row r="406" spans="1:26" ht="18.75" customHeight="1">
      <c r="A406" s="210" t="str">
        <f ca="1">IFERROR(__xludf.DUMMYFUNCTION("""COMPUTED_VALUE"""),"Guaraí")</f>
        <v>Guaraí</v>
      </c>
      <c r="B406" s="210" t="str">
        <f ca="1">IFERROR(__xludf.DUMMYFUNCTION("""COMPUTED_VALUE"""),"Colmeia")</f>
        <v>Colmeia</v>
      </c>
      <c r="C406" s="211" t="str">
        <f ca="1">IFERROR(__xludf.DUMMYFUNCTION("""COMPUTED_VALUE"""),"A.A. ESC. EST. JUSCELINO K. DE OLIVEIRA")</f>
        <v>A.A. ESC. EST. JUSCELINO K. DE OLIVEIRA</v>
      </c>
      <c r="D406" s="212" t="str">
        <f ca="1">IFERROR(__xludf.DUMMYFUNCTION("""COMPUTED_VALUE"""),"01138328000131")</f>
        <v>01138328000131</v>
      </c>
      <c r="E406" s="212" t="str">
        <f ca="1">IFERROR(__xludf.DUMMYFUNCTION("""COMPUTED_VALUE"""),"001")</f>
        <v>001</v>
      </c>
      <c r="F406" s="212" t="str">
        <f ca="1">IFERROR(__xludf.DUMMYFUNCTION("""COMPUTED_VALUE"""),"1306")</f>
        <v>1306</v>
      </c>
      <c r="G406" s="213" t="str">
        <f ca="1">IFERROR(__xludf.DUMMYFUNCTION("""COMPUTED_VALUE"""),"102768")</f>
        <v>102768</v>
      </c>
      <c r="H406" s="211" t="str">
        <f ca="1">IFERROR(__xludf.DUMMYFUNCTION("""COMPUTED_VALUE"""),"ENS FUND PARCIAL")</f>
        <v>ENS FUND PARCIAL</v>
      </c>
      <c r="I406" s="214">
        <f ca="1">IFERROR(__xludf.DUMMYFUNCTION("""COMPUTED_VALUE"""),260)</f>
        <v>260</v>
      </c>
      <c r="J406" s="20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</row>
    <row r="407" spans="1:26" ht="18.75" customHeight="1">
      <c r="A407" s="210" t="str">
        <f ca="1">IFERROR(__xludf.DUMMYFUNCTION("""COMPUTED_VALUE"""),"Guaraí")</f>
        <v>Guaraí</v>
      </c>
      <c r="B407" s="210" t="str">
        <f ca="1">IFERROR(__xludf.DUMMYFUNCTION("""COMPUTED_VALUE"""),"Colmeia")</f>
        <v>Colmeia</v>
      </c>
      <c r="C407" s="211" t="str">
        <f ca="1">IFERROR(__xludf.DUMMYFUNCTION("""COMPUTED_VALUE"""),"A.A. ESC. EST. JUSCELINO K. DE OLIVEIRA")</f>
        <v>A.A. ESC. EST. JUSCELINO K. DE OLIVEIRA</v>
      </c>
      <c r="D407" s="212" t="str">
        <f ca="1">IFERROR(__xludf.DUMMYFUNCTION("""COMPUTED_VALUE"""),"01138328000131")</f>
        <v>01138328000131</v>
      </c>
      <c r="E407" s="212" t="str">
        <f ca="1">IFERROR(__xludf.DUMMYFUNCTION("""COMPUTED_VALUE"""),"001")</f>
        <v>001</v>
      </c>
      <c r="F407" s="212" t="str">
        <f ca="1">IFERROR(__xludf.DUMMYFUNCTION("""COMPUTED_VALUE"""),"1306")</f>
        <v>1306</v>
      </c>
      <c r="G407" s="213" t="str">
        <f ca="1">IFERROR(__xludf.DUMMYFUNCTION("""COMPUTED_VALUE"""),"102768")</f>
        <v>102768</v>
      </c>
      <c r="H407" s="211" t="str">
        <f ca="1">IFERROR(__xludf.DUMMYFUNCTION("""COMPUTED_VALUE"""),"ENSINO MEDIO PARCIAL")</f>
        <v>ENSINO MEDIO PARCIAL</v>
      </c>
      <c r="I407" s="214">
        <f ca="1">IFERROR(__xludf.DUMMYFUNCTION("""COMPUTED_VALUE"""),210)</f>
        <v>210</v>
      </c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</row>
    <row r="408" spans="1:26" ht="18.75" customHeight="1">
      <c r="A408" s="210" t="str">
        <f ca="1">IFERROR(__xludf.DUMMYFUNCTION("""COMPUTED_VALUE"""),"Guaraí")</f>
        <v>Guaraí</v>
      </c>
      <c r="B408" s="210" t="str">
        <f ca="1">IFERROR(__xludf.DUMMYFUNCTION("""COMPUTED_VALUE"""),"Colmeia")</f>
        <v>Colmeia</v>
      </c>
      <c r="C408" s="211" t="str">
        <f ca="1">IFERROR(__xludf.DUMMYFUNCTION("""COMPUTED_VALUE"""),"A.A.  COL. EST. SERRA DAS CORDILHEIRAS")</f>
        <v>A.A.  COL. EST. SERRA DAS CORDILHEIRAS</v>
      </c>
      <c r="D408" s="212" t="str">
        <f ca="1">IFERROR(__xludf.DUMMYFUNCTION("""COMPUTED_VALUE"""),"01138330000100")</f>
        <v>01138330000100</v>
      </c>
      <c r="E408" s="212" t="str">
        <f ca="1">IFERROR(__xludf.DUMMYFUNCTION("""COMPUTED_VALUE"""),"001")</f>
        <v>001</v>
      </c>
      <c r="F408" s="212" t="str">
        <f ca="1">IFERROR(__xludf.DUMMYFUNCTION("""COMPUTED_VALUE"""),"1306")</f>
        <v>1306</v>
      </c>
      <c r="G408" s="213" t="str">
        <f ca="1">IFERROR(__xludf.DUMMYFUNCTION("""COMPUTED_VALUE"""),"102776")</f>
        <v>102776</v>
      </c>
      <c r="H408" s="211" t="str">
        <f ca="1">IFERROR(__xludf.DUMMYFUNCTION("""COMPUTED_VALUE"""),"ENS FUND PARCIAL")</f>
        <v>ENS FUND PARCIAL</v>
      </c>
      <c r="I408" s="214">
        <f ca="1">IFERROR(__xludf.DUMMYFUNCTION("""COMPUTED_VALUE"""),3560)</f>
        <v>3560</v>
      </c>
      <c r="J408" s="209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</row>
    <row r="409" spans="1:26" ht="18.75" customHeight="1">
      <c r="A409" s="210" t="str">
        <f ca="1">IFERROR(__xludf.DUMMYFUNCTION("""COMPUTED_VALUE"""),"Guaraí")</f>
        <v>Guaraí</v>
      </c>
      <c r="B409" s="210" t="str">
        <f ca="1">IFERROR(__xludf.DUMMYFUNCTION("""COMPUTED_VALUE"""),"Colmeia")</f>
        <v>Colmeia</v>
      </c>
      <c r="C409" s="211" t="str">
        <f ca="1">IFERROR(__xludf.DUMMYFUNCTION("""COMPUTED_VALUE"""),"A.A.  COL. EST. SERRA DAS CORDILHEIRAS")</f>
        <v>A.A.  COL. EST. SERRA DAS CORDILHEIRAS</v>
      </c>
      <c r="D409" s="212" t="str">
        <f ca="1">IFERROR(__xludf.DUMMYFUNCTION("""COMPUTED_VALUE"""),"01138330000100")</f>
        <v>01138330000100</v>
      </c>
      <c r="E409" s="212" t="str">
        <f ca="1">IFERROR(__xludf.DUMMYFUNCTION("""COMPUTED_VALUE"""),"001")</f>
        <v>001</v>
      </c>
      <c r="F409" s="212" t="str">
        <f ca="1">IFERROR(__xludf.DUMMYFUNCTION("""COMPUTED_VALUE"""),"1306")</f>
        <v>1306</v>
      </c>
      <c r="G409" s="213" t="str">
        <f ca="1">IFERROR(__xludf.DUMMYFUNCTION("""COMPUTED_VALUE"""),"102776")</f>
        <v>102776</v>
      </c>
      <c r="H409" s="211" t="str">
        <f ca="1">IFERROR(__xludf.DUMMYFUNCTION("""COMPUTED_VALUE"""),"AEE")</f>
        <v>AEE</v>
      </c>
      <c r="I409" s="214">
        <f ca="1">IFERROR(__xludf.DUMMYFUNCTION("""COMPUTED_VALUE"""),489.599999999999)</f>
        <v>489.599999999999</v>
      </c>
      <c r="J409" s="209"/>
      <c r="K409" s="209"/>
      <c r="L409" s="209"/>
      <c r="M409" s="209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9"/>
    </row>
    <row r="410" spans="1:26" ht="18.75" customHeight="1">
      <c r="A410" s="210" t="str">
        <f ca="1">IFERROR(__xludf.DUMMYFUNCTION("""COMPUTED_VALUE"""),"Guaraí")</f>
        <v>Guaraí</v>
      </c>
      <c r="B410" s="210" t="str">
        <f ca="1">IFERROR(__xludf.DUMMYFUNCTION("""COMPUTED_VALUE"""),"Colmeia")</f>
        <v>Colmeia</v>
      </c>
      <c r="C410" s="211" t="str">
        <f ca="1">IFERROR(__xludf.DUMMYFUNCTION("""COMPUTED_VALUE"""),"A.A.  COL. EST. SERRA DAS CORDILHEIRAS")</f>
        <v>A.A.  COL. EST. SERRA DAS CORDILHEIRAS</v>
      </c>
      <c r="D410" s="212" t="str">
        <f ca="1">IFERROR(__xludf.DUMMYFUNCTION("""COMPUTED_VALUE"""),"01138330000100")</f>
        <v>01138330000100</v>
      </c>
      <c r="E410" s="212" t="str">
        <f ca="1">IFERROR(__xludf.DUMMYFUNCTION("""COMPUTED_VALUE"""),"001")</f>
        <v>001</v>
      </c>
      <c r="F410" s="212" t="str">
        <f ca="1">IFERROR(__xludf.DUMMYFUNCTION("""COMPUTED_VALUE"""),"1306")</f>
        <v>1306</v>
      </c>
      <c r="G410" s="213" t="str">
        <f ca="1">IFERROR(__xludf.DUMMYFUNCTION("""COMPUTED_VALUE"""),"102776")</f>
        <v>102776</v>
      </c>
      <c r="H410" s="211" t="str">
        <f ca="1">IFERROR(__xludf.DUMMYFUNCTION("""COMPUTED_VALUE"""),"ENSINO MEDIO PARCIAL")</f>
        <v>ENSINO MEDIO PARCIAL</v>
      </c>
      <c r="I410" s="214">
        <f ca="1">IFERROR(__xludf.DUMMYFUNCTION("""COMPUTED_VALUE"""),5180)</f>
        <v>5180</v>
      </c>
      <c r="J410" s="209"/>
      <c r="K410" s="209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9"/>
    </row>
    <row r="411" spans="1:26" ht="18.75" customHeight="1">
      <c r="A411" s="210" t="str">
        <f ca="1">IFERROR(__xludf.DUMMYFUNCTION("""COMPUTED_VALUE"""),"Guaraí")</f>
        <v>Guaraí</v>
      </c>
      <c r="B411" s="210" t="str">
        <f ca="1">IFERROR(__xludf.DUMMYFUNCTION("""COMPUTED_VALUE"""),"Colmeia")</f>
        <v>Colmeia</v>
      </c>
      <c r="C411" s="211" t="str">
        <f ca="1">IFERROR(__xludf.DUMMYFUNCTION("""COMPUTED_VALUE"""),"A.A.  COL. EST. SERRA DAS CORDILHEIRAS")</f>
        <v>A.A.  COL. EST. SERRA DAS CORDILHEIRAS</v>
      </c>
      <c r="D411" s="212" t="str">
        <f ca="1">IFERROR(__xludf.DUMMYFUNCTION("""COMPUTED_VALUE"""),"01138330000100")</f>
        <v>01138330000100</v>
      </c>
      <c r="E411" s="212" t="str">
        <f ca="1">IFERROR(__xludf.DUMMYFUNCTION("""COMPUTED_VALUE"""),"001")</f>
        <v>001</v>
      </c>
      <c r="F411" s="212" t="str">
        <f ca="1">IFERROR(__xludf.DUMMYFUNCTION("""COMPUTED_VALUE"""),"1306")</f>
        <v>1306</v>
      </c>
      <c r="G411" s="213" t="str">
        <f ca="1">IFERROR(__xludf.DUMMYFUNCTION("""COMPUTED_VALUE"""),"102776")</f>
        <v>102776</v>
      </c>
      <c r="H411" s="211" t="str">
        <f ca="1">IFERROR(__xludf.DUMMYFUNCTION("""COMPUTED_VALUE"""),"EJA")</f>
        <v>EJA</v>
      </c>
      <c r="I411" s="214">
        <f ca="1">IFERROR(__xludf.DUMMYFUNCTION("""COMPUTED_VALUE"""),131.2)</f>
        <v>131.19999999999999</v>
      </c>
      <c r="J411" s="209"/>
      <c r="K411" s="209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9"/>
    </row>
    <row r="412" spans="1:26" ht="18.75" customHeight="1">
      <c r="A412" s="210" t="str">
        <f ca="1">IFERROR(__xludf.DUMMYFUNCTION("""COMPUTED_VALUE"""),"Guaraí")</f>
        <v>Guaraí</v>
      </c>
      <c r="B412" s="210" t="str">
        <f ca="1">IFERROR(__xludf.DUMMYFUNCTION("""COMPUTED_VALUE"""),"Colmeia")</f>
        <v>Colmeia</v>
      </c>
      <c r="C412" s="211" t="str">
        <f ca="1">IFERROR(__xludf.DUMMYFUNCTION("""COMPUTED_VALUE"""),"A.A. ESC. EST. ARY RIBEIRO VALADAO FILHO")</f>
        <v>A.A. ESC. EST. ARY RIBEIRO VALADAO FILHO</v>
      </c>
      <c r="D412" s="212" t="str">
        <f ca="1">IFERROR(__xludf.DUMMYFUNCTION("""COMPUTED_VALUE"""),"01138331000155")</f>
        <v>01138331000155</v>
      </c>
      <c r="E412" s="212" t="str">
        <f ca="1">IFERROR(__xludf.DUMMYFUNCTION("""COMPUTED_VALUE"""),"001")</f>
        <v>001</v>
      </c>
      <c r="F412" s="212" t="str">
        <f ca="1">IFERROR(__xludf.DUMMYFUNCTION("""COMPUTED_VALUE"""),"1306")</f>
        <v>1306</v>
      </c>
      <c r="G412" s="213" t="str">
        <f ca="1">IFERROR(__xludf.DUMMYFUNCTION("""COMPUTED_VALUE"""),"102806")</f>
        <v>102806</v>
      </c>
      <c r="H412" s="211" t="str">
        <f ca="1">IFERROR(__xludf.DUMMYFUNCTION("""COMPUTED_VALUE"""),"ENS FUND PARCIAL")</f>
        <v>ENS FUND PARCIAL</v>
      </c>
      <c r="I412" s="214">
        <f ca="1">IFERROR(__xludf.DUMMYFUNCTION("""COMPUTED_VALUE"""),1850)</f>
        <v>1850</v>
      </c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</row>
    <row r="413" spans="1:26" ht="18.75" customHeight="1">
      <c r="A413" s="210" t="str">
        <f ca="1">IFERROR(__xludf.DUMMYFUNCTION("""COMPUTED_VALUE"""),"Guaraí")</f>
        <v>Guaraí</v>
      </c>
      <c r="B413" s="210" t="str">
        <f ca="1">IFERROR(__xludf.DUMMYFUNCTION("""COMPUTED_VALUE"""),"Colmeia")</f>
        <v>Colmeia</v>
      </c>
      <c r="C413" s="211" t="str">
        <f ca="1">IFERROR(__xludf.DUMMYFUNCTION("""COMPUTED_VALUE"""),"A.A. ESC. EST. ARY RIBEIRO VALADAO FILHO")</f>
        <v>A.A. ESC. EST. ARY RIBEIRO VALADAO FILHO</v>
      </c>
      <c r="D413" s="212" t="str">
        <f ca="1">IFERROR(__xludf.DUMMYFUNCTION("""COMPUTED_VALUE"""),"01138331000155")</f>
        <v>01138331000155</v>
      </c>
      <c r="E413" s="212" t="str">
        <f ca="1">IFERROR(__xludf.DUMMYFUNCTION("""COMPUTED_VALUE"""),"001")</f>
        <v>001</v>
      </c>
      <c r="F413" s="212" t="str">
        <f ca="1">IFERROR(__xludf.DUMMYFUNCTION("""COMPUTED_VALUE"""),"1306")</f>
        <v>1306</v>
      </c>
      <c r="G413" s="213" t="str">
        <f ca="1">IFERROR(__xludf.DUMMYFUNCTION("""COMPUTED_VALUE"""),"102806")</f>
        <v>102806</v>
      </c>
      <c r="H413" s="211" t="str">
        <f ca="1">IFERROR(__xludf.DUMMYFUNCTION("""COMPUTED_VALUE"""),"AEE")</f>
        <v>AEE</v>
      </c>
      <c r="I413" s="214">
        <f ca="1">IFERROR(__xludf.DUMMYFUNCTION("""COMPUTED_VALUE"""),122.399999999999)</f>
        <v>122.399999999999</v>
      </c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</row>
    <row r="414" spans="1:26" ht="18.75" customHeight="1">
      <c r="A414" s="210" t="str">
        <f ca="1">IFERROR(__xludf.DUMMYFUNCTION("""COMPUTED_VALUE"""),"Guaraí")</f>
        <v>Guaraí</v>
      </c>
      <c r="B414" s="210" t="str">
        <f ca="1">IFERROR(__xludf.DUMMYFUNCTION("""COMPUTED_VALUE"""),"Colmeia")</f>
        <v>Colmeia</v>
      </c>
      <c r="C414" s="211" t="str">
        <f ca="1">IFERROR(__xludf.DUMMYFUNCTION("""COMPUTED_VALUE"""),"A.A. ESC. EST. ARY RIBEIRO VALADAO FILHO")</f>
        <v>A.A. ESC. EST. ARY RIBEIRO VALADAO FILHO</v>
      </c>
      <c r="D414" s="212" t="str">
        <f ca="1">IFERROR(__xludf.DUMMYFUNCTION("""COMPUTED_VALUE"""),"01138331000155")</f>
        <v>01138331000155</v>
      </c>
      <c r="E414" s="212" t="str">
        <f ca="1">IFERROR(__xludf.DUMMYFUNCTION("""COMPUTED_VALUE"""),"001")</f>
        <v>001</v>
      </c>
      <c r="F414" s="212" t="str">
        <f ca="1">IFERROR(__xludf.DUMMYFUNCTION("""COMPUTED_VALUE"""),"1306")</f>
        <v>1306</v>
      </c>
      <c r="G414" s="213" t="str">
        <f ca="1">IFERROR(__xludf.DUMMYFUNCTION("""COMPUTED_VALUE"""),"102806")</f>
        <v>102806</v>
      </c>
      <c r="H414" s="211" t="str">
        <f ca="1">IFERROR(__xludf.DUMMYFUNCTION("""COMPUTED_VALUE"""),"ENSINO MEDIO PARCIAL")</f>
        <v>ENSINO MEDIO PARCIAL</v>
      </c>
      <c r="I414" s="214">
        <f ca="1">IFERROR(__xludf.DUMMYFUNCTION("""COMPUTED_VALUE"""),330)</f>
        <v>330</v>
      </c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</row>
    <row r="415" spans="1:26" ht="18.75" customHeight="1">
      <c r="A415" s="210" t="str">
        <f ca="1">IFERROR(__xludf.DUMMYFUNCTION("""COMPUTED_VALUE"""),"Guaraí")</f>
        <v>Guaraí</v>
      </c>
      <c r="B415" s="210" t="str">
        <f ca="1">IFERROR(__xludf.DUMMYFUNCTION("""COMPUTED_VALUE"""),"Colmeia")</f>
        <v>Colmeia</v>
      </c>
      <c r="C415" s="211" t="str">
        <f ca="1">IFERROR(__xludf.DUMMYFUNCTION("""COMPUTED_VALUE"""),"A..A. ESC. ESPECIAL  FILHOS DA LUZ")</f>
        <v>A..A. ESC. ESPECIAL  FILHOS DA LUZ</v>
      </c>
      <c r="D415" s="212" t="str">
        <f ca="1">IFERROR(__xludf.DUMMYFUNCTION("""COMPUTED_VALUE"""),"07921086000134")</f>
        <v>07921086000134</v>
      </c>
      <c r="E415" s="212" t="str">
        <f ca="1">IFERROR(__xludf.DUMMYFUNCTION("""COMPUTED_VALUE"""),"001")</f>
        <v>001</v>
      </c>
      <c r="F415" s="212" t="str">
        <f ca="1">IFERROR(__xludf.DUMMYFUNCTION("""COMPUTED_VALUE"""),"1306")</f>
        <v>1306</v>
      </c>
      <c r="G415" s="213" t="str">
        <f ca="1">IFERROR(__xludf.DUMMYFUNCTION("""COMPUTED_VALUE"""),"167940")</f>
        <v>167940</v>
      </c>
      <c r="H415" s="211" t="str">
        <f ca="1">IFERROR(__xludf.DUMMYFUNCTION("""COMPUTED_VALUE"""),"PRÉ-ESCOLA")</f>
        <v>PRÉ-ESCOLA</v>
      </c>
      <c r="I415" s="214">
        <f ca="1">IFERROR(__xludf.DUMMYFUNCTION("""COMPUTED_VALUE"""),144)</f>
        <v>144</v>
      </c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</row>
    <row r="416" spans="1:26" ht="18.75" customHeight="1">
      <c r="A416" s="210" t="str">
        <f ca="1">IFERROR(__xludf.DUMMYFUNCTION("""COMPUTED_VALUE"""),"Guaraí")</f>
        <v>Guaraí</v>
      </c>
      <c r="B416" s="210" t="str">
        <f ca="1">IFERROR(__xludf.DUMMYFUNCTION("""COMPUTED_VALUE"""),"Colmeia")</f>
        <v>Colmeia</v>
      </c>
      <c r="C416" s="211" t="str">
        <f ca="1">IFERROR(__xludf.DUMMYFUNCTION("""COMPUTED_VALUE"""),"A..A. ESC. ESPECIAL  FILHOS DA LUZ")</f>
        <v>A..A. ESC. ESPECIAL  FILHOS DA LUZ</v>
      </c>
      <c r="D416" s="212" t="str">
        <f ca="1">IFERROR(__xludf.DUMMYFUNCTION("""COMPUTED_VALUE"""),"07921086000134")</f>
        <v>07921086000134</v>
      </c>
      <c r="E416" s="212" t="str">
        <f ca="1">IFERROR(__xludf.DUMMYFUNCTION("""COMPUTED_VALUE"""),"001")</f>
        <v>001</v>
      </c>
      <c r="F416" s="212" t="str">
        <f ca="1">IFERROR(__xludf.DUMMYFUNCTION("""COMPUTED_VALUE"""),"1306")</f>
        <v>1306</v>
      </c>
      <c r="G416" s="213" t="str">
        <f ca="1">IFERROR(__xludf.DUMMYFUNCTION("""COMPUTED_VALUE"""),"167940")</f>
        <v>167940</v>
      </c>
      <c r="H416" s="211" t="str">
        <f ca="1">IFERROR(__xludf.DUMMYFUNCTION("""COMPUTED_VALUE"""),"AEE")</f>
        <v>AEE</v>
      </c>
      <c r="I416" s="214">
        <f ca="1">IFERROR(__xludf.DUMMYFUNCTION("""COMPUTED_VALUE"""),258.4)</f>
        <v>258.39999999999998</v>
      </c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</row>
    <row r="417" spans="1:26" ht="18.75" customHeight="1">
      <c r="A417" s="210" t="str">
        <f ca="1">IFERROR(__xludf.DUMMYFUNCTION("""COMPUTED_VALUE"""),"Guaraí")</f>
        <v>Guaraí</v>
      </c>
      <c r="B417" s="210" t="str">
        <f ca="1">IFERROR(__xludf.DUMMYFUNCTION("""COMPUTED_VALUE"""),"Colmeia")</f>
        <v>Colmeia</v>
      </c>
      <c r="C417" s="211" t="str">
        <f ca="1">IFERROR(__xludf.DUMMYFUNCTION("""COMPUTED_VALUE"""),"A..A. ESC. ESPECIAL  FILHOS DA LUZ")</f>
        <v>A..A. ESC. ESPECIAL  FILHOS DA LUZ</v>
      </c>
      <c r="D417" s="212" t="str">
        <f ca="1">IFERROR(__xludf.DUMMYFUNCTION("""COMPUTED_VALUE"""),"07921086000134")</f>
        <v>07921086000134</v>
      </c>
      <c r="E417" s="212" t="str">
        <f ca="1">IFERROR(__xludf.DUMMYFUNCTION("""COMPUTED_VALUE"""),"001")</f>
        <v>001</v>
      </c>
      <c r="F417" s="212" t="str">
        <f ca="1">IFERROR(__xludf.DUMMYFUNCTION("""COMPUTED_VALUE"""),"1306")</f>
        <v>1306</v>
      </c>
      <c r="G417" s="213" t="str">
        <f ca="1">IFERROR(__xludf.DUMMYFUNCTION("""COMPUTED_VALUE"""),"167940")</f>
        <v>167940</v>
      </c>
      <c r="H417" s="211" t="str">
        <f ca="1">IFERROR(__xludf.DUMMYFUNCTION("""COMPUTED_VALUE"""),"EJA")</f>
        <v>EJA</v>
      </c>
      <c r="I417" s="214">
        <f ca="1">IFERROR(__xludf.DUMMYFUNCTION("""COMPUTED_VALUE"""),762.599999999999)</f>
        <v>762.599999999999</v>
      </c>
      <c r="J417" s="209"/>
      <c r="K417" s="209"/>
      <c r="L417" s="209"/>
      <c r="M417" s="209"/>
      <c r="N417" s="209"/>
      <c r="O417" s="209"/>
      <c r="P417" s="209"/>
      <c r="Q417" s="209"/>
      <c r="R417" s="209"/>
      <c r="S417" s="209"/>
      <c r="T417" s="209"/>
      <c r="U417" s="209"/>
      <c r="V417" s="209"/>
      <c r="W417" s="209"/>
      <c r="X417" s="209"/>
      <c r="Y417" s="209"/>
      <c r="Z417" s="209"/>
    </row>
    <row r="418" spans="1:26" ht="18.75" customHeight="1">
      <c r="A418" s="210" t="str">
        <f ca="1">IFERROR(__xludf.DUMMYFUNCTION("""COMPUTED_VALUE"""),"Guaraí")</f>
        <v>Guaraí</v>
      </c>
      <c r="B418" s="210" t="str">
        <f ca="1">IFERROR(__xludf.DUMMYFUNCTION("""COMPUTED_VALUE"""),"Couto Magalhaes")</f>
        <v>Couto Magalhaes</v>
      </c>
      <c r="C418" s="211" t="str">
        <f ca="1">IFERROR(__xludf.DUMMYFUNCTION("""COMPUTED_VALUE"""),"A.A. COL. EST. ARCHANGELA MILHOMEM")</f>
        <v>A.A. COL. EST. ARCHANGELA MILHOMEM</v>
      </c>
      <c r="D418" s="212" t="str">
        <f ca="1">IFERROR(__xludf.DUMMYFUNCTION("""COMPUTED_VALUE"""),"01138334000199")</f>
        <v>01138334000199</v>
      </c>
      <c r="E418" s="212" t="str">
        <f ca="1">IFERROR(__xludf.DUMMYFUNCTION("""COMPUTED_VALUE"""),"001")</f>
        <v>001</v>
      </c>
      <c r="F418" s="212" t="str">
        <f ca="1">IFERROR(__xludf.DUMMYFUNCTION("""COMPUTED_VALUE"""),"2094")</f>
        <v>2094</v>
      </c>
      <c r="G418" s="213" t="str">
        <f ca="1">IFERROR(__xludf.DUMMYFUNCTION("""COMPUTED_VALUE"""),"50385")</f>
        <v>50385</v>
      </c>
      <c r="H418" s="211" t="str">
        <f ca="1">IFERROR(__xludf.DUMMYFUNCTION("""COMPUTED_VALUE"""),"AEE")</f>
        <v>AEE</v>
      </c>
      <c r="I418" s="214">
        <f ca="1">IFERROR(__xludf.DUMMYFUNCTION("""COMPUTED_VALUE"""),163.2)</f>
        <v>163.19999999999999</v>
      </c>
      <c r="J418" s="209"/>
      <c r="K418" s="209"/>
      <c r="L418" s="209"/>
      <c r="M418" s="209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9"/>
      <c r="Y418" s="209"/>
      <c r="Z418" s="209"/>
    </row>
    <row r="419" spans="1:26" ht="18.75" customHeight="1">
      <c r="A419" s="210" t="str">
        <f ca="1">IFERROR(__xludf.DUMMYFUNCTION("""COMPUTED_VALUE"""),"Guaraí")</f>
        <v>Guaraí</v>
      </c>
      <c r="B419" s="210" t="str">
        <f ca="1">IFERROR(__xludf.DUMMYFUNCTION("""COMPUTED_VALUE"""),"Couto Magalhaes")</f>
        <v>Couto Magalhaes</v>
      </c>
      <c r="C419" s="211" t="str">
        <f ca="1">IFERROR(__xludf.DUMMYFUNCTION("""COMPUTED_VALUE"""),"A.A. COL. EST. ARCHANGELA MILHOMEM")</f>
        <v>A.A. COL. EST. ARCHANGELA MILHOMEM</v>
      </c>
      <c r="D419" s="212" t="str">
        <f ca="1">IFERROR(__xludf.DUMMYFUNCTION("""COMPUTED_VALUE"""),"01138334000199")</f>
        <v>01138334000199</v>
      </c>
      <c r="E419" s="212" t="str">
        <f ca="1">IFERROR(__xludf.DUMMYFUNCTION("""COMPUTED_VALUE"""),"001")</f>
        <v>001</v>
      </c>
      <c r="F419" s="212" t="str">
        <f ca="1">IFERROR(__xludf.DUMMYFUNCTION("""COMPUTED_VALUE"""),"2094")</f>
        <v>2094</v>
      </c>
      <c r="G419" s="213" t="str">
        <f ca="1">IFERROR(__xludf.DUMMYFUNCTION("""COMPUTED_VALUE"""),"50385")</f>
        <v>50385</v>
      </c>
      <c r="H419" s="211" t="str">
        <f ca="1">IFERROR(__xludf.DUMMYFUNCTION("""COMPUTED_VALUE"""),"ENSINO MEDIO PARCIAL")</f>
        <v>ENSINO MEDIO PARCIAL</v>
      </c>
      <c r="I419" s="214">
        <f ca="1">IFERROR(__xludf.DUMMYFUNCTION("""COMPUTED_VALUE"""),520)</f>
        <v>520</v>
      </c>
      <c r="J419" s="209"/>
      <c r="K419" s="209"/>
      <c r="L419" s="209"/>
      <c r="M419" s="209"/>
      <c r="N419" s="209"/>
      <c r="O419" s="209"/>
      <c r="P419" s="209"/>
      <c r="Q419" s="209"/>
      <c r="R419" s="209"/>
      <c r="S419" s="209"/>
      <c r="T419" s="209"/>
      <c r="U419" s="209"/>
      <c r="V419" s="209"/>
      <c r="W419" s="209"/>
      <c r="X419" s="209"/>
      <c r="Y419" s="209"/>
      <c r="Z419" s="209"/>
    </row>
    <row r="420" spans="1:26" ht="18.75" customHeight="1">
      <c r="A420" s="210" t="str">
        <f ca="1">IFERROR(__xludf.DUMMYFUNCTION("""COMPUTED_VALUE"""),"Guaraí")</f>
        <v>Guaraí</v>
      </c>
      <c r="B420" s="210" t="str">
        <f ca="1">IFERROR(__xludf.DUMMYFUNCTION("""COMPUTED_VALUE"""),"Couto Magalhaes")</f>
        <v>Couto Magalhaes</v>
      </c>
      <c r="C420" s="211" t="str">
        <f ca="1">IFERROR(__xludf.DUMMYFUNCTION("""COMPUTED_VALUE"""),"A.A. COL. EST. ARCHANGELA MILHOMEM")</f>
        <v>A.A. COL. EST. ARCHANGELA MILHOMEM</v>
      </c>
      <c r="D420" s="212" t="str">
        <f ca="1">IFERROR(__xludf.DUMMYFUNCTION("""COMPUTED_VALUE"""),"01138334000199")</f>
        <v>01138334000199</v>
      </c>
      <c r="E420" s="212" t="str">
        <f ca="1">IFERROR(__xludf.DUMMYFUNCTION("""COMPUTED_VALUE"""),"001")</f>
        <v>001</v>
      </c>
      <c r="F420" s="212" t="str">
        <f ca="1">IFERROR(__xludf.DUMMYFUNCTION("""COMPUTED_VALUE"""),"2094")</f>
        <v>2094</v>
      </c>
      <c r="G420" s="213" t="str">
        <f ca="1">IFERROR(__xludf.DUMMYFUNCTION("""COMPUTED_VALUE"""),"50385")</f>
        <v>50385</v>
      </c>
      <c r="H420" s="211" t="str">
        <f ca="1">IFERROR(__xludf.DUMMYFUNCTION("""COMPUTED_VALUE"""),"ENSINO MEDIO INTEGRAL")</f>
        <v>ENSINO MEDIO INTEGRAL</v>
      </c>
      <c r="I420" s="214">
        <f ca="1">IFERROR(__xludf.DUMMYFUNCTION("""COMPUTED_VALUE"""),10850.4)</f>
        <v>10850.4</v>
      </c>
      <c r="J420" s="209"/>
      <c r="K420" s="209"/>
      <c r="L420" s="209"/>
      <c r="M420" s="209"/>
      <c r="N420" s="209"/>
      <c r="O420" s="209"/>
      <c r="P420" s="209"/>
      <c r="Q420" s="209"/>
      <c r="R420" s="209"/>
      <c r="S420" s="209"/>
      <c r="T420" s="209"/>
      <c r="U420" s="209"/>
      <c r="V420" s="209"/>
      <c r="W420" s="209"/>
      <c r="X420" s="209"/>
      <c r="Y420" s="209"/>
      <c r="Z420" s="209"/>
    </row>
    <row r="421" spans="1:26" ht="18.75" customHeight="1">
      <c r="A421" s="210" t="str">
        <f ca="1">IFERROR(__xludf.DUMMYFUNCTION("""COMPUTED_VALUE"""),"Guaraí")</f>
        <v>Guaraí</v>
      </c>
      <c r="B421" s="210" t="str">
        <f ca="1">IFERROR(__xludf.DUMMYFUNCTION("""COMPUTED_VALUE"""),"Couto Magalhaes")</f>
        <v>Couto Magalhaes</v>
      </c>
      <c r="C421" s="211" t="str">
        <f ca="1">IFERROR(__xludf.DUMMYFUNCTION("""COMPUTED_VALUE"""),"A.A. ESC. EST. ARLINDA ROSA DE SOUZA")</f>
        <v>A.A. ESC. EST. ARLINDA ROSA DE SOUZA</v>
      </c>
      <c r="D421" s="212" t="str">
        <f ca="1">IFERROR(__xludf.DUMMYFUNCTION("""COMPUTED_VALUE"""),"01221143000196")</f>
        <v>01221143000196</v>
      </c>
      <c r="E421" s="212" t="str">
        <f ca="1">IFERROR(__xludf.DUMMYFUNCTION("""COMPUTED_VALUE"""),"001")</f>
        <v>001</v>
      </c>
      <c r="F421" s="212" t="str">
        <f ca="1">IFERROR(__xludf.DUMMYFUNCTION("""COMPUTED_VALUE"""),"2094")</f>
        <v>2094</v>
      </c>
      <c r="G421" s="213" t="str">
        <f ca="1">IFERROR(__xludf.DUMMYFUNCTION("""COMPUTED_VALUE"""),"50350")</f>
        <v>50350</v>
      </c>
      <c r="H421" s="211" t="str">
        <f ca="1">IFERROR(__xludf.DUMMYFUNCTION("""COMPUTED_VALUE"""),"ENS FUND PARCIAL")</f>
        <v>ENS FUND PARCIAL</v>
      </c>
      <c r="I421" s="214">
        <f ca="1">IFERROR(__xludf.DUMMYFUNCTION("""COMPUTED_VALUE"""),1580)</f>
        <v>1580</v>
      </c>
      <c r="J421" s="209"/>
      <c r="K421" s="209"/>
      <c r="L421" s="209"/>
      <c r="M421" s="209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9"/>
      <c r="Y421" s="209"/>
      <c r="Z421" s="209"/>
    </row>
    <row r="422" spans="1:26" ht="18.75" customHeight="1">
      <c r="A422" s="210" t="str">
        <f ca="1">IFERROR(__xludf.DUMMYFUNCTION("""COMPUTED_VALUE"""),"Guaraí")</f>
        <v>Guaraí</v>
      </c>
      <c r="B422" s="210" t="str">
        <f ca="1">IFERROR(__xludf.DUMMYFUNCTION("""COMPUTED_VALUE"""),"Couto Magalhaes")</f>
        <v>Couto Magalhaes</v>
      </c>
      <c r="C422" s="211" t="str">
        <f ca="1">IFERROR(__xludf.DUMMYFUNCTION("""COMPUTED_VALUE"""),"A.A. ESCOLAR DA E. EST.ULTIMO DE CARVALHO")</f>
        <v>A.A. ESCOLAR DA E. EST.ULTIMO DE CARVALHO</v>
      </c>
      <c r="D422" s="212" t="str">
        <f ca="1">IFERROR(__xludf.DUMMYFUNCTION("""COMPUTED_VALUE"""),"04315063000198")</f>
        <v>04315063000198</v>
      </c>
      <c r="E422" s="212" t="str">
        <f ca="1">IFERROR(__xludf.DUMMYFUNCTION("""COMPUTED_VALUE"""),"001")</f>
        <v>001</v>
      </c>
      <c r="F422" s="212" t="str">
        <f ca="1">IFERROR(__xludf.DUMMYFUNCTION("""COMPUTED_VALUE"""),"1306")</f>
        <v>1306</v>
      </c>
      <c r="G422" s="213" t="str">
        <f ca="1">IFERROR(__xludf.DUMMYFUNCTION("""COMPUTED_VALUE"""),"74802")</f>
        <v>74802</v>
      </c>
      <c r="H422" s="211" t="str">
        <f ca="1">IFERROR(__xludf.DUMMYFUNCTION("""COMPUTED_VALUE"""),"ENS FUND PARCIAL")</f>
        <v>ENS FUND PARCIAL</v>
      </c>
      <c r="I422" s="214">
        <f ca="1">IFERROR(__xludf.DUMMYFUNCTION("""COMPUTED_VALUE"""),460)</f>
        <v>460</v>
      </c>
      <c r="J422" s="209"/>
      <c r="K422" s="209"/>
      <c r="L422" s="209"/>
      <c r="M422" s="209"/>
      <c r="N422" s="209"/>
      <c r="O422" s="209"/>
      <c r="P422" s="209"/>
      <c r="Q422" s="209"/>
      <c r="R422" s="209"/>
      <c r="S422" s="209"/>
      <c r="T422" s="209"/>
      <c r="U422" s="209"/>
      <c r="V422" s="209"/>
      <c r="W422" s="209"/>
      <c r="X422" s="209"/>
      <c r="Y422" s="209"/>
      <c r="Z422" s="209"/>
    </row>
    <row r="423" spans="1:26" ht="18.75" customHeight="1">
      <c r="A423" s="210" t="str">
        <f ca="1">IFERROR(__xludf.DUMMYFUNCTION("""COMPUTED_VALUE"""),"Guaraí")</f>
        <v>Guaraí</v>
      </c>
      <c r="B423" s="210" t="str">
        <f ca="1">IFERROR(__xludf.DUMMYFUNCTION("""COMPUTED_VALUE"""),"Couto Magalhaes")</f>
        <v>Couto Magalhaes</v>
      </c>
      <c r="C423" s="211" t="str">
        <f ca="1">IFERROR(__xludf.DUMMYFUNCTION("""COMPUTED_VALUE"""),"A.A. ESCOLAR DA E. EST.ULTIMO DE CARVALHO")</f>
        <v>A.A. ESCOLAR DA E. EST.ULTIMO DE CARVALHO</v>
      </c>
      <c r="D423" s="212" t="str">
        <f ca="1">IFERROR(__xludf.DUMMYFUNCTION("""COMPUTED_VALUE"""),"04315063000198")</f>
        <v>04315063000198</v>
      </c>
      <c r="E423" s="212" t="str">
        <f ca="1">IFERROR(__xludf.DUMMYFUNCTION("""COMPUTED_VALUE"""),"001")</f>
        <v>001</v>
      </c>
      <c r="F423" s="212" t="str">
        <f ca="1">IFERROR(__xludf.DUMMYFUNCTION("""COMPUTED_VALUE"""),"1306")</f>
        <v>1306</v>
      </c>
      <c r="G423" s="213" t="str">
        <f ca="1">IFERROR(__xludf.DUMMYFUNCTION("""COMPUTED_VALUE"""),"74802")</f>
        <v>74802</v>
      </c>
      <c r="H423" s="211" t="str">
        <f ca="1">IFERROR(__xludf.DUMMYFUNCTION("""COMPUTED_VALUE"""),"AEE")</f>
        <v>AEE</v>
      </c>
      <c r="I423" s="214">
        <f ca="1">IFERROR(__xludf.DUMMYFUNCTION("""COMPUTED_VALUE"""),190.4)</f>
        <v>190.4</v>
      </c>
      <c r="J423" s="209"/>
      <c r="K423" s="209"/>
      <c r="L423" s="209"/>
      <c r="M423" s="209"/>
      <c r="N423" s="209"/>
      <c r="O423" s="209"/>
      <c r="P423" s="209"/>
      <c r="Q423" s="209"/>
      <c r="R423" s="209"/>
      <c r="S423" s="209"/>
      <c r="T423" s="209"/>
      <c r="U423" s="209"/>
      <c r="V423" s="209"/>
      <c r="W423" s="209"/>
      <c r="X423" s="209"/>
      <c r="Y423" s="209"/>
      <c r="Z423" s="209"/>
    </row>
    <row r="424" spans="1:26" ht="18.75" customHeight="1">
      <c r="A424" s="210" t="str">
        <f ca="1">IFERROR(__xludf.DUMMYFUNCTION("""COMPUTED_VALUE"""),"Guaraí")</f>
        <v>Guaraí</v>
      </c>
      <c r="B424" s="210" t="str">
        <f ca="1">IFERROR(__xludf.DUMMYFUNCTION("""COMPUTED_VALUE"""),"Couto Magalhaes")</f>
        <v>Couto Magalhaes</v>
      </c>
      <c r="C424" s="211" t="str">
        <f ca="1">IFERROR(__xludf.DUMMYFUNCTION("""COMPUTED_VALUE"""),"A.A. ESCOLAR DA E. EST.ULTIMO DE CARVALHO")</f>
        <v>A.A. ESCOLAR DA E. EST.ULTIMO DE CARVALHO</v>
      </c>
      <c r="D424" s="212" t="str">
        <f ca="1">IFERROR(__xludf.DUMMYFUNCTION("""COMPUTED_VALUE"""),"04315063000198")</f>
        <v>04315063000198</v>
      </c>
      <c r="E424" s="212" t="str">
        <f ca="1">IFERROR(__xludf.DUMMYFUNCTION("""COMPUTED_VALUE"""),"001")</f>
        <v>001</v>
      </c>
      <c r="F424" s="212" t="str">
        <f ca="1">IFERROR(__xludf.DUMMYFUNCTION("""COMPUTED_VALUE"""),"1306")</f>
        <v>1306</v>
      </c>
      <c r="G424" s="213" t="str">
        <f ca="1">IFERROR(__xludf.DUMMYFUNCTION("""COMPUTED_VALUE"""),"74802")</f>
        <v>74802</v>
      </c>
      <c r="H424" s="211" t="str">
        <f ca="1">IFERROR(__xludf.DUMMYFUNCTION("""COMPUTED_VALUE"""),"ENSINO MEDIO PARCIAL")</f>
        <v>ENSINO MEDIO PARCIAL</v>
      </c>
      <c r="I424" s="214">
        <f ca="1">IFERROR(__xludf.DUMMYFUNCTION("""COMPUTED_VALUE"""),190)</f>
        <v>190</v>
      </c>
      <c r="J424" s="209"/>
      <c r="K424" s="209"/>
      <c r="L424" s="209"/>
      <c r="M424" s="209"/>
      <c r="N424" s="209"/>
      <c r="O424" s="209"/>
      <c r="P424" s="209"/>
      <c r="Q424" s="209"/>
      <c r="R424" s="209"/>
      <c r="S424" s="209"/>
      <c r="T424" s="209"/>
      <c r="U424" s="209"/>
      <c r="V424" s="209"/>
      <c r="W424" s="209"/>
      <c r="X424" s="209"/>
      <c r="Y424" s="209"/>
      <c r="Z424" s="209"/>
    </row>
    <row r="425" spans="1:26" ht="18.75" customHeight="1">
      <c r="A425" s="210" t="str">
        <f ca="1">IFERROR(__xludf.DUMMYFUNCTION("""COMPUTED_VALUE"""),"Guaraí")</f>
        <v>Guaraí</v>
      </c>
      <c r="B425" s="210" t="str">
        <f ca="1">IFERROR(__xludf.DUMMYFUNCTION("""COMPUTED_VALUE"""),"Couto Magalhaes")</f>
        <v>Couto Magalhaes</v>
      </c>
      <c r="C425" s="211" t="str">
        <f ca="1">IFERROR(__xludf.DUMMYFUNCTION("""COMPUTED_VALUE"""),"A.A. ESCOLAR DA E. EST.ULTIMO DE CARVALHO")</f>
        <v>A.A. ESCOLAR DA E. EST.ULTIMO DE CARVALHO</v>
      </c>
      <c r="D425" s="212" t="str">
        <f ca="1">IFERROR(__xludf.DUMMYFUNCTION("""COMPUTED_VALUE"""),"04315063000198")</f>
        <v>04315063000198</v>
      </c>
      <c r="E425" s="212" t="str">
        <f ca="1">IFERROR(__xludf.DUMMYFUNCTION("""COMPUTED_VALUE"""),"001")</f>
        <v>001</v>
      </c>
      <c r="F425" s="212" t="str">
        <f ca="1">IFERROR(__xludf.DUMMYFUNCTION("""COMPUTED_VALUE"""),"1306")</f>
        <v>1306</v>
      </c>
      <c r="G425" s="213" t="str">
        <f ca="1">IFERROR(__xludf.DUMMYFUNCTION("""COMPUTED_VALUE"""),"74802")</f>
        <v>74802</v>
      </c>
      <c r="H425" s="211" t="str">
        <f ca="1">IFERROR(__xludf.DUMMYFUNCTION("""COMPUTED_VALUE"""),"EJA")</f>
        <v>EJA</v>
      </c>
      <c r="I425" s="214">
        <f ca="1">IFERROR(__xludf.DUMMYFUNCTION("""COMPUTED_VALUE"""),139.399999999999)</f>
        <v>139.39999999999901</v>
      </c>
      <c r="J425" s="209"/>
      <c r="K425" s="209"/>
      <c r="L425" s="209"/>
      <c r="M425" s="209"/>
      <c r="N425" s="209"/>
      <c r="O425" s="209"/>
      <c r="P425" s="209"/>
      <c r="Q425" s="209"/>
      <c r="R425" s="209"/>
      <c r="S425" s="209"/>
      <c r="T425" s="209"/>
      <c r="U425" s="209"/>
      <c r="V425" s="209"/>
      <c r="W425" s="209"/>
      <c r="X425" s="209"/>
      <c r="Y425" s="209"/>
      <c r="Z425" s="209"/>
    </row>
    <row r="426" spans="1:26" ht="18.75" customHeight="1">
      <c r="A426" s="210" t="str">
        <f ca="1">IFERROR(__xludf.DUMMYFUNCTION("""COMPUTED_VALUE"""),"Guaraí")</f>
        <v>Guaraí</v>
      </c>
      <c r="B426" s="210" t="str">
        <f ca="1">IFERROR(__xludf.DUMMYFUNCTION("""COMPUTED_VALUE"""),"Couto Magalhaes")</f>
        <v>Couto Magalhaes</v>
      </c>
      <c r="C426" s="211" t="str">
        <f ca="1">IFERROR(__xludf.DUMMYFUNCTION("""COMPUTED_VALUE"""),"A.A. ESC. ESPECIAL  DEUS É FIEL")</f>
        <v>A.A. ESC. ESPECIAL  DEUS É FIEL</v>
      </c>
      <c r="D426" s="212" t="str">
        <f ca="1">IFERROR(__xludf.DUMMYFUNCTION("""COMPUTED_VALUE"""),"17467216000164")</f>
        <v>17467216000164</v>
      </c>
      <c r="E426" s="212" t="str">
        <f ca="1">IFERROR(__xludf.DUMMYFUNCTION("""COMPUTED_VALUE"""),"001")</f>
        <v>001</v>
      </c>
      <c r="F426" s="212" t="str">
        <f ca="1">IFERROR(__xludf.DUMMYFUNCTION("""COMPUTED_VALUE"""),"1306")</f>
        <v>1306</v>
      </c>
      <c r="G426" s="213" t="str">
        <f ca="1">IFERROR(__xludf.DUMMYFUNCTION("""COMPUTED_VALUE"""),"265969")</f>
        <v>265969</v>
      </c>
      <c r="H426" s="211" t="str">
        <f ca="1">IFERROR(__xludf.DUMMYFUNCTION("""COMPUTED_VALUE"""),"ENS FUND PARCIAL")</f>
        <v>ENS FUND PARCIAL</v>
      </c>
      <c r="I426" s="214">
        <f ca="1">IFERROR(__xludf.DUMMYFUNCTION("""COMPUTED_VALUE"""),130)</f>
        <v>130</v>
      </c>
      <c r="J426" s="209"/>
      <c r="K426" s="209"/>
      <c r="L426" s="209"/>
      <c r="M426" s="209"/>
      <c r="N426" s="209"/>
      <c r="O426" s="209"/>
      <c r="P426" s="209"/>
      <c r="Q426" s="209"/>
      <c r="R426" s="209"/>
      <c r="S426" s="209"/>
      <c r="T426" s="209"/>
      <c r="U426" s="209"/>
      <c r="V426" s="209"/>
      <c r="W426" s="209"/>
      <c r="X426" s="209"/>
      <c r="Y426" s="209"/>
      <c r="Z426" s="209"/>
    </row>
    <row r="427" spans="1:26" ht="18.75" customHeight="1">
      <c r="A427" s="210" t="str">
        <f ca="1">IFERROR(__xludf.DUMMYFUNCTION("""COMPUTED_VALUE"""),"Guaraí")</f>
        <v>Guaraí</v>
      </c>
      <c r="B427" s="210" t="str">
        <f ca="1">IFERROR(__xludf.DUMMYFUNCTION("""COMPUTED_VALUE"""),"Couto Magalhaes")</f>
        <v>Couto Magalhaes</v>
      </c>
      <c r="C427" s="211" t="str">
        <f ca="1">IFERROR(__xludf.DUMMYFUNCTION("""COMPUTED_VALUE"""),"A.A. ESC. ESPECIAL  DEUS É FIEL")</f>
        <v>A.A. ESC. ESPECIAL  DEUS É FIEL</v>
      </c>
      <c r="D427" s="212" t="str">
        <f ca="1">IFERROR(__xludf.DUMMYFUNCTION("""COMPUTED_VALUE"""),"17467216000164")</f>
        <v>17467216000164</v>
      </c>
      <c r="E427" s="212" t="str">
        <f ca="1">IFERROR(__xludf.DUMMYFUNCTION("""COMPUTED_VALUE"""),"001")</f>
        <v>001</v>
      </c>
      <c r="F427" s="212" t="str">
        <f ca="1">IFERROR(__xludf.DUMMYFUNCTION("""COMPUTED_VALUE"""),"1306")</f>
        <v>1306</v>
      </c>
      <c r="G427" s="213" t="str">
        <f ca="1">IFERROR(__xludf.DUMMYFUNCTION("""COMPUTED_VALUE"""),"265969")</f>
        <v>265969</v>
      </c>
      <c r="H427" s="211" t="str">
        <f ca="1">IFERROR(__xludf.DUMMYFUNCTION("""COMPUTED_VALUE"""),"AEE")</f>
        <v>AEE</v>
      </c>
      <c r="I427" s="214">
        <f ca="1">IFERROR(__xludf.DUMMYFUNCTION("""COMPUTED_VALUE"""),217.6)</f>
        <v>217.6</v>
      </c>
      <c r="J427" s="209"/>
      <c r="K427" s="209"/>
      <c r="L427" s="209"/>
      <c r="M427" s="209"/>
      <c r="N427" s="209"/>
      <c r="O427" s="209"/>
      <c r="P427" s="209"/>
      <c r="Q427" s="209"/>
      <c r="R427" s="209"/>
      <c r="S427" s="209"/>
      <c r="T427" s="209"/>
      <c r="U427" s="209"/>
      <c r="V427" s="209"/>
      <c r="W427" s="209"/>
      <c r="X427" s="209"/>
      <c r="Y427" s="209"/>
      <c r="Z427" s="209"/>
    </row>
    <row r="428" spans="1:26" ht="18.75" customHeight="1">
      <c r="A428" s="210" t="str">
        <f ca="1">IFERROR(__xludf.DUMMYFUNCTION("""COMPUTED_VALUE"""),"Guaraí")</f>
        <v>Guaraí</v>
      </c>
      <c r="B428" s="210" t="str">
        <f ca="1">IFERROR(__xludf.DUMMYFUNCTION("""COMPUTED_VALUE"""),"Couto Magalhaes")</f>
        <v>Couto Magalhaes</v>
      </c>
      <c r="C428" s="211" t="str">
        <f ca="1">IFERROR(__xludf.DUMMYFUNCTION("""COMPUTED_VALUE"""),"A.A. ESC. ESPECIAL  DEUS É FIEL")</f>
        <v>A.A. ESC. ESPECIAL  DEUS É FIEL</v>
      </c>
      <c r="D428" s="212" t="str">
        <f ca="1">IFERROR(__xludf.DUMMYFUNCTION("""COMPUTED_VALUE"""),"17467216000164")</f>
        <v>17467216000164</v>
      </c>
      <c r="E428" s="212" t="str">
        <f ca="1">IFERROR(__xludf.DUMMYFUNCTION("""COMPUTED_VALUE"""),"001")</f>
        <v>001</v>
      </c>
      <c r="F428" s="212" t="str">
        <f ca="1">IFERROR(__xludf.DUMMYFUNCTION("""COMPUTED_VALUE"""),"1306")</f>
        <v>1306</v>
      </c>
      <c r="G428" s="213" t="str">
        <f ca="1">IFERROR(__xludf.DUMMYFUNCTION("""COMPUTED_VALUE"""),"265969")</f>
        <v>265969</v>
      </c>
      <c r="H428" s="211" t="str">
        <f ca="1">IFERROR(__xludf.DUMMYFUNCTION("""COMPUTED_VALUE"""),"EJA")</f>
        <v>EJA</v>
      </c>
      <c r="I428" s="214">
        <f ca="1">IFERROR(__xludf.DUMMYFUNCTION("""COMPUTED_VALUE"""),336.2)</f>
        <v>336.2</v>
      </c>
      <c r="J428" s="209"/>
      <c r="K428" s="209"/>
      <c r="L428" s="209"/>
      <c r="M428" s="209"/>
      <c r="N428" s="209"/>
      <c r="O428" s="209"/>
      <c r="P428" s="209"/>
      <c r="Q428" s="209"/>
      <c r="R428" s="209"/>
      <c r="S428" s="209"/>
      <c r="T428" s="209"/>
      <c r="U428" s="209"/>
      <c r="V428" s="209"/>
      <c r="W428" s="209"/>
      <c r="X428" s="209"/>
      <c r="Y428" s="209"/>
      <c r="Z428" s="209"/>
    </row>
    <row r="429" spans="1:26" ht="18.75" customHeight="1">
      <c r="A429" s="210" t="str">
        <f ca="1">IFERROR(__xludf.DUMMYFUNCTION("""COMPUTED_VALUE"""),"Guaraí")</f>
        <v>Guaraí</v>
      </c>
      <c r="B429" s="210" t="str">
        <f ca="1">IFERROR(__xludf.DUMMYFUNCTION("""COMPUTED_VALUE"""),"Fortaleza do Tabocao")</f>
        <v>Fortaleza do Tabocao</v>
      </c>
      <c r="C429" s="211" t="str">
        <f ca="1">IFERROR(__xludf.DUMMYFUNCTION("""COMPUTED_VALUE"""),"A.A. DA ESC. EST. MAJOR JUVENAL P.DE SOUZA")</f>
        <v>A.A. DA ESC. EST. MAJOR JUVENAL P.DE SOUZA</v>
      </c>
      <c r="D429" s="212" t="str">
        <f ca="1">IFERROR(__xludf.DUMMYFUNCTION("""COMPUTED_VALUE"""),"01408714000104")</f>
        <v>01408714000104</v>
      </c>
      <c r="E429" s="212" t="str">
        <f ca="1">IFERROR(__xludf.DUMMYFUNCTION("""COMPUTED_VALUE"""),"001")</f>
        <v>001</v>
      </c>
      <c r="F429" s="212" t="str">
        <f ca="1">IFERROR(__xludf.DUMMYFUNCTION("""COMPUTED_VALUE"""),"2094")</f>
        <v>2094</v>
      </c>
      <c r="G429" s="213" t="str">
        <f ca="1">IFERROR(__xludf.DUMMYFUNCTION("""COMPUTED_VALUE"""),"46743X")</f>
        <v>46743X</v>
      </c>
      <c r="H429" s="211" t="str">
        <f ca="1">IFERROR(__xludf.DUMMYFUNCTION("""COMPUTED_VALUE"""),"ENS FUND INTEGRAL")</f>
        <v>ENS FUND INTEGRAL</v>
      </c>
      <c r="I429" s="214">
        <f ca="1">IFERROR(__xludf.DUMMYFUNCTION("""COMPUTED_VALUE"""),2630.39999999999)</f>
        <v>2630.3999999999901</v>
      </c>
      <c r="J429" s="209"/>
      <c r="K429" s="209"/>
      <c r="L429" s="209"/>
      <c r="M429" s="209"/>
      <c r="N429" s="209"/>
      <c r="O429" s="209"/>
      <c r="P429" s="209"/>
      <c r="Q429" s="209"/>
      <c r="R429" s="209"/>
      <c r="S429" s="209"/>
      <c r="T429" s="209"/>
      <c r="U429" s="209"/>
      <c r="V429" s="209"/>
      <c r="W429" s="209"/>
      <c r="X429" s="209"/>
      <c r="Y429" s="209"/>
      <c r="Z429" s="209"/>
    </row>
    <row r="430" spans="1:26" ht="18.75" customHeight="1">
      <c r="A430" s="210" t="str">
        <f ca="1">IFERROR(__xludf.DUMMYFUNCTION("""COMPUTED_VALUE"""),"Guaraí")</f>
        <v>Guaraí</v>
      </c>
      <c r="B430" s="210" t="str">
        <f ca="1">IFERROR(__xludf.DUMMYFUNCTION("""COMPUTED_VALUE"""),"Fortaleza do Tabocao")</f>
        <v>Fortaleza do Tabocao</v>
      </c>
      <c r="C430" s="211" t="str">
        <f ca="1">IFERROR(__xludf.DUMMYFUNCTION("""COMPUTED_VALUE"""),"A.A. DA ESC. EST. MAJOR JUVENAL P.DE SOUZA")</f>
        <v>A.A. DA ESC. EST. MAJOR JUVENAL P.DE SOUZA</v>
      </c>
      <c r="D430" s="212" t="str">
        <f ca="1">IFERROR(__xludf.DUMMYFUNCTION("""COMPUTED_VALUE"""),"01408714000104")</f>
        <v>01408714000104</v>
      </c>
      <c r="E430" s="212" t="str">
        <f ca="1">IFERROR(__xludf.DUMMYFUNCTION("""COMPUTED_VALUE"""),"001")</f>
        <v>001</v>
      </c>
      <c r="F430" s="212" t="str">
        <f ca="1">IFERROR(__xludf.DUMMYFUNCTION("""COMPUTED_VALUE"""),"2094")</f>
        <v>2094</v>
      </c>
      <c r="G430" s="213" t="str">
        <f ca="1">IFERROR(__xludf.DUMMYFUNCTION("""COMPUTED_VALUE"""),"46743X")</f>
        <v>46743X</v>
      </c>
      <c r="H430" s="211" t="str">
        <f ca="1">IFERROR(__xludf.DUMMYFUNCTION("""COMPUTED_VALUE"""),"AEE")</f>
        <v>AEE</v>
      </c>
      <c r="I430" s="214">
        <f ca="1">IFERROR(__xludf.DUMMYFUNCTION("""COMPUTED_VALUE"""),258.4)</f>
        <v>258.39999999999998</v>
      </c>
      <c r="J430" s="209"/>
      <c r="K430" s="209"/>
      <c r="L430" s="209"/>
      <c r="M430" s="209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9"/>
      <c r="Y430" s="209"/>
      <c r="Z430" s="209"/>
    </row>
    <row r="431" spans="1:26" ht="18.75" customHeight="1">
      <c r="A431" s="210" t="str">
        <f ca="1">IFERROR(__xludf.DUMMYFUNCTION("""COMPUTED_VALUE"""),"Guaraí")</f>
        <v>Guaraí</v>
      </c>
      <c r="B431" s="210" t="str">
        <f ca="1">IFERROR(__xludf.DUMMYFUNCTION("""COMPUTED_VALUE"""),"Fortaleza do Tabocao")</f>
        <v>Fortaleza do Tabocao</v>
      </c>
      <c r="C431" s="211" t="str">
        <f ca="1">IFERROR(__xludf.DUMMYFUNCTION("""COMPUTED_VALUE"""),"A.A. DA ESC. EST. MAJOR JUVENAL P.DE SOUZA")</f>
        <v>A.A. DA ESC. EST. MAJOR JUVENAL P.DE SOUZA</v>
      </c>
      <c r="D431" s="212" t="str">
        <f ca="1">IFERROR(__xludf.DUMMYFUNCTION("""COMPUTED_VALUE"""),"01408714000104")</f>
        <v>01408714000104</v>
      </c>
      <c r="E431" s="212" t="str">
        <f ca="1">IFERROR(__xludf.DUMMYFUNCTION("""COMPUTED_VALUE"""),"001")</f>
        <v>001</v>
      </c>
      <c r="F431" s="212" t="str">
        <f ca="1">IFERROR(__xludf.DUMMYFUNCTION("""COMPUTED_VALUE"""),"2094")</f>
        <v>2094</v>
      </c>
      <c r="G431" s="213" t="str">
        <f ca="1">IFERROR(__xludf.DUMMYFUNCTION("""COMPUTED_VALUE"""),"46743X")</f>
        <v>46743X</v>
      </c>
      <c r="H431" s="211" t="str">
        <f ca="1">IFERROR(__xludf.DUMMYFUNCTION("""COMPUTED_VALUE"""),"JOVEM AÇÃO")</f>
        <v>JOVEM AÇÃO</v>
      </c>
      <c r="I431" s="214">
        <f ca="1">IFERROR(__xludf.DUMMYFUNCTION("""COMPUTED_VALUE"""),6758.4)</f>
        <v>6758.4</v>
      </c>
      <c r="J431" s="209"/>
      <c r="K431" s="209"/>
      <c r="L431" s="209"/>
      <c r="M431" s="209"/>
      <c r="N431" s="209"/>
      <c r="O431" s="209"/>
      <c r="P431" s="209"/>
      <c r="Q431" s="209"/>
      <c r="R431" s="209"/>
      <c r="S431" s="209"/>
      <c r="T431" s="209"/>
      <c r="U431" s="209"/>
      <c r="V431" s="209"/>
      <c r="W431" s="209"/>
      <c r="X431" s="209"/>
      <c r="Y431" s="209"/>
      <c r="Z431" s="209"/>
    </row>
    <row r="432" spans="1:26" ht="18.75" customHeight="1">
      <c r="A432" s="210" t="str">
        <f ca="1">IFERROR(__xludf.DUMMYFUNCTION("""COMPUTED_VALUE"""),"Guaraí")</f>
        <v>Guaraí</v>
      </c>
      <c r="B432" s="210" t="str">
        <f ca="1">IFERROR(__xludf.DUMMYFUNCTION("""COMPUTED_VALUE"""),"Fortaleza do Tabocao")</f>
        <v>Fortaleza do Tabocao</v>
      </c>
      <c r="C432" s="211" t="str">
        <f ca="1">IFERROR(__xludf.DUMMYFUNCTION("""COMPUTED_VALUE"""),"ASSOC. DE APOIO A ESCOLA ESPECIAL EDSON DUTRA")</f>
        <v>ASSOC. DE APOIO A ESCOLA ESPECIAL EDSON DUTRA</v>
      </c>
      <c r="D432" s="212" t="str">
        <f ca="1">IFERROR(__xludf.DUMMYFUNCTION("""COMPUTED_VALUE"""),"09405159000160")</f>
        <v>09405159000160</v>
      </c>
      <c r="E432" s="212" t="str">
        <f ca="1">IFERROR(__xludf.DUMMYFUNCTION("""COMPUTED_VALUE"""),"104")</f>
        <v>104</v>
      </c>
      <c r="F432" s="212" t="str">
        <f ca="1">IFERROR(__xludf.DUMMYFUNCTION("""COMPUTED_VALUE"""),"4481")</f>
        <v>4481</v>
      </c>
      <c r="G432" s="213" t="str">
        <f ca="1">IFERROR(__xludf.DUMMYFUNCTION("""COMPUTED_VALUE"""),"3982")</f>
        <v>3982</v>
      </c>
      <c r="H432" s="211" t="str">
        <f ca="1">IFERROR(__xludf.DUMMYFUNCTION("""COMPUTED_VALUE"""),"PRÉ-ESCOLA")</f>
        <v>PRÉ-ESCOLA</v>
      </c>
      <c r="I432" s="214">
        <f ca="1">IFERROR(__xludf.DUMMYFUNCTION("""COMPUTED_VALUE"""),43.2)</f>
        <v>43.2</v>
      </c>
      <c r="J432" s="209"/>
      <c r="K432" s="209"/>
      <c r="L432" s="209"/>
      <c r="M432" s="209"/>
      <c r="N432" s="209"/>
      <c r="O432" s="209"/>
      <c r="P432" s="209"/>
      <c r="Q432" s="209"/>
      <c r="R432" s="209"/>
      <c r="S432" s="209"/>
      <c r="T432" s="209"/>
      <c r="U432" s="209"/>
      <c r="V432" s="209"/>
      <c r="W432" s="209"/>
      <c r="X432" s="209"/>
      <c r="Y432" s="209"/>
      <c r="Z432" s="209"/>
    </row>
    <row r="433" spans="1:26" ht="18.75" customHeight="1">
      <c r="A433" s="210" t="str">
        <f ca="1">IFERROR(__xludf.DUMMYFUNCTION("""COMPUTED_VALUE"""),"Guaraí")</f>
        <v>Guaraí</v>
      </c>
      <c r="B433" s="210" t="str">
        <f ca="1">IFERROR(__xludf.DUMMYFUNCTION("""COMPUTED_VALUE"""),"Fortaleza do Tabocao")</f>
        <v>Fortaleza do Tabocao</v>
      </c>
      <c r="C433" s="211" t="str">
        <f ca="1">IFERROR(__xludf.DUMMYFUNCTION("""COMPUTED_VALUE"""),"ASSOC. DE APOIO A ESCOLA ESPECIAL EDSON DUTRA")</f>
        <v>ASSOC. DE APOIO A ESCOLA ESPECIAL EDSON DUTRA</v>
      </c>
      <c r="D433" s="212" t="str">
        <f ca="1">IFERROR(__xludf.DUMMYFUNCTION("""COMPUTED_VALUE"""),"09405159000160")</f>
        <v>09405159000160</v>
      </c>
      <c r="E433" s="212" t="str">
        <f ca="1">IFERROR(__xludf.DUMMYFUNCTION("""COMPUTED_VALUE"""),"104")</f>
        <v>104</v>
      </c>
      <c r="F433" s="212" t="str">
        <f ca="1">IFERROR(__xludf.DUMMYFUNCTION("""COMPUTED_VALUE"""),"4481")</f>
        <v>4481</v>
      </c>
      <c r="G433" s="213" t="str">
        <f ca="1">IFERROR(__xludf.DUMMYFUNCTION("""COMPUTED_VALUE"""),"3982")</f>
        <v>3982</v>
      </c>
      <c r="H433" s="211" t="str">
        <f ca="1">IFERROR(__xludf.DUMMYFUNCTION("""COMPUTED_VALUE"""),"ENS FUND PARCIAL")</f>
        <v>ENS FUND PARCIAL</v>
      </c>
      <c r="I433" s="214">
        <f ca="1">IFERROR(__xludf.DUMMYFUNCTION("""COMPUTED_VALUE"""),20)</f>
        <v>20</v>
      </c>
      <c r="J433" s="209"/>
      <c r="K433" s="209"/>
      <c r="L433" s="209"/>
      <c r="M433" s="209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9"/>
      <c r="Y433" s="209"/>
      <c r="Z433" s="209"/>
    </row>
    <row r="434" spans="1:26" ht="18.75" customHeight="1">
      <c r="A434" s="210" t="str">
        <f ca="1">IFERROR(__xludf.DUMMYFUNCTION("""COMPUTED_VALUE"""),"Guaraí")</f>
        <v>Guaraí</v>
      </c>
      <c r="B434" s="210" t="str">
        <f ca="1">IFERROR(__xludf.DUMMYFUNCTION("""COMPUTED_VALUE"""),"Fortaleza do Tabocao")</f>
        <v>Fortaleza do Tabocao</v>
      </c>
      <c r="C434" s="211" t="str">
        <f ca="1">IFERROR(__xludf.DUMMYFUNCTION("""COMPUTED_VALUE"""),"ASSOC. DE APOIO A ESCOLA ESPECIAL EDSON DUTRA")</f>
        <v>ASSOC. DE APOIO A ESCOLA ESPECIAL EDSON DUTRA</v>
      </c>
      <c r="D434" s="212" t="str">
        <f ca="1">IFERROR(__xludf.DUMMYFUNCTION("""COMPUTED_VALUE"""),"09405159000160")</f>
        <v>09405159000160</v>
      </c>
      <c r="E434" s="212" t="str">
        <f ca="1">IFERROR(__xludf.DUMMYFUNCTION("""COMPUTED_VALUE"""),"104")</f>
        <v>104</v>
      </c>
      <c r="F434" s="212" t="str">
        <f ca="1">IFERROR(__xludf.DUMMYFUNCTION("""COMPUTED_VALUE"""),"4481")</f>
        <v>4481</v>
      </c>
      <c r="G434" s="213" t="str">
        <f ca="1">IFERROR(__xludf.DUMMYFUNCTION("""COMPUTED_VALUE"""),"3982")</f>
        <v>3982</v>
      </c>
      <c r="H434" s="211" t="str">
        <f ca="1">IFERROR(__xludf.DUMMYFUNCTION("""COMPUTED_VALUE"""),"AEE")</f>
        <v>AEE</v>
      </c>
      <c r="I434" s="214">
        <f ca="1">IFERROR(__xludf.DUMMYFUNCTION("""COMPUTED_VALUE"""),190.4)</f>
        <v>190.4</v>
      </c>
      <c r="J434" s="209"/>
      <c r="K434" s="209"/>
      <c r="L434" s="209"/>
      <c r="M434" s="209"/>
      <c r="N434" s="209"/>
      <c r="O434" s="209"/>
      <c r="P434" s="209"/>
      <c r="Q434" s="209"/>
      <c r="R434" s="209"/>
      <c r="S434" s="209"/>
      <c r="T434" s="209"/>
      <c r="U434" s="209"/>
      <c r="V434" s="209"/>
      <c r="W434" s="209"/>
      <c r="X434" s="209"/>
      <c r="Y434" s="209"/>
      <c r="Z434" s="209"/>
    </row>
    <row r="435" spans="1:26" ht="18.75" customHeight="1">
      <c r="A435" s="210" t="str">
        <f ca="1">IFERROR(__xludf.DUMMYFUNCTION("""COMPUTED_VALUE"""),"Guaraí")</f>
        <v>Guaraí</v>
      </c>
      <c r="B435" s="210" t="str">
        <f ca="1">IFERROR(__xludf.DUMMYFUNCTION("""COMPUTED_VALUE"""),"Fortaleza do Tabocao")</f>
        <v>Fortaleza do Tabocao</v>
      </c>
      <c r="C435" s="211" t="str">
        <f ca="1">IFERROR(__xludf.DUMMYFUNCTION("""COMPUTED_VALUE"""),"ASSOC. DE APOIO A ESCOLA ESPECIAL EDSON DUTRA")</f>
        <v>ASSOC. DE APOIO A ESCOLA ESPECIAL EDSON DUTRA</v>
      </c>
      <c r="D435" s="212" t="str">
        <f ca="1">IFERROR(__xludf.DUMMYFUNCTION("""COMPUTED_VALUE"""),"09405159000160")</f>
        <v>09405159000160</v>
      </c>
      <c r="E435" s="212" t="str">
        <f ca="1">IFERROR(__xludf.DUMMYFUNCTION("""COMPUTED_VALUE"""),"104")</f>
        <v>104</v>
      </c>
      <c r="F435" s="212" t="str">
        <f ca="1">IFERROR(__xludf.DUMMYFUNCTION("""COMPUTED_VALUE"""),"4481")</f>
        <v>4481</v>
      </c>
      <c r="G435" s="213" t="str">
        <f ca="1">IFERROR(__xludf.DUMMYFUNCTION("""COMPUTED_VALUE"""),"3982")</f>
        <v>3982</v>
      </c>
      <c r="H435" s="211" t="str">
        <f ca="1">IFERROR(__xludf.DUMMYFUNCTION("""COMPUTED_VALUE"""),"EJA")</f>
        <v>EJA</v>
      </c>
      <c r="I435" s="214">
        <f ca="1">IFERROR(__xludf.DUMMYFUNCTION("""COMPUTED_VALUE"""),131.2)</f>
        <v>131.19999999999999</v>
      </c>
      <c r="J435" s="209"/>
      <c r="K435" s="209"/>
      <c r="L435" s="209"/>
      <c r="M435" s="209"/>
      <c r="N435" s="209"/>
      <c r="O435" s="209"/>
      <c r="P435" s="209"/>
      <c r="Q435" s="209"/>
      <c r="R435" s="209"/>
      <c r="S435" s="209"/>
      <c r="T435" s="209"/>
      <c r="U435" s="209"/>
      <c r="V435" s="209"/>
      <c r="W435" s="209"/>
      <c r="X435" s="209"/>
      <c r="Y435" s="209"/>
      <c r="Z435" s="209"/>
    </row>
    <row r="436" spans="1:26" ht="18.75" customHeight="1">
      <c r="A436" s="210" t="str">
        <f ca="1">IFERROR(__xludf.DUMMYFUNCTION("""COMPUTED_VALUE"""),"Guaraí")</f>
        <v>Guaraí</v>
      </c>
      <c r="B436" s="210" t="str">
        <f ca="1">IFERROR(__xludf.DUMMYFUNCTION("""COMPUTED_VALUE"""),"Goianorte")</f>
        <v>Goianorte</v>
      </c>
      <c r="C436" s="211" t="str">
        <f ca="1">IFERROR(__xludf.DUMMYFUNCTION("""COMPUTED_VALUE"""),"A.A.  DA ESCOLA ESTADUAL MORRO DO MATO")</f>
        <v>A.A.  DA ESCOLA ESTADUAL MORRO DO MATO</v>
      </c>
      <c r="D436" s="212" t="str">
        <f ca="1">IFERROR(__xludf.DUMMYFUNCTION("""COMPUTED_VALUE"""),"01990368000107")</f>
        <v>01990368000107</v>
      </c>
      <c r="E436" s="212" t="str">
        <f ca="1">IFERROR(__xludf.DUMMYFUNCTION("""COMPUTED_VALUE"""),"001")</f>
        <v>001</v>
      </c>
      <c r="F436" s="212" t="str">
        <f ca="1">IFERROR(__xludf.DUMMYFUNCTION("""COMPUTED_VALUE"""),"1306")</f>
        <v>1306</v>
      </c>
      <c r="G436" s="213" t="str">
        <f ca="1">IFERROR(__xludf.DUMMYFUNCTION("""COMPUTED_VALUE"""),"54178")</f>
        <v>54178</v>
      </c>
      <c r="H436" s="211" t="str">
        <f ca="1">IFERROR(__xludf.DUMMYFUNCTION("""COMPUTED_VALUE"""),"ENS FUND PARCIAL")</f>
        <v>ENS FUND PARCIAL</v>
      </c>
      <c r="I436" s="214">
        <f ca="1">IFERROR(__xludf.DUMMYFUNCTION("""COMPUTED_VALUE"""),2050)</f>
        <v>2050</v>
      </c>
      <c r="J436" s="209"/>
      <c r="K436" s="209"/>
      <c r="L436" s="209"/>
      <c r="M436" s="209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9"/>
      <c r="Y436" s="209"/>
      <c r="Z436" s="209"/>
    </row>
    <row r="437" spans="1:26" ht="18.75" customHeight="1">
      <c r="A437" s="210" t="str">
        <f ca="1">IFERROR(__xludf.DUMMYFUNCTION("""COMPUTED_VALUE"""),"Guaraí")</f>
        <v>Guaraí</v>
      </c>
      <c r="B437" s="210" t="str">
        <f ca="1">IFERROR(__xludf.DUMMYFUNCTION("""COMPUTED_VALUE"""),"Goianorte")</f>
        <v>Goianorte</v>
      </c>
      <c r="C437" s="211" t="str">
        <f ca="1">IFERROR(__xludf.DUMMYFUNCTION("""COMPUTED_VALUE"""),"A.A.  DA ESCOLA ESTADUAL MORRO DO MATO")</f>
        <v>A.A.  DA ESCOLA ESTADUAL MORRO DO MATO</v>
      </c>
      <c r="D437" s="212" t="str">
        <f ca="1">IFERROR(__xludf.DUMMYFUNCTION("""COMPUTED_VALUE"""),"01990368000107")</f>
        <v>01990368000107</v>
      </c>
      <c r="E437" s="212" t="str">
        <f ca="1">IFERROR(__xludf.DUMMYFUNCTION("""COMPUTED_VALUE"""),"001")</f>
        <v>001</v>
      </c>
      <c r="F437" s="212" t="str">
        <f ca="1">IFERROR(__xludf.DUMMYFUNCTION("""COMPUTED_VALUE"""),"1306")</f>
        <v>1306</v>
      </c>
      <c r="G437" s="213" t="str">
        <f ca="1">IFERROR(__xludf.DUMMYFUNCTION("""COMPUTED_VALUE"""),"54178")</f>
        <v>54178</v>
      </c>
      <c r="H437" s="211" t="str">
        <f ca="1">IFERROR(__xludf.DUMMYFUNCTION("""COMPUTED_VALUE"""),"AEE")</f>
        <v>AEE</v>
      </c>
      <c r="I437" s="214">
        <f ca="1">IFERROR(__xludf.DUMMYFUNCTION("""COMPUTED_VALUE"""),394.4)</f>
        <v>394.4</v>
      </c>
      <c r="J437" s="209"/>
      <c r="K437" s="209"/>
      <c r="L437" s="209"/>
      <c r="M437" s="209"/>
      <c r="N437" s="209"/>
      <c r="O437" s="209"/>
      <c r="P437" s="209"/>
      <c r="Q437" s="209"/>
      <c r="R437" s="209"/>
      <c r="S437" s="209"/>
      <c r="T437" s="209"/>
      <c r="U437" s="209"/>
      <c r="V437" s="209"/>
      <c r="W437" s="209"/>
      <c r="X437" s="209"/>
      <c r="Y437" s="209"/>
      <c r="Z437" s="209"/>
    </row>
    <row r="438" spans="1:26" ht="18.75" customHeight="1">
      <c r="A438" s="210" t="str">
        <f ca="1">IFERROR(__xludf.DUMMYFUNCTION("""COMPUTED_VALUE"""),"Guaraí")</f>
        <v>Guaraí</v>
      </c>
      <c r="B438" s="210" t="str">
        <f ca="1">IFERROR(__xludf.DUMMYFUNCTION("""COMPUTED_VALUE"""),"Goianorte")</f>
        <v>Goianorte</v>
      </c>
      <c r="C438" s="211" t="str">
        <f ca="1">IFERROR(__xludf.DUMMYFUNCTION("""COMPUTED_VALUE"""),"A.A.  DA ESCOLA ESTADUAL MORRO DO MATO")</f>
        <v>A.A.  DA ESCOLA ESTADUAL MORRO DO MATO</v>
      </c>
      <c r="D438" s="212" t="str">
        <f ca="1">IFERROR(__xludf.DUMMYFUNCTION("""COMPUTED_VALUE"""),"01990368000107")</f>
        <v>01990368000107</v>
      </c>
      <c r="E438" s="212" t="str">
        <f ca="1">IFERROR(__xludf.DUMMYFUNCTION("""COMPUTED_VALUE"""),"001")</f>
        <v>001</v>
      </c>
      <c r="F438" s="212" t="str">
        <f ca="1">IFERROR(__xludf.DUMMYFUNCTION("""COMPUTED_VALUE"""),"1306")</f>
        <v>1306</v>
      </c>
      <c r="G438" s="213" t="str">
        <f ca="1">IFERROR(__xludf.DUMMYFUNCTION("""COMPUTED_VALUE"""),"54178")</f>
        <v>54178</v>
      </c>
      <c r="H438" s="211" t="str">
        <f ca="1">IFERROR(__xludf.DUMMYFUNCTION("""COMPUTED_VALUE"""),"EJA")</f>
        <v>EJA</v>
      </c>
      <c r="I438" s="214">
        <f ca="1">IFERROR(__xludf.DUMMYFUNCTION("""COMPUTED_VALUE"""),754.4)</f>
        <v>754.4</v>
      </c>
      <c r="J438" s="209"/>
      <c r="K438" s="209"/>
      <c r="L438" s="209"/>
      <c r="M438" s="209"/>
      <c r="N438" s="209"/>
      <c r="O438" s="209"/>
      <c r="P438" s="209"/>
      <c r="Q438" s="209"/>
      <c r="R438" s="209"/>
      <c r="S438" s="209"/>
      <c r="T438" s="209"/>
      <c r="U438" s="209"/>
      <c r="V438" s="209"/>
      <c r="W438" s="209"/>
      <c r="X438" s="209"/>
      <c r="Y438" s="209"/>
      <c r="Z438" s="209"/>
    </row>
    <row r="439" spans="1:26" ht="18.75" customHeight="1">
      <c r="A439" s="210" t="str">
        <f ca="1">IFERROR(__xludf.DUMMYFUNCTION("""COMPUTED_VALUE"""),"Guaraí")</f>
        <v>Guaraí</v>
      </c>
      <c r="B439" s="210" t="str">
        <f ca="1">IFERROR(__xludf.DUMMYFUNCTION("""COMPUTED_VALUE"""),"Goianorte")</f>
        <v>Goianorte</v>
      </c>
      <c r="C439" s="211" t="str">
        <f ca="1">IFERROR(__xludf.DUMMYFUNCTION("""COMPUTED_VALUE"""),"A.A. DA ESC. EST. ANTENOR BARREIRA")</f>
        <v>A.A. DA ESC. EST. ANTENOR BARREIRA</v>
      </c>
      <c r="D439" s="212" t="str">
        <f ca="1">IFERROR(__xludf.DUMMYFUNCTION("""COMPUTED_VALUE"""),"02069808000150")</f>
        <v>02069808000150</v>
      </c>
      <c r="E439" s="212" t="str">
        <f ca="1">IFERROR(__xludf.DUMMYFUNCTION("""COMPUTED_VALUE"""),"001")</f>
        <v>001</v>
      </c>
      <c r="F439" s="212" t="str">
        <f ca="1">IFERROR(__xludf.DUMMYFUNCTION("""COMPUTED_VALUE"""),"1306")</f>
        <v>1306</v>
      </c>
      <c r="G439" s="213" t="str">
        <f ca="1">IFERROR(__xludf.DUMMYFUNCTION("""COMPUTED_VALUE"""),"54186")</f>
        <v>54186</v>
      </c>
      <c r="H439" s="211" t="str">
        <f ca="1">IFERROR(__xludf.DUMMYFUNCTION("""COMPUTED_VALUE"""),"ENS FUND PARCIAL")</f>
        <v>ENS FUND PARCIAL</v>
      </c>
      <c r="I439" s="214">
        <f ca="1">IFERROR(__xludf.DUMMYFUNCTION("""COMPUTED_VALUE"""),1200)</f>
        <v>1200</v>
      </c>
      <c r="J439" s="209"/>
      <c r="K439" s="209"/>
      <c r="L439" s="209"/>
      <c r="M439" s="209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9"/>
      <c r="Y439" s="209"/>
      <c r="Z439" s="209"/>
    </row>
    <row r="440" spans="1:26" ht="18.75" customHeight="1">
      <c r="A440" s="210" t="str">
        <f ca="1">IFERROR(__xludf.DUMMYFUNCTION("""COMPUTED_VALUE"""),"Guaraí")</f>
        <v>Guaraí</v>
      </c>
      <c r="B440" s="210" t="str">
        <f ca="1">IFERROR(__xludf.DUMMYFUNCTION("""COMPUTED_VALUE"""),"Goianorte")</f>
        <v>Goianorte</v>
      </c>
      <c r="C440" s="211" t="str">
        <f ca="1">IFERROR(__xludf.DUMMYFUNCTION("""COMPUTED_VALUE"""),"A.A. DA ESC. EST. ANTENOR BARREIRA")</f>
        <v>A.A. DA ESC. EST. ANTENOR BARREIRA</v>
      </c>
      <c r="D440" s="212" t="str">
        <f ca="1">IFERROR(__xludf.DUMMYFUNCTION("""COMPUTED_VALUE"""),"02069808000150")</f>
        <v>02069808000150</v>
      </c>
      <c r="E440" s="212" t="str">
        <f ca="1">IFERROR(__xludf.DUMMYFUNCTION("""COMPUTED_VALUE"""),"001")</f>
        <v>001</v>
      </c>
      <c r="F440" s="212" t="str">
        <f ca="1">IFERROR(__xludf.DUMMYFUNCTION("""COMPUTED_VALUE"""),"1306")</f>
        <v>1306</v>
      </c>
      <c r="G440" s="213" t="str">
        <f ca="1">IFERROR(__xludf.DUMMYFUNCTION("""COMPUTED_VALUE"""),"54186")</f>
        <v>54186</v>
      </c>
      <c r="H440" s="211" t="str">
        <f ca="1">IFERROR(__xludf.DUMMYFUNCTION("""COMPUTED_VALUE"""),"AEE")</f>
        <v>AEE</v>
      </c>
      <c r="I440" s="214">
        <f ca="1">IFERROR(__xludf.DUMMYFUNCTION("""COMPUTED_VALUE"""),190.4)</f>
        <v>190.4</v>
      </c>
      <c r="J440" s="209"/>
      <c r="K440" s="209"/>
      <c r="L440" s="209"/>
      <c r="M440" s="209"/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  <c r="Z440" s="209"/>
    </row>
    <row r="441" spans="1:26" ht="18.75" customHeight="1">
      <c r="A441" s="210" t="str">
        <f ca="1">IFERROR(__xludf.DUMMYFUNCTION("""COMPUTED_VALUE"""),"Guaraí")</f>
        <v>Guaraí</v>
      </c>
      <c r="B441" s="210" t="str">
        <f ca="1">IFERROR(__xludf.DUMMYFUNCTION("""COMPUTED_VALUE"""),"Goianorte")</f>
        <v>Goianorte</v>
      </c>
      <c r="C441" s="211" t="str">
        <f ca="1">IFERROR(__xludf.DUMMYFUNCTION("""COMPUTED_VALUE"""),"A.A. DA ESC. EST. ANTENOR BARREIRA")</f>
        <v>A.A. DA ESC. EST. ANTENOR BARREIRA</v>
      </c>
      <c r="D441" s="212" t="str">
        <f ca="1">IFERROR(__xludf.DUMMYFUNCTION("""COMPUTED_VALUE"""),"02069808000150")</f>
        <v>02069808000150</v>
      </c>
      <c r="E441" s="212" t="str">
        <f ca="1">IFERROR(__xludf.DUMMYFUNCTION("""COMPUTED_VALUE"""),"001")</f>
        <v>001</v>
      </c>
      <c r="F441" s="212" t="str">
        <f ca="1">IFERROR(__xludf.DUMMYFUNCTION("""COMPUTED_VALUE"""),"1306")</f>
        <v>1306</v>
      </c>
      <c r="G441" s="213" t="str">
        <f ca="1">IFERROR(__xludf.DUMMYFUNCTION("""COMPUTED_VALUE"""),"54186")</f>
        <v>54186</v>
      </c>
      <c r="H441" s="211" t="str">
        <f ca="1">IFERROR(__xludf.DUMMYFUNCTION("""COMPUTED_VALUE"""),"ENSINO MEDIO PARCIAL")</f>
        <v>ENSINO MEDIO PARCIAL</v>
      </c>
      <c r="I441" s="214">
        <f ca="1">IFERROR(__xludf.DUMMYFUNCTION("""COMPUTED_VALUE"""),1900)</f>
        <v>1900</v>
      </c>
      <c r="J441" s="209"/>
      <c r="K441" s="209"/>
      <c r="L441" s="209"/>
      <c r="M441" s="209"/>
      <c r="N441" s="209"/>
      <c r="O441" s="209"/>
      <c r="P441" s="209"/>
      <c r="Q441" s="209"/>
      <c r="R441" s="209"/>
      <c r="S441" s="209"/>
      <c r="T441" s="209"/>
      <c r="U441" s="209"/>
      <c r="V441" s="209"/>
      <c r="W441" s="209"/>
      <c r="X441" s="209"/>
      <c r="Y441" s="209"/>
      <c r="Z441" s="209"/>
    </row>
    <row r="442" spans="1:26" ht="18.75" customHeight="1">
      <c r="A442" s="210" t="str">
        <f ca="1">IFERROR(__xludf.DUMMYFUNCTION("""COMPUTED_VALUE"""),"Guaraí")</f>
        <v>Guaraí</v>
      </c>
      <c r="B442" s="210" t="str">
        <f ca="1">IFERROR(__xludf.DUMMYFUNCTION("""COMPUTED_VALUE"""),"Goianorte")</f>
        <v>Goianorte</v>
      </c>
      <c r="C442" s="211" t="str">
        <f ca="1">IFERROR(__xludf.DUMMYFUNCTION("""COMPUTED_VALUE"""),"ASSOC. DE APOIO DA ESCOLA ESPECIAL NOVOV PARAÍSO - APAE")</f>
        <v>ASSOC. DE APOIO DA ESCOLA ESPECIAL NOVOV PARAÍSO - APAE</v>
      </c>
      <c r="D442" s="212" t="str">
        <f ca="1">IFERROR(__xludf.DUMMYFUNCTION("""COMPUTED_VALUE"""),"09510602000163")</f>
        <v>09510602000163</v>
      </c>
      <c r="E442" s="212" t="str">
        <f ca="1">IFERROR(__xludf.DUMMYFUNCTION("""COMPUTED_VALUE"""),"001")</f>
        <v>001</v>
      </c>
      <c r="F442" s="212" t="str">
        <f ca="1">IFERROR(__xludf.DUMMYFUNCTION("""COMPUTED_VALUE"""),"1306")</f>
        <v>1306</v>
      </c>
      <c r="G442" s="213" t="str">
        <f ca="1">IFERROR(__xludf.DUMMYFUNCTION("""COMPUTED_VALUE"""),"138258")</f>
        <v>138258</v>
      </c>
      <c r="H442" s="211" t="str">
        <f ca="1">IFERROR(__xludf.DUMMYFUNCTION("""COMPUTED_VALUE"""),"PRÉ-ESCOLA")</f>
        <v>PRÉ-ESCOLA</v>
      </c>
      <c r="I442" s="214">
        <f ca="1">IFERROR(__xludf.DUMMYFUNCTION("""COMPUTED_VALUE"""),57.6)</f>
        <v>57.6</v>
      </c>
      <c r="J442" s="209"/>
      <c r="K442" s="209"/>
      <c r="L442" s="209"/>
      <c r="M442" s="209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9"/>
      <c r="Y442" s="209"/>
      <c r="Z442" s="209"/>
    </row>
    <row r="443" spans="1:26" ht="18.75" customHeight="1">
      <c r="A443" s="210" t="str">
        <f ca="1">IFERROR(__xludf.DUMMYFUNCTION("""COMPUTED_VALUE"""),"Guaraí")</f>
        <v>Guaraí</v>
      </c>
      <c r="B443" s="210" t="str">
        <f ca="1">IFERROR(__xludf.DUMMYFUNCTION("""COMPUTED_VALUE"""),"Goianorte")</f>
        <v>Goianorte</v>
      </c>
      <c r="C443" s="211" t="str">
        <f ca="1">IFERROR(__xludf.DUMMYFUNCTION("""COMPUTED_VALUE"""),"ASSOC. DE APOIO DA ESCOLA ESPECIAL NOVOV PARAÍSO - APAE")</f>
        <v>ASSOC. DE APOIO DA ESCOLA ESPECIAL NOVOV PARAÍSO - APAE</v>
      </c>
      <c r="D443" s="212" t="str">
        <f ca="1">IFERROR(__xludf.DUMMYFUNCTION("""COMPUTED_VALUE"""),"09510602000163")</f>
        <v>09510602000163</v>
      </c>
      <c r="E443" s="212" t="str">
        <f ca="1">IFERROR(__xludf.DUMMYFUNCTION("""COMPUTED_VALUE"""),"001")</f>
        <v>001</v>
      </c>
      <c r="F443" s="212" t="str">
        <f ca="1">IFERROR(__xludf.DUMMYFUNCTION("""COMPUTED_VALUE"""),"1306")</f>
        <v>1306</v>
      </c>
      <c r="G443" s="213" t="str">
        <f ca="1">IFERROR(__xludf.DUMMYFUNCTION("""COMPUTED_VALUE"""),"138258")</f>
        <v>138258</v>
      </c>
      <c r="H443" s="211" t="str">
        <f ca="1">IFERROR(__xludf.DUMMYFUNCTION("""COMPUTED_VALUE"""),"ENS FUND PARCIAL")</f>
        <v>ENS FUND PARCIAL</v>
      </c>
      <c r="I443" s="214">
        <f ca="1">IFERROR(__xludf.DUMMYFUNCTION("""COMPUTED_VALUE"""),650)</f>
        <v>650</v>
      </c>
      <c r="J443" s="209"/>
      <c r="K443" s="209"/>
      <c r="L443" s="209"/>
      <c r="M443" s="209"/>
      <c r="N443" s="209"/>
      <c r="O443" s="209"/>
      <c r="P443" s="209"/>
      <c r="Q443" s="209"/>
      <c r="R443" s="209"/>
      <c r="S443" s="209"/>
      <c r="T443" s="209"/>
      <c r="U443" s="209"/>
      <c r="V443" s="209"/>
      <c r="W443" s="209"/>
      <c r="X443" s="209"/>
      <c r="Y443" s="209"/>
      <c r="Z443" s="209"/>
    </row>
    <row r="444" spans="1:26" ht="18.75" customHeight="1">
      <c r="A444" s="210" t="str">
        <f ca="1">IFERROR(__xludf.DUMMYFUNCTION("""COMPUTED_VALUE"""),"Guaraí")</f>
        <v>Guaraí</v>
      </c>
      <c r="B444" s="210" t="str">
        <f ca="1">IFERROR(__xludf.DUMMYFUNCTION("""COMPUTED_VALUE"""),"Goianorte")</f>
        <v>Goianorte</v>
      </c>
      <c r="C444" s="211" t="str">
        <f ca="1">IFERROR(__xludf.DUMMYFUNCTION("""COMPUTED_VALUE"""),"ASSOC. DE APOIO DA ESCOLA ESPECIAL NOVOV PARAÍSO - APAE")</f>
        <v>ASSOC. DE APOIO DA ESCOLA ESPECIAL NOVOV PARAÍSO - APAE</v>
      </c>
      <c r="D444" s="212" t="str">
        <f ca="1">IFERROR(__xludf.DUMMYFUNCTION("""COMPUTED_VALUE"""),"09510602000163")</f>
        <v>09510602000163</v>
      </c>
      <c r="E444" s="212" t="str">
        <f ca="1">IFERROR(__xludf.DUMMYFUNCTION("""COMPUTED_VALUE"""),"001")</f>
        <v>001</v>
      </c>
      <c r="F444" s="212" t="str">
        <f ca="1">IFERROR(__xludf.DUMMYFUNCTION("""COMPUTED_VALUE"""),"1306")</f>
        <v>1306</v>
      </c>
      <c r="G444" s="213" t="str">
        <f ca="1">IFERROR(__xludf.DUMMYFUNCTION("""COMPUTED_VALUE"""),"138258")</f>
        <v>138258</v>
      </c>
      <c r="H444" s="211" t="str">
        <f ca="1">IFERROR(__xludf.DUMMYFUNCTION("""COMPUTED_VALUE"""),"AEE")</f>
        <v>AEE</v>
      </c>
      <c r="I444" s="214">
        <f ca="1">IFERROR(__xludf.DUMMYFUNCTION("""COMPUTED_VALUE"""),176.799999999999)</f>
        <v>176.79999999999899</v>
      </c>
      <c r="J444" s="209"/>
      <c r="K444" s="209"/>
      <c r="L444" s="209"/>
      <c r="M444" s="209"/>
      <c r="N444" s="209"/>
      <c r="O444" s="209"/>
      <c r="P444" s="209"/>
      <c r="Q444" s="209"/>
      <c r="R444" s="209"/>
      <c r="S444" s="209"/>
      <c r="T444" s="209"/>
      <c r="U444" s="209"/>
      <c r="V444" s="209"/>
      <c r="W444" s="209"/>
      <c r="X444" s="209"/>
      <c r="Y444" s="209"/>
      <c r="Z444" s="209"/>
    </row>
    <row r="445" spans="1:26" ht="18.75" customHeight="1">
      <c r="A445" s="210" t="str">
        <f ca="1">IFERROR(__xludf.DUMMYFUNCTION("""COMPUTED_VALUE"""),"Guaraí")</f>
        <v>Guaraí</v>
      </c>
      <c r="B445" s="210" t="str">
        <f ca="1">IFERROR(__xludf.DUMMYFUNCTION("""COMPUTED_VALUE"""),"Goianorte")</f>
        <v>Goianorte</v>
      </c>
      <c r="C445" s="211" t="str">
        <f ca="1">IFERROR(__xludf.DUMMYFUNCTION("""COMPUTED_VALUE"""),"ASSOC. DE APOIO DA ESCOLA ESPECIAL NOVOV PARAÍSO - APAE")</f>
        <v>ASSOC. DE APOIO DA ESCOLA ESPECIAL NOVOV PARAÍSO - APAE</v>
      </c>
      <c r="D445" s="212" t="str">
        <f ca="1">IFERROR(__xludf.DUMMYFUNCTION("""COMPUTED_VALUE"""),"09510602000163")</f>
        <v>09510602000163</v>
      </c>
      <c r="E445" s="212" t="str">
        <f ca="1">IFERROR(__xludf.DUMMYFUNCTION("""COMPUTED_VALUE"""),"001")</f>
        <v>001</v>
      </c>
      <c r="F445" s="212" t="str">
        <f ca="1">IFERROR(__xludf.DUMMYFUNCTION("""COMPUTED_VALUE"""),"1306")</f>
        <v>1306</v>
      </c>
      <c r="G445" s="213" t="str">
        <f ca="1">IFERROR(__xludf.DUMMYFUNCTION("""COMPUTED_VALUE"""),"138258")</f>
        <v>138258</v>
      </c>
      <c r="H445" s="211" t="str">
        <f ca="1">IFERROR(__xludf.DUMMYFUNCTION("""COMPUTED_VALUE"""),"EJA")</f>
        <v>EJA</v>
      </c>
      <c r="I445" s="214">
        <f ca="1">IFERROR(__xludf.DUMMYFUNCTION("""COMPUTED_VALUE"""),180.399999999999)</f>
        <v>180.39999999999901</v>
      </c>
      <c r="J445" s="209"/>
      <c r="K445" s="209"/>
      <c r="L445" s="209"/>
      <c r="M445" s="209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9"/>
      <c r="Y445" s="209"/>
      <c r="Z445" s="209"/>
    </row>
    <row r="446" spans="1:26" ht="18.75" customHeight="1">
      <c r="A446" s="210" t="str">
        <f ca="1">IFERROR(__xludf.DUMMYFUNCTION("""COMPUTED_VALUE"""),"Guaraí")</f>
        <v>Guaraí</v>
      </c>
      <c r="B446" s="210" t="str">
        <f ca="1">IFERROR(__xludf.DUMMYFUNCTION("""COMPUTED_VALUE"""),"Guarai")</f>
        <v>Guarai</v>
      </c>
      <c r="C446" s="211" t="str">
        <f ca="1">IFERROR(__xludf.DUMMYFUNCTION("""COMPUTED_VALUE"""),"A. ESCOLAR COM.COL. EST.RAIMUNDO A.LEAO")</f>
        <v>A. ESCOLAR COM.COL. EST.RAIMUNDO A.LEAO</v>
      </c>
      <c r="D446" s="212" t="str">
        <f ca="1">IFERROR(__xludf.DUMMYFUNCTION("""COMPUTED_VALUE"""),"00880649000144")</f>
        <v>00880649000144</v>
      </c>
      <c r="E446" s="212" t="str">
        <f ca="1">IFERROR(__xludf.DUMMYFUNCTION("""COMPUTED_VALUE"""),"001")</f>
        <v>001</v>
      </c>
      <c r="F446" s="212" t="str">
        <f ca="1">IFERROR(__xludf.DUMMYFUNCTION("""COMPUTED_VALUE"""),"2094")</f>
        <v>2094</v>
      </c>
      <c r="G446" s="213" t="str">
        <f ca="1">IFERROR(__xludf.DUMMYFUNCTION("""COMPUTED_VALUE"""),"0472719")</f>
        <v>0472719</v>
      </c>
      <c r="H446" s="211" t="str">
        <f ca="1">IFERROR(__xludf.DUMMYFUNCTION("""COMPUTED_VALUE"""),"ENS FUND PARCIAL")</f>
        <v>ENS FUND PARCIAL</v>
      </c>
      <c r="I446" s="214">
        <f ca="1">IFERROR(__xludf.DUMMYFUNCTION("""COMPUTED_VALUE"""),1690)</f>
        <v>1690</v>
      </c>
      <c r="J446" s="209"/>
      <c r="K446" s="209"/>
      <c r="L446" s="209"/>
      <c r="M446" s="209"/>
      <c r="N446" s="209"/>
      <c r="O446" s="209"/>
      <c r="P446" s="209"/>
      <c r="Q446" s="209"/>
      <c r="R446" s="209"/>
      <c r="S446" s="209"/>
      <c r="T446" s="209"/>
      <c r="U446" s="209"/>
      <c r="V446" s="209"/>
      <c r="W446" s="209"/>
      <c r="X446" s="209"/>
      <c r="Y446" s="209"/>
      <c r="Z446" s="209"/>
    </row>
    <row r="447" spans="1:26" ht="18.75" customHeight="1">
      <c r="A447" s="210" t="str">
        <f ca="1">IFERROR(__xludf.DUMMYFUNCTION("""COMPUTED_VALUE"""),"Guaraí")</f>
        <v>Guaraí</v>
      </c>
      <c r="B447" s="210" t="str">
        <f ca="1">IFERROR(__xludf.DUMMYFUNCTION("""COMPUTED_VALUE"""),"Guarai")</f>
        <v>Guarai</v>
      </c>
      <c r="C447" s="211" t="str">
        <f ca="1">IFERROR(__xludf.DUMMYFUNCTION("""COMPUTED_VALUE"""),"A. ESCOLAR COM.COL. EST.RAIMUNDO A.LEAO")</f>
        <v>A. ESCOLAR COM.COL. EST.RAIMUNDO A.LEAO</v>
      </c>
      <c r="D447" s="212" t="str">
        <f ca="1">IFERROR(__xludf.DUMMYFUNCTION("""COMPUTED_VALUE"""),"00880649000144")</f>
        <v>00880649000144</v>
      </c>
      <c r="E447" s="212" t="str">
        <f ca="1">IFERROR(__xludf.DUMMYFUNCTION("""COMPUTED_VALUE"""),"001")</f>
        <v>001</v>
      </c>
      <c r="F447" s="212" t="str">
        <f ca="1">IFERROR(__xludf.DUMMYFUNCTION("""COMPUTED_VALUE"""),"2094")</f>
        <v>2094</v>
      </c>
      <c r="G447" s="213" t="str">
        <f ca="1">IFERROR(__xludf.DUMMYFUNCTION("""COMPUTED_VALUE"""),"0472719")</f>
        <v>0472719</v>
      </c>
      <c r="H447" s="211" t="str">
        <f ca="1">IFERROR(__xludf.DUMMYFUNCTION("""COMPUTED_VALUE"""),"AEE")</f>
        <v>AEE</v>
      </c>
      <c r="I447" s="214">
        <f ca="1">IFERROR(__xludf.DUMMYFUNCTION("""COMPUTED_VALUE"""),163.2)</f>
        <v>163.19999999999999</v>
      </c>
      <c r="J447" s="209"/>
      <c r="K447" s="209"/>
      <c r="L447" s="209"/>
      <c r="M447" s="209"/>
      <c r="N447" s="209"/>
      <c r="O447" s="209"/>
      <c r="P447" s="209"/>
      <c r="Q447" s="209"/>
      <c r="R447" s="209"/>
      <c r="S447" s="209"/>
      <c r="T447" s="209"/>
      <c r="U447" s="209"/>
      <c r="V447" s="209"/>
      <c r="W447" s="209"/>
      <c r="X447" s="209"/>
      <c r="Y447" s="209"/>
      <c r="Z447" s="209"/>
    </row>
    <row r="448" spans="1:26" ht="18.75" customHeight="1">
      <c r="A448" s="210" t="str">
        <f ca="1">IFERROR(__xludf.DUMMYFUNCTION("""COMPUTED_VALUE"""),"Guaraí")</f>
        <v>Guaraí</v>
      </c>
      <c r="B448" s="210" t="str">
        <f ca="1">IFERROR(__xludf.DUMMYFUNCTION("""COMPUTED_VALUE"""),"Guarai")</f>
        <v>Guarai</v>
      </c>
      <c r="C448" s="211" t="str">
        <f ca="1">IFERROR(__xludf.DUMMYFUNCTION("""COMPUTED_VALUE"""),"A. ESCOLAR COM.COL. EST.RAIMUNDO A.LEAO")</f>
        <v>A. ESCOLAR COM.COL. EST.RAIMUNDO A.LEAO</v>
      </c>
      <c r="D448" s="212" t="str">
        <f ca="1">IFERROR(__xludf.DUMMYFUNCTION("""COMPUTED_VALUE"""),"00880649000144")</f>
        <v>00880649000144</v>
      </c>
      <c r="E448" s="212" t="str">
        <f ca="1">IFERROR(__xludf.DUMMYFUNCTION("""COMPUTED_VALUE"""),"001")</f>
        <v>001</v>
      </c>
      <c r="F448" s="212" t="str">
        <f ca="1">IFERROR(__xludf.DUMMYFUNCTION("""COMPUTED_VALUE"""),"2094")</f>
        <v>2094</v>
      </c>
      <c r="G448" s="213" t="str">
        <f ca="1">IFERROR(__xludf.DUMMYFUNCTION("""COMPUTED_VALUE"""),"0472719")</f>
        <v>0472719</v>
      </c>
      <c r="H448" s="211" t="str">
        <f ca="1">IFERROR(__xludf.DUMMYFUNCTION("""COMPUTED_VALUE"""),"EJA")</f>
        <v>EJA</v>
      </c>
      <c r="I448" s="214">
        <f ca="1">IFERROR(__xludf.DUMMYFUNCTION("""COMPUTED_VALUE"""),1516.99999999999)</f>
        <v>1516.99999999999</v>
      </c>
      <c r="J448" s="209"/>
      <c r="K448" s="209"/>
      <c r="L448" s="209"/>
      <c r="M448" s="209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9"/>
      <c r="Y448" s="209"/>
      <c r="Z448" s="209"/>
    </row>
    <row r="449" spans="1:26" ht="18.75" customHeight="1">
      <c r="A449" s="210" t="str">
        <f ca="1">IFERROR(__xludf.DUMMYFUNCTION("""COMPUTED_VALUE"""),"Guaraí")</f>
        <v>Guaraí</v>
      </c>
      <c r="B449" s="210" t="str">
        <f ca="1">IFERROR(__xludf.DUMMYFUNCTION("""COMPUTED_VALUE"""),"Guarai")</f>
        <v>Guarai</v>
      </c>
      <c r="C449" s="211" t="str">
        <f ca="1">IFERROR(__xludf.DUMMYFUNCTION("""COMPUTED_VALUE"""),"A.A. ESC. EST.IRINEU ALBANO HENDGES")</f>
        <v>A.A. ESC. EST.IRINEU ALBANO HENDGES</v>
      </c>
      <c r="D449" s="212" t="str">
        <f ca="1">IFERROR(__xludf.DUMMYFUNCTION("""COMPUTED_VALUE"""),"01136012000100")</f>
        <v>01136012000100</v>
      </c>
      <c r="E449" s="212" t="str">
        <f ca="1">IFERROR(__xludf.DUMMYFUNCTION("""COMPUTED_VALUE"""),"001")</f>
        <v>001</v>
      </c>
      <c r="F449" s="212" t="str">
        <f ca="1">IFERROR(__xludf.DUMMYFUNCTION("""COMPUTED_VALUE"""),"2094")</f>
        <v>2094</v>
      </c>
      <c r="G449" s="213" t="str">
        <f ca="1">IFERROR(__xludf.DUMMYFUNCTION("""COMPUTED_VALUE"""),"0472433")</f>
        <v>0472433</v>
      </c>
      <c r="H449" s="211" t="str">
        <f ca="1">IFERROR(__xludf.DUMMYFUNCTION("""COMPUTED_VALUE"""),"ENS FUND PARCIAL")</f>
        <v>ENS FUND PARCIAL</v>
      </c>
      <c r="I449" s="214">
        <f ca="1">IFERROR(__xludf.DUMMYFUNCTION("""COMPUTED_VALUE"""),4360)</f>
        <v>4360</v>
      </c>
      <c r="J449" s="209"/>
      <c r="K449" s="209"/>
      <c r="L449" s="209"/>
      <c r="M449" s="209"/>
      <c r="N449" s="209"/>
      <c r="O449" s="209"/>
      <c r="P449" s="209"/>
      <c r="Q449" s="209"/>
      <c r="R449" s="209"/>
      <c r="S449" s="209"/>
      <c r="T449" s="209"/>
      <c r="U449" s="209"/>
      <c r="V449" s="209"/>
      <c r="W449" s="209"/>
      <c r="X449" s="209"/>
      <c r="Y449" s="209"/>
      <c r="Z449" s="209"/>
    </row>
    <row r="450" spans="1:26" ht="18.75" customHeight="1">
      <c r="A450" s="210" t="str">
        <f ca="1">IFERROR(__xludf.DUMMYFUNCTION("""COMPUTED_VALUE"""),"Guaraí")</f>
        <v>Guaraí</v>
      </c>
      <c r="B450" s="210" t="str">
        <f ca="1">IFERROR(__xludf.DUMMYFUNCTION("""COMPUTED_VALUE"""),"Guarai")</f>
        <v>Guarai</v>
      </c>
      <c r="C450" s="211" t="str">
        <f ca="1">IFERROR(__xludf.DUMMYFUNCTION("""COMPUTED_VALUE"""),"A.A. ESC. EST.IRINEU ALBANO HENDGES")</f>
        <v>A.A. ESC. EST.IRINEU ALBANO HENDGES</v>
      </c>
      <c r="D450" s="212" t="str">
        <f ca="1">IFERROR(__xludf.DUMMYFUNCTION("""COMPUTED_VALUE"""),"01136012000100")</f>
        <v>01136012000100</v>
      </c>
      <c r="E450" s="212" t="str">
        <f ca="1">IFERROR(__xludf.DUMMYFUNCTION("""COMPUTED_VALUE"""),"001")</f>
        <v>001</v>
      </c>
      <c r="F450" s="212" t="str">
        <f ca="1">IFERROR(__xludf.DUMMYFUNCTION("""COMPUTED_VALUE"""),"2094")</f>
        <v>2094</v>
      </c>
      <c r="G450" s="213" t="str">
        <f ca="1">IFERROR(__xludf.DUMMYFUNCTION("""COMPUTED_VALUE"""),"0472433")</f>
        <v>0472433</v>
      </c>
      <c r="H450" s="211" t="str">
        <f ca="1">IFERROR(__xludf.DUMMYFUNCTION("""COMPUTED_VALUE"""),"AEE")</f>
        <v>AEE</v>
      </c>
      <c r="I450" s="214">
        <f ca="1">IFERROR(__xludf.DUMMYFUNCTION("""COMPUTED_VALUE"""),299.2)</f>
        <v>299.2</v>
      </c>
      <c r="J450" s="209"/>
      <c r="K450" s="209"/>
      <c r="L450" s="209"/>
      <c r="M450" s="209"/>
      <c r="N450" s="209"/>
      <c r="O450" s="209"/>
      <c r="P450" s="209"/>
      <c r="Q450" s="209"/>
      <c r="R450" s="209"/>
      <c r="S450" s="209"/>
      <c r="T450" s="209"/>
      <c r="U450" s="209"/>
      <c r="V450" s="209"/>
      <c r="W450" s="209"/>
      <c r="X450" s="209"/>
      <c r="Y450" s="209"/>
      <c r="Z450" s="209"/>
    </row>
    <row r="451" spans="1:26" ht="18.75" customHeight="1">
      <c r="A451" s="210" t="str">
        <f ca="1">IFERROR(__xludf.DUMMYFUNCTION("""COMPUTED_VALUE"""),"Guaraí")</f>
        <v>Guaraí</v>
      </c>
      <c r="B451" s="210" t="str">
        <f ca="1">IFERROR(__xludf.DUMMYFUNCTION("""COMPUTED_VALUE"""),"Guarai")</f>
        <v>Guarai</v>
      </c>
      <c r="C451" s="211" t="str">
        <f ca="1">IFERROR(__xludf.DUMMYFUNCTION("""COMPUTED_VALUE"""),"A.A. ESC. EST.IRINEU ALBANO HENDGES")</f>
        <v>A.A. ESC. EST.IRINEU ALBANO HENDGES</v>
      </c>
      <c r="D451" s="212" t="str">
        <f ca="1">IFERROR(__xludf.DUMMYFUNCTION("""COMPUTED_VALUE"""),"01136012000100")</f>
        <v>01136012000100</v>
      </c>
      <c r="E451" s="212" t="str">
        <f ca="1">IFERROR(__xludf.DUMMYFUNCTION("""COMPUTED_VALUE"""),"001")</f>
        <v>001</v>
      </c>
      <c r="F451" s="212" t="str">
        <f ca="1">IFERROR(__xludf.DUMMYFUNCTION("""COMPUTED_VALUE"""),"2094")</f>
        <v>2094</v>
      </c>
      <c r="G451" s="213" t="str">
        <f ca="1">IFERROR(__xludf.DUMMYFUNCTION("""COMPUTED_VALUE"""),"0472433")</f>
        <v>0472433</v>
      </c>
      <c r="H451" s="211" t="str">
        <f ca="1">IFERROR(__xludf.DUMMYFUNCTION("""COMPUTED_VALUE"""),"ENSINO MEDIO PARCIAL")</f>
        <v>ENSINO MEDIO PARCIAL</v>
      </c>
      <c r="I451" s="214">
        <f ca="1">IFERROR(__xludf.DUMMYFUNCTION("""COMPUTED_VALUE"""),8120)</f>
        <v>8120</v>
      </c>
      <c r="J451" s="209"/>
      <c r="K451" s="209"/>
      <c r="L451" s="209"/>
      <c r="M451" s="209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9"/>
      <c r="Y451" s="209"/>
      <c r="Z451" s="209"/>
    </row>
    <row r="452" spans="1:26" ht="18.75" customHeight="1">
      <c r="A452" s="210" t="str">
        <f ca="1">IFERROR(__xludf.DUMMYFUNCTION("""COMPUTED_VALUE"""),"Guaraí")</f>
        <v>Guaraí</v>
      </c>
      <c r="B452" s="210" t="str">
        <f ca="1">IFERROR(__xludf.DUMMYFUNCTION("""COMPUTED_VALUE"""),"Guarai")</f>
        <v>Guarai</v>
      </c>
      <c r="C452" s="211" t="str">
        <f ca="1">IFERROR(__xludf.DUMMYFUNCTION("""COMPUTED_VALUE"""),"A.A. ESCOLA EST. JOSE COSTA SOARES")</f>
        <v>A.A. ESCOLA EST. JOSE COSTA SOARES</v>
      </c>
      <c r="D452" s="212" t="str">
        <f ca="1">IFERROR(__xludf.DUMMYFUNCTION("""COMPUTED_VALUE"""),"01421200000180")</f>
        <v>01421200000180</v>
      </c>
      <c r="E452" s="212" t="str">
        <f ca="1">IFERROR(__xludf.DUMMYFUNCTION("""COMPUTED_VALUE"""),"001")</f>
        <v>001</v>
      </c>
      <c r="F452" s="212" t="str">
        <f ca="1">IFERROR(__xludf.DUMMYFUNCTION("""COMPUTED_VALUE"""),"2094")</f>
        <v>2094</v>
      </c>
      <c r="G452" s="213" t="str">
        <f ca="1">IFERROR(__xludf.DUMMYFUNCTION("""COMPUTED_VALUE"""),"471577")</f>
        <v>471577</v>
      </c>
      <c r="H452" s="211" t="str">
        <f ca="1">IFERROR(__xludf.DUMMYFUNCTION("""COMPUTED_VALUE"""),"ENS FUND PARCIAL")</f>
        <v>ENS FUND PARCIAL</v>
      </c>
      <c r="I452" s="214">
        <f ca="1">IFERROR(__xludf.DUMMYFUNCTION("""COMPUTED_VALUE"""),1490)</f>
        <v>1490</v>
      </c>
      <c r="J452" s="209"/>
      <c r="K452" s="209"/>
      <c r="L452" s="209"/>
      <c r="M452" s="209"/>
      <c r="N452" s="209"/>
      <c r="O452" s="209"/>
      <c r="P452" s="209"/>
      <c r="Q452" s="209"/>
      <c r="R452" s="209"/>
      <c r="S452" s="209"/>
      <c r="T452" s="209"/>
      <c r="U452" s="209"/>
      <c r="V452" s="209"/>
      <c r="W452" s="209"/>
      <c r="X452" s="209"/>
      <c r="Y452" s="209"/>
      <c r="Z452" s="209"/>
    </row>
    <row r="453" spans="1:26" ht="18.75" customHeight="1">
      <c r="A453" s="210" t="str">
        <f ca="1">IFERROR(__xludf.DUMMYFUNCTION("""COMPUTED_VALUE"""),"Guaraí")</f>
        <v>Guaraí</v>
      </c>
      <c r="B453" s="210" t="str">
        <f ca="1">IFERROR(__xludf.DUMMYFUNCTION("""COMPUTED_VALUE"""),"Guarai")</f>
        <v>Guarai</v>
      </c>
      <c r="C453" s="211" t="str">
        <f ca="1">IFERROR(__xludf.DUMMYFUNCTION("""COMPUTED_VALUE"""),"A.A. ESCOLA EST. JOSE COSTA SOARES")</f>
        <v>A.A. ESCOLA EST. JOSE COSTA SOARES</v>
      </c>
      <c r="D453" s="212" t="str">
        <f ca="1">IFERROR(__xludf.DUMMYFUNCTION("""COMPUTED_VALUE"""),"01421200000180")</f>
        <v>01421200000180</v>
      </c>
      <c r="E453" s="212" t="str">
        <f ca="1">IFERROR(__xludf.DUMMYFUNCTION("""COMPUTED_VALUE"""),"001")</f>
        <v>001</v>
      </c>
      <c r="F453" s="212" t="str">
        <f ca="1">IFERROR(__xludf.DUMMYFUNCTION("""COMPUTED_VALUE"""),"2094")</f>
        <v>2094</v>
      </c>
      <c r="G453" s="213" t="str">
        <f ca="1">IFERROR(__xludf.DUMMYFUNCTION("""COMPUTED_VALUE"""),"471577")</f>
        <v>471577</v>
      </c>
      <c r="H453" s="211" t="str">
        <f ca="1">IFERROR(__xludf.DUMMYFUNCTION("""COMPUTED_VALUE"""),"AEE")</f>
        <v>AEE</v>
      </c>
      <c r="I453" s="214">
        <f ca="1">IFERROR(__xludf.DUMMYFUNCTION("""COMPUTED_VALUE"""),149.6)</f>
        <v>149.6</v>
      </c>
      <c r="J453" s="209"/>
      <c r="K453" s="209"/>
      <c r="L453" s="209"/>
      <c r="M453" s="209"/>
      <c r="N453" s="209"/>
      <c r="O453" s="209"/>
      <c r="P453" s="209"/>
      <c r="Q453" s="209"/>
      <c r="R453" s="209"/>
      <c r="S453" s="209"/>
      <c r="T453" s="209"/>
      <c r="U453" s="209"/>
      <c r="V453" s="209"/>
      <c r="W453" s="209"/>
      <c r="X453" s="209"/>
      <c r="Y453" s="209"/>
      <c r="Z453" s="209"/>
    </row>
    <row r="454" spans="1:26" ht="18.75" customHeight="1">
      <c r="A454" s="210" t="str">
        <f ca="1">IFERROR(__xludf.DUMMYFUNCTION("""COMPUTED_VALUE"""),"Guaraí")</f>
        <v>Guaraí</v>
      </c>
      <c r="B454" s="210" t="str">
        <f ca="1">IFERROR(__xludf.DUMMYFUNCTION("""COMPUTED_VALUE"""),"Guarai")</f>
        <v>Guarai</v>
      </c>
      <c r="C454" s="211" t="str">
        <f ca="1">IFERROR(__xludf.DUMMYFUNCTION("""COMPUTED_VALUE"""),"ASSOC. DE APOIO ESC. EST. OQUERLINA TORRES")</f>
        <v>ASSOC. DE APOIO ESC. EST. OQUERLINA TORRES</v>
      </c>
      <c r="D454" s="212" t="str">
        <f ca="1">IFERROR(__xludf.DUMMYFUNCTION("""COMPUTED_VALUE"""),"01421201000125")</f>
        <v>01421201000125</v>
      </c>
      <c r="E454" s="212" t="str">
        <f ca="1">IFERROR(__xludf.DUMMYFUNCTION("""COMPUTED_VALUE"""),"001")</f>
        <v>001</v>
      </c>
      <c r="F454" s="212" t="str">
        <f ca="1">IFERROR(__xludf.DUMMYFUNCTION("""COMPUTED_VALUE"""),"2094")</f>
        <v>2094</v>
      </c>
      <c r="G454" s="213" t="str">
        <f ca="1">IFERROR(__xludf.DUMMYFUNCTION("""COMPUTED_VALUE"""),"19266X")</f>
        <v>19266X</v>
      </c>
      <c r="H454" s="211" t="str">
        <f ca="1">IFERROR(__xludf.DUMMYFUNCTION("""COMPUTED_VALUE"""),"AEE")</f>
        <v>AEE</v>
      </c>
      <c r="I454" s="214">
        <f ca="1">IFERROR(__xludf.DUMMYFUNCTION("""COMPUTED_VALUE"""),176.799999999999)</f>
        <v>176.79999999999899</v>
      </c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</row>
    <row r="455" spans="1:26" ht="18.75" customHeight="1">
      <c r="A455" s="210" t="str">
        <f ca="1">IFERROR(__xludf.DUMMYFUNCTION("""COMPUTED_VALUE"""),"Guaraí")</f>
        <v>Guaraí</v>
      </c>
      <c r="B455" s="210" t="str">
        <f ca="1">IFERROR(__xludf.DUMMYFUNCTION("""COMPUTED_VALUE"""),"Guarai")</f>
        <v>Guarai</v>
      </c>
      <c r="C455" s="211" t="str">
        <f ca="1">IFERROR(__xludf.DUMMYFUNCTION("""COMPUTED_VALUE"""),"ASSOC. DE APOIO ESC. EST. OQUERLINA TORRES")</f>
        <v>ASSOC. DE APOIO ESC. EST. OQUERLINA TORRES</v>
      </c>
      <c r="D455" s="212" t="str">
        <f ca="1">IFERROR(__xludf.DUMMYFUNCTION("""COMPUTED_VALUE"""),"01421201000125")</f>
        <v>01421201000125</v>
      </c>
      <c r="E455" s="212" t="str">
        <f ca="1">IFERROR(__xludf.DUMMYFUNCTION("""COMPUTED_VALUE"""),"001")</f>
        <v>001</v>
      </c>
      <c r="F455" s="212" t="str">
        <f ca="1">IFERROR(__xludf.DUMMYFUNCTION("""COMPUTED_VALUE"""),"2094")</f>
        <v>2094</v>
      </c>
      <c r="G455" s="213" t="str">
        <f ca="1">IFERROR(__xludf.DUMMYFUNCTION("""COMPUTED_VALUE"""),"19266X")</f>
        <v>19266X</v>
      </c>
      <c r="H455" s="211" t="str">
        <f ca="1">IFERROR(__xludf.DUMMYFUNCTION("""COMPUTED_VALUE"""),"JOVEM AÇÃO")</f>
        <v>JOVEM AÇÃO</v>
      </c>
      <c r="I455" s="214">
        <f ca="1">IFERROR(__xludf.DUMMYFUNCTION("""COMPUTED_VALUE"""),11724.8)</f>
        <v>11724.8</v>
      </c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</row>
    <row r="456" spans="1:26" ht="18.75" customHeight="1">
      <c r="A456" s="210" t="str">
        <f ca="1">IFERROR(__xludf.DUMMYFUNCTION("""COMPUTED_VALUE"""),"Guaraí")</f>
        <v>Guaraí</v>
      </c>
      <c r="B456" s="210" t="str">
        <f ca="1">IFERROR(__xludf.DUMMYFUNCTION("""COMPUTED_VALUE"""),"Guarai")</f>
        <v>Guarai</v>
      </c>
      <c r="C456" s="211" t="str">
        <f ca="1">IFERROR(__xludf.DUMMYFUNCTION("""COMPUTED_VALUE"""),"A.A.  AS ESC. EST. ANTONIO ALENCAR LEAO")</f>
        <v>A.A.  AS ESC. EST. ANTONIO ALENCAR LEAO</v>
      </c>
      <c r="D456" s="212" t="str">
        <f ca="1">IFERROR(__xludf.DUMMYFUNCTION("""COMPUTED_VALUE"""),"01575370000110")</f>
        <v>01575370000110</v>
      </c>
      <c r="E456" s="212" t="str">
        <f ca="1">IFERROR(__xludf.DUMMYFUNCTION("""COMPUTED_VALUE"""),"001")</f>
        <v>001</v>
      </c>
      <c r="F456" s="212" t="str">
        <f ca="1">IFERROR(__xludf.DUMMYFUNCTION("""COMPUTED_VALUE"""),"2094")</f>
        <v>2094</v>
      </c>
      <c r="G456" s="213" t="str">
        <f ca="1">IFERROR(__xludf.DUMMYFUNCTION("""COMPUTED_VALUE"""),"476536")</f>
        <v>476536</v>
      </c>
      <c r="H456" s="211" t="str">
        <f ca="1">IFERROR(__xludf.DUMMYFUNCTION("""COMPUTED_VALUE"""),"ENS FUND PARCIAL")</f>
        <v>ENS FUND PARCIAL</v>
      </c>
      <c r="I456" s="214">
        <f ca="1">IFERROR(__xludf.DUMMYFUNCTION("""COMPUTED_VALUE"""),3860)</f>
        <v>3860</v>
      </c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</row>
    <row r="457" spans="1:26" ht="18.75" customHeight="1">
      <c r="A457" s="210" t="str">
        <f ca="1">IFERROR(__xludf.DUMMYFUNCTION("""COMPUTED_VALUE"""),"Guaraí")</f>
        <v>Guaraí</v>
      </c>
      <c r="B457" s="210" t="str">
        <f ca="1">IFERROR(__xludf.DUMMYFUNCTION("""COMPUTED_VALUE"""),"Guarai")</f>
        <v>Guarai</v>
      </c>
      <c r="C457" s="211" t="str">
        <f ca="1">IFERROR(__xludf.DUMMYFUNCTION("""COMPUTED_VALUE"""),"A.A.  AS ESC. EST. ANTONIO ALENCAR LEAO")</f>
        <v>A.A.  AS ESC. EST. ANTONIO ALENCAR LEAO</v>
      </c>
      <c r="D457" s="212" t="str">
        <f ca="1">IFERROR(__xludf.DUMMYFUNCTION("""COMPUTED_VALUE"""),"01575370000110")</f>
        <v>01575370000110</v>
      </c>
      <c r="E457" s="212" t="str">
        <f ca="1">IFERROR(__xludf.DUMMYFUNCTION("""COMPUTED_VALUE"""),"001")</f>
        <v>001</v>
      </c>
      <c r="F457" s="212" t="str">
        <f ca="1">IFERROR(__xludf.DUMMYFUNCTION("""COMPUTED_VALUE"""),"2094")</f>
        <v>2094</v>
      </c>
      <c r="G457" s="213" t="str">
        <f ca="1">IFERROR(__xludf.DUMMYFUNCTION("""COMPUTED_VALUE"""),"476536")</f>
        <v>476536</v>
      </c>
      <c r="H457" s="211" t="str">
        <f ca="1">IFERROR(__xludf.DUMMYFUNCTION("""COMPUTED_VALUE"""),"AEE")</f>
        <v>AEE</v>
      </c>
      <c r="I457" s="214">
        <f ca="1">IFERROR(__xludf.DUMMYFUNCTION("""COMPUTED_VALUE"""),149.6)</f>
        <v>149.6</v>
      </c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</row>
    <row r="458" spans="1:26" ht="18.75" customHeight="1">
      <c r="A458" s="210" t="str">
        <f ca="1">IFERROR(__xludf.DUMMYFUNCTION("""COMPUTED_VALUE"""),"Guaraí")</f>
        <v>Guaraí</v>
      </c>
      <c r="B458" s="210" t="str">
        <f ca="1">IFERROR(__xludf.DUMMYFUNCTION("""COMPUTED_VALUE"""),"Guarai")</f>
        <v>Guarai</v>
      </c>
      <c r="C458" s="211" t="str">
        <f ca="1">IFERROR(__xludf.DUMMYFUNCTION("""COMPUTED_VALUE"""),"A.A. DO COL. EST. DONA ANAIDES B.MIRANDA")</f>
        <v>A.A. DO COL. EST. DONA ANAIDES B.MIRANDA</v>
      </c>
      <c r="D458" s="212" t="str">
        <f ca="1">IFERROR(__xludf.DUMMYFUNCTION("""COMPUTED_VALUE"""),"01867376000160")</f>
        <v>01867376000160</v>
      </c>
      <c r="E458" s="212" t="str">
        <f ca="1">IFERROR(__xludf.DUMMYFUNCTION("""COMPUTED_VALUE"""),"001")</f>
        <v>001</v>
      </c>
      <c r="F458" s="212" t="str">
        <f ca="1">IFERROR(__xludf.DUMMYFUNCTION("""COMPUTED_VALUE"""),"2094")</f>
        <v>2094</v>
      </c>
      <c r="G458" s="213" t="str">
        <f ca="1">IFERROR(__xludf.DUMMYFUNCTION("""COMPUTED_VALUE"""),"472123")</f>
        <v>472123</v>
      </c>
      <c r="H458" s="211" t="str">
        <f ca="1">IFERROR(__xludf.DUMMYFUNCTION("""COMPUTED_VALUE"""),"ENS FUND PARCIAL")</f>
        <v>ENS FUND PARCIAL</v>
      </c>
      <c r="I458" s="214">
        <f ca="1">IFERROR(__xludf.DUMMYFUNCTION("""COMPUTED_VALUE"""),3290)</f>
        <v>3290</v>
      </c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</row>
    <row r="459" spans="1:26" ht="18.75" customHeight="1">
      <c r="A459" s="210" t="str">
        <f ca="1">IFERROR(__xludf.DUMMYFUNCTION("""COMPUTED_VALUE"""),"Guaraí")</f>
        <v>Guaraí</v>
      </c>
      <c r="B459" s="210" t="str">
        <f ca="1">IFERROR(__xludf.DUMMYFUNCTION("""COMPUTED_VALUE"""),"Guarai")</f>
        <v>Guarai</v>
      </c>
      <c r="C459" s="211" t="str">
        <f ca="1">IFERROR(__xludf.DUMMYFUNCTION("""COMPUTED_VALUE"""),"A.A. DO COL. EST. DONA ANAIDES B.MIRANDA")</f>
        <v>A.A. DO COL. EST. DONA ANAIDES B.MIRANDA</v>
      </c>
      <c r="D459" s="212" t="str">
        <f ca="1">IFERROR(__xludf.DUMMYFUNCTION("""COMPUTED_VALUE"""),"01867376000160")</f>
        <v>01867376000160</v>
      </c>
      <c r="E459" s="212" t="str">
        <f ca="1">IFERROR(__xludf.DUMMYFUNCTION("""COMPUTED_VALUE"""),"001")</f>
        <v>001</v>
      </c>
      <c r="F459" s="212" t="str">
        <f ca="1">IFERROR(__xludf.DUMMYFUNCTION("""COMPUTED_VALUE"""),"2094")</f>
        <v>2094</v>
      </c>
      <c r="G459" s="213" t="str">
        <f ca="1">IFERROR(__xludf.DUMMYFUNCTION("""COMPUTED_VALUE"""),"472123")</f>
        <v>472123</v>
      </c>
      <c r="H459" s="211" t="str">
        <f ca="1">IFERROR(__xludf.DUMMYFUNCTION("""COMPUTED_VALUE"""),"AEE")</f>
        <v>AEE</v>
      </c>
      <c r="I459" s="214">
        <f ca="1">IFERROR(__xludf.DUMMYFUNCTION("""COMPUTED_VALUE"""),122.399999999999)</f>
        <v>122.399999999999</v>
      </c>
      <c r="J459" s="209"/>
      <c r="K459" s="209"/>
      <c r="L459" s="209"/>
      <c r="M459" s="209"/>
      <c r="N459" s="209"/>
      <c r="O459" s="209"/>
      <c r="P459" s="209"/>
      <c r="Q459" s="209"/>
      <c r="R459" s="209"/>
      <c r="S459" s="209"/>
      <c r="T459" s="209"/>
      <c r="U459" s="209"/>
      <c r="V459" s="209"/>
      <c r="W459" s="209"/>
      <c r="X459" s="209"/>
      <c r="Y459" s="209"/>
      <c r="Z459" s="209"/>
    </row>
    <row r="460" spans="1:26" ht="18.75" customHeight="1">
      <c r="A460" s="210" t="str">
        <f ca="1">IFERROR(__xludf.DUMMYFUNCTION("""COMPUTED_VALUE"""),"Guaraí")</f>
        <v>Guaraí</v>
      </c>
      <c r="B460" s="210" t="str">
        <f ca="1">IFERROR(__xludf.DUMMYFUNCTION("""COMPUTED_VALUE"""),"Guarai")</f>
        <v>Guarai</v>
      </c>
      <c r="C460" s="211" t="str">
        <f ca="1">IFERROR(__xludf.DUMMYFUNCTION("""COMPUTED_VALUE"""),"A.A. DO COL. EST. DONA ANAIDES B.MIRANDA")</f>
        <v>A.A. DO COL. EST. DONA ANAIDES B.MIRANDA</v>
      </c>
      <c r="D460" s="212" t="str">
        <f ca="1">IFERROR(__xludf.DUMMYFUNCTION("""COMPUTED_VALUE"""),"01867376000160")</f>
        <v>01867376000160</v>
      </c>
      <c r="E460" s="212" t="str">
        <f ca="1">IFERROR(__xludf.DUMMYFUNCTION("""COMPUTED_VALUE"""),"001")</f>
        <v>001</v>
      </c>
      <c r="F460" s="212" t="str">
        <f ca="1">IFERROR(__xludf.DUMMYFUNCTION("""COMPUTED_VALUE"""),"2094")</f>
        <v>2094</v>
      </c>
      <c r="G460" s="213" t="str">
        <f ca="1">IFERROR(__xludf.DUMMYFUNCTION("""COMPUTED_VALUE"""),"472123")</f>
        <v>472123</v>
      </c>
      <c r="H460" s="211" t="str">
        <f ca="1">IFERROR(__xludf.DUMMYFUNCTION("""COMPUTED_VALUE"""),"ENSINO MEDIO PARCIAL")</f>
        <v>ENSINO MEDIO PARCIAL</v>
      </c>
      <c r="I460" s="214">
        <f ca="1">IFERROR(__xludf.DUMMYFUNCTION("""COMPUTED_VALUE"""),2080)</f>
        <v>2080</v>
      </c>
      <c r="J460" s="209"/>
      <c r="K460" s="209"/>
      <c r="L460" s="209"/>
      <c r="M460" s="209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9"/>
      <c r="Y460" s="209"/>
      <c r="Z460" s="209"/>
    </row>
    <row r="461" spans="1:26" ht="18.75" customHeight="1">
      <c r="A461" s="210" t="str">
        <f ca="1">IFERROR(__xludf.DUMMYFUNCTION("""COMPUTED_VALUE"""),"Guaraí")</f>
        <v>Guaraí</v>
      </c>
      <c r="B461" s="210" t="str">
        <f ca="1">IFERROR(__xludf.DUMMYFUNCTION("""COMPUTED_VALUE"""),"Guarai")</f>
        <v>Guarai</v>
      </c>
      <c r="C461" s="211" t="str">
        <f ca="1">IFERROR(__xludf.DUMMYFUNCTION("""COMPUTED_VALUE"""),"ASSOCIAÇÃO DE APOIO A ESCOLA ESPECIAL ESTRELA DA ESPERANÇA")</f>
        <v>ASSOCIAÇÃO DE APOIO A ESCOLA ESPECIAL ESTRELA DA ESPERANÇA</v>
      </c>
      <c r="D461" s="212" t="str">
        <f ca="1">IFERROR(__xludf.DUMMYFUNCTION("""COMPUTED_VALUE"""),"07938604000122")</f>
        <v>07938604000122</v>
      </c>
      <c r="E461" s="212" t="str">
        <f ca="1">IFERROR(__xludf.DUMMYFUNCTION("""COMPUTED_VALUE"""),"001")</f>
        <v>001</v>
      </c>
      <c r="F461" s="212" t="str">
        <f ca="1">IFERROR(__xludf.DUMMYFUNCTION("""COMPUTED_VALUE"""),"2094")</f>
        <v>2094</v>
      </c>
      <c r="G461" s="213" t="str">
        <f ca="1">IFERROR(__xludf.DUMMYFUNCTION("""COMPUTED_VALUE"""),"211621")</f>
        <v>211621</v>
      </c>
      <c r="H461" s="211" t="str">
        <f ca="1">IFERROR(__xludf.DUMMYFUNCTION("""COMPUTED_VALUE"""),"PRÉ-ESCOLA")</f>
        <v>PRÉ-ESCOLA</v>
      </c>
      <c r="I461" s="214">
        <f ca="1">IFERROR(__xludf.DUMMYFUNCTION("""COMPUTED_VALUE"""),43.2)</f>
        <v>43.2</v>
      </c>
      <c r="J461" s="209"/>
      <c r="K461" s="209"/>
      <c r="L461" s="209"/>
      <c r="M461" s="209"/>
      <c r="N461" s="209"/>
      <c r="O461" s="209"/>
      <c r="P461" s="209"/>
      <c r="Q461" s="209"/>
      <c r="R461" s="209"/>
      <c r="S461" s="209"/>
      <c r="T461" s="209"/>
      <c r="U461" s="209"/>
      <c r="V461" s="209"/>
      <c r="W461" s="209"/>
      <c r="X461" s="209"/>
      <c r="Y461" s="209"/>
      <c r="Z461" s="209"/>
    </row>
    <row r="462" spans="1:26" ht="18.75" customHeight="1">
      <c r="A462" s="210" t="str">
        <f ca="1">IFERROR(__xludf.DUMMYFUNCTION("""COMPUTED_VALUE"""),"Guaraí")</f>
        <v>Guaraí</v>
      </c>
      <c r="B462" s="210" t="str">
        <f ca="1">IFERROR(__xludf.DUMMYFUNCTION("""COMPUTED_VALUE"""),"Guarai")</f>
        <v>Guarai</v>
      </c>
      <c r="C462" s="211" t="str">
        <f ca="1">IFERROR(__xludf.DUMMYFUNCTION("""COMPUTED_VALUE"""),"ASSOCIAÇÃO DE APOIO A ESCOLA ESPECIAL ESTRELA DA ESPERANÇA")</f>
        <v>ASSOCIAÇÃO DE APOIO A ESCOLA ESPECIAL ESTRELA DA ESPERANÇA</v>
      </c>
      <c r="D462" s="212" t="str">
        <f ca="1">IFERROR(__xludf.DUMMYFUNCTION("""COMPUTED_VALUE"""),"07938604000122")</f>
        <v>07938604000122</v>
      </c>
      <c r="E462" s="212" t="str">
        <f ca="1">IFERROR(__xludf.DUMMYFUNCTION("""COMPUTED_VALUE"""),"001")</f>
        <v>001</v>
      </c>
      <c r="F462" s="212" t="str">
        <f ca="1">IFERROR(__xludf.DUMMYFUNCTION("""COMPUTED_VALUE"""),"2094")</f>
        <v>2094</v>
      </c>
      <c r="G462" s="213" t="str">
        <f ca="1">IFERROR(__xludf.DUMMYFUNCTION("""COMPUTED_VALUE"""),"211621")</f>
        <v>211621</v>
      </c>
      <c r="H462" s="211" t="str">
        <f ca="1">IFERROR(__xludf.DUMMYFUNCTION("""COMPUTED_VALUE"""),"ENS FUND PARCIAL")</f>
        <v>ENS FUND PARCIAL</v>
      </c>
      <c r="I462" s="214">
        <f ca="1">IFERROR(__xludf.DUMMYFUNCTION("""COMPUTED_VALUE"""),200)</f>
        <v>200</v>
      </c>
      <c r="J462" s="209"/>
      <c r="K462" s="209"/>
      <c r="L462" s="209"/>
      <c r="M462" s="209"/>
      <c r="N462" s="209"/>
      <c r="O462" s="209"/>
      <c r="P462" s="209"/>
      <c r="Q462" s="209"/>
      <c r="R462" s="209"/>
      <c r="S462" s="209"/>
      <c r="T462" s="209"/>
      <c r="U462" s="209"/>
      <c r="V462" s="209"/>
      <c r="W462" s="209"/>
      <c r="X462" s="209"/>
      <c r="Y462" s="209"/>
      <c r="Z462" s="209"/>
    </row>
    <row r="463" spans="1:26" ht="18.75" customHeight="1">
      <c r="A463" s="210" t="str">
        <f ca="1">IFERROR(__xludf.DUMMYFUNCTION("""COMPUTED_VALUE"""),"Guaraí")</f>
        <v>Guaraí</v>
      </c>
      <c r="B463" s="210" t="str">
        <f ca="1">IFERROR(__xludf.DUMMYFUNCTION("""COMPUTED_VALUE"""),"Guarai")</f>
        <v>Guarai</v>
      </c>
      <c r="C463" s="211" t="str">
        <f ca="1">IFERROR(__xludf.DUMMYFUNCTION("""COMPUTED_VALUE"""),"ASSOCIAÇÃO DE APOIO A ESCOLA ESPECIAL ESTRELA DA ESPERANÇA")</f>
        <v>ASSOCIAÇÃO DE APOIO A ESCOLA ESPECIAL ESTRELA DA ESPERANÇA</v>
      </c>
      <c r="D463" s="212" t="str">
        <f ca="1">IFERROR(__xludf.DUMMYFUNCTION("""COMPUTED_VALUE"""),"07938604000122")</f>
        <v>07938604000122</v>
      </c>
      <c r="E463" s="212" t="str">
        <f ca="1">IFERROR(__xludf.DUMMYFUNCTION("""COMPUTED_VALUE"""),"001")</f>
        <v>001</v>
      </c>
      <c r="F463" s="212" t="str">
        <f ca="1">IFERROR(__xludf.DUMMYFUNCTION("""COMPUTED_VALUE"""),"2094")</f>
        <v>2094</v>
      </c>
      <c r="G463" s="213" t="str">
        <f ca="1">IFERROR(__xludf.DUMMYFUNCTION("""COMPUTED_VALUE"""),"211621")</f>
        <v>211621</v>
      </c>
      <c r="H463" s="211" t="str">
        <f ca="1">IFERROR(__xludf.DUMMYFUNCTION("""COMPUTED_VALUE"""),"AEE")</f>
        <v>AEE</v>
      </c>
      <c r="I463" s="214">
        <f ca="1">IFERROR(__xludf.DUMMYFUNCTION("""COMPUTED_VALUE"""),163.2)</f>
        <v>163.19999999999999</v>
      </c>
      <c r="J463" s="209"/>
      <c r="K463" s="209"/>
      <c r="L463" s="209"/>
      <c r="M463" s="209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9"/>
      <c r="Y463" s="209"/>
      <c r="Z463" s="209"/>
    </row>
    <row r="464" spans="1:26" ht="18.75" customHeight="1">
      <c r="A464" s="210" t="str">
        <f ca="1">IFERROR(__xludf.DUMMYFUNCTION("""COMPUTED_VALUE"""),"Guaraí")</f>
        <v>Guaraí</v>
      </c>
      <c r="B464" s="210" t="str">
        <f ca="1">IFERROR(__xludf.DUMMYFUNCTION("""COMPUTED_VALUE"""),"Guarai")</f>
        <v>Guarai</v>
      </c>
      <c r="C464" s="211" t="str">
        <f ca="1">IFERROR(__xludf.DUMMYFUNCTION("""COMPUTED_VALUE"""),"ASSOCIAÇÃO DE APOIO A ESCOLA ESPECIAL ESTRELA DA ESPERANÇA")</f>
        <v>ASSOCIAÇÃO DE APOIO A ESCOLA ESPECIAL ESTRELA DA ESPERANÇA</v>
      </c>
      <c r="D464" s="212" t="str">
        <f ca="1">IFERROR(__xludf.DUMMYFUNCTION("""COMPUTED_VALUE"""),"07938604000122")</f>
        <v>07938604000122</v>
      </c>
      <c r="E464" s="212" t="str">
        <f ca="1">IFERROR(__xludf.DUMMYFUNCTION("""COMPUTED_VALUE"""),"001")</f>
        <v>001</v>
      </c>
      <c r="F464" s="212" t="str">
        <f ca="1">IFERROR(__xludf.DUMMYFUNCTION("""COMPUTED_VALUE"""),"2094")</f>
        <v>2094</v>
      </c>
      <c r="G464" s="213" t="str">
        <f ca="1">IFERROR(__xludf.DUMMYFUNCTION("""COMPUTED_VALUE"""),"211621")</f>
        <v>211621</v>
      </c>
      <c r="H464" s="211" t="str">
        <f ca="1">IFERROR(__xludf.DUMMYFUNCTION("""COMPUTED_VALUE"""),"EJA")</f>
        <v>EJA</v>
      </c>
      <c r="I464" s="214">
        <f ca="1">IFERROR(__xludf.DUMMYFUNCTION("""COMPUTED_VALUE"""),500.199999999999)</f>
        <v>500.19999999999902</v>
      </c>
      <c r="J464" s="209"/>
      <c r="K464" s="209"/>
      <c r="L464" s="209"/>
      <c r="M464" s="209"/>
      <c r="N464" s="209"/>
      <c r="O464" s="209"/>
      <c r="P464" s="209"/>
      <c r="Q464" s="209"/>
      <c r="R464" s="209"/>
      <c r="S464" s="209"/>
      <c r="T464" s="209"/>
      <c r="U464" s="209"/>
      <c r="V464" s="209"/>
      <c r="W464" s="209"/>
      <c r="X464" s="209"/>
      <c r="Y464" s="209"/>
      <c r="Z464" s="209"/>
    </row>
    <row r="465" spans="1:26" ht="18.75" customHeight="1">
      <c r="A465" s="210" t="str">
        <f ca="1">IFERROR(__xludf.DUMMYFUNCTION("""COMPUTED_VALUE"""),"Guaraí")</f>
        <v>Guaraí</v>
      </c>
      <c r="B465" s="210" t="str">
        <f ca="1">IFERROR(__xludf.DUMMYFUNCTION("""COMPUTED_VALUE"""),"Itapora do Tocantins")</f>
        <v>Itapora do Tocantins</v>
      </c>
      <c r="C465" s="211" t="str">
        <f ca="1">IFERROR(__xludf.DUMMYFUNCTION("""COMPUTED_VALUE"""),"A.A. COL. EST. FRANCISCA ALVES ALENCAR")</f>
        <v>A.A. COL. EST. FRANCISCA ALVES ALENCAR</v>
      </c>
      <c r="D465" s="212" t="str">
        <f ca="1">IFERROR(__xludf.DUMMYFUNCTION("""COMPUTED_VALUE"""),"01190193000153")</f>
        <v>01190193000153</v>
      </c>
      <c r="E465" s="212" t="str">
        <f ca="1">IFERROR(__xludf.DUMMYFUNCTION("""COMPUTED_VALUE"""),"001")</f>
        <v>001</v>
      </c>
      <c r="F465" s="212" t="str">
        <f ca="1">IFERROR(__xludf.DUMMYFUNCTION("""COMPUTED_VALUE"""),"1306")</f>
        <v>1306</v>
      </c>
      <c r="G465" s="213" t="str">
        <f ca="1">IFERROR(__xludf.DUMMYFUNCTION("""COMPUTED_VALUE"""),"102865")</f>
        <v>102865</v>
      </c>
      <c r="H465" s="211" t="str">
        <f ca="1">IFERROR(__xludf.DUMMYFUNCTION("""COMPUTED_VALUE"""),"ENS FUND PARCIAL")</f>
        <v>ENS FUND PARCIAL</v>
      </c>
      <c r="I465" s="214">
        <f ca="1">IFERROR(__xludf.DUMMYFUNCTION("""COMPUTED_VALUE"""),1090)</f>
        <v>1090</v>
      </c>
      <c r="J465" s="209"/>
      <c r="K465" s="209"/>
      <c r="L465" s="209"/>
      <c r="M465" s="209"/>
      <c r="N465" s="209"/>
      <c r="O465" s="209"/>
      <c r="P465" s="209"/>
      <c r="Q465" s="209"/>
      <c r="R465" s="209"/>
      <c r="S465" s="209"/>
      <c r="T465" s="209"/>
      <c r="U465" s="209"/>
      <c r="V465" s="209"/>
      <c r="W465" s="209"/>
      <c r="X465" s="209"/>
      <c r="Y465" s="209"/>
      <c r="Z465" s="209"/>
    </row>
    <row r="466" spans="1:26" ht="18.75" customHeight="1">
      <c r="A466" s="210" t="str">
        <f ca="1">IFERROR(__xludf.DUMMYFUNCTION("""COMPUTED_VALUE"""),"Guaraí")</f>
        <v>Guaraí</v>
      </c>
      <c r="B466" s="210" t="str">
        <f ca="1">IFERROR(__xludf.DUMMYFUNCTION("""COMPUTED_VALUE"""),"Itapora do Tocantins")</f>
        <v>Itapora do Tocantins</v>
      </c>
      <c r="C466" s="211" t="str">
        <f ca="1">IFERROR(__xludf.DUMMYFUNCTION("""COMPUTED_VALUE"""),"A.A. COL. EST. FRANCISCA ALVES ALENCAR")</f>
        <v>A.A. COL. EST. FRANCISCA ALVES ALENCAR</v>
      </c>
      <c r="D466" s="212" t="str">
        <f ca="1">IFERROR(__xludf.DUMMYFUNCTION("""COMPUTED_VALUE"""),"01190193000153")</f>
        <v>01190193000153</v>
      </c>
      <c r="E466" s="212" t="str">
        <f ca="1">IFERROR(__xludf.DUMMYFUNCTION("""COMPUTED_VALUE"""),"001")</f>
        <v>001</v>
      </c>
      <c r="F466" s="212" t="str">
        <f ca="1">IFERROR(__xludf.DUMMYFUNCTION("""COMPUTED_VALUE"""),"1306")</f>
        <v>1306</v>
      </c>
      <c r="G466" s="213" t="str">
        <f ca="1">IFERROR(__xludf.DUMMYFUNCTION("""COMPUTED_VALUE"""),"102865")</f>
        <v>102865</v>
      </c>
      <c r="H466" s="211" t="str">
        <f ca="1">IFERROR(__xludf.DUMMYFUNCTION("""COMPUTED_VALUE"""),"AEE")</f>
        <v>AEE</v>
      </c>
      <c r="I466" s="214">
        <f ca="1">IFERROR(__xludf.DUMMYFUNCTION("""COMPUTED_VALUE"""),136)</f>
        <v>136</v>
      </c>
      <c r="J466" s="209"/>
      <c r="K466" s="209"/>
      <c r="L466" s="209"/>
      <c r="M466" s="209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9"/>
      <c r="Y466" s="209"/>
      <c r="Z466" s="209"/>
    </row>
    <row r="467" spans="1:26" ht="18.75" customHeight="1">
      <c r="A467" s="210" t="str">
        <f ca="1">IFERROR(__xludf.DUMMYFUNCTION("""COMPUTED_VALUE"""),"Guaraí")</f>
        <v>Guaraí</v>
      </c>
      <c r="B467" s="210" t="str">
        <f ca="1">IFERROR(__xludf.DUMMYFUNCTION("""COMPUTED_VALUE"""),"Itapora do Tocantins")</f>
        <v>Itapora do Tocantins</v>
      </c>
      <c r="C467" s="211" t="str">
        <f ca="1">IFERROR(__xludf.DUMMYFUNCTION("""COMPUTED_VALUE"""),"A.A. COL. EST. FRANCISCA ALVES ALENCAR")</f>
        <v>A.A. COL. EST. FRANCISCA ALVES ALENCAR</v>
      </c>
      <c r="D467" s="212" t="str">
        <f ca="1">IFERROR(__xludf.DUMMYFUNCTION("""COMPUTED_VALUE"""),"01190193000153")</f>
        <v>01190193000153</v>
      </c>
      <c r="E467" s="212" t="str">
        <f ca="1">IFERROR(__xludf.DUMMYFUNCTION("""COMPUTED_VALUE"""),"001")</f>
        <v>001</v>
      </c>
      <c r="F467" s="212" t="str">
        <f ca="1">IFERROR(__xludf.DUMMYFUNCTION("""COMPUTED_VALUE"""),"1306")</f>
        <v>1306</v>
      </c>
      <c r="G467" s="213" t="str">
        <f ca="1">IFERROR(__xludf.DUMMYFUNCTION("""COMPUTED_VALUE"""),"102865")</f>
        <v>102865</v>
      </c>
      <c r="H467" s="211" t="str">
        <f ca="1">IFERROR(__xludf.DUMMYFUNCTION("""COMPUTED_VALUE"""),"ENSINO MEDIO PARCIAL")</f>
        <v>ENSINO MEDIO PARCIAL</v>
      </c>
      <c r="I467" s="214">
        <f ca="1">IFERROR(__xludf.DUMMYFUNCTION("""COMPUTED_VALUE"""),770)</f>
        <v>770</v>
      </c>
      <c r="J467" s="209"/>
      <c r="K467" s="209"/>
      <c r="L467" s="209"/>
      <c r="M467" s="209"/>
      <c r="N467" s="209"/>
      <c r="O467" s="209"/>
      <c r="P467" s="209"/>
      <c r="Q467" s="209"/>
      <c r="R467" s="209"/>
      <c r="S467" s="209"/>
      <c r="T467" s="209"/>
      <c r="U467" s="209"/>
      <c r="V467" s="209"/>
      <c r="W467" s="209"/>
      <c r="X467" s="209"/>
      <c r="Y467" s="209"/>
      <c r="Z467" s="209"/>
    </row>
    <row r="468" spans="1:26" ht="18.75" customHeight="1">
      <c r="A468" s="210" t="str">
        <f ca="1">IFERROR(__xludf.DUMMYFUNCTION("""COMPUTED_VALUE"""),"Guaraí")</f>
        <v>Guaraí</v>
      </c>
      <c r="B468" s="210" t="str">
        <f ca="1">IFERROR(__xludf.DUMMYFUNCTION("""COMPUTED_VALUE"""),"Itapora do Tocantins")</f>
        <v>Itapora do Tocantins</v>
      </c>
      <c r="C468" s="211" t="str">
        <f ca="1">IFERROR(__xludf.DUMMYFUNCTION("""COMPUTED_VALUE"""),"A.A. COL. EST. FRANCISCA ALVES ALENCAR")</f>
        <v>A.A. COL. EST. FRANCISCA ALVES ALENCAR</v>
      </c>
      <c r="D468" s="212" t="str">
        <f ca="1">IFERROR(__xludf.DUMMYFUNCTION("""COMPUTED_VALUE"""),"01190193000153")</f>
        <v>01190193000153</v>
      </c>
      <c r="E468" s="212" t="str">
        <f ca="1">IFERROR(__xludf.DUMMYFUNCTION("""COMPUTED_VALUE"""),"001")</f>
        <v>001</v>
      </c>
      <c r="F468" s="212" t="str">
        <f ca="1">IFERROR(__xludf.DUMMYFUNCTION("""COMPUTED_VALUE"""),"1306")</f>
        <v>1306</v>
      </c>
      <c r="G468" s="213" t="str">
        <f ca="1">IFERROR(__xludf.DUMMYFUNCTION("""COMPUTED_VALUE"""),"102865")</f>
        <v>102865</v>
      </c>
      <c r="H468" s="211" t="str">
        <f ca="1">IFERROR(__xludf.DUMMYFUNCTION("""COMPUTED_VALUE"""),"EJA")</f>
        <v>EJA</v>
      </c>
      <c r="I468" s="214">
        <f ca="1">IFERROR(__xludf.DUMMYFUNCTION("""COMPUTED_VALUE"""),254.2)</f>
        <v>254.2</v>
      </c>
      <c r="J468" s="209"/>
      <c r="K468" s="209"/>
      <c r="L468" s="209"/>
      <c r="M468" s="209"/>
      <c r="N468" s="209"/>
      <c r="O468" s="209"/>
      <c r="P468" s="209"/>
      <c r="Q468" s="209"/>
      <c r="R468" s="209"/>
      <c r="S468" s="209"/>
      <c r="T468" s="209"/>
      <c r="U468" s="209"/>
      <c r="V468" s="209"/>
      <c r="W468" s="209"/>
      <c r="X468" s="209"/>
      <c r="Y468" s="209"/>
      <c r="Z468" s="209"/>
    </row>
    <row r="469" spans="1:26" ht="18.75" customHeight="1">
      <c r="A469" s="210" t="str">
        <f ca="1">IFERROR(__xludf.DUMMYFUNCTION("""COMPUTED_VALUE"""),"Guaraí")</f>
        <v>Guaraí</v>
      </c>
      <c r="B469" s="210" t="str">
        <f ca="1">IFERROR(__xludf.DUMMYFUNCTION("""COMPUTED_VALUE"""),"Pequizeiro")</f>
        <v>Pequizeiro</v>
      </c>
      <c r="C469" s="211" t="str">
        <f ca="1">IFERROR(__xludf.DUMMYFUNCTION("""COMPUTED_VALUE"""),"ASSOC. DE APOIO ESC. EST. 1º DE JUNHO")</f>
        <v>ASSOC. DE APOIO ESC. EST. 1º DE JUNHO</v>
      </c>
      <c r="D469" s="212" t="str">
        <f ca="1">IFERROR(__xludf.DUMMYFUNCTION("""COMPUTED_VALUE"""),"02060455000128")</f>
        <v>02060455000128</v>
      </c>
      <c r="E469" s="212" t="str">
        <f ca="1">IFERROR(__xludf.DUMMYFUNCTION("""COMPUTED_VALUE"""),"001")</f>
        <v>001</v>
      </c>
      <c r="F469" s="212" t="str">
        <f ca="1">IFERROR(__xludf.DUMMYFUNCTION("""COMPUTED_VALUE"""),"1306")</f>
        <v>1306</v>
      </c>
      <c r="G469" s="213" t="str">
        <f ca="1">IFERROR(__xludf.DUMMYFUNCTION("""COMPUTED_VALUE"""),"147214")</f>
        <v>147214</v>
      </c>
      <c r="H469" s="211" t="str">
        <f ca="1">IFERROR(__xludf.DUMMYFUNCTION("""COMPUTED_VALUE"""),"ENSINO MEDIO PARCIAL")</f>
        <v>ENSINO MEDIO PARCIAL</v>
      </c>
      <c r="I469" s="214">
        <f ca="1">IFERROR(__xludf.DUMMYFUNCTION("""COMPUTED_VALUE"""),1830)</f>
        <v>1830</v>
      </c>
      <c r="J469" s="209"/>
      <c r="K469" s="209"/>
      <c r="L469" s="209"/>
      <c r="M469" s="209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9"/>
      <c r="Y469" s="209"/>
      <c r="Z469" s="209"/>
    </row>
    <row r="470" spans="1:26" ht="18.75" customHeight="1">
      <c r="A470" s="210" t="str">
        <f ca="1">IFERROR(__xludf.DUMMYFUNCTION("""COMPUTED_VALUE"""),"Guaraí")</f>
        <v>Guaraí</v>
      </c>
      <c r="B470" s="210" t="str">
        <f ca="1">IFERROR(__xludf.DUMMYFUNCTION("""COMPUTED_VALUE"""),"Pequizeiro")</f>
        <v>Pequizeiro</v>
      </c>
      <c r="C470" s="211" t="str">
        <f ca="1">IFERROR(__xludf.DUMMYFUNCTION("""COMPUTED_VALUE"""),"A.A. DO COLEGIO ESTADUAL BERNARDO SAYAO")</f>
        <v>A.A. DO COLEGIO ESTADUAL BERNARDO SAYAO</v>
      </c>
      <c r="D470" s="212" t="str">
        <f ca="1">IFERROR(__xludf.DUMMYFUNCTION("""COMPUTED_VALUE"""),"02160863000151")</f>
        <v>02160863000151</v>
      </c>
      <c r="E470" s="212" t="str">
        <f ca="1">IFERROR(__xludf.DUMMYFUNCTION("""COMPUTED_VALUE"""),"001")</f>
        <v>001</v>
      </c>
      <c r="F470" s="212" t="str">
        <f ca="1">IFERROR(__xludf.DUMMYFUNCTION("""COMPUTED_VALUE"""),"1306")</f>
        <v>1306</v>
      </c>
      <c r="G470" s="213" t="str">
        <f ca="1">IFERROR(__xludf.DUMMYFUNCTION("""COMPUTED_VALUE"""),"53910")</f>
        <v>53910</v>
      </c>
      <c r="H470" s="211" t="str">
        <f ca="1">IFERROR(__xludf.DUMMYFUNCTION("""COMPUTED_VALUE"""),"ENS FUND PARCIAL")</f>
        <v>ENS FUND PARCIAL</v>
      </c>
      <c r="I470" s="214">
        <f ca="1">IFERROR(__xludf.DUMMYFUNCTION("""COMPUTED_VALUE"""),1530)</f>
        <v>1530</v>
      </c>
      <c r="J470" s="209"/>
      <c r="K470" s="209"/>
      <c r="L470" s="209"/>
      <c r="M470" s="209"/>
      <c r="N470" s="209"/>
      <c r="O470" s="209"/>
      <c r="P470" s="209"/>
      <c r="Q470" s="209"/>
      <c r="R470" s="209"/>
      <c r="S470" s="209"/>
      <c r="T470" s="209"/>
      <c r="U470" s="209"/>
      <c r="V470" s="209"/>
      <c r="W470" s="209"/>
      <c r="X470" s="209"/>
      <c r="Y470" s="209"/>
      <c r="Z470" s="209"/>
    </row>
    <row r="471" spans="1:26" ht="18.75" customHeight="1">
      <c r="A471" s="210" t="str">
        <f ca="1">IFERROR(__xludf.DUMMYFUNCTION("""COMPUTED_VALUE"""),"Guaraí")</f>
        <v>Guaraí</v>
      </c>
      <c r="B471" s="210" t="str">
        <f ca="1">IFERROR(__xludf.DUMMYFUNCTION("""COMPUTED_VALUE"""),"Pequizeiro")</f>
        <v>Pequizeiro</v>
      </c>
      <c r="C471" s="211" t="str">
        <f ca="1">IFERROR(__xludf.DUMMYFUNCTION("""COMPUTED_VALUE"""),"A.A. DO COLEGIO ESTADUAL BERNARDO SAYAO")</f>
        <v>A.A. DO COLEGIO ESTADUAL BERNARDO SAYAO</v>
      </c>
      <c r="D471" s="212" t="str">
        <f ca="1">IFERROR(__xludf.DUMMYFUNCTION("""COMPUTED_VALUE"""),"02160863000151")</f>
        <v>02160863000151</v>
      </c>
      <c r="E471" s="212" t="str">
        <f ca="1">IFERROR(__xludf.DUMMYFUNCTION("""COMPUTED_VALUE"""),"001")</f>
        <v>001</v>
      </c>
      <c r="F471" s="212" t="str">
        <f ca="1">IFERROR(__xludf.DUMMYFUNCTION("""COMPUTED_VALUE"""),"1306")</f>
        <v>1306</v>
      </c>
      <c r="G471" s="213" t="str">
        <f ca="1">IFERROR(__xludf.DUMMYFUNCTION("""COMPUTED_VALUE"""),"53910")</f>
        <v>53910</v>
      </c>
      <c r="H471" s="211" t="str">
        <f ca="1">IFERROR(__xludf.DUMMYFUNCTION("""COMPUTED_VALUE"""),"AEE")</f>
        <v>AEE</v>
      </c>
      <c r="I471" s="214">
        <f ca="1">IFERROR(__xludf.DUMMYFUNCTION("""COMPUTED_VALUE"""),312.8)</f>
        <v>312.8</v>
      </c>
      <c r="J471" s="209"/>
      <c r="K471" s="209"/>
      <c r="L471" s="209"/>
      <c r="M471" s="209"/>
      <c r="N471" s="209"/>
      <c r="O471" s="209"/>
      <c r="P471" s="209"/>
      <c r="Q471" s="209"/>
      <c r="R471" s="209"/>
      <c r="S471" s="209"/>
      <c r="T471" s="209"/>
      <c r="U471" s="209"/>
      <c r="V471" s="209"/>
      <c r="W471" s="209"/>
      <c r="X471" s="209"/>
      <c r="Y471" s="209"/>
      <c r="Z471" s="209"/>
    </row>
    <row r="472" spans="1:26" ht="18.75" customHeight="1">
      <c r="A472" s="210" t="str">
        <f ca="1">IFERROR(__xludf.DUMMYFUNCTION("""COMPUTED_VALUE"""),"Guaraí")</f>
        <v>Guaraí</v>
      </c>
      <c r="B472" s="210" t="str">
        <f ca="1">IFERROR(__xludf.DUMMYFUNCTION("""COMPUTED_VALUE"""),"Pequizeiro")</f>
        <v>Pequizeiro</v>
      </c>
      <c r="C472" s="211" t="str">
        <f ca="1">IFERROR(__xludf.DUMMYFUNCTION("""COMPUTED_VALUE"""),"A.A. DO COLEGIO ESTADUAL BERNARDO SAYAO")</f>
        <v>A.A. DO COLEGIO ESTADUAL BERNARDO SAYAO</v>
      </c>
      <c r="D472" s="212" t="str">
        <f ca="1">IFERROR(__xludf.DUMMYFUNCTION("""COMPUTED_VALUE"""),"02160863000151")</f>
        <v>02160863000151</v>
      </c>
      <c r="E472" s="212" t="str">
        <f ca="1">IFERROR(__xludf.DUMMYFUNCTION("""COMPUTED_VALUE"""),"001")</f>
        <v>001</v>
      </c>
      <c r="F472" s="212" t="str">
        <f ca="1">IFERROR(__xludf.DUMMYFUNCTION("""COMPUTED_VALUE"""),"1306")</f>
        <v>1306</v>
      </c>
      <c r="G472" s="213" t="str">
        <f ca="1">IFERROR(__xludf.DUMMYFUNCTION("""COMPUTED_VALUE"""),"53910")</f>
        <v>53910</v>
      </c>
      <c r="H472" s="211" t="str">
        <f ca="1">IFERROR(__xludf.DUMMYFUNCTION("""COMPUTED_VALUE"""),"EJA")</f>
        <v>EJA</v>
      </c>
      <c r="I472" s="214">
        <f ca="1">IFERROR(__xludf.DUMMYFUNCTION("""COMPUTED_VALUE"""),180.399999999999)</f>
        <v>180.39999999999901</v>
      </c>
      <c r="J472" s="209"/>
      <c r="K472" s="209"/>
      <c r="L472" s="209"/>
      <c r="M472" s="209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9"/>
      <c r="Y472" s="209"/>
      <c r="Z472" s="209"/>
    </row>
    <row r="473" spans="1:26" ht="18.75" customHeight="1">
      <c r="A473" s="210" t="str">
        <f ca="1">IFERROR(__xludf.DUMMYFUNCTION("""COMPUTED_VALUE"""),"Guaraí")</f>
        <v>Guaraí</v>
      </c>
      <c r="B473" s="210" t="str">
        <f ca="1">IFERROR(__xludf.DUMMYFUNCTION("""COMPUTED_VALUE"""),"Presidente Kennedy")</f>
        <v>Presidente Kennedy</v>
      </c>
      <c r="C473" s="211" t="str">
        <f ca="1">IFERROR(__xludf.DUMMYFUNCTION("""COMPUTED_VALUE"""),"A.PAIS E M.COL. EST. JUSCELINO KUBITSCHEK")</f>
        <v>A.PAIS E M.COL. EST. JUSCELINO KUBITSCHEK</v>
      </c>
      <c r="D473" s="212" t="str">
        <f ca="1">IFERROR(__xludf.DUMMYFUNCTION("""COMPUTED_VALUE"""),"02060456000172")</f>
        <v>02060456000172</v>
      </c>
      <c r="E473" s="212" t="str">
        <f ca="1">IFERROR(__xludf.DUMMYFUNCTION("""COMPUTED_VALUE"""),"001")</f>
        <v>001</v>
      </c>
      <c r="F473" s="212" t="str">
        <f ca="1">IFERROR(__xludf.DUMMYFUNCTION("""COMPUTED_VALUE"""),"2094")</f>
        <v>2094</v>
      </c>
      <c r="G473" s="213" t="str">
        <f ca="1">IFERROR(__xludf.DUMMYFUNCTION("""COMPUTED_VALUE"""),"047553X")</f>
        <v>047553X</v>
      </c>
      <c r="H473" s="211" t="str">
        <f ca="1">IFERROR(__xludf.DUMMYFUNCTION("""COMPUTED_VALUE"""),"ENS FUND PARCIAL")</f>
        <v>ENS FUND PARCIAL</v>
      </c>
      <c r="I473" s="214">
        <f ca="1">IFERROR(__xludf.DUMMYFUNCTION("""COMPUTED_VALUE"""),1410)</f>
        <v>1410</v>
      </c>
      <c r="J473" s="209"/>
      <c r="K473" s="209"/>
      <c r="L473" s="209"/>
      <c r="M473" s="209"/>
      <c r="N473" s="209"/>
      <c r="O473" s="209"/>
      <c r="P473" s="209"/>
      <c r="Q473" s="209"/>
      <c r="R473" s="209"/>
      <c r="S473" s="209"/>
      <c r="T473" s="209"/>
      <c r="U473" s="209"/>
      <c r="V473" s="209"/>
      <c r="W473" s="209"/>
      <c r="X473" s="209"/>
      <c r="Y473" s="209"/>
      <c r="Z473" s="209"/>
    </row>
    <row r="474" spans="1:26" ht="18.75" customHeight="1">
      <c r="A474" s="210" t="str">
        <f ca="1">IFERROR(__xludf.DUMMYFUNCTION("""COMPUTED_VALUE"""),"Guaraí")</f>
        <v>Guaraí</v>
      </c>
      <c r="B474" s="210" t="str">
        <f ca="1">IFERROR(__xludf.DUMMYFUNCTION("""COMPUTED_VALUE"""),"Presidente Kennedy")</f>
        <v>Presidente Kennedy</v>
      </c>
      <c r="C474" s="211" t="str">
        <f ca="1">IFERROR(__xludf.DUMMYFUNCTION("""COMPUTED_VALUE"""),"A.PAIS E M.COL. EST. JUSCELINO KUBITSCHEK")</f>
        <v>A.PAIS E M.COL. EST. JUSCELINO KUBITSCHEK</v>
      </c>
      <c r="D474" s="212" t="str">
        <f ca="1">IFERROR(__xludf.DUMMYFUNCTION("""COMPUTED_VALUE"""),"02060456000172")</f>
        <v>02060456000172</v>
      </c>
      <c r="E474" s="212" t="str">
        <f ca="1">IFERROR(__xludf.DUMMYFUNCTION("""COMPUTED_VALUE"""),"001")</f>
        <v>001</v>
      </c>
      <c r="F474" s="212" t="str">
        <f ca="1">IFERROR(__xludf.DUMMYFUNCTION("""COMPUTED_VALUE"""),"2094")</f>
        <v>2094</v>
      </c>
      <c r="G474" s="213" t="str">
        <f ca="1">IFERROR(__xludf.DUMMYFUNCTION("""COMPUTED_VALUE"""),"047553X")</f>
        <v>047553X</v>
      </c>
      <c r="H474" s="211" t="str">
        <f ca="1">IFERROR(__xludf.DUMMYFUNCTION("""COMPUTED_VALUE"""),"AEE")</f>
        <v>AEE</v>
      </c>
      <c r="I474" s="214">
        <f ca="1">IFERROR(__xludf.DUMMYFUNCTION("""COMPUTED_VALUE"""),163.2)</f>
        <v>163.19999999999999</v>
      </c>
      <c r="J474" s="209"/>
      <c r="K474" s="209"/>
      <c r="L474" s="209"/>
      <c r="M474" s="209"/>
      <c r="N474" s="209"/>
      <c r="O474" s="209"/>
      <c r="P474" s="209"/>
      <c r="Q474" s="209"/>
      <c r="R474" s="209"/>
      <c r="S474" s="209"/>
      <c r="T474" s="209"/>
      <c r="U474" s="209"/>
      <c r="V474" s="209"/>
      <c r="W474" s="209"/>
      <c r="X474" s="209"/>
      <c r="Y474" s="209"/>
      <c r="Z474" s="209"/>
    </row>
    <row r="475" spans="1:26" ht="18.75" customHeight="1">
      <c r="A475" s="210" t="str">
        <f ca="1">IFERROR(__xludf.DUMMYFUNCTION("""COMPUTED_VALUE"""),"Guaraí")</f>
        <v>Guaraí</v>
      </c>
      <c r="B475" s="210" t="str">
        <f ca="1">IFERROR(__xludf.DUMMYFUNCTION("""COMPUTED_VALUE"""),"Presidente Kennedy")</f>
        <v>Presidente Kennedy</v>
      </c>
      <c r="C475" s="211" t="str">
        <f ca="1">IFERROR(__xludf.DUMMYFUNCTION("""COMPUTED_VALUE"""),"A.PAIS E M.COL. EST. JUSCELINO KUBITSCHEK")</f>
        <v>A.PAIS E M.COL. EST. JUSCELINO KUBITSCHEK</v>
      </c>
      <c r="D475" s="212" t="str">
        <f ca="1">IFERROR(__xludf.DUMMYFUNCTION("""COMPUTED_VALUE"""),"02060456000172")</f>
        <v>02060456000172</v>
      </c>
      <c r="E475" s="212" t="str">
        <f ca="1">IFERROR(__xludf.DUMMYFUNCTION("""COMPUTED_VALUE"""),"001")</f>
        <v>001</v>
      </c>
      <c r="F475" s="212" t="str">
        <f ca="1">IFERROR(__xludf.DUMMYFUNCTION("""COMPUTED_VALUE"""),"2094")</f>
        <v>2094</v>
      </c>
      <c r="G475" s="213" t="str">
        <f ca="1">IFERROR(__xludf.DUMMYFUNCTION("""COMPUTED_VALUE"""),"047553X")</f>
        <v>047553X</v>
      </c>
      <c r="H475" s="211" t="str">
        <f ca="1">IFERROR(__xludf.DUMMYFUNCTION("""COMPUTED_VALUE"""),"ENSINO MEDIO PARCIAL")</f>
        <v>ENSINO MEDIO PARCIAL</v>
      </c>
      <c r="I475" s="214">
        <f ca="1">IFERROR(__xludf.DUMMYFUNCTION("""COMPUTED_VALUE"""),930)</f>
        <v>930</v>
      </c>
      <c r="J475" s="209"/>
      <c r="K475" s="209"/>
      <c r="L475" s="209"/>
      <c r="M475" s="209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9"/>
      <c r="Y475" s="209"/>
      <c r="Z475" s="209"/>
    </row>
    <row r="476" spans="1:26" ht="18.75" customHeight="1">
      <c r="A476" s="210" t="str">
        <f ca="1">IFERROR(__xludf.DUMMYFUNCTION("""COMPUTED_VALUE"""),"Gurupi")</f>
        <v>Gurupi</v>
      </c>
      <c r="B476" s="210" t="str">
        <f ca="1">IFERROR(__xludf.DUMMYFUNCTION("""COMPUTED_VALUE"""),"Alianca do Tocantins")</f>
        <v>Alianca do Tocantins</v>
      </c>
      <c r="C476" s="211" t="str">
        <f ca="1">IFERROR(__xludf.DUMMYFUNCTION("""COMPUTED_VALUE"""),"A. PAIS E MESTRES ESC. EST.N.SRA.DO CARMO")</f>
        <v>A. PAIS E MESTRES ESC. EST.N.SRA.DO CARMO</v>
      </c>
      <c r="D476" s="212" t="str">
        <f ca="1">IFERROR(__xludf.DUMMYFUNCTION("""COMPUTED_VALUE"""),"01034192000110")</f>
        <v>01034192000110</v>
      </c>
      <c r="E476" s="212" t="str">
        <f ca="1">IFERROR(__xludf.DUMMYFUNCTION("""COMPUTED_VALUE"""),"001")</f>
        <v>001</v>
      </c>
      <c r="F476" s="212" t="str">
        <f ca="1">IFERROR(__xludf.DUMMYFUNCTION("""COMPUTED_VALUE"""),"3972")</f>
        <v>3972</v>
      </c>
      <c r="G476" s="213" t="str">
        <f ca="1">IFERROR(__xludf.DUMMYFUNCTION("""COMPUTED_VALUE"""),"243590")</f>
        <v>243590</v>
      </c>
      <c r="H476" s="211" t="str">
        <f ca="1">IFERROR(__xludf.DUMMYFUNCTION("""COMPUTED_VALUE"""),"ENS FUND INTEGRAL")</f>
        <v>ENS FUND INTEGRAL</v>
      </c>
      <c r="I476" s="214">
        <f ca="1">IFERROR(__xludf.DUMMYFUNCTION("""COMPUTED_VALUE"""),3315.39999999999)</f>
        <v>3315.3999999999901</v>
      </c>
      <c r="J476" s="209"/>
      <c r="K476" s="209"/>
      <c r="L476" s="209"/>
      <c r="M476" s="209"/>
      <c r="N476" s="209"/>
      <c r="O476" s="209"/>
      <c r="P476" s="209"/>
      <c r="Q476" s="209"/>
      <c r="R476" s="209"/>
      <c r="S476" s="209"/>
      <c r="T476" s="209"/>
      <c r="U476" s="209"/>
      <c r="V476" s="209"/>
      <c r="W476" s="209"/>
      <c r="X476" s="209"/>
      <c r="Y476" s="209"/>
      <c r="Z476" s="209"/>
    </row>
    <row r="477" spans="1:26" ht="18.75" customHeight="1">
      <c r="A477" s="210" t="str">
        <f ca="1">IFERROR(__xludf.DUMMYFUNCTION("""COMPUTED_VALUE"""),"Gurupi")</f>
        <v>Gurupi</v>
      </c>
      <c r="B477" s="210" t="str">
        <f ca="1">IFERROR(__xludf.DUMMYFUNCTION("""COMPUTED_VALUE"""),"Alianca do Tocantins")</f>
        <v>Alianca do Tocantins</v>
      </c>
      <c r="C477" s="211" t="str">
        <f ca="1">IFERROR(__xludf.DUMMYFUNCTION("""COMPUTED_VALUE"""),"A. PAIS E MESTRES ESC. EST.N.SRA.DO CARMO")</f>
        <v>A. PAIS E MESTRES ESC. EST.N.SRA.DO CARMO</v>
      </c>
      <c r="D477" s="212" t="str">
        <f ca="1">IFERROR(__xludf.DUMMYFUNCTION("""COMPUTED_VALUE"""),"01034192000110")</f>
        <v>01034192000110</v>
      </c>
      <c r="E477" s="212" t="str">
        <f ca="1">IFERROR(__xludf.DUMMYFUNCTION("""COMPUTED_VALUE"""),"001")</f>
        <v>001</v>
      </c>
      <c r="F477" s="212" t="str">
        <f ca="1">IFERROR(__xludf.DUMMYFUNCTION("""COMPUTED_VALUE"""),"3972")</f>
        <v>3972</v>
      </c>
      <c r="G477" s="213" t="str">
        <f ca="1">IFERROR(__xludf.DUMMYFUNCTION("""COMPUTED_VALUE"""),"243590")</f>
        <v>243590</v>
      </c>
      <c r="H477" s="211" t="str">
        <f ca="1">IFERROR(__xludf.DUMMYFUNCTION("""COMPUTED_VALUE"""),"AEE")</f>
        <v>AEE</v>
      </c>
      <c r="I477" s="214">
        <f ca="1">IFERROR(__xludf.DUMMYFUNCTION("""COMPUTED_VALUE"""),285.599999999999)</f>
        <v>285.599999999999</v>
      </c>
      <c r="J477" s="209"/>
      <c r="K477" s="209"/>
      <c r="L477" s="209"/>
      <c r="M477" s="209"/>
      <c r="N477" s="209"/>
      <c r="O477" s="209"/>
      <c r="P477" s="209"/>
      <c r="Q477" s="209"/>
      <c r="R477" s="209"/>
      <c r="S477" s="209"/>
      <c r="T477" s="209"/>
      <c r="U477" s="209"/>
      <c r="V477" s="209"/>
      <c r="W477" s="209"/>
      <c r="X477" s="209"/>
      <c r="Y477" s="209"/>
      <c r="Z477" s="209"/>
    </row>
    <row r="478" spans="1:26" ht="18.75" customHeight="1">
      <c r="A478" s="210" t="str">
        <f ca="1">IFERROR(__xludf.DUMMYFUNCTION("""COMPUTED_VALUE"""),"Gurupi")</f>
        <v>Gurupi</v>
      </c>
      <c r="B478" s="210" t="str">
        <f ca="1">IFERROR(__xludf.DUMMYFUNCTION("""COMPUTED_VALUE"""),"Alianca do Tocantins")</f>
        <v>Alianca do Tocantins</v>
      </c>
      <c r="C478" s="211" t="str">
        <f ca="1">IFERROR(__xludf.DUMMYFUNCTION("""COMPUTED_VALUE"""),"A. PAIS E MESTRES ESC. EST.N.SRA.DO CARMO")</f>
        <v>A. PAIS E MESTRES ESC. EST.N.SRA.DO CARMO</v>
      </c>
      <c r="D478" s="212" t="str">
        <f ca="1">IFERROR(__xludf.DUMMYFUNCTION("""COMPUTED_VALUE"""),"01034192000110")</f>
        <v>01034192000110</v>
      </c>
      <c r="E478" s="212" t="str">
        <f ca="1">IFERROR(__xludf.DUMMYFUNCTION("""COMPUTED_VALUE"""),"001")</f>
        <v>001</v>
      </c>
      <c r="F478" s="212" t="str">
        <f ca="1">IFERROR(__xludf.DUMMYFUNCTION("""COMPUTED_VALUE"""),"3972")</f>
        <v>3972</v>
      </c>
      <c r="G478" s="213" t="str">
        <f ca="1">IFERROR(__xludf.DUMMYFUNCTION("""COMPUTED_VALUE"""),"243590")</f>
        <v>243590</v>
      </c>
      <c r="H478" s="211" t="str">
        <f ca="1">IFERROR(__xludf.DUMMYFUNCTION("""COMPUTED_VALUE"""),"ENSINO MEDIO INTEGRAL")</f>
        <v>ENSINO MEDIO INTEGRAL</v>
      </c>
      <c r="I478" s="214">
        <f ca="1">IFERROR(__xludf.DUMMYFUNCTION("""COMPUTED_VALUE"""),712.4)</f>
        <v>712.4</v>
      </c>
      <c r="J478" s="209"/>
      <c r="K478" s="209"/>
      <c r="L478" s="209"/>
      <c r="M478" s="209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9"/>
      <c r="Y478" s="209"/>
      <c r="Z478" s="209"/>
    </row>
    <row r="479" spans="1:26" ht="18.75" customHeight="1">
      <c r="A479" s="210" t="str">
        <f ca="1">IFERROR(__xludf.DUMMYFUNCTION("""COMPUTED_VALUE"""),"Gurupi")</f>
        <v>Gurupi</v>
      </c>
      <c r="B479" s="210" t="str">
        <f ca="1">IFERROR(__xludf.DUMMYFUNCTION("""COMPUTED_VALUE"""),"Alianca do Tocantins")</f>
        <v>Alianca do Tocantins</v>
      </c>
      <c r="C479" s="211" t="str">
        <f ca="1">IFERROR(__xludf.DUMMYFUNCTION("""COMPUTED_VALUE"""),"ASS. APOIO COL. EST. ANITA CASSIMIRO MORENO")</f>
        <v>ASS. APOIO COL. EST. ANITA CASSIMIRO MORENO</v>
      </c>
      <c r="D479" s="212" t="str">
        <f ca="1">IFERROR(__xludf.DUMMYFUNCTION("""COMPUTED_VALUE"""),"01304570000138")</f>
        <v>01304570000138</v>
      </c>
      <c r="E479" s="212" t="str">
        <f ca="1">IFERROR(__xludf.DUMMYFUNCTION("""COMPUTED_VALUE"""),"001")</f>
        <v>001</v>
      </c>
      <c r="F479" s="212" t="str">
        <f ca="1">IFERROR(__xludf.DUMMYFUNCTION("""COMPUTED_VALUE"""),"3972")</f>
        <v>3972</v>
      </c>
      <c r="G479" s="213" t="str">
        <f ca="1">IFERROR(__xludf.DUMMYFUNCTION("""COMPUTED_VALUE"""),"245984")</f>
        <v>245984</v>
      </c>
      <c r="H479" s="211" t="str">
        <f ca="1">IFERROR(__xludf.DUMMYFUNCTION("""COMPUTED_VALUE"""),"ENS FUND PARCIAL")</f>
        <v>ENS FUND PARCIAL</v>
      </c>
      <c r="I479" s="214">
        <f ca="1">IFERROR(__xludf.DUMMYFUNCTION("""COMPUTED_VALUE"""),1050)</f>
        <v>1050</v>
      </c>
      <c r="J479" s="209"/>
      <c r="K479" s="209"/>
      <c r="L479" s="209"/>
      <c r="M479" s="209"/>
      <c r="N479" s="209"/>
      <c r="O479" s="209"/>
      <c r="P479" s="209"/>
      <c r="Q479" s="209"/>
      <c r="R479" s="209"/>
      <c r="S479" s="209"/>
      <c r="T479" s="209"/>
      <c r="U479" s="209"/>
      <c r="V479" s="209"/>
      <c r="W479" s="209"/>
      <c r="X479" s="209"/>
      <c r="Y479" s="209"/>
      <c r="Z479" s="209"/>
    </row>
    <row r="480" spans="1:26" ht="18.75" customHeight="1">
      <c r="A480" s="210" t="str">
        <f ca="1">IFERROR(__xludf.DUMMYFUNCTION("""COMPUTED_VALUE"""),"Gurupi")</f>
        <v>Gurupi</v>
      </c>
      <c r="B480" s="210" t="str">
        <f ca="1">IFERROR(__xludf.DUMMYFUNCTION("""COMPUTED_VALUE"""),"Alianca do Tocantins")</f>
        <v>Alianca do Tocantins</v>
      </c>
      <c r="C480" s="211" t="str">
        <f ca="1">IFERROR(__xludf.DUMMYFUNCTION("""COMPUTED_VALUE"""),"ASS. APOIO COL. EST. ANITA CASSIMIRO MORENO")</f>
        <v>ASS. APOIO COL. EST. ANITA CASSIMIRO MORENO</v>
      </c>
      <c r="D480" s="212" t="str">
        <f ca="1">IFERROR(__xludf.DUMMYFUNCTION("""COMPUTED_VALUE"""),"01304570000138")</f>
        <v>01304570000138</v>
      </c>
      <c r="E480" s="212" t="str">
        <f ca="1">IFERROR(__xludf.DUMMYFUNCTION("""COMPUTED_VALUE"""),"001")</f>
        <v>001</v>
      </c>
      <c r="F480" s="212" t="str">
        <f ca="1">IFERROR(__xludf.DUMMYFUNCTION("""COMPUTED_VALUE"""),"3972")</f>
        <v>3972</v>
      </c>
      <c r="G480" s="213" t="str">
        <f ca="1">IFERROR(__xludf.DUMMYFUNCTION("""COMPUTED_VALUE"""),"245984")</f>
        <v>245984</v>
      </c>
      <c r="H480" s="211" t="str">
        <f ca="1">IFERROR(__xludf.DUMMYFUNCTION("""COMPUTED_VALUE"""),"ENSINO MEDIO PARCIAL")</f>
        <v>ENSINO MEDIO PARCIAL</v>
      </c>
      <c r="I480" s="214">
        <f ca="1">IFERROR(__xludf.DUMMYFUNCTION("""COMPUTED_VALUE"""),1580)</f>
        <v>1580</v>
      </c>
      <c r="J480" s="209"/>
      <c r="K480" s="209"/>
      <c r="L480" s="209"/>
      <c r="M480" s="209"/>
      <c r="N480" s="209"/>
      <c r="O480" s="209"/>
      <c r="P480" s="209"/>
      <c r="Q480" s="209"/>
      <c r="R480" s="209"/>
      <c r="S480" s="209"/>
      <c r="T480" s="209"/>
      <c r="U480" s="209"/>
      <c r="V480" s="209"/>
      <c r="W480" s="209"/>
      <c r="X480" s="209"/>
      <c r="Y480" s="209"/>
      <c r="Z480" s="209"/>
    </row>
    <row r="481" spans="1:26" ht="18.75" customHeight="1">
      <c r="A481" s="210" t="str">
        <f ca="1">IFERROR(__xludf.DUMMYFUNCTION("""COMPUTED_VALUE"""),"Gurupi")</f>
        <v>Gurupi</v>
      </c>
      <c r="B481" s="210" t="str">
        <f ca="1">IFERROR(__xludf.DUMMYFUNCTION("""COMPUTED_VALUE"""),"Alianca do Tocantins")</f>
        <v>Alianca do Tocantins</v>
      </c>
      <c r="C481" s="211" t="str">
        <f ca="1">IFERROR(__xludf.DUMMYFUNCTION("""COMPUTED_VALUE"""),"A.A.  AO EDUCANDARIO EVANGELICO JERUSALEM")</f>
        <v>A.A.  AO EDUCANDARIO EVANGELICO JERUSALEM</v>
      </c>
      <c r="D481" s="212" t="str">
        <f ca="1">IFERROR(__xludf.DUMMYFUNCTION("""COMPUTED_VALUE"""),"03172227000102")</f>
        <v>03172227000102</v>
      </c>
      <c r="E481" s="212" t="str">
        <f ca="1">IFERROR(__xludf.DUMMYFUNCTION("""COMPUTED_VALUE"""),"001")</f>
        <v>001</v>
      </c>
      <c r="F481" s="212" t="str">
        <f ca="1">IFERROR(__xludf.DUMMYFUNCTION("""COMPUTED_VALUE"""),"3972")</f>
        <v>3972</v>
      </c>
      <c r="G481" s="213" t="str">
        <f ca="1">IFERROR(__xludf.DUMMYFUNCTION("""COMPUTED_VALUE"""),"54666")</f>
        <v>54666</v>
      </c>
      <c r="H481" s="211" t="str">
        <f ca="1">IFERROR(__xludf.DUMMYFUNCTION("""COMPUTED_VALUE"""),"ENS FUND PARCIAL")</f>
        <v>ENS FUND PARCIAL</v>
      </c>
      <c r="I481" s="214">
        <f ca="1">IFERROR(__xludf.DUMMYFUNCTION("""COMPUTED_VALUE"""),1030)</f>
        <v>1030</v>
      </c>
      <c r="J481" s="209"/>
      <c r="K481" s="209"/>
      <c r="L481" s="209"/>
      <c r="M481" s="209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9"/>
      <c r="Y481" s="209"/>
      <c r="Z481" s="209"/>
    </row>
    <row r="482" spans="1:26" ht="18.75" customHeight="1">
      <c r="A482" s="210" t="str">
        <f ca="1">IFERROR(__xludf.DUMMYFUNCTION("""COMPUTED_VALUE"""),"Gurupi")</f>
        <v>Gurupi</v>
      </c>
      <c r="B482" s="210" t="str">
        <f ca="1">IFERROR(__xludf.DUMMYFUNCTION("""COMPUTED_VALUE"""),"Alianca do Tocantins")</f>
        <v>Alianca do Tocantins</v>
      </c>
      <c r="C482" s="211" t="str">
        <f ca="1">IFERROR(__xludf.DUMMYFUNCTION("""COMPUTED_VALUE"""),"ASSOCIAÇÃO DE APOIO A ESCOLA ESPECIAL AMOR FRATERNAL")</f>
        <v>ASSOCIAÇÃO DE APOIO A ESCOLA ESPECIAL AMOR FRATERNAL</v>
      </c>
      <c r="D482" s="212" t="str">
        <f ca="1">IFERROR(__xludf.DUMMYFUNCTION("""COMPUTED_VALUE"""),"07953958000146")</f>
        <v>07953958000146</v>
      </c>
      <c r="E482" s="212" t="str">
        <f ca="1">IFERROR(__xludf.DUMMYFUNCTION("""COMPUTED_VALUE"""),"001")</f>
        <v>001</v>
      </c>
      <c r="F482" s="212" t="str">
        <f ca="1">IFERROR(__xludf.DUMMYFUNCTION("""COMPUTED_VALUE"""),"3972")</f>
        <v>3972</v>
      </c>
      <c r="G482" s="213" t="str">
        <f ca="1">IFERROR(__xludf.DUMMYFUNCTION("""COMPUTED_VALUE"""),"90115")</f>
        <v>90115</v>
      </c>
      <c r="H482" s="211" t="str">
        <f ca="1">IFERROR(__xludf.DUMMYFUNCTION("""COMPUTED_VALUE"""),"PRÉ-ESCOLA")</f>
        <v>PRÉ-ESCOLA</v>
      </c>
      <c r="I482" s="214">
        <f ca="1">IFERROR(__xludf.DUMMYFUNCTION("""COMPUTED_VALUE"""),129.6)</f>
        <v>129.6</v>
      </c>
      <c r="J482" s="209"/>
      <c r="K482" s="209"/>
      <c r="L482" s="209"/>
      <c r="M482" s="209"/>
      <c r="N482" s="209"/>
      <c r="O482" s="209"/>
      <c r="P482" s="209"/>
      <c r="Q482" s="209"/>
      <c r="R482" s="209"/>
      <c r="S482" s="209"/>
      <c r="T482" s="209"/>
      <c r="U482" s="209"/>
      <c r="V482" s="209"/>
      <c r="W482" s="209"/>
      <c r="X482" s="209"/>
      <c r="Y482" s="209"/>
      <c r="Z482" s="209"/>
    </row>
    <row r="483" spans="1:26" ht="18.75" customHeight="1">
      <c r="A483" s="210" t="str">
        <f ca="1">IFERROR(__xludf.DUMMYFUNCTION("""COMPUTED_VALUE"""),"Gurupi")</f>
        <v>Gurupi</v>
      </c>
      <c r="B483" s="210" t="str">
        <f ca="1">IFERROR(__xludf.DUMMYFUNCTION("""COMPUTED_VALUE"""),"Alianca do Tocantins")</f>
        <v>Alianca do Tocantins</v>
      </c>
      <c r="C483" s="211" t="str">
        <f ca="1">IFERROR(__xludf.DUMMYFUNCTION("""COMPUTED_VALUE"""),"ASSOCIAÇÃO DE APOIO A ESCOLA ESPECIAL AMOR FRATERNAL")</f>
        <v>ASSOCIAÇÃO DE APOIO A ESCOLA ESPECIAL AMOR FRATERNAL</v>
      </c>
      <c r="D483" s="212" t="str">
        <f ca="1">IFERROR(__xludf.DUMMYFUNCTION("""COMPUTED_VALUE"""),"07953958000146")</f>
        <v>07953958000146</v>
      </c>
      <c r="E483" s="212" t="str">
        <f ca="1">IFERROR(__xludf.DUMMYFUNCTION("""COMPUTED_VALUE"""),"001")</f>
        <v>001</v>
      </c>
      <c r="F483" s="212" t="str">
        <f ca="1">IFERROR(__xludf.DUMMYFUNCTION("""COMPUTED_VALUE"""),"3972")</f>
        <v>3972</v>
      </c>
      <c r="G483" s="213" t="str">
        <f ca="1">IFERROR(__xludf.DUMMYFUNCTION("""COMPUTED_VALUE"""),"90115")</f>
        <v>90115</v>
      </c>
      <c r="H483" s="211" t="str">
        <f ca="1">IFERROR(__xludf.DUMMYFUNCTION("""COMPUTED_VALUE"""),"AEE")</f>
        <v>AEE</v>
      </c>
      <c r="I483" s="214">
        <f ca="1">IFERROR(__xludf.DUMMYFUNCTION("""COMPUTED_VALUE"""),476)</f>
        <v>476</v>
      </c>
      <c r="J483" s="209"/>
      <c r="K483" s="209"/>
      <c r="L483" s="209"/>
      <c r="M483" s="209"/>
      <c r="N483" s="209"/>
      <c r="O483" s="209"/>
      <c r="P483" s="209"/>
      <c r="Q483" s="209"/>
      <c r="R483" s="209"/>
      <c r="S483" s="209"/>
      <c r="T483" s="209"/>
      <c r="U483" s="209"/>
      <c r="V483" s="209"/>
      <c r="W483" s="209"/>
      <c r="X483" s="209"/>
      <c r="Y483" s="209"/>
      <c r="Z483" s="209"/>
    </row>
    <row r="484" spans="1:26" ht="18.75" customHeight="1">
      <c r="A484" s="210" t="str">
        <f ca="1">IFERROR(__xludf.DUMMYFUNCTION("""COMPUTED_VALUE"""),"Gurupi")</f>
        <v>Gurupi</v>
      </c>
      <c r="B484" s="210" t="str">
        <f ca="1">IFERROR(__xludf.DUMMYFUNCTION("""COMPUTED_VALUE"""),"Alianca do Tocantins")</f>
        <v>Alianca do Tocantins</v>
      </c>
      <c r="C484" s="211" t="str">
        <f ca="1">IFERROR(__xludf.DUMMYFUNCTION("""COMPUTED_VALUE"""),"ASSOCIAÇÃO DE APOIO A ESCOLA ESPECIAL AMOR FRATERNAL")</f>
        <v>ASSOCIAÇÃO DE APOIO A ESCOLA ESPECIAL AMOR FRATERNAL</v>
      </c>
      <c r="D484" s="212" t="str">
        <f ca="1">IFERROR(__xludf.DUMMYFUNCTION("""COMPUTED_VALUE"""),"07953958000146")</f>
        <v>07953958000146</v>
      </c>
      <c r="E484" s="212" t="str">
        <f ca="1">IFERROR(__xludf.DUMMYFUNCTION("""COMPUTED_VALUE"""),"001")</f>
        <v>001</v>
      </c>
      <c r="F484" s="212" t="str">
        <f ca="1">IFERROR(__xludf.DUMMYFUNCTION("""COMPUTED_VALUE"""),"3972")</f>
        <v>3972</v>
      </c>
      <c r="G484" s="213" t="str">
        <f ca="1">IFERROR(__xludf.DUMMYFUNCTION("""COMPUTED_VALUE"""),"90115")</f>
        <v>90115</v>
      </c>
      <c r="H484" s="211" t="str">
        <f ca="1">IFERROR(__xludf.DUMMYFUNCTION("""COMPUTED_VALUE"""),"EJA")</f>
        <v>EJA</v>
      </c>
      <c r="I484" s="214">
        <f ca="1">IFERROR(__xludf.DUMMYFUNCTION("""COMPUTED_VALUE"""),533)</f>
        <v>533</v>
      </c>
      <c r="J484" s="209"/>
      <c r="K484" s="209"/>
      <c r="L484" s="209"/>
      <c r="M484" s="209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9"/>
      <c r="Y484" s="209"/>
      <c r="Z484" s="209"/>
    </row>
    <row r="485" spans="1:26" ht="18.75" customHeight="1">
      <c r="A485" s="210" t="str">
        <f ca="1">IFERROR(__xludf.DUMMYFUNCTION("""COMPUTED_VALUE"""),"Gurupi")</f>
        <v>Gurupi</v>
      </c>
      <c r="B485" s="210" t="str">
        <f ca="1">IFERROR(__xludf.DUMMYFUNCTION("""COMPUTED_VALUE"""),"Alvorada")</f>
        <v>Alvorada</v>
      </c>
      <c r="C485" s="211" t="str">
        <f ca="1">IFERROR(__xludf.DUMMYFUNCTION("""COMPUTED_VALUE"""),"ASS. APOIO COL. EST. ADJULIO BALTHAZAR")</f>
        <v>ASS. APOIO COL. EST. ADJULIO BALTHAZAR</v>
      </c>
      <c r="D485" s="212" t="str">
        <f ca="1">IFERROR(__xludf.DUMMYFUNCTION("""COMPUTED_VALUE"""),"01138432000126")</f>
        <v>01138432000126</v>
      </c>
      <c r="E485" s="212" t="str">
        <f ca="1">IFERROR(__xludf.DUMMYFUNCTION("""COMPUTED_VALUE"""),"001")</f>
        <v>001</v>
      </c>
      <c r="F485" s="212" t="str">
        <f ca="1">IFERROR(__xludf.DUMMYFUNCTION("""COMPUTED_VALUE"""),"1303")</f>
        <v>1303</v>
      </c>
      <c r="G485" s="213" t="str">
        <f ca="1">IFERROR(__xludf.DUMMYFUNCTION("""COMPUTED_VALUE"""),"103462")</f>
        <v>103462</v>
      </c>
      <c r="H485" s="211" t="str">
        <f ca="1">IFERROR(__xludf.DUMMYFUNCTION("""COMPUTED_VALUE"""),"ENS FUND PARCIAL")</f>
        <v>ENS FUND PARCIAL</v>
      </c>
      <c r="I485" s="214">
        <f ca="1">IFERROR(__xludf.DUMMYFUNCTION("""COMPUTED_VALUE"""),2080)</f>
        <v>2080</v>
      </c>
      <c r="J485" s="209"/>
      <c r="K485" s="209"/>
      <c r="L485" s="209"/>
      <c r="M485" s="209"/>
      <c r="N485" s="209"/>
      <c r="O485" s="209"/>
      <c r="P485" s="209"/>
      <c r="Q485" s="209"/>
      <c r="R485" s="209"/>
      <c r="S485" s="209"/>
      <c r="T485" s="209"/>
      <c r="U485" s="209"/>
      <c r="V485" s="209"/>
      <c r="W485" s="209"/>
      <c r="X485" s="209"/>
      <c r="Y485" s="209"/>
      <c r="Z485" s="209"/>
    </row>
    <row r="486" spans="1:26" ht="18.75" customHeight="1">
      <c r="A486" s="210" t="str">
        <f ca="1">IFERROR(__xludf.DUMMYFUNCTION("""COMPUTED_VALUE"""),"Gurupi")</f>
        <v>Gurupi</v>
      </c>
      <c r="B486" s="210" t="str">
        <f ca="1">IFERROR(__xludf.DUMMYFUNCTION("""COMPUTED_VALUE"""),"Alvorada")</f>
        <v>Alvorada</v>
      </c>
      <c r="C486" s="211" t="str">
        <f ca="1">IFERROR(__xludf.DUMMYFUNCTION("""COMPUTED_VALUE"""),"ASS. APOIO ESC. EST. ANA MARIA DE JESUS")</f>
        <v>ASS. APOIO ESC. EST. ANA MARIA DE JESUS</v>
      </c>
      <c r="D486" s="212" t="str">
        <f ca="1">IFERROR(__xludf.DUMMYFUNCTION("""COMPUTED_VALUE"""),"01221145000185")</f>
        <v>01221145000185</v>
      </c>
      <c r="E486" s="212" t="str">
        <f ca="1">IFERROR(__xludf.DUMMYFUNCTION("""COMPUTED_VALUE"""),"001")</f>
        <v>001</v>
      </c>
      <c r="F486" s="212" t="str">
        <f ca="1">IFERROR(__xludf.DUMMYFUNCTION("""COMPUTED_VALUE"""),"1303")</f>
        <v>1303</v>
      </c>
      <c r="G486" s="213" t="str">
        <f ca="1">IFERROR(__xludf.DUMMYFUNCTION("""COMPUTED_VALUE"""),"103691")</f>
        <v>103691</v>
      </c>
      <c r="H486" s="211" t="str">
        <f ca="1">IFERROR(__xludf.DUMMYFUNCTION("""COMPUTED_VALUE"""),"ENS FUND PARCIAL")</f>
        <v>ENS FUND PARCIAL</v>
      </c>
      <c r="I486" s="214">
        <f ca="1">IFERROR(__xludf.DUMMYFUNCTION("""COMPUTED_VALUE"""),700)</f>
        <v>700</v>
      </c>
      <c r="J486" s="209"/>
      <c r="K486" s="209"/>
      <c r="L486" s="209"/>
      <c r="M486" s="209"/>
      <c r="N486" s="209"/>
      <c r="O486" s="209"/>
      <c r="P486" s="209"/>
      <c r="Q486" s="209"/>
      <c r="R486" s="209"/>
      <c r="S486" s="209"/>
      <c r="T486" s="209"/>
      <c r="U486" s="209"/>
      <c r="V486" s="209"/>
      <c r="W486" s="209"/>
      <c r="X486" s="209"/>
      <c r="Y486" s="209"/>
      <c r="Z486" s="209"/>
    </row>
    <row r="487" spans="1:26" ht="18.75" customHeight="1">
      <c r="A487" s="210" t="str">
        <f ca="1">IFERROR(__xludf.DUMMYFUNCTION("""COMPUTED_VALUE"""),"Gurupi")</f>
        <v>Gurupi</v>
      </c>
      <c r="B487" s="210" t="str">
        <f ca="1">IFERROR(__xludf.DUMMYFUNCTION("""COMPUTED_VALUE"""),"Alvorada")</f>
        <v>Alvorada</v>
      </c>
      <c r="C487" s="211" t="str">
        <f ca="1">IFERROR(__xludf.DUMMYFUNCTION("""COMPUTED_VALUE"""),"ASS. APOIO ESC. EST. ANA MARIA DE JESUS")</f>
        <v>ASS. APOIO ESC. EST. ANA MARIA DE JESUS</v>
      </c>
      <c r="D487" s="212" t="str">
        <f ca="1">IFERROR(__xludf.DUMMYFUNCTION("""COMPUTED_VALUE"""),"01221145000185")</f>
        <v>01221145000185</v>
      </c>
      <c r="E487" s="212" t="str">
        <f ca="1">IFERROR(__xludf.DUMMYFUNCTION("""COMPUTED_VALUE"""),"001")</f>
        <v>001</v>
      </c>
      <c r="F487" s="212" t="str">
        <f ca="1">IFERROR(__xludf.DUMMYFUNCTION("""COMPUTED_VALUE"""),"1303")</f>
        <v>1303</v>
      </c>
      <c r="G487" s="213" t="str">
        <f ca="1">IFERROR(__xludf.DUMMYFUNCTION("""COMPUTED_VALUE"""),"103691")</f>
        <v>103691</v>
      </c>
      <c r="H487" s="211" t="str">
        <f ca="1">IFERROR(__xludf.DUMMYFUNCTION("""COMPUTED_VALUE"""),"AEE")</f>
        <v>AEE</v>
      </c>
      <c r="I487" s="214">
        <f ca="1">IFERROR(__xludf.DUMMYFUNCTION("""COMPUTED_VALUE"""),136)</f>
        <v>136</v>
      </c>
      <c r="J487" s="209"/>
      <c r="K487" s="209"/>
      <c r="L487" s="209"/>
      <c r="M487" s="209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9"/>
      <c r="Y487" s="209"/>
      <c r="Z487" s="209"/>
    </row>
    <row r="488" spans="1:26" ht="18.75" customHeight="1">
      <c r="A488" s="210" t="str">
        <f ca="1">IFERROR(__xludf.DUMMYFUNCTION("""COMPUTED_VALUE"""),"Gurupi")</f>
        <v>Gurupi</v>
      </c>
      <c r="B488" s="210" t="str">
        <f ca="1">IFERROR(__xludf.DUMMYFUNCTION("""COMPUTED_VALUE"""),"Alvorada")</f>
        <v>Alvorada</v>
      </c>
      <c r="C488" s="211" t="str">
        <f ca="1">IFERROR(__xludf.DUMMYFUNCTION("""COMPUTED_VALUE"""),"ASS. APOIO ESC. EST. ANA MARIA DE JESUS")</f>
        <v>ASS. APOIO ESC. EST. ANA MARIA DE JESUS</v>
      </c>
      <c r="D488" s="212" t="str">
        <f ca="1">IFERROR(__xludf.DUMMYFUNCTION("""COMPUTED_VALUE"""),"01221145000185")</f>
        <v>01221145000185</v>
      </c>
      <c r="E488" s="212" t="str">
        <f ca="1">IFERROR(__xludf.DUMMYFUNCTION("""COMPUTED_VALUE"""),"001")</f>
        <v>001</v>
      </c>
      <c r="F488" s="212" t="str">
        <f ca="1">IFERROR(__xludf.DUMMYFUNCTION("""COMPUTED_VALUE"""),"1303")</f>
        <v>1303</v>
      </c>
      <c r="G488" s="213" t="str">
        <f ca="1">IFERROR(__xludf.DUMMYFUNCTION("""COMPUTED_VALUE"""),"103691")</f>
        <v>103691</v>
      </c>
      <c r="H488" s="211" t="str">
        <f ca="1">IFERROR(__xludf.DUMMYFUNCTION("""COMPUTED_VALUE"""),"EJA")</f>
        <v>EJA</v>
      </c>
      <c r="I488" s="214">
        <f ca="1">IFERROR(__xludf.DUMMYFUNCTION("""COMPUTED_VALUE"""),516.599999999999)</f>
        <v>516.599999999999</v>
      </c>
      <c r="J488" s="209"/>
      <c r="K488" s="209"/>
      <c r="L488" s="209"/>
      <c r="M488" s="209"/>
      <c r="N488" s="209"/>
      <c r="O488" s="209"/>
      <c r="P488" s="209"/>
      <c r="Q488" s="209"/>
      <c r="R488" s="209"/>
      <c r="S488" s="209"/>
      <c r="T488" s="209"/>
      <c r="U488" s="209"/>
      <c r="V488" s="209"/>
      <c r="W488" s="209"/>
      <c r="X488" s="209"/>
      <c r="Y488" s="209"/>
      <c r="Z488" s="209"/>
    </row>
    <row r="489" spans="1:26" ht="18.75" customHeight="1">
      <c r="A489" s="210" t="str">
        <f ca="1">IFERROR(__xludf.DUMMYFUNCTION("""COMPUTED_VALUE"""),"Gurupi")</f>
        <v>Gurupi</v>
      </c>
      <c r="B489" s="210" t="str">
        <f ca="1">IFERROR(__xludf.DUMMYFUNCTION("""COMPUTED_VALUE"""),"Alvorada")</f>
        <v>Alvorada</v>
      </c>
      <c r="C489" s="211" t="str">
        <f ca="1">IFERROR(__xludf.DUMMYFUNCTION("""COMPUTED_VALUE"""),"A.A.  COLEGIO ESTADUAL DE ALVORADA")</f>
        <v>A.A.  COLEGIO ESTADUAL DE ALVORADA</v>
      </c>
      <c r="D489" s="212" t="str">
        <f ca="1">IFERROR(__xludf.DUMMYFUNCTION("""COMPUTED_VALUE"""),"01269283000134")</f>
        <v>01269283000134</v>
      </c>
      <c r="E489" s="212" t="str">
        <f ca="1">IFERROR(__xludf.DUMMYFUNCTION("""COMPUTED_VALUE"""),"001")</f>
        <v>001</v>
      </c>
      <c r="F489" s="212" t="str">
        <f ca="1">IFERROR(__xludf.DUMMYFUNCTION("""COMPUTED_VALUE"""),"1303")</f>
        <v>1303</v>
      </c>
      <c r="G489" s="213" t="str">
        <f ca="1">IFERROR(__xludf.DUMMYFUNCTION("""COMPUTED_VALUE"""),"0088544")</f>
        <v>0088544</v>
      </c>
      <c r="H489" s="211" t="str">
        <f ca="1">IFERROR(__xludf.DUMMYFUNCTION("""COMPUTED_VALUE"""),"ENSINO MEDIO PARCIAL")</f>
        <v>ENSINO MEDIO PARCIAL</v>
      </c>
      <c r="I489" s="214">
        <f ca="1">IFERROR(__xludf.DUMMYFUNCTION("""COMPUTED_VALUE"""),3130)</f>
        <v>3130</v>
      </c>
      <c r="J489" s="209"/>
      <c r="K489" s="209"/>
      <c r="L489" s="209"/>
      <c r="M489" s="209"/>
      <c r="N489" s="209"/>
      <c r="O489" s="209"/>
      <c r="P489" s="209"/>
      <c r="Q489" s="209"/>
      <c r="R489" s="209"/>
      <c r="S489" s="209"/>
      <c r="T489" s="209"/>
      <c r="U489" s="209"/>
      <c r="V489" s="209"/>
      <c r="W489" s="209"/>
      <c r="X489" s="209"/>
      <c r="Y489" s="209"/>
      <c r="Z489" s="209"/>
    </row>
    <row r="490" spans="1:26" ht="18.75" customHeight="1">
      <c r="A490" s="210" t="str">
        <f ca="1">IFERROR(__xludf.DUMMYFUNCTION("""COMPUTED_VALUE"""),"Gurupi")</f>
        <v>Gurupi</v>
      </c>
      <c r="B490" s="210" t="str">
        <f ca="1">IFERROR(__xludf.DUMMYFUNCTION("""COMPUTED_VALUE"""),"Alvorada")</f>
        <v>Alvorada</v>
      </c>
      <c r="C490" s="211" t="str">
        <f ca="1">IFERROR(__xludf.DUMMYFUNCTION("""COMPUTED_VALUE"""),"A.P.A.DOS EXCEP. DE ALVORADA-APAE")</f>
        <v>A.P.A.DOS EXCEP. DE ALVORADA-APAE</v>
      </c>
      <c r="D490" s="212" t="str">
        <f ca="1">IFERROR(__xludf.DUMMYFUNCTION("""COMPUTED_VALUE"""),"02201735000109")</f>
        <v>02201735000109</v>
      </c>
      <c r="E490" s="212" t="str">
        <f ca="1">IFERROR(__xludf.DUMMYFUNCTION("""COMPUTED_VALUE"""),"001")</f>
        <v>001</v>
      </c>
      <c r="F490" s="212" t="str">
        <f ca="1">IFERROR(__xludf.DUMMYFUNCTION("""COMPUTED_VALUE"""),"1303")</f>
        <v>1303</v>
      </c>
      <c r="G490" s="213" t="str">
        <f ca="1">IFERROR(__xludf.DUMMYFUNCTION("""COMPUTED_VALUE"""),"101826")</f>
        <v>101826</v>
      </c>
      <c r="H490" s="211" t="str">
        <f ca="1">IFERROR(__xludf.DUMMYFUNCTION("""COMPUTED_VALUE"""),"PRÉ-ESCOLA")</f>
        <v>PRÉ-ESCOLA</v>
      </c>
      <c r="I490" s="214">
        <f ca="1">IFERROR(__xludf.DUMMYFUNCTION("""COMPUTED_VALUE"""),201.6)</f>
        <v>201.6</v>
      </c>
      <c r="J490" s="209"/>
      <c r="K490" s="209"/>
      <c r="L490" s="209"/>
      <c r="M490" s="209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9"/>
      <c r="Y490" s="209"/>
      <c r="Z490" s="209"/>
    </row>
    <row r="491" spans="1:26" ht="18.75" customHeight="1">
      <c r="A491" s="210" t="str">
        <f ca="1">IFERROR(__xludf.DUMMYFUNCTION("""COMPUTED_VALUE"""),"Gurupi")</f>
        <v>Gurupi</v>
      </c>
      <c r="B491" s="210" t="str">
        <f ca="1">IFERROR(__xludf.DUMMYFUNCTION("""COMPUTED_VALUE"""),"Alvorada")</f>
        <v>Alvorada</v>
      </c>
      <c r="C491" s="211" t="str">
        <f ca="1">IFERROR(__xludf.DUMMYFUNCTION("""COMPUTED_VALUE"""),"A.P.A.DOS EXCEP. DE ALVORADA-APAE")</f>
        <v>A.P.A.DOS EXCEP. DE ALVORADA-APAE</v>
      </c>
      <c r="D491" s="212" t="str">
        <f ca="1">IFERROR(__xludf.DUMMYFUNCTION("""COMPUTED_VALUE"""),"02201735000109")</f>
        <v>02201735000109</v>
      </c>
      <c r="E491" s="212" t="str">
        <f ca="1">IFERROR(__xludf.DUMMYFUNCTION("""COMPUTED_VALUE"""),"001")</f>
        <v>001</v>
      </c>
      <c r="F491" s="212" t="str">
        <f ca="1">IFERROR(__xludf.DUMMYFUNCTION("""COMPUTED_VALUE"""),"1303")</f>
        <v>1303</v>
      </c>
      <c r="G491" s="213" t="str">
        <f ca="1">IFERROR(__xludf.DUMMYFUNCTION("""COMPUTED_VALUE"""),"101826")</f>
        <v>101826</v>
      </c>
      <c r="H491" s="211" t="str">
        <f ca="1">IFERROR(__xludf.DUMMYFUNCTION("""COMPUTED_VALUE"""),"ENS FUND PARCIAL")</f>
        <v>ENS FUND PARCIAL</v>
      </c>
      <c r="I491" s="214">
        <f ca="1">IFERROR(__xludf.DUMMYFUNCTION("""COMPUTED_VALUE"""),60)</f>
        <v>60</v>
      </c>
      <c r="J491" s="209"/>
      <c r="K491" s="209"/>
      <c r="L491" s="209"/>
      <c r="M491" s="209"/>
      <c r="N491" s="209"/>
      <c r="O491" s="209"/>
      <c r="P491" s="209"/>
      <c r="Q491" s="209"/>
      <c r="R491" s="209"/>
      <c r="S491" s="209"/>
      <c r="T491" s="209"/>
      <c r="U491" s="209"/>
      <c r="V491" s="209"/>
      <c r="W491" s="209"/>
      <c r="X491" s="209"/>
      <c r="Y491" s="209"/>
      <c r="Z491" s="209"/>
    </row>
    <row r="492" spans="1:26" ht="18.75" customHeight="1">
      <c r="A492" s="210" t="str">
        <f ca="1">IFERROR(__xludf.DUMMYFUNCTION("""COMPUTED_VALUE"""),"Gurupi")</f>
        <v>Gurupi</v>
      </c>
      <c r="B492" s="210" t="str">
        <f ca="1">IFERROR(__xludf.DUMMYFUNCTION("""COMPUTED_VALUE"""),"Alvorada")</f>
        <v>Alvorada</v>
      </c>
      <c r="C492" s="211" t="str">
        <f ca="1">IFERROR(__xludf.DUMMYFUNCTION("""COMPUTED_VALUE"""),"A.P.A.DOS EXCEP. DE ALVORADA-APAE")</f>
        <v>A.P.A.DOS EXCEP. DE ALVORADA-APAE</v>
      </c>
      <c r="D492" s="212" t="str">
        <f ca="1">IFERROR(__xludf.DUMMYFUNCTION("""COMPUTED_VALUE"""),"02201735000109")</f>
        <v>02201735000109</v>
      </c>
      <c r="E492" s="212" t="str">
        <f ca="1">IFERROR(__xludf.DUMMYFUNCTION("""COMPUTED_VALUE"""),"001")</f>
        <v>001</v>
      </c>
      <c r="F492" s="212" t="str">
        <f ca="1">IFERROR(__xludf.DUMMYFUNCTION("""COMPUTED_VALUE"""),"1303")</f>
        <v>1303</v>
      </c>
      <c r="G492" s="213" t="str">
        <f ca="1">IFERROR(__xludf.DUMMYFUNCTION("""COMPUTED_VALUE"""),"101826")</f>
        <v>101826</v>
      </c>
      <c r="H492" s="211" t="str">
        <f ca="1">IFERROR(__xludf.DUMMYFUNCTION("""COMPUTED_VALUE"""),"AEE")</f>
        <v>AEE</v>
      </c>
      <c r="I492" s="214">
        <f ca="1">IFERROR(__xludf.DUMMYFUNCTION("""COMPUTED_VALUE"""),353.599999999999)</f>
        <v>353.599999999999</v>
      </c>
      <c r="J492" s="209"/>
      <c r="K492" s="209"/>
      <c r="L492" s="209"/>
      <c r="M492" s="209"/>
      <c r="N492" s="209"/>
      <c r="O492" s="209"/>
      <c r="P492" s="209"/>
      <c r="Q492" s="209"/>
      <c r="R492" s="209"/>
      <c r="S492" s="209"/>
      <c r="T492" s="209"/>
      <c r="U492" s="209"/>
      <c r="V492" s="209"/>
      <c r="W492" s="209"/>
      <c r="X492" s="209"/>
      <c r="Y492" s="209"/>
      <c r="Z492" s="209"/>
    </row>
    <row r="493" spans="1:26" ht="18.75" customHeight="1">
      <c r="A493" s="210" t="str">
        <f ca="1">IFERROR(__xludf.DUMMYFUNCTION("""COMPUTED_VALUE"""),"Gurupi")</f>
        <v>Gurupi</v>
      </c>
      <c r="B493" s="210" t="str">
        <f ca="1">IFERROR(__xludf.DUMMYFUNCTION("""COMPUTED_VALUE"""),"Alvorada")</f>
        <v>Alvorada</v>
      </c>
      <c r="C493" s="211" t="str">
        <f ca="1">IFERROR(__xludf.DUMMYFUNCTION("""COMPUTED_VALUE"""),"A.P.A.DOS EXCEP. DE ALVORADA-APAE")</f>
        <v>A.P.A.DOS EXCEP. DE ALVORADA-APAE</v>
      </c>
      <c r="D493" s="212" t="str">
        <f ca="1">IFERROR(__xludf.DUMMYFUNCTION("""COMPUTED_VALUE"""),"02201735000109")</f>
        <v>02201735000109</v>
      </c>
      <c r="E493" s="212" t="str">
        <f ca="1">IFERROR(__xludf.DUMMYFUNCTION("""COMPUTED_VALUE"""),"001")</f>
        <v>001</v>
      </c>
      <c r="F493" s="212" t="str">
        <f ca="1">IFERROR(__xludf.DUMMYFUNCTION("""COMPUTED_VALUE"""),"1303")</f>
        <v>1303</v>
      </c>
      <c r="G493" s="213" t="str">
        <f ca="1">IFERROR(__xludf.DUMMYFUNCTION("""COMPUTED_VALUE"""),"101826")</f>
        <v>101826</v>
      </c>
      <c r="H493" s="211" t="str">
        <f ca="1">IFERROR(__xludf.DUMMYFUNCTION("""COMPUTED_VALUE"""),"EJA")</f>
        <v>EJA</v>
      </c>
      <c r="I493" s="214">
        <f ca="1">IFERROR(__xludf.DUMMYFUNCTION("""COMPUTED_VALUE"""),590.4)</f>
        <v>590.4</v>
      </c>
      <c r="J493" s="209"/>
      <c r="K493" s="209"/>
      <c r="L493" s="209"/>
      <c r="M493" s="209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9"/>
      <c r="Y493" s="209"/>
      <c r="Z493" s="209"/>
    </row>
    <row r="494" spans="1:26" ht="18.75" customHeight="1">
      <c r="A494" s="210" t="str">
        <f ca="1">IFERROR(__xludf.DUMMYFUNCTION("""COMPUTED_VALUE"""),"Gurupi")</f>
        <v>Gurupi</v>
      </c>
      <c r="B494" s="210" t="str">
        <f ca="1">IFERROR(__xludf.DUMMYFUNCTION("""COMPUTED_VALUE"""),"Araguacu")</f>
        <v>Araguacu</v>
      </c>
      <c r="C494" s="211" t="str">
        <f ca="1">IFERROR(__xludf.DUMMYFUNCTION("""COMPUTED_VALUE"""),"ASS. APOIO ESC. EST. JOAO TAVARES MARTINS")</f>
        <v>ASS. APOIO ESC. EST. JOAO TAVARES MARTINS</v>
      </c>
      <c r="D494" s="212" t="str">
        <f ca="1">IFERROR(__xludf.DUMMYFUNCTION("""COMPUTED_VALUE"""),"01133707000139")</f>
        <v>01133707000139</v>
      </c>
      <c r="E494" s="212" t="str">
        <f ca="1">IFERROR(__xludf.DUMMYFUNCTION("""COMPUTED_VALUE"""),"001")</f>
        <v>001</v>
      </c>
      <c r="F494" s="212" t="str">
        <f ca="1">IFERROR(__xludf.DUMMYFUNCTION("""COMPUTED_VALUE"""),"1304")</f>
        <v>1304</v>
      </c>
      <c r="G494" s="213" t="str">
        <f ca="1">IFERROR(__xludf.DUMMYFUNCTION("""COMPUTED_VALUE"""),"112542")</f>
        <v>112542</v>
      </c>
      <c r="H494" s="211" t="str">
        <f ca="1">IFERROR(__xludf.DUMMYFUNCTION("""COMPUTED_VALUE"""),"ENSINO MEDIO PARCIAL")</f>
        <v>ENSINO MEDIO PARCIAL</v>
      </c>
      <c r="I494" s="214">
        <f ca="1">IFERROR(__xludf.DUMMYFUNCTION("""COMPUTED_VALUE"""),2760)</f>
        <v>2760</v>
      </c>
      <c r="J494" s="209"/>
      <c r="K494" s="209"/>
      <c r="L494" s="209"/>
      <c r="M494" s="209"/>
      <c r="N494" s="209"/>
      <c r="O494" s="209"/>
      <c r="P494" s="209"/>
      <c r="Q494" s="209"/>
      <c r="R494" s="209"/>
      <c r="S494" s="209"/>
      <c r="T494" s="209"/>
      <c r="U494" s="209"/>
      <c r="V494" s="209"/>
      <c r="W494" s="209"/>
      <c r="X494" s="209"/>
      <c r="Y494" s="209"/>
      <c r="Z494" s="209"/>
    </row>
    <row r="495" spans="1:26" ht="18.75" customHeight="1">
      <c r="A495" s="210" t="str">
        <f ca="1">IFERROR(__xludf.DUMMYFUNCTION("""COMPUTED_VALUE"""),"Gurupi")</f>
        <v>Gurupi</v>
      </c>
      <c r="B495" s="210" t="str">
        <f ca="1">IFERROR(__xludf.DUMMYFUNCTION("""COMPUTED_VALUE"""),"Araguacu")</f>
        <v>Araguacu</v>
      </c>
      <c r="C495" s="211" t="str">
        <f ca="1">IFERROR(__xludf.DUMMYFUNCTION("""COMPUTED_VALUE"""),"ASS. APOIO ESC. EST. SALVADOR CAETANO")</f>
        <v>ASS. APOIO ESC. EST. SALVADOR CAETANO</v>
      </c>
      <c r="D495" s="212" t="str">
        <f ca="1">IFERROR(__xludf.DUMMYFUNCTION("""COMPUTED_VALUE"""),"01341484000103")</f>
        <v>01341484000103</v>
      </c>
      <c r="E495" s="212" t="str">
        <f ca="1">IFERROR(__xludf.DUMMYFUNCTION("""COMPUTED_VALUE"""),"001")</f>
        <v>001</v>
      </c>
      <c r="F495" s="212" t="str">
        <f ca="1">IFERROR(__xludf.DUMMYFUNCTION("""COMPUTED_VALUE"""),"1304")</f>
        <v>1304</v>
      </c>
      <c r="G495" s="213" t="str">
        <f ca="1">IFERROR(__xludf.DUMMYFUNCTION("""COMPUTED_VALUE"""),"0105589")</f>
        <v>0105589</v>
      </c>
      <c r="H495" s="211" t="str">
        <f ca="1">IFERROR(__xludf.DUMMYFUNCTION("""COMPUTED_VALUE"""),"ENS FUND PARCIAL")</f>
        <v>ENS FUND PARCIAL</v>
      </c>
      <c r="I495" s="214">
        <f ca="1">IFERROR(__xludf.DUMMYFUNCTION("""COMPUTED_VALUE"""),2300)</f>
        <v>2300</v>
      </c>
      <c r="J495" s="209"/>
      <c r="K495" s="209"/>
      <c r="L495" s="209"/>
      <c r="M495" s="209"/>
      <c r="N495" s="209"/>
      <c r="O495" s="209"/>
      <c r="P495" s="209"/>
      <c r="Q495" s="209"/>
      <c r="R495" s="209"/>
      <c r="S495" s="209"/>
      <c r="T495" s="209"/>
      <c r="U495" s="209"/>
      <c r="V495" s="209"/>
      <c r="W495" s="209"/>
      <c r="X495" s="209"/>
      <c r="Y495" s="209"/>
      <c r="Z495" s="209"/>
    </row>
    <row r="496" spans="1:26" ht="18.75" customHeight="1">
      <c r="A496" s="210" t="str">
        <f ca="1">IFERROR(__xludf.DUMMYFUNCTION("""COMPUTED_VALUE"""),"Gurupi")</f>
        <v>Gurupi</v>
      </c>
      <c r="B496" s="210" t="str">
        <f ca="1">IFERROR(__xludf.DUMMYFUNCTION("""COMPUTED_VALUE"""),"Araguacu")</f>
        <v>Araguacu</v>
      </c>
      <c r="C496" s="211" t="str">
        <f ca="1">IFERROR(__xludf.DUMMYFUNCTION("""COMPUTED_VALUE"""),"ASS. APOIO ESC. EST. SALVADOR CAETANO")</f>
        <v>ASS. APOIO ESC. EST. SALVADOR CAETANO</v>
      </c>
      <c r="D496" s="212" t="str">
        <f ca="1">IFERROR(__xludf.DUMMYFUNCTION("""COMPUTED_VALUE"""),"01341484000103")</f>
        <v>01341484000103</v>
      </c>
      <c r="E496" s="212" t="str">
        <f ca="1">IFERROR(__xludf.DUMMYFUNCTION("""COMPUTED_VALUE"""),"001")</f>
        <v>001</v>
      </c>
      <c r="F496" s="212" t="str">
        <f ca="1">IFERROR(__xludf.DUMMYFUNCTION("""COMPUTED_VALUE"""),"1304")</f>
        <v>1304</v>
      </c>
      <c r="G496" s="213" t="str">
        <f ca="1">IFERROR(__xludf.DUMMYFUNCTION("""COMPUTED_VALUE"""),"0105589")</f>
        <v>0105589</v>
      </c>
      <c r="H496" s="211" t="str">
        <f ca="1">IFERROR(__xludf.DUMMYFUNCTION("""COMPUTED_VALUE"""),"AEE")</f>
        <v>AEE</v>
      </c>
      <c r="I496" s="214">
        <f ca="1">IFERROR(__xludf.DUMMYFUNCTION("""COMPUTED_VALUE"""),353.599999999999)</f>
        <v>353.599999999999</v>
      </c>
      <c r="J496" s="209"/>
      <c r="K496" s="209"/>
      <c r="L496" s="209"/>
      <c r="M496" s="209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9"/>
      <c r="Y496" s="209"/>
      <c r="Z496" s="209"/>
    </row>
    <row r="497" spans="1:26" ht="18.75" customHeight="1">
      <c r="A497" s="210" t="str">
        <f ca="1">IFERROR(__xludf.DUMMYFUNCTION("""COMPUTED_VALUE"""),"Gurupi")</f>
        <v>Gurupi</v>
      </c>
      <c r="B497" s="210" t="str">
        <f ca="1">IFERROR(__xludf.DUMMYFUNCTION("""COMPUTED_VALUE"""),"Araguacu")</f>
        <v>Araguacu</v>
      </c>
      <c r="C497" s="211" t="str">
        <f ca="1">IFERROR(__xludf.DUMMYFUNCTION("""COMPUTED_VALUE"""),"A..A. ESC. ESPECIAL  ABELINHA EM BUSCA DO SABER")</f>
        <v>A..A. ESC. ESPECIAL  ABELINHA EM BUSCA DO SABER</v>
      </c>
      <c r="D497" s="212" t="str">
        <f ca="1">IFERROR(__xludf.DUMMYFUNCTION("""COMPUTED_VALUE"""),"07924466000122")</f>
        <v>07924466000122</v>
      </c>
      <c r="E497" s="212" t="str">
        <f ca="1">IFERROR(__xludf.DUMMYFUNCTION("""COMPUTED_VALUE"""),"001")</f>
        <v>001</v>
      </c>
      <c r="F497" s="212" t="str">
        <f ca="1">IFERROR(__xludf.DUMMYFUNCTION("""COMPUTED_VALUE"""),"1304")</f>
        <v>1304</v>
      </c>
      <c r="G497" s="213" t="str">
        <f ca="1">IFERROR(__xludf.DUMMYFUNCTION("""COMPUTED_VALUE"""),"136417")</f>
        <v>136417</v>
      </c>
      <c r="H497" s="211" t="str">
        <f ca="1">IFERROR(__xludf.DUMMYFUNCTION("""COMPUTED_VALUE"""),"PRÉ-ESCOLA")</f>
        <v>PRÉ-ESCOLA</v>
      </c>
      <c r="I497" s="214">
        <f ca="1">IFERROR(__xludf.DUMMYFUNCTION("""COMPUTED_VALUE"""),57.6)</f>
        <v>57.6</v>
      </c>
      <c r="J497" s="209"/>
      <c r="K497" s="209"/>
      <c r="L497" s="209"/>
      <c r="M497" s="209"/>
      <c r="N497" s="209"/>
      <c r="O497" s="209"/>
      <c r="P497" s="209"/>
      <c r="Q497" s="209"/>
      <c r="R497" s="209"/>
      <c r="S497" s="209"/>
      <c r="T497" s="209"/>
      <c r="U497" s="209"/>
      <c r="V497" s="209"/>
      <c r="W497" s="209"/>
      <c r="X497" s="209"/>
      <c r="Y497" s="209"/>
      <c r="Z497" s="209"/>
    </row>
    <row r="498" spans="1:26" ht="18.75" customHeight="1">
      <c r="A498" s="210" t="str">
        <f ca="1">IFERROR(__xludf.DUMMYFUNCTION("""COMPUTED_VALUE"""),"Gurupi")</f>
        <v>Gurupi</v>
      </c>
      <c r="B498" s="210" t="str">
        <f ca="1">IFERROR(__xludf.DUMMYFUNCTION("""COMPUTED_VALUE"""),"Araguacu")</f>
        <v>Araguacu</v>
      </c>
      <c r="C498" s="211" t="str">
        <f ca="1">IFERROR(__xludf.DUMMYFUNCTION("""COMPUTED_VALUE"""),"A..A. ESC. ESPECIAL  ABELINHA EM BUSCA DO SABER")</f>
        <v>A..A. ESC. ESPECIAL  ABELINHA EM BUSCA DO SABER</v>
      </c>
      <c r="D498" s="212" t="str">
        <f ca="1">IFERROR(__xludf.DUMMYFUNCTION("""COMPUTED_VALUE"""),"07924466000122")</f>
        <v>07924466000122</v>
      </c>
      <c r="E498" s="212" t="str">
        <f ca="1">IFERROR(__xludf.DUMMYFUNCTION("""COMPUTED_VALUE"""),"001")</f>
        <v>001</v>
      </c>
      <c r="F498" s="212" t="str">
        <f ca="1">IFERROR(__xludf.DUMMYFUNCTION("""COMPUTED_VALUE"""),"1304")</f>
        <v>1304</v>
      </c>
      <c r="G498" s="213" t="str">
        <f ca="1">IFERROR(__xludf.DUMMYFUNCTION("""COMPUTED_VALUE"""),"136417")</f>
        <v>136417</v>
      </c>
      <c r="H498" s="211" t="str">
        <f ca="1">IFERROR(__xludf.DUMMYFUNCTION("""COMPUTED_VALUE"""),"ENS FUND PARCIAL")</f>
        <v>ENS FUND PARCIAL</v>
      </c>
      <c r="I498" s="214">
        <f ca="1">IFERROR(__xludf.DUMMYFUNCTION("""COMPUTED_VALUE"""),60)</f>
        <v>60</v>
      </c>
      <c r="J498" s="209"/>
      <c r="K498" s="209"/>
      <c r="L498" s="209"/>
      <c r="M498" s="209"/>
      <c r="N498" s="209"/>
      <c r="O498" s="209"/>
      <c r="P498" s="209"/>
      <c r="Q498" s="209"/>
      <c r="R498" s="209"/>
      <c r="S498" s="209"/>
      <c r="T498" s="209"/>
      <c r="U498" s="209"/>
      <c r="V498" s="209"/>
      <c r="W498" s="209"/>
      <c r="X498" s="209"/>
      <c r="Y498" s="209"/>
      <c r="Z498" s="209"/>
    </row>
    <row r="499" spans="1:26" ht="18.75" customHeight="1">
      <c r="A499" s="210" t="str">
        <f ca="1">IFERROR(__xludf.DUMMYFUNCTION("""COMPUTED_VALUE"""),"Gurupi")</f>
        <v>Gurupi</v>
      </c>
      <c r="B499" s="210" t="str">
        <f ca="1">IFERROR(__xludf.DUMMYFUNCTION("""COMPUTED_VALUE"""),"Araguacu")</f>
        <v>Araguacu</v>
      </c>
      <c r="C499" s="211" t="str">
        <f ca="1">IFERROR(__xludf.DUMMYFUNCTION("""COMPUTED_VALUE"""),"A..A. ESC. ESPECIAL  ABELINHA EM BUSCA DO SABER")</f>
        <v>A..A. ESC. ESPECIAL  ABELINHA EM BUSCA DO SABER</v>
      </c>
      <c r="D499" s="212" t="str">
        <f ca="1">IFERROR(__xludf.DUMMYFUNCTION("""COMPUTED_VALUE"""),"07924466000122")</f>
        <v>07924466000122</v>
      </c>
      <c r="E499" s="212" t="str">
        <f ca="1">IFERROR(__xludf.DUMMYFUNCTION("""COMPUTED_VALUE"""),"001")</f>
        <v>001</v>
      </c>
      <c r="F499" s="212" t="str">
        <f ca="1">IFERROR(__xludf.DUMMYFUNCTION("""COMPUTED_VALUE"""),"1304")</f>
        <v>1304</v>
      </c>
      <c r="G499" s="213" t="str">
        <f ca="1">IFERROR(__xludf.DUMMYFUNCTION("""COMPUTED_VALUE"""),"136417")</f>
        <v>136417</v>
      </c>
      <c r="H499" s="211" t="str">
        <f ca="1">IFERROR(__xludf.DUMMYFUNCTION("""COMPUTED_VALUE"""),"AEE")</f>
        <v>AEE</v>
      </c>
      <c r="I499" s="214">
        <f ca="1">IFERROR(__xludf.DUMMYFUNCTION("""COMPUTED_VALUE"""),231.2)</f>
        <v>231.2</v>
      </c>
      <c r="J499" s="209"/>
      <c r="K499" s="209"/>
      <c r="L499" s="209"/>
      <c r="M499" s="209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9"/>
      <c r="Y499" s="209"/>
      <c r="Z499" s="209"/>
    </row>
    <row r="500" spans="1:26" ht="18.75" customHeight="1">
      <c r="A500" s="210" t="str">
        <f ca="1">IFERROR(__xludf.DUMMYFUNCTION("""COMPUTED_VALUE"""),"Gurupi")</f>
        <v>Gurupi</v>
      </c>
      <c r="B500" s="210" t="str">
        <f ca="1">IFERROR(__xludf.DUMMYFUNCTION("""COMPUTED_VALUE"""),"Araguacu")</f>
        <v>Araguacu</v>
      </c>
      <c r="C500" s="211" t="str">
        <f ca="1">IFERROR(__xludf.DUMMYFUNCTION("""COMPUTED_VALUE"""),"A..A. ESC. ESPECIAL  ABELINHA EM BUSCA DO SABER")</f>
        <v>A..A. ESC. ESPECIAL  ABELINHA EM BUSCA DO SABER</v>
      </c>
      <c r="D500" s="212" t="str">
        <f ca="1">IFERROR(__xludf.DUMMYFUNCTION("""COMPUTED_VALUE"""),"07924466000122")</f>
        <v>07924466000122</v>
      </c>
      <c r="E500" s="212" t="str">
        <f ca="1">IFERROR(__xludf.DUMMYFUNCTION("""COMPUTED_VALUE"""),"001")</f>
        <v>001</v>
      </c>
      <c r="F500" s="212" t="str">
        <f ca="1">IFERROR(__xludf.DUMMYFUNCTION("""COMPUTED_VALUE"""),"1304")</f>
        <v>1304</v>
      </c>
      <c r="G500" s="213" t="str">
        <f ca="1">IFERROR(__xludf.DUMMYFUNCTION("""COMPUTED_VALUE"""),"136417")</f>
        <v>136417</v>
      </c>
      <c r="H500" s="211" t="str">
        <f ca="1">IFERROR(__xludf.DUMMYFUNCTION("""COMPUTED_VALUE"""),"EJA")</f>
        <v>EJA</v>
      </c>
      <c r="I500" s="214">
        <f ca="1">IFERROR(__xludf.DUMMYFUNCTION("""COMPUTED_VALUE"""),582.199999999999)</f>
        <v>582.19999999999902</v>
      </c>
      <c r="J500" s="209"/>
      <c r="K500" s="209"/>
      <c r="L500" s="209"/>
      <c r="M500" s="209"/>
      <c r="N500" s="209"/>
      <c r="O500" s="209"/>
      <c r="P500" s="209"/>
      <c r="Q500" s="209"/>
      <c r="R500" s="209"/>
      <c r="S500" s="209"/>
      <c r="T500" s="209"/>
      <c r="U500" s="209"/>
      <c r="V500" s="209"/>
      <c r="W500" s="209"/>
      <c r="X500" s="209"/>
      <c r="Y500" s="209"/>
      <c r="Z500" s="209"/>
    </row>
    <row r="501" spans="1:26" ht="18.75" customHeight="1">
      <c r="A501" s="210" t="str">
        <f ca="1">IFERROR(__xludf.DUMMYFUNCTION("""COMPUTED_VALUE"""),"Gurupi")</f>
        <v>Gurupi</v>
      </c>
      <c r="B501" s="210" t="str">
        <f ca="1">IFERROR(__xludf.DUMMYFUNCTION("""COMPUTED_VALUE"""),"Cariri do Tocantins")</f>
        <v>Cariri do Tocantins</v>
      </c>
      <c r="C501" s="211" t="str">
        <f ca="1">IFERROR(__xludf.DUMMYFUNCTION("""COMPUTED_VALUE"""),"ASS. APOIO ESCOLA ESTADUAL TARSO DUTRA")</f>
        <v>ASS. APOIO ESCOLA ESTADUAL TARSO DUTRA</v>
      </c>
      <c r="D501" s="212" t="str">
        <f ca="1">IFERROR(__xludf.DUMMYFUNCTION("""COMPUTED_VALUE"""),"01239275000145")</f>
        <v>01239275000145</v>
      </c>
      <c r="E501" s="212" t="str">
        <f ca="1">IFERROR(__xludf.DUMMYFUNCTION("""COMPUTED_VALUE"""),"001")</f>
        <v>001</v>
      </c>
      <c r="F501" s="212" t="str">
        <f ca="1">IFERROR(__xludf.DUMMYFUNCTION("""COMPUTED_VALUE"""),"0794")</f>
        <v>0794</v>
      </c>
      <c r="G501" s="213" t="str">
        <f ca="1">IFERROR(__xludf.DUMMYFUNCTION("""COMPUTED_VALUE"""),"245496")</f>
        <v>245496</v>
      </c>
      <c r="H501" s="211" t="str">
        <f ca="1">IFERROR(__xludf.DUMMYFUNCTION("""COMPUTED_VALUE"""),"ENS FUND PARCIAL")</f>
        <v>ENS FUND PARCIAL</v>
      </c>
      <c r="I501" s="214">
        <f ca="1">IFERROR(__xludf.DUMMYFUNCTION("""COMPUTED_VALUE"""),900)</f>
        <v>900</v>
      </c>
      <c r="J501" s="209"/>
      <c r="K501" s="209"/>
      <c r="L501" s="209"/>
      <c r="M501" s="209"/>
      <c r="N501" s="209"/>
      <c r="O501" s="209"/>
      <c r="P501" s="209"/>
      <c r="Q501" s="209"/>
      <c r="R501" s="209"/>
      <c r="S501" s="209"/>
      <c r="T501" s="209"/>
      <c r="U501" s="209"/>
      <c r="V501" s="209"/>
      <c r="W501" s="209"/>
      <c r="X501" s="209"/>
      <c r="Y501" s="209"/>
      <c r="Z501" s="209"/>
    </row>
    <row r="502" spans="1:26" ht="18.75" customHeight="1">
      <c r="A502" s="210" t="str">
        <f ca="1">IFERROR(__xludf.DUMMYFUNCTION("""COMPUTED_VALUE"""),"Gurupi")</f>
        <v>Gurupi</v>
      </c>
      <c r="B502" s="210" t="str">
        <f ca="1">IFERROR(__xludf.DUMMYFUNCTION("""COMPUTED_VALUE"""),"Cariri do Tocantins")</f>
        <v>Cariri do Tocantins</v>
      </c>
      <c r="C502" s="211" t="str">
        <f ca="1">IFERROR(__xludf.DUMMYFUNCTION("""COMPUTED_VALUE"""),"ASS. APOIO ESCOLA ESTADUAL TARSO DUTRA")</f>
        <v>ASS. APOIO ESCOLA ESTADUAL TARSO DUTRA</v>
      </c>
      <c r="D502" s="212" t="str">
        <f ca="1">IFERROR(__xludf.DUMMYFUNCTION("""COMPUTED_VALUE"""),"01239275000145")</f>
        <v>01239275000145</v>
      </c>
      <c r="E502" s="212" t="str">
        <f ca="1">IFERROR(__xludf.DUMMYFUNCTION("""COMPUTED_VALUE"""),"001")</f>
        <v>001</v>
      </c>
      <c r="F502" s="212" t="str">
        <f ca="1">IFERROR(__xludf.DUMMYFUNCTION("""COMPUTED_VALUE"""),"0794")</f>
        <v>0794</v>
      </c>
      <c r="G502" s="213" t="str">
        <f ca="1">IFERROR(__xludf.DUMMYFUNCTION("""COMPUTED_VALUE"""),"245496")</f>
        <v>245496</v>
      </c>
      <c r="H502" s="211" t="str">
        <f ca="1">IFERROR(__xludf.DUMMYFUNCTION("""COMPUTED_VALUE"""),"ENSINO MEDIO PARCIAL")</f>
        <v>ENSINO MEDIO PARCIAL</v>
      </c>
      <c r="I502" s="214">
        <f ca="1">IFERROR(__xludf.DUMMYFUNCTION("""COMPUTED_VALUE"""),1520)</f>
        <v>1520</v>
      </c>
      <c r="J502" s="209"/>
      <c r="K502" s="209"/>
      <c r="L502" s="209"/>
      <c r="M502" s="209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9"/>
      <c r="Y502" s="209"/>
      <c r="Z502" s="209"/>
    </row>
    <row r="503" spans="1:26" ht="18.75" customHeight="1">
      <c r="A503" s="210" t="str">
        <f ca="1">IFERROR(__xludf.DUMMYFUNCTION("""COMPUTED_VALUE"""),"Gurupi")</f>
        <v>Gurupi</v>
      </c>
      <c r="B503" s="210" t="str">
        <f ca="1">IFERROR(__xludf.DUMMYFUNCTION("""COMPUTED_VALUE"""),"Cariri do Tocantins")</f>
        <v>Cariri do Tocantins</v>
      </c>
      <c r="C503" s="211" t="str">
        <f ca="1">IFERROR(__xludf.DUMMYFUNCTION("""COMPUTED_VALUE"""),"ASS. APOIO ESCOLA ESTADUAL TARSO DUTRA")</f>
        <v>ASS. APOIO ESCOLA ESTADUAL TARSO DUTRA</v>
      </c>
      <c r="D503" s="212" t="str">
        <f ca="1">IFERROR(__xludf.DUMMYFUNCTION("""COMPUTED_VALUE"""),"01239275000145")</f>
        <v>01239275000145</v>
      </c>
      <c r="E503" s="212" t="str">
        <f ca="1">IFERROR(__xludf.DUMMYFUNCTION("""COMPUTED_VALUE"""),"001")</f>
        <v>001</v>
      </c>
      <c r="F503" s="212" t="str">
        <f ca="1">IFERROR(__xludf.DUMMYFUNCTION("""COMPUTED_VALUE"""),"0794")</f>
        <v>0794</v>
      </c>
      <c r="G503" s="213" t="str">
        <f ca="1">IFERROR(__xludf.DUMMYFUNCTION("""COMPUTED_VALUE"""),"245496")</f>
        <v>245496</v>
      </c>
      <c r="H503" s="211" t="str">
        <f ca="1">IFERROR(__xludf.DUMMYFUNCTION("""COMPUTED_VALUE"""),"EJA")</f>
        <v>EJA</v>
      </c>
      <c r="I503" s="214">
        <f ca="1">IFERROR(__xludf.DUMMYFUNCTION("""COMPUTED_VALUE"""),122.999999999999)</f>
        <v>122.99999999999901</v>
      </c>
      <c r="J503" s="209"/>
      <c r="K503" s="209"/>
      <c r="L503" s="209"/>
      <c r="M503" s="209"/>
      <c r="N503" s="209"/>
      <c r="O503" s="209"/>
      <c r="P503" s="209"/>
      <c r="Q503" s="209"/>
      <c r="R503" s="209"/>
      <c r="S503" s="209"/>
      <c r="T503" s="209"/>
      <c r="U503" s="209"/>
      <c r="V503" s="209"/>
      <c r="W503" s="209"/>
      <c r="X503" s="209"/>
      <c r="Y503" s="209"/>
      <c r="Z503" s="209"/>
    </row>
    <row r="504" spans="1:26" ht="18.75" customHeight="1">
      <c r="A504" s="210" t="str">
        <f ca="1">IFERROR(__xludf.DUMMYFUNCTION("""COMPUTED_VALUE"""),"Gurupi")</f>
        <v>Gurupi</v>
      </c>
      <c r="B504" s="210" t="str">
        <f ca="1">IFERROR(__xludf.DUMMYFUNCTION("""COMPUTED_VALUE"""),"Crixas do Tocantins")</f>
        <v>Crixas do Tocantins</v>
      </c>
      <c r="C504" s="211" t="str">
        <f ca="1">IFERROR(__xludf.DUMMYFUNCTION("""COMPUTED_VALUE"""),"ASSOC. DE AP. DA ESC. EST. OLAVO BILAC")</f>
        <v>ASSOC. DE AP. DA ESC. EST. OLAVO BILAC</v>
      </c>
      <c r="D504" s="212" t="str">
        <f ca="1">IFERROR(__xludf.DUMMYFUNCTION("""COMPUTED_VALUE"""),"01892440000163")</f>
        <v>01892440000163</v>
      </c>
      <c r="E504" s="212" t="str">
        <f ca="1">IFERROR(__xludf.DUMMYFUNCTION("""COMPUTED_VALUE"""),"001")</f>
        <v>001</v>
      </c>
      <c r="F504" s="212" t="str">
        <f ca="1">IFERROR(__xludf.DUMMYFUNCTION("""COMPUTED_VALUE"""),"0794")</f>
        <v>0794</v>
      </c>
      <c r="G504" s="213" t="str">
        <f ca="1">IFERROR(__xludf.DUMMYFUNCTION("""COMPUTED_VALUE"""),"13498")</f>
        <v>13498</v>
      </c>
      <c r="H504" s="211" t="str">
        <f ca="1">IFERROR(__xludf.DUMMYFUNCTION("""COMPUTED_VALUE"""),"ENS FUND PARCIAL")</f>
        <v>ENS FUND PARCIAL</v>
      </c>
      <c r="I504" s="214">
        <f ca="1">IFERROR(__xludf.DUMMYFUNCTION("""COMPUTED_VALUE"""),610)</f>
        <v>610</v>
      </c>
      <c r="J504" s="209"/>
      <c r="K504" s="209"/>
      <c r="L504" s="209"/>
      <c r="M504" s="209"/>
      <c r="N504" s="209"/>
      <c r="O504" s="209"/>
      <c r="P504" s="209"/>
      <c r="Q504" s="209"/>
      <c r="R504" s="209"/>
      <c r="S504" s="209"/>
      <c r="T504" s="209"/>
      <c r="U504" s="209"/>
      <c r="V504" s="209"/>
      <c r="W504" s="209"/>
      <c r="X504" s="209"/>
      <c r="Y504" s="209"/>
      <c r="Z504" s="209"/>
    </row>
    <row r="505" spans="1:26" ht="18.75" customHeight="1">
      <c r="A505" s="210" t="str">
        <f ca="1">IFERROR(__xludf.DUMMYFUNCTION("""COMPUTED_VALUE"""),"Gurupi")</f>
        <v>Gurupi</v>
      </c>
      <c r="B505" s="210" t="str">
        <f ca="1">IFERROR(__xludf.DUMMYFUNCTION("""COMPUTED_VALUE"""),"Crixas do Tocantins")</f>
        <v>Crixas do Tocantins</v>
      </c>
      <c r="C505" s="211" t="str">
        <f ca="1">IFERROR(__xludf.DUMMYFUNCTION("""COMPUTED_VALUE"""),"ASSOC. DE AP. DA ESC. EST. OLAVO BILAC")</f>
        <v>ASSOC. DE AP. DA ESC. EST. OLAVO BILAC</v>
      </c>
      <c r="D505" s="212" t="str">
        <f ca="1">IFERROR(__xludf.DUMMYFUNCTION("""COMPUTED_VALUE"""),"01892440000163")</f>
        <v>01892440000163</v>
      </c>
      <c r="E505" s="212" t="str">
        <f ca="1">IFERROR(__xludf.DUMMYFUNCTION("""COMPUTED_VALUE"""),"001")</f>
        <v>001</v>
      </c>
      <c r="F505" s="212" t="str">
        <f ca="1">IFERROR(__xludf.DUMMYFUNCTION("""COMPUTED_VALUE"""),"0794")</f>
        <v>0794</v>
      </c>
      <c r="G505" s="213" t="str">
        <f ca="1">IFERROR(__xludf.DUMMYFUNCTION("""COMPUTED_VALUE"""),"13498")</f>
        <v>13498</v>
      </c>
      <c r="H505" s="211" t="str">
        <f ca="1">IFERROR(__xludf.DUMMYFUNCTION("""COMPUTED_VALUE"""),"ENSINO MEDIO PARCIAL")</f>
        <v>ENSINO MEDIO PARCIAL</v>
      </c>
      <c r="I505" s="214">
        <f ca="1">IFERROR(__xludf.DUMMYFUNCTION("""COMPUTED_VALUE"""),530)</f>
        <v>530</v>
      </c>
      <c r="J505" s="209"/>
      <c r="K505" s="209"/>
      <c r="L505" s="209"/>
      <c r="M505" s="209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9"/>
      <c r="Y505" s="209"/>
      <c r="Z505" s="209"/>
    </row>
    <row r="506" spans="1:26" ht="18.75" customHeight="1">
      <c r="A506" s="210" t="str">
        <f ca="1">IFERROR(__xludf.DUMMYFUNCTION("""COMPUTED_VALUE"""),"Gurupi")</f>
        <v>Gurupi</v>
      </c>
      <c r="B506" s="210" t="str">
        <f ca="1">IFERROR(__xludf.DUMMYFUNCTION("""COMPUTED_VALUE"""),"Duere")</f>
        <v>Duere</v>
      </c>
      <c r="C506" s="211" t="str">
        <f ca="1">IFERROR(__xludf.DUMMYFUNCTION("""COMPUTED_VALUE"""),"A.P.MESTRES DA ESCOLA EST.ELESBAO LIMA")</f>
        <v>A.P.MESTRES DA ESCOLA EST.ELESBAO LIMA</v>
      </c>
      <c r="D506" s="212" t="str">
        <f ca="1">IFERROR(__xludf.DUMMYFUNCTION("""COMPUTED_VALUE"""),"01865387000101")</f>
        <v>01865387000101</v>
      </c>
      <c r="E506" s="212" t="str">
        <f ca="1">IFERROR(__xludf.DUMMYFUNCTION("""COMPUTED_VALUE"""),"001")</f>
        <v>001</v>
      </c>
      <c r="F506" s="212" t="str">
        <f ca="1">IFERROR(__xludf.DUMMYFUNCTION("""COMPUTED_VALUE"""),"0794")</f>
        <v>0794</v>
      </c>
      <c r="G506" s="213" t="str">
        <f ca="1">IFERROR(__xludf.DUMMYFUNCTION("""COMPUTED_VALUE"""),"6758X")</f>
        <v>6758X</v>
      </c>
      <c r="H506" s="211" t="str">
        <f ca="1">IFERROR(__xludf.DUMMYFUNCTION("""COMPUTED_VALUE"""),"ENS FUND PARCIAL")</f>
        <v>ENS FUND PARCIAL</v>
      </c>
      <c r="I506" s="214">
        <f ca="1">IFERROR(__xludf.DUMMYFUNCTION("""COMPUTED_VALUE"""),2860)</f>
        <v>2860</v>
      </c>
      <c r="J506" s="209"/>
      <c r="K506" s="209"/>
      <c r="L506" s="209"/>
      <c r="M506" s="209"/>
      <c r="N506" s="209"/>
      <c r="O506" s="209"/>
      <c r="P506" s="209"/>
      <c r="Q506" s="209"/>
      <c r="R506" s="209"/>
      <c r="S506" s="209"/>
      <c r="T506" s="209"/>
      <c r="U506" s="209"/>
      <c r="V506" s="209"/>
      <c r="W506" s="209"/>
      <c r="X506" s="209"/>
      <c r="Y506" s="209"/>
      <c r="Z506" s="209"/>
    </row>
    <row r="507" spans="1:26" ht="18.75" customHeight="1">
      <c r="A507" s="210" t="str">
        <f ca="1">IFERROR(__xludf.DUMMYFUNCTION("""COMPUTED_VALUE"""),"Gurupi")</f>
        <v>Gurupi</v>
      </c>
      <c r="B507" s="210" t="str">
        <f ca="1">IFERROR(__xludf.DUMMYFUNCTION("""COMPUTED_VALUE"""),"Duere")</f>
        <v>Duere</v>
      </c>
      <c r="C507" s="211" t="str">
        <f ca="1">IFERROR(__xludf.DUMMYFUNCTION("""COMPUTED_VALUE"""),"A.P.MESTRES DA ESCOLA EST.ELESBAO LIMA")</f>
        <v>A.P.MESTRES DA ESCOLA EST.ELESBAO LIMA</v>
      </c>
      <c r="D507" s="212" t="str">
        <f ca="1">IFERROR(__xludf.DUMMYFUNCTION("""COMPUTED_VALUE"""),"01865387000101")</f>
        <v>01865387000101</v>
      </c>
      <c r="E507" s="212" t="str">
        <f ca="1">IFERROR(__xludf.DUMMYFUNCTION("""COMPUTED_VALUE"""),"001")</f>
        <v>001</v>
      </c>
      <c r="F507" s="212" t="str">
        <f ca="1">IFERROR(__xludf.DUMMYFUNCTION("""COMPUTED_VALUE"""),"0794")</f>
        <v>0794</v>
      </c>
      <c r="G507" s="213" t="str">
        <f ca="1">IFERROR(__xludf.DUMMYFUNCTION("""COMPUTED_VALUE"""),"6758X")</f>
        <v>6758X</v>
      </c>
      <c r="H507" s="211" t="str">
        <f ca="1">IFERROR(__xludf.DUMMYFUNCTION("""COMPUTED_VALUE"""),"AEE")</f>
        <v>AEE</v>
      </c>
      <c r="I507" s="214">
        <f ca="1">IFERROR(__xludf.DUMMYFUNCTION("""COMPUTED_VALUE"""),326.4)</f>
        <v>326.39999999999998</v>
      </c>
      <c r="J507" s="209"/>
      <c r="K507" s="209"/>
      <c r="L507" s="209"/>
      <c r="M507" s="209"/>
      <c r="N507" s="209"/>
      <c r="O507" s="209"/>
      <c r="P507" s="209"/>
      <c r="Q507" s="209"/>
      <c r="R507" s="209"/>
      <c r="S507" s="209"/>
      <c r="T507" s="209"/>
      <c r="U507" s="209"/>
      <c r="V507" s="209"/>
      <c r="W507" s="209"/>
      <c r="X507" s="209"/>
      <c r="Y507" s="209"/>
      <c r="Z507" s="209"/>
    </row>
    <row r="508" spans="1:26" ht="18.75" customHeight="1">
      <c r="A508" s="210" t="str">
        <f ca="1">IFERROR(__xludf.DUMMYFUNCTION("""COMPUTED_VALUE"""),"Gurupi")</f>
        <v>Gurupi</v>
      </c>
      <c r="B508" s="210" t="str">
        <f ca="1">IFERROR(__xludf.DUMMYFUNCTION("""COMPUTED_VALUE"""),"Duere")</f>
        <v>Duere</v>
      </c>
      <c r="C508" s="211" t="str">
        <f ca="1">IFERROR(__xludf.DUMMYFUNCTION("""COMPUTED_VALUE"""),"A.P.MESTRES DA ESCOLA EST.ELESBAO LIMA")</f>
        <v>A.P.MESTRES DA ESCOLA EST.ELESBAO LIMA</v>
      </c>
      <c r="D508" s="212" t="str">
        <f ca="1">IFERROR(__xludf.DUMMYFUNCTION("""COMPUTED_VALUE"""),"01865387000101")</f>
        <v>01865387000101</v>
      </c>
      <c r="E508" s="212" t="str">
        <f ca="1">IFERROR(__xludf.DUMMYFUNCTION("""COMPUTED_VALUE"""),"001")</f>
        <v>001</v>
      </c>
      <c r="F508" s="212" t="str">
        <f ca="1">IFERROR(__xludf.DUMMYFUNCTION("""COMPUTED_VALUE"""),"0794")</f>
        <v>0794</v>
      </c>
      <c r="G508" s="213" t="str">
        <f ca="1">IFERROR(__xludf.DUMMYFUNCTION("""COMPUTED_VALUE"""),"6758X")</f>
        <v>6758X</v>
      </c>
      <c r="H508" s="211" t="str">
        <f ca="1">IFERROR(__xludf.DUMMYFUNCTION("""COMPUTED_VALUE"""),"ENSINO MEDIO PARCIAL")</f>
        <v>ENSINO MEDIO PARCIAL</v>
      </c>
      <c r="I508" s="214">
        <f ca="1">IFERROR(__xludf.DUMMYFUNCTION("""COMPUTED_VALUE"""),1380)</f>
        <v>1380</v>
      </c>
      <c r="J508" s="209"/>
      <c r="K508" s="209"/>
      <c r="L508" s="209"/>
      <c r="M508" s="209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9"/>
      <c r="Y508" s="209"/>
      <c r="Z508" s="209"/>
    </row>
    <row r="509" spans="1:26" ht="18.75" customHeight="1">
      <c r="A509" s="210" t="str">
        <f ca="1">IFERROR(__xludf.DUMMYFUNCTION("""COMPUTED_VALUE"""),"Gurupi")</f>
        <v>Gurupi</v>
      </c>
      <c r="B509" s="210" t="str">
        <f ca="1">IFERROR(__xludf.DUMMYFUNCTION("""COMPUTED_VALUE"""),"Figueiropolis")</f>
        <v>Figueiropolis</v>
      </c>
      <c r="C509" s="211" t="str">
        <f ca="1">IFERROR(__xludf.DUMMYFUNCTION("""COMPUTED_VALUE"""),"A. APOIO COL. EST. ALAIR SENA CONCEICAO")</f>
        <v>A. APOIO COL. EST. ALAIR SENA CONCEICAO</v>
      </c>
      <c r="D509" s="212" t="str">
        <f ca="1">IFERROR(__xludf.DUMMYFUNCTION("""COMPUTED_VALUE"""),"01257080000128")</f>
        <v>01257080000128</v>
      </c>
      <c r="E509" s="212" t="str">
        <f ca="1">IFERROR(__xludf.DUMMYFUNCTION("""COMPUTED_VALUE"""),"001")</f>
        <v>001</v>
      </c>
      <c r="F509" s="212" t="str">
        <f ca="1">IFERROR(__xludf.DUMMYFUNCTION("""COMPUTED_VALUE"""),"3978")</f>
        <v>3978</v>
      </c>
      <c r="G509" s="213" t="str">
        <f ca="1">IFERROR(__xludf.DUMMYFUNCTION("""COMPUTED_VALUE"""),"52639")</f>
        <v>52639</v>
      </c>
      <c r="H509" s="211" t="str">
        <f ca="1">IFERROR(__xludf.DUMMYFUNCTION("""COMPUTED_VALUE"""),"ENSINO MEDIO PARCIAL")</f>
        <v>ENSINO MEDIO PARCIAL</v>
      </c>
      <c r="I509" s="214">
        <f ca="1">IFERROR(__xludf.DUMMYFUNCTION("""COMPUTED_VALUE"""),1610)</f>
        <v>1610</v>
      </c>
      <c r="J509" s="209"/>
      <c r="K509" s="209"/>
      <c r="L509" s="209"/>
      <c r="M509" s="209"/>
      <c r="N509" s="209"/>
      <c r="O509" s="209"/>
      <c r="P509" s="209"/>
      <c r="Q509" s="209"/>
      <c r="R509" s="209"/>
      <c r="S509" s="209"/>
      <c r="T509" s="209"/>
      <c r="U509" s="209"/>
      <c r="V509" s="209"/>
      <c r="W509" s="209"/>
      <c r="X509" s="209"/>
      <c r="Y509" s="209"/>
      <c r="Z509" s="209"/>
    </row>
    <row r="510" spans="1:26" ht="18.75" customHeight="1">
      <c r="A510" s="210" t="str">
        <f ca="1">IFERROR(__xludf.DUMMYFUNCTION("""COMPUTED_VALUE"""),"Gurupi")</f>
        <v>Gurupi</v>
      </c>
      <c r="B510" s="210" t="str">
        <f ca="1">IFERROR(__xludf.DUMMYFUNCTION("""COMPUTED_VALUE"""),"Figueiropolis")</f>
        <v>Figueiropolis</v>
      </c>
      <c r="C510" s="211" t="str">
        <f ca="1">IFERROR(__xludf.DUMMYFUNCTION("""COMPUTED_VALUE"""),"A. APOIO COLEGIO EST. CANDIDO FIGUEIRA")</f>
        <v>A. APOIO COLEGIO EST. CANDIDO FIGUEIRA</v>
      </c>
      <c r="D510" s="212" t="str">
        <f ca="1">IFERROR(__xludf.DUMMYFUNCTION("""COMPUTED_VALUE"""),"01262902000169")</f>
        <v>01262902000169</v>
      </c>
      <c r="E510" s="212" t="str">
        <f ca="1">IFERROR(__xludf.DUMMYFUNCTION("""COMPUTED_VALUE"""),"001")</f>
        <v>001</v>
      </c>
      <c r="F510" s="212" t="str">
        <f ca="1">IFERROR(__xludf.DUMMYFUNCTION("""COMPUTED_VALUE"""),"3978")</f>
        <v>3978</v>
      </c>
      <c r="G510" s="213" t="str">
        <f ca="1">IFERROR(__xludf.DUMMYFUNCTION("""COMPUTED_VALUE"""),"4802X")</f>
        <v>4802X</v>
      </c>
      <c r="H510" s="211" t="str">
        <f ca="1">IFERROR(__xludf.DUMMYFUNCTION("""COMPUTED_VALUE"""),"ENS FUND PARCIAL")</f>
        <v>ENS FUND PARCIAL</v>
      </c>
      <c r="I510" s="214">
        <f ca="1">IFERROR(__xludf.DUMMYFUNCTION("""COMPUTED_VALUE"""),3280)</f>
        <v>3280</v>
      </c>
      <c r="J510" s="209"/>
      <c r="K510" s="209"/>
      <c r="L510" s="209"/>
      <c r="M510" s="209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  <c r="Z510" s="209"/>
    </row>
    <row r="511" spans="1:26" ht="18.75" customHeight="1">
      <c r="A511" s="210" t="str">
        <f ca="1">IFERROR(__xludf.DUMMYFUNCTION("""COMPUTED_VALUE"""),"Gurupi")</f>
        <v>Gurupi</v>
      </c>
      <c r="B511" s="210" t="str">
        <f ca="1">IFERROR(__xludf.DUMMYFUNCTION("""COMPUTED_VALUE"""),"Figueiropolis")</f>
        <v>Figueiropolis</v>
      </c>
      <c r="C511" s="211" t="str">
        <f ca="1">IFERROR(__xludf.DUMMYFUNCTION("""COMPUTED_VALUE"""),"A. APOIO COLEGIO EST. CANDIDO FIGUEIRA")</f>
        <v>A. APOIO COLEGIO EST. CANDIDO FIGUEIRA</v>
      </c>
      <c r="D511" s="212" t="str">
        <f ca="1">IFERROR(__xludf.DUMMYFUNCTION("""COMPUTED_VALUE"""),"01262902000169")</f>
        <v>01262902000169</v>
      </c>
      <c r="E511" s="212" t="str">
        <f ca="1">IFERROR(__xludf.DUMMYFUNCTION("""COMPUTED_VALUE"""),"001")</f>
        <v>001</v>
      </c>
      <c r="F511" s="212" t="str">
        <f ca="1">IFERROR(__xludf.DUMMYFUNCTION("""COMPUTED_VALUE"""),"3978")</f>
        <v>3978</v>
      </c>
      <c r="G511" s="213" t="str">
        <f ca="1">IFERROR(__xludf.DUMMYFUNCTION("""COMPUTED_VALUE"""),"4802X")</f>
        <v>4802X</v>
      </c>
      <c r="H511" s="211" t="str">
        <f ca="1">IFERROR(__xludf.DUMMYFUNCTION("""COMPUTED_VALUE"""),"AEE")</f>
        <v>AEE</v>
      </c>
      <c r="I511" s="214">
        <f ca="1">IFERROR(__xludf.DUMMYFUNCTION("""COMPUTED_VALUE"""),163.2)</f>
        <v>163.19999999999999</v>
      </c>
      <c r="J511" s="209"/>
      <c r="K511" s="209"/>
      <c r="L511" s="209"/>
      <c r="M511" s="209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  <c r="Z511" s="209"/>
    </row>
    <row r="512" spans="1:26" ht="18.75" customHeight="1">
      <c r="A512" s="210" t="str">
        <f ca="1">IFERROR(__xludf.DUMMYFUNCTION("""COMPUTED_VALUE"""),"Gurupi")</f>
        <v>Gurupi</v>
      </c>
      <c r="B512" s="210" t="str">
        <f ca="1">IFERROR(__xludf.DUMMYFUNCTION("""COMPUTED_VALUE"""),"Formoso do Araguaia")</f>
        <v>Formoso do Araguaia</v>
      </c>
      <c r="C512" s="211" t="str">
        <f ca="1">IFERROR(__xludf.DUMMYFUNCTION("""COMPUTED_VALUE"""),"A.P.E MESTRES DA E. E.BENEDITO P.BANDEIRA")</f>
        <v>A.P.E MESTRES DA E. E.BENEDITO P.BANDEIRA</v>
      </c>
      <c r="D512" s="212" t="str">
        <f ca="1">IFERROR(__xludf.DUMMYFUNCTION("""COMPUTED_VALUE"""),"01136026000124")</f>
        <v>01136026000124</v>
      </c>
      <c r="E512" s="212" t="str">
        <f ca="1">IFERROR(__xludf.DUMMYFUNCTION("""COMPUTED_VALUE"""),"001")</f>
        <v>001</v>
      </c>
      <c r="F512" s="212" t="str">
        <f ca="1">IFERROR(__xludf.DUMMYFUNCTION("""COMPUTED_VALUE"""),"3123")</f>
        <v>3123</v>
      </c>
      <c r="G512" s="213" t="str">
        <f ca="1">IFERROR(__xludf.DUMMYFUNCTION("""COMPUTED_VALUE"""),"0303240")</f>
        <v>0303240</v>
      </c>
      <c r="H512" s="211" t="str">
        <f ca="1">IFERROR(__xludf.DUMMYFUNCTION("""COMPUTED_VALUE"""),"ENS FUND PARCIAL")</f>
        <v>ENS FUND PARCIAL</v>
      </c>
      <c r="I512" s="214">
        <f ca="1">IFERROR(__xludf.DUMMYFUNCTION("""COMPUTED_VALUE"""),990)</f>
        <v>990</v>
      </c>
      <c r="J512" s="209"/>
      <c r="K512" s="209"/>
      <c r="L512" s="209"/>
      <c r="M512" s="209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  <c r="Z512" s="209"/>
    </row>
    <row r="513" spans="1:26" ht="18.75" customHeight="1">
      <c r="A513" s="210" t="str">
        <f ca="1">IFERROR(__xludf.DUMMYFUNCTION("""COMPUTED_VALUE"""),"Gurupi")</f>
        <v>Gurupi</v>
      </c>
      <c r="B513" s="210" t="str">
        <f ca="1">IFERROR(__xludf.DUMMYFUNCTION("""COMPUTED_VALUE"""),"Formoso do Araguaia")</f>
        <v>Formoso do Araguaia</v>
      </c>
      <c r="C513" s="211" t="str">
        <f ca="1">IFERROR(__xludf.DUMMYFUNCTION("""COMPUTED_VALUE"""),"A.P.E MESTRES DA E. E.BENEDITO P.BANDEIRA")</f>
        <v>A.P.E MESTRES DA E. E.BENEDITO P.BANDEIRA</v>
      </c>
      <c r="D513" s="212" t="str">
        <f ca="1">IFERROR(__xludf.DUMMYFUNCTION("""COMPUTED_VALUE"""),"01136026000124")</f>
        <v>01136026000124</v>
      </c>
      <c r="E513" s="212" t="str">
        <f ca="1">IFERROR(__xludf.DUMMYFUNCTION("""COMPUTED_VALUE"""),"001")</f>
        <v>001</v>
      </c>
      <c r="F513" s="212" t="str">
        <f ca="1">IFERROR(__xludf.DUMMYFUNCTION("""COMPUTED_VALUE"""),"3123")</f>
        <v>3123</v>
      </c>
      <c r="G513" s="213" t="str">
        <f ca="1">IFERROR(__xludf.DUMMYFUNCTION("""COMPUTED_VALUE"""),"0303240")</f>
        <v>0303240</v>
      </c>
      <c r="H513" s="211" t="str">
        <f ca="1">IFERROR(__xludf.DUMMYFUNCTION("""COMPUTED_VALUE"""),"ENSINO MEDIO PARCIAL")</f>
        <v>ENSINO MEDIO PARCIAL</v>
      </c>
      <c r="I513" s="214">
        <f ca="1">IFERROR(__xludf.DUMMYFUNCTION("""COMPUTED_VALUE"""),850)</f>
        <v>850</v>
      </c>
      <c r="J513" s="209"/>
      <c r="K513" s="209"/>
      <c r="L513" s="209"/>
      <c r="M513" s="209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  <c r="Z513" s="209"/>
    </row>
    <row r="514" spans="1:26" ht="18.75" customHeight="1">
      <c r="A514" s="210" t="str">
        <f ca="1">IFERROR(__xludf.DUMMYFUNCTION("""COMPUTED_VALUE"""),"Gurupi")</f>
        <v>Gurupi</v>
      </c>
      <c r="B514" s="210" t="str">
        <f ca="1">IFERROR(__xludf.DUMMYFUNCTION("""COMPUTED_VALUE"""),"Formoso do Araguaia")</f>
        <v>Formoso do Araguaia</v>
      </c>
      <c r="C514" s="211" t="str">
        <f ca="1">IFERROR(__xludf.DUMMYFUNCTION("""COMPUTED_VALUE"""),"A.A. COLEGIO ESTADUAL TIRADENTES")</f>
        <v>A.A. COLEGIO ESTADUAL TIRADENTES</v>
      </c>
      <c r="D514" s="212" t="str">
        <f ca="1">IFERROR(__xludf.DUMMYFUNCTION("""COMPUTED_VALUE"""),"01263350000103")</f>
        <v>01263350000103</v>
      </c>
      <c r="E514" s="212" t="str">
        <f ca="1">IFERROR(__xludf.DUMMYFUNCTION("""COMPUTED_VALUE"""),"001")</f>
        <v>001</v>
      </c>
      <c r="F514" s="212" t="str">
        <f ca="1">IFERROR(__xludf.DUMMYFUNCTION("""COMPUTED_VALUE"""),"3123")</f>
        <v>3123</v>
      </c>
      <c r="G514" s="213" t="str">
        <f ca="1">IFERROR(__xludf.DUMMYFUNCTION("""COMPUTED_VALUE"""),"302988")</f>
        <v>302988</v>
      </c>
      <c r="H514" s="211" t="str">
        <f ca="1">IFERROR(__xludf.DUMMYFUNCTION("""COMPUTED_VALUE"""),"ENSINO MEDIO PARCIAL")</f>
        <v>ENSINO MEDIO PARCIAL</v>
      </c>
      <c r="I514" s="214">
        <f ca="1">IFERROR(__xludf.DUMMYFUNCTION("""COMPUTED_VALUE"""),2490)</f>
        <v>2490</v>
      </c>
      <c r="J514" s="209"/>
      <c r="K514" s="209"/>
      <c r="L514" s="209"/>
      <c r="M514" s="209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  <c r="Z514" s="209"/>
    </row>
    <row r="515" spans="1:26" ht="18.75" customHeight="1">
      <c r="A515" s="210" t="str">
        <f ca="1">IFERROR(__xludf.DUMMYFUNCTION("""COMPUTED_VALUE"""),"Gurupi")</f>
        <v>Gurupi</v>
      </c>
      <c r="B515" s="210" t="str">
        <f ca="1">IFERROR(__xludf.DUMMYFUNCTION("""COMPUTED_VALUE"""),"Formoso do Araguaia")</f>
        <v>Formoso do Araguaia</v>
      </c>
      <c r="C515" s="211" t="str">
        <f ca="1">IFERROR(__xludf.DUMMYFUNCTION("""COMPUTED_VALUE"""),"A.A. ESC. EST. DONA GERCINA BORGES TEIXEIRA")</f>
        <v>A.A. ESC. EST. DONA GERCINA BORGES TEIXEIRA</v>
      </c>
      <c r="D515" s="212" t="str">
        <f ca="1">IFERROR(__xludf.DUMMYFUNCTION("""COMPUTED_VALUE"""),"01268334000103")</f>
        <v>01268334000103</v>
      </c>
      <c r="E515" s="212" t="str">
        <f ca="1">IFERROR(__xludf.DUMMYFUNCTION("""COMPUTED_VALUE"""),"001")</f>
        <v>001</v>
      </c>
      <c r="F515" s="212" t="str">
        <f ca="1">IFERROR(__xludf.DUMMYFUNCTION("""COMPUTED_VALUE"""),"3123")</f>
        <v>3123</v>
      </c>
      <c r="G515" s="213" t="str">
        <f ca="1">IFERROR(__xludf.DUMMYFUNCTION("""COMPUTED_VALUE"""),"302880")</f>
        <v>302880</v>
      </c>
      <c r="H515" s="211" t="str">
        <f ca="1">IFERROR(__xludf.DUMMYFUNCTION("""COMPUTED_VALUE"""),"ENS FUND PARCIAL")</f>
        <v>ENS FUND PARCIAL</v>
      </c>
      <c r="I515" s="214">
        <f ca="1">IFERROR(__xludf.DUMMYFUNCTION("""COMPUTED_VALUE"""),7740)</f>
        <v>7740</v>
      </c>
      <c r="J515" s="209"/>
      <c r="K515" s="209"/>
      <c r="L515" s="209"/>
      <c r="M515" s="209"/>
      <c r="N515" s="209"/>
      <c r="O515" s="209"/>
      <c r="P515" s="209"/>
      <c r="Q515" s="209"/>
      <c r="R515" s="209"/>
      <c r="S515" s="209"/>
      <c r="T515" s="209"/>
      <c r="U515" s="209"/>
      <c r="V515" s="209"/>
      <c r="W515" s="209"/>
      <c r="X515" s="209"/>
      <c r="Y515" s="209"/>
      <c r="Z515" s="209"/>
    </row>
    <row r="516" spans="1:26" ht="18.75" customHeight="1">
      <c r="A516" s="210" t="str">
        <f ca="1">IFERROR(__xludf.DUMMYFUNCTION("""COMPUTED_VALUE"""),"Gurupi")</f>
        <v>Gurupi</v>
      </c>
      <c r="B516" s="210" t="str">
        <f ca="1">IFERROR(__xludf.DUMMYFUNCTION("""COMPUTED_VALUE"""),"Formoso do Araguaia")</f>
        <v>Formoso do Araguaia</v>
      </c>
      <c r="C516" s="211" t="str">
        <f ca="1">IFERROR(__xludf.DUMMYFUNCTION("""COMPUTED_VALUE"""),"A.A. ESC. EST. DONA GERCINA BORGES TEIXEIRA")</f>
        <v>A.A. ESC. EST. DONA GERCINA BORGES TEIXEIRA</v>
      </c>
      <c r="D516" s="212" t="str">
        <f ca="1">IFERROR(__xludf.DUMMYFUNCTION("""COMPUTED_VALUE"""),"01268334000103")</f>
        <v>01268334000103</v>
      </c>
      <c r="E516" s="212" t="str">
        <f ca="1">IFERROR(__xludf.DUMMYFUNCTION("""COMPUTED_VALUE"""),"001")</f>
        <v>001</v>
      </c>
      <c r="F516" s="212" t="str">
        <f ca="1">IFERROR(__xludf.DUMMYFUNCTION("""COMPUTED_VALUE"""),"3123")</f>
        <v>3123</v>
      </c>
      <c r="G516" s="213" t="str">
        <f ca="1">IFERROR(__xludf.DUMMYFUNCTION("""COMPUTED_VALUE"""),"302880")</f>
        <v>302880</v>
      </c>
      <c r="H516" s="211" t="str">
        <f ca="1">IFERROR(__xludf.DUMMYFUNCTION("""COMPUTED_VALUE"""),"AEE")</f>
        <v>AEE</v>
      </c>
      <c r="I516" s="214">
        <f ca="1">IFERROR(__xludf.DUMMYFUNCTION("""COMPUTED_VALUE"""),761.6)</f>
        <v>761.6</v>
      </c>
      <c r="J516" s="209"/>
      <c r="K516" s="209"/>
      <c r="L516" s="209"/>
      <c r="M516" s="209"/>
      <c r="N516" s="209"/>
      <c r="O516" s="209"/>
      <c r="P516" s="209"/>
      <c r="Q516" s="209"/>
      <c r="R516" s="209"/>
      <c r="S516" s="209"/>
      <c r="T516" s="209"/>
      <c r="U516" s="209"/>
      <c r="V516" s="209"/>
      <c r="W516" s="209"/>
      <c r="X516" s="209"/>
      <c r="Y516" s="209"/>
      <c r="Z516" s="209"/>
    </row>
    <row r="517" spans="1:26" ht="18.75" customHeight="1">
      <c r="A517" s="210" t="str">
        <f ca="1">IFERROR(__xludf.DUMMYFUNCTION("""COMPUTED_VALUE"""),"Gurupi")</f>
        <v>Gurupi</v>
      </c>
      <c r="B517" s="210" t="str">
        <f ca="1">IFERROR(__xludf.DUMMYFUNCTION("""COMPUTED_VALUE"""),"Formoso do Araguaia")</f>
        <v>Formoso do Araguaia</v>
      </c>
      <c r="C517" s="211" t="str">
        <f ca="1">IFERROR(__xludf.DUMMYFUNCTION("""COMPUTED_VALUE"""),"A.A. ESC. EST. DONA GERCINA BORGES TEIXEIRA")</f>
        <v>A.A. ESC. EST. DONA GERCINA BORGES TEIXEIRA</v>
      </c>
      <c r="D517" s="212" t="str">
        <f ca="1">IFERROR(__xludf.DUMMYFUNCTION("""COMPUTED_VALUE"""),"01268334000103")</f>
        <v>01268334000103</v>
      </c>
      <c r="E517" s="212" t="str">
        <f ca="1">IFERROR(__xludf.DUMMYFUNCTION("""COMPUTED_VALUE"""),"001")</f>
        <v>001</v>
      </c>
      <c r="F517" s="212" t="str">
        <f ca="1">IFERROR(__xludf.DUMMYFUNCTION("""COMPUTED_VALUE"""),"3123")</f>
        <v>3123</v>
      </c>
      <c r="G517" s="213" t="str">
        <f ca="1">IFERROR(__xludf.DUMMYFUNCTION("""COMPUTED_VALUE"""),"302880")</f>
        <v>302880</v>
      </c>
      <c r="H517" s="211" t="str">
        <f ca="1">IFERROR(__xludf.DUMMYFUNCTION("""COMPUTED_VALUE"""),"EJA")</f>
        <v>EJA</v>
      </c>
      <c r="I517" s="214">
        <f ca="1">IFERROR(__xludf.DUMMYFUNCTION("""COMPUTED_VALUE"""),1393.99999999999)</f>
        <v>1393.99999999999</v>
      </c>
      <c r="J517" s="209"/>
      <c r="K517" s="209"/>
      <c r="L517" s="209"/>
      <c r="M517" s="209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9"/>
      <c r="Y517" s="209"/>
      <c r="Z517" s="209"/>
    </row>
    <row r="518" spans="1:26" ht="18.75" customHeight="1">
      <c r="A518" s="210" t="str">
        <f ca="1">IFERROR(__xludf.DUMMYFUNCTION("""COMPUTED_VALUE"""),"Gurupi")</f>
        <v>Gurupi</v>
      </c>
      <c r="B518" s="210" t="str">
        <f ca="1">IFERROR(__xludf.DUMMYFUNCTION("""COMPUTED_VALUE"""),"Formoso do Araguaia")</f>
        <v>Formoso do Araguaia</v>
      </c>
      <c r="C518" s="211" t="str">
        <f ca="1">IFERROR(__xludf.DUMMYFUNCTION("""COMPUTED_VALUE"""),"A.A. ESC ESPECIAL ANJO DA GUARDA")</f>
        <v>A.A. ESC ESPECIAL ANJO DA GUARDA</v>
      </c>
      <c r="D518" s="212" t="str">
        <f ca="1">IFERROR(__xludf.DUMMYFUNCTION("""COMPUTED_VALUE"""),"17617389000111")</f>
        <v>17617389000111</v>
      </c>
      <c r="E518" s="212" t="str">
        <f ca="1">IFERROR(__xludf.DUMMYFUNCTION("""COMPUTED_VALUE"""),"001")</f>
        <v>001</v>
      </c>
      <c r="F518" s="212" t="str">
        <f ca="1">IFERROR(__xludf.DUMMYFUNCTION("""COMPUTED_VALUE"""),"3123")</f>
        <v>3123</v>
      </c>
      <c r="G518" s="213" t="str">
        <f ca="1">IFERROR(__xludf.DUMMYFUNCTION("""COMPUTED_VALUE"""),"168211")</f>
        <v>168211</v>
      </c>
      <c r="H518" s="211" t="str">
        <f ca="1">IFERROR(__xludf.DUMMYFUNCTION("""COMPUTED_VALUE"""),"ENS FUND PARCIAL")</f>
        <v>ENS FUND PARCIAL</v>
      </c>
      <c r="I518" s="214">
        <f ca="1">IFERROR(__xludf.DUMMYFUNCTION("""COMPUTED_VALUE"""),280)</f>
        <v>280</v>
      </c>
      <c r="J518" s="209"/>
      <c r="K518" s="209"/>
      <c r="L518" s="209"/>
      <c r="M518" s="209"/>
      <c r="N518" s="209"/>
      <c r="O518" s="209"/>
      <c r="P518" s="209"/>
      <c r="Q518" s="209"/>
      <c r="R518" s="209"/>
      <c r="S518" s="209"/>
      <c r="T518" s="209"/>
      <c r="U518" s="209"/>
      <c r="V518" s="209"/>
      <c r="W518" s="209"/>
      <c r="X518" s="209"/>
      <c r="Y518" s="209"/>
      <c r="Z518" s="209"/>
    </row>
    <row r="519" spans="1:26" ht="18.75" customHeight="1">
      <c r="A519" s="210" t="str">
        <f ca="1">IFERROR(__xludf.DUMMYFUNCTION("""COMPUTED_VALUE"""),"Gurupi")</f>
        <v>Gurupi</v>
      </c>
      <c r="B519" s="210" t="str">
        <f ca="1">IFERROR(__xludf.DUMMYFUNCTION("""COMPUTED_VALUE"""),"Formoso do Araguaia")</f>
        <v>Formoso do Araguaia</v>
      </c>
      <c r="C519" s="211" t="str">
        <f ca="1">IFERROR(__xludf.DUMMYFUNCTION("""COMPUTED_VALUE"""),"A.A. ESC ESPECIAL ANJO DA GUARDA")</f>
        <v>A.A. ESC ESPECIAL ANJO DA GUARDA</v>
      </c>
      <c r="D519" s="212" t="str">
        <f ca="1">IFERROR(__xludf.DUMMYFUNCTION("""COMPUTED_VALUE"""),"17617389000111")</f>
        <v>17617389000111</v>
      </c>
      <c r="E519" s="212" t="str">
        <f ca="1">IFERROR(__xludf.DUMMYFUNCTION("""COMPUTED_VALUE"""),"001")</f>
        <v>001</v>
      </c>
      <c r="F519" s="212" t="str">
        <f ca="1">IFERROR(__xludf.DUMMYFUNCTION("""COMPUTED_VALUE"""),"3123")</f>
        <v>3123</v>
      </c>
      <c r="G519" s="213" t="str">
        <f ca="1">IFERROR(__xludf.DUMMYFUNCTION("""COMPUTED_VALUE"""),"168211")</f>
        <v>168211</v>
      </c>
      <c r="H519" s="211" t="str">
        <f ca="1">IFERROR(__xludf.DUMMYFUNCTION("""COMPUTED_VALUE"""),"AEE")</f>
        <v>AEE</v>
      </c>
      <c r="I519" s="214">
        <f ca="1">IFERROR(__xludf.DUMMYFUNCTION("""COMPUTED_VALUE"""),476)</f>
        <v>476</v>
      </c>
      <c r="J519" s="209"/>
      <c r="K519" s="209"/>
      <c r="L519" s="209"/>
      <c r="M519" s="209"/>
      <c r="N519" s="209"/>
      <c r="O519" s="209"/>
      <c r="P519" s="209"/>
      <c r="Q519" s="209"/>
      <c r="R519" s="209"/>
      <c r="S519" s="209"/>
      <c r="T519" s="209"/>
      <c r="U519" s="209"/>
      <c r="V519" s="209"/>
      <c r="W519" s="209"/>
      <c r="X519" s="209"/>
      <c r="Y519" s="209"/>
      <c r="Z519" s="209"/>
    </row>
    <row r="520" spans="1:26" ht="18.75" customHeight="1">
      <c r="A520" s="210" t="str">
        <f ca="1">IFERROR(__xludf.DUMMYFUNCTION("""COMPUTED_VALUE"""),"Gurupi")</f>
        <v>Gurupi</v>
      </c>
      <c r="B520" s="210" t="str">
        <f ca="1">IFERROR(__xludf.DUMMYFUNCTION("""COMPUTED_VALUE"""),"Formoso do Araguaia")</f>
        <v>Formoso do Araguaia</v>
      </c>
      <c r="C520" s="211" t="str">
        <f ca="1">IFERROR(__xludf.DUMMYFUNCTION("""COMPUTED_VALUE"""),"A.A. ESC ESPECIAL ANJO DA GUARDA")</f>
        <v>A.A. ESC ESPECIAL ANJO DA GUARDA</v>
      </c>
      <c r="D520" s="212" t="str">
        <f ca="1">IFERROR(__xludf.DUMMYFUNCTION("""COMPUTED_VALUE"""),"17617389000111")</f>
        <v>17617389000111</v>
      </c>
      <c r="E520" s="212" t="str">
        <f ca="1">IFERROR(__xludf.DUMMYFUNCTION("""COMPUTED_VALUE"""),"001")</f>
        <v>001</v>
      </c>
      <c r="F520" s="212" t="str">
        <f ca="1">IFERROR(__xludf.DUMMYFUNCTION("""COMPUTED_VALUE"""),"3123")</f>
        <v>3123</v>
      </c>
      <c r="G520" s="213" t="str">
        <f ca="1">IFERROR(__xludf.DUMMYFUNCTION("""COMPUTED_VALUE"""),"168211")</f>
        <v>168211</v>
      </c>
      <c r="H520" s="211" t="str">
        <f ca="1">IFERROR(__xludf.DUMMYFUNCTION("""COMPUTED_VALUE"""),"EJA")</f>
        <v>EJA</v>
      </c>
      <c r="I520" s="214">
        <f ca="1">IFERROR(__xludf.DUMMYFUNCTION("""COMPUTED_VALUE"""),360.799999999999)</f>
        <v>360.79999999999899</v>
      </c>
      <c r="J520" s="209"/>
      <c r="K520" s="209"/>
      <c r="L520" s="209"/>
      <c r="M520" s="209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9"/>
      <c r="Y520" s="209"/>
      <c r="Z520" s="209"/>
    </row>
    <row r="521" spans="1:26" ht="18.75" customHeight="1">
      <c r="A521" s="210" t="str">
        <f ca="1">IFERROR(__xludf.DUMMYFUNCTION("""COMPUTED_VALUE"""),"Gurupi")</f>
        <v>Gurupi</v>
      </c>
      <c r="B521" s="210" t="str">
        <f ca="1">IFERROR(__xludf.DUMMYFUNCTION("""COMPUTED_VALUE"""),"Formoso do Araguaia")</f>
        <v>Formoso do Araguaia</v>
      </c>
      <c r="C521" s="211" t="str">
        <f ca="1">IFERROR(__xludf.DUMMYFUNCTION("""COMPUTED_VALUE"""),"ASSOCIAÇÃO DE APOIO DA ESCOLA INDÍGENA TAINÁ DA ALDEIA CANUANA")</f>
        <v>ASSOCIAÇÃO DE APOIO DA ESCOLA INDÍGENA TAINÁ DA ALDEIA CANUANA</v>
      </c>
      <c r="D521" s="212" t="str">
        <f ca="1">IFERROR(__xludf.DUMMYFUNCTION("""COMPUTED_VALUE"""),"27701257000127")</f>
        <v>27701257000127</v>
      </c>
      <c r="E521" s="212" t="str">
        <f ca="1">IFERROR(__xludf.DUMMYFUNCTION("""COMPUTED_VALUE"""),"001")</f>
        <v>001</v>
      </c>
      <c r="F521" s="212" t="str">
        <f ca="1">IFERROR(__xludf.DUMMYFUNCTION("""COMPUTED_VALUE"""),"3123")</f>
        <v>3123</v>
      </c>
      <c r="G521" s="213" t="str">
        <f ca="1">IFERROR(__xludf.DUMMYFUNCTION("""COMPUTED_VALUE"""),"171174")</f>
        <v>171174</v>
      </c>
      <c r="H521" s="211" t="str">
        <f ca="1">IFERROR(__xludf.DUMMYFUNCTION("""COMPUTED_VALUE"""),"INDIGENA")</f>
        <v>INDIGENA</v>
      </c>
      <c r="I521" s="214">
        <f ca="1">IFERROR(__xludf.DUMMYFUNCTION("""COMPUTED_VALUE"""),2081.2)</f>
        <v>2081.1999999999998</v>
      </c>
      <c r="J521" s="209"/>
      <c r="K521" s="209"/>
      <c r="L521" s="209"/>
      <c r="M521" s="209"/>
      <c r="N521" s="209"/>
      <c r="O521" s="209"/>
      <c r="P521" s="209"/>
      <c r="Q521" s="209"/>
      <c r="R521" s="209"/>
      <c r="S521" s="209"/>
      <c r="T521" s="209"/>
      <c r="U521" s="209"/>
      <c r="V521" s="209"/>
      <c r="W521" s="209"/>
      <c r="X521" s="209"/>
      <c r="Y521" s="209"/>
      <c r="Z521" s="209"/>
    </row>
    <row r="522" spans="1:26" ht="18.75" customHeight="1">
      <c r="A522" s="210" t="str">
        <f ca="1">IFERROR(__xludf.DUMMYFUNCTION("""COMPUTED_VALUE"""),"Gurupi")</f>
        <v>Gurupi</v>
      </c>
      <c r="B522" s="210" t="str">
        <f ca="1">IFERROR(__xludf.DUMMYFUNCTION("""COMPUTED_VALUE"""),"Formoso do Araguaia")</f>
        <v>Formoso do Araguaia</v>
      </c>
      <c r="C522" s="211" t="str">
        <f ca="1">IFERROR(__xludf.DUMMYFUNCTION("""COMPUTED_VALUE"""),"ASSOCIAÇÃO DE APOIO DA ESCOLA INDÍGENA TEMANARE")</f>
        <v>ASSOCIAÇÃO DE APOIO DA ESCOLA INDÍGENA TEMANARE</v>
      </c>
      <c r="D522" s="212" t="str">
        <f ca="1">IFERROR(__xludf.DUMMYFUNCTION("""COMPUTED_VALUE"""),"47800676000123")</f>
        <v>47800676000123</v>
      </c>
      <c r="E522" s="212" t="str">
        <f ca="1">IFERROR(__xludf.DUMMYFUNCTION("""COMPUTED_VALUE"""),"001")</f>
        <v>001</v>
      </c>
      <c r="F522" s="212" t="str">
        <f ca="1">IFERROR(__xludf.DUMMYFUNCTION("""COMPUTED_VALUE"""),"3123")</f>
        <v>3123</v>
      </c>
      <c r="G522" s="213" t="str">
        <f ca="1">IFERROR(__xludf.DUMMYFUNCTION("""COMPUTED_VALUE"""),"207160")</f>
        <v>207160</v>
      </c>
      <c r="H522" s="211" t="str">
        <f ca="1">IFERROR(__xludf.DUMMYFUNCTION("""COMPUTED_VALUE"""),"INDIGENA")</f>
        <v>INDIGENA</v>
      </c>
      <c r="I522" s="214">
        <f ca="1">IFERROR(__xludf.DUMMYFUNCTION("""COMPUTED_VALUE"""),1685.6)</f>
        <v>1685.6</v>
      </c>
      <c r="J522" s="209"/>
      <c r="K522" s="209"/>
      <c r="L522" s="209"/>
      <c r="M522" s="209"/>
      <c r="N522" s="209"/>
      <c r="O522" s="209"/>
      <c r="P522" s="209"/>
      <c r="Q522" s="209"/>
      <c r="R522" s="209"/>
      <c r="S522" s="209"/>
      <c r="T522" s="209"/>
      <c r="U522" s="209"/>
      <c r="V522" s="209"/>
      <c r="W522" s="209"/>
      <c r="X522" s="209"/>
      <c r="Y522" s="209"/>
      <c r="Z522" s="209"/>
    </row>
    <row r="523" spans="1:26" ht="18.75" customHeight="1">
      <c r="A523" s="210" t="str">
        <f ca="1">IFERROR(__xludf.DUMMYFUNCTION("""COMPUTED_VALUE"""),"Gurupi")</f>
        <v>Gurupi</v>
      </c>
      <c r="B523" s="210" t="str">
        <f ca="1">IFERROR(__xludf.DUMMYFUNCTION("""COMPUTED_VALUE"""),"Formoso do Araguaia")</f>
        <v>Formoso do Araguaia</v>
      </c>
      <c r="C523" s="211" t="str">
        <f ca="1">IFERROR(__xludf.DUMMYFUNCTION("""COMPUTED_VALUE"""),"ASSOCIAÇÃO DE APOIO ESCOLAR DA ESCOLA INDÍGENA TXUIRI HINÃ")</f>
        <v>ASSOCIAÇÃO DE APOIO ESCOLAR DA ESCOLA INDÍGENA TXUIRI HINÃ</v>
      </c>
      <c r="D523" s="212" t="str">
        <f ca="1">IFERROR(__xludf.DUMMYFUNCTION("""COMPUTED_VALUE"""),"47801073000146")</f>
        <v>47801073000146</v>
      </c>
      <c r="E523" s="212" t="str">
        <f ca="1">IFERROR(__xludf.DUMMYFUNCTION("""COMPUTED_VALUE"""),"001")</f>
        <v>001</v>
      </c>
      <c r="F523" s="212" t="str">
        <f ca="1">IFERROR(__xludf.DUMMYFUNCTION("""COMPUTED_VALUE"""),"3123")</f>
        <v>3123</v>
      </c>
      <c r="G523" s="213" t="str">
        <f ca="1">IFERROR(__xludf.DUMMYFUNCTION("""COMPUTED_VALUE"""),"206458")</f>
        <v>206458</v>
      </c>
      <c r="H523" s="211" t="str">
        <f ca="1">IFERROR(__xludf.DUMMYFUNCTION("""COMPUTED_VALUE"""),"INDIGENA")</f>
        <v>INDIGENA</v>
      </c>
      <c r="I523" s="214">
        <f ca="1">IFERROR(__xludf.DUMMYFUNCTION("""COMPUTED_VALUE"""),1341.6)</f>
        <v>1341.6</v>
      </c>
      <c r="J523" s="209"/>
      <c r="K523" s="209"/>
      <c r="L523" s="209"/>
      <c r="M523" s="209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9"/>
      <c r="Y523" s="209"/>
      <c r="Z523" s="209"/>
    </row>
    <row r="524" spans="1:26" ht="18.75" customHeight="1">
      <c r="A524" s="210" t="str">
        <f ca="1">IFERROR(__xludf.DUMMYFUNCTION("""COMPUTED_VALUE"""),"Gurupi")</f>
        <v>Gurupi</v>
      </c>
      <c r="B524" s="210" t="str">
        <f ca="1">IFERROR(__xludf.DUMMYFUNCTION("""COMPUTED_VALUE"""),"Formoso do Araguaia")</f>
        <v>Formoso do Araguaia</v>
      </c>
      <c r="C524" s="211" t="str">
        <f ca="1">IFERROR(__xludf.DUMMYFUNCTION("""COMPUTED_VALUE"""),"ASSOCIAÇÃO DE APOIO ESCOLAR DA ESCOLA INDÍGENA WATAKURI")</f>
        <v>ASSOCIAÇÃO DE APOIO ESCOLAR DA ESCOLA INDÍGENA WATAKURI</v>
      </c>
      <c r="D524" s="212" t="str">
        <f ca="1">IFERROR(__xludf.DUMMYFUNCTION("""COMPUTED_VALUE"""),"48057828000102")</f>
        <v>48057828000102</v>
      </c>
      <c r="E524" s="212" t="str">
        <f ca="1">IFERROR(__xludf.DUMMYFUNCTION("""COMPUTED_VALUE"""),"001")</f>
        <v>001</v>
      </c>
      <c r="F524" s="212" t="str">
        <f ca="1">IFERROR(__xludf.DUMMYFUNCTION("""COMPUTED_VALUE"""),"3123")</f>
        <v>3123</v>
      </c>
      <c r="G524" s="213" t="str">
        <f ca="1">IFERROR(__xludf.DUMMYFUNCTION("""COMPUTED_VALUE"""),"206695")</f>
        <v>206695</v>
      </c>
      <c r="H524" s="211" t="str">
        <f ca="1">IFERROR(__xludf.DUMMYFUNCTION("""COMPUTED_VALUE"""),"INDIGENA")</f>
        <v>INDIGENA</v>
      </c>
      <c r="I524" s="214">
        <f ca="1">IFERROR(__xludf.DUMMYFUNCTION("""COMPUTED_VALUE"""),1341.6)</f>
        <v>1341.6</v>
      </c>
      <c r="J524" s="209"/>
      <c r="K524" s="209"/>
      <c r="L524" s="209"/>
      <c r="M524" s="209"/>
      <c r="N524" s="209"/>
      <c r="O524" s="209"/>
      <c r="P524" s="209"/>
      <c r="Q524" s="209"/>
      <c r="R524" s="209"/>
      <c r="S524" s="209"/>
      <c r="T524" s="209"/>
      <c r="U524" s="209"/>
      <c r="V524" s="209"/>
      <c r="W524" s="209"/>
      <c r="X524" s="209"/>
      <c r="Y524" s="209"/>
      <c r="Z524" s="209"/>
    </row>
    <row r="525" spans="1:26" ht="18.75" customHeight="1">
      <c r="A525" s="210" t="str">
        <f ca="1">IFERROR(__xludf.DUMMYFUNCTION("""COMPUTED_VALUE"""),"Gurupi")</f>
        <v>Gurupi</v>
      </c>
      <c r="B525" s="210" t="str">
        <f ca="1">IFERROR(__xludf.DUMMYFUNCTION("""COMPUTED_VALUE"""),"Gurupi")</f>
        <v>Gurupi</v>
      </c>
      <c r="C525" s="211" t="str">
        <f ca="1">IFERROR(__xludf.DUMMYFUNCTION("""COMPUTED_VALUE"""),"A.A. ESC. EST. HERCILIA CARVALHO DA SILVA")</f>
        <v>A.A. ESC. EST. HERCILIA CARVALHO DA SILVA</v>
      </c>
      <c r="D525" s="212" t="str">
        <f ca="1">IFERROR(__xludf.DUMMYFUNCTION("""COMPUTED_VALUE"""),"01465790000143")</f>
        <v>01465790000143</v>
      </c>
      <c r="E525" s="212" t="str">
        <f ca="1">IFERROR(__xludf.DUMMYFUNCTION("""COMPUTED_VALUE"""),"001")</f>
        <v>001</v>
      </c>
      <c r="F525" s="212" t="str">
        <f ca="1">IFERROR(__xludf.DUMMYFUNCTION("""COMPUTED_VALUE"""),"0794")</f>
        <v>0794</v>
      </c>
      <c r="G525" s="213" t="str">
        <f ca="1">IFERROR(__xludf.DUMMYFUNCTION("""COMPUTED_VALUE"""),"66834")</f>
        <v>66834</v>
      </c>
      <c r="H525" s="211" t="str">
        <f ca="1">IFERROR(__xludf.DUMMYFUNCTION("""COMPUTED_VALUE"""),"ENS FUND PARCIAL")</f>
        <v>ENS FUND PARCIAL</v>
      </c>
      <c r="I525" s="214">
        <f ca="1">IFERROR(__xludf.DUMMYFUNCTION("""COMPUTED_VALUE"""),3180)</f>
        <v>3180</v>
      </c>
      <c r="J525" s="209"/>
      <c r="K525" s="209"/>
      <c r="L525" s="209"/>
      <c r="M525" s="209"/>
      <c r="N525" s="209"/>
      <c r="O525" s="209"/>
      <c r="P525" s="209"/>
      <c r="Q525" s="209"/>
      <c r="R525" s="209"/>
      <c r="S525" s="209"/>
      <c r="T525" s="209"/>
      <c r="U525" s="209"/>
      <c r="V525" s="209"/>
      <c r="W525" s="209"/>
      <c r="X525" s="209"/>
      <c r="Y525" s="209"/>
      <c r="Z525" s="209"/>
    </row>
    <row r="526" spans="1:26" ht="18.75" customHeight="1">
      <c r="A526" s="210" t="str">
        <f ca="1">IFERROR(__xludf.DUMMYFUNCTION("""COMPUTED_VALUE"""),"Gurupi")</f>
        <v>Gurupi</v>
      </c>
      <c r="B526" s="210" t="str">
        <f ca="1">IFERROR(__xludf.DUMMYFUNCTION("""COMPUTED_VALUE"""),"Gurupi")</f>
        <v>Gurupi</v>
      </c>
      <c r="C526" s="211" t="str">
        <f ca="1">IFERROR(__xludf.DUMMYFUNCTION("""COMPUTED_VALUE"""),"A.A. ESC. EST. HERCILIA CARVALHO DA SILVA")</f>
        <v>A.A. ESC. EST. HERCILIA CARVALHO DA SILVA</v>
      </c>
      <c r="D526" s="212" t="str">
        <f ca="1">IFERROR(__xludf.DUMMYFUNCTION("""COMPUTED_VALUE"""),"01465790000143")</f>
        <v>01465790000143</v>
      </c>
      <c r="E526" s="212" t="str">
        <f ca="1">IFERROR(__xludf.DUMMYFUNCTION("""COMPUTED_VALUE"""),"001")</f>
        <v>001</v>
      </c>
      <c r="F526" s="212" t="str">
        <f ca="1">IFERROR(__xludf.DUMMYFUNCTION("""COMPUTED_VALUE"""),"0794")</f>
        <v>0794</v>
      </c>
      <c r="G526" s="213" t="str">
        <f ca="1">IFERROR(__xludf.DUMMYFUNCTION("""COMPUTED_VALUE"""),"66834")</f>
        <v>66834</v>
      </c>
      <c r="H526" s="211" t="str">
        <f ca="1">IFERROR(__xludf.DUMMYFUNCTION("""COMPUTED_VALUE"""),"AEE")</f>
        <v>AEE</v>
      </c>
      <c r="I526" s="214">
        <f ca="1">IFERROR(__xludf.DUMMYFUNCTION("""COMPUTED_VALUE"""),244.799999999999)</f>
        <v>244.79999999999899</v>
      </c>
      <c r="J526" s="209"/>
      <c r="K526" s="209"/>
      <c r="L526" s="209"/>
      <c r="M526" s="209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9"/>
      <c r="Y526" s="209"/>
      <c r="Z526" s="209"/>
    </row>
    <row r="527" spans="1:26" ht="18.75" customHeight="1">
      <c r="A527" s="210" t="str">
        <f ca="1">IFERROR(__xludf.DUMMYFUNCTION("""COMPUTED_VALUE"""),"Gurupi")</f>
        <v>Gurupi</v>
      </c>
      <c r="B527" s="210" t="str">
        <f ca="1">IFERROR(__xludf.DUMMYFUNCTION("""COMPUTED_VALUE"""),"Gurupi")</f>
        <v>Gurupi</v>
      </c>
      <c r="C527" s="211" t="str">
        <f ca="1">IFERROR(__xludf.DUMMYFUNCTION("""COMPUTED_VALUE"""),"A.A. ESC. EST. HERCILIA CARVALHO DA SILVA")</f>
        <v>A.A. ESC. EST. HERCILIA CARVALHO DA SILVA</v>
      </c>
      <c r="D527" s="212" t="str">
        <f ca="1">IFERROR(__xludf.DUMMYFUNCTION("""COMPUTED_VALUE"""),"01465790000143")</f>
        <v>01465790000143</v>
      </c>
      <c r="E527" s="212" t="str">
        <f ca="1">IFERROR(__xludf.DUMMYFUNCTION("""COMPUTED_VALUE"""),"001")</f>
        <v>001</v>
      </c>
      <c r="F527" s="212" t="str">
        <f ca="1">IFERROR(__xludf.DUMMYFUNCTION("""COMPUTED_VALUE"""),"0794")</f>
        <v>0794</v>
      </c>
      <c r="G527" s="213" t="str">
        <f ca="1">IFERROR(__xludf.DUMMYFUNCTION("""COMPUTED_VALUE"""),"66834")</f>
        <v>66834</v>
      </c>
      <c r="H527" s="211" t="str">
        <f ca="1">IFERROR(__xludf.DUMMYFUNCTION("""COMPUTED_VALUE"""),"ENSINO MEDIO PARCIAL")</f>
        <v>ENSINO MEDIO PARCIAL</v>
      </c>
      <c r="I527" s="214">
        <f ca="1">IFERROR(__xludf.DUMMYFUNCTION("""COMPUTED_VALUE"""),1660)</f>
        <v>1660</v>
      </c>
      <c r="J527" s="209"/>
      <c r="K527" s="209"/>
      <c r="L527" s="209"/>
      <c r="M527" s="209"/>
      <c r="N527" s="209"/>
      <c r="O527" s="209"/>
      <c r="P527" s="209"/>
      <c r="Q527" s="209"/>
      <c r="R527" s="209"/>
      <c r="S527" s="209"/>
      <c r="T527" s="209"/>
      <c r="U527" s="209"/>
      <c r="V527" s="209"/>
      <c r="W527" s="209"/>
      <c r="X527" s="209"/>
      <c r="Y527" s="209"/>
      <c r="Z527" s="209"/>
    </row>
    <row r="528" spans="1:26" ht="18.75" customHeight="1">
      <c r="A528" s="210" t="str">
        <f ca="1">IFERROR(__xludf.DUMMYFUNCTION("""COMPUTED_VALUE"""),"Gurupi")</f>
        <v>Gurupi</v>
      </c>
      <c r="B528" s="210" t="str">
        <f ca="1">IFERROR(__xludf.DUMMYFUNCTION("""COMPUTED_VALUE"""),"Gurupi")</f>
        <v>Gurupi</v>
      </c>
      <c r="C528" s="211" t="str">
        <f ca="1">IFERROR(__xludf.DUMMYFUNCTION("""COMPUTED_VALUE"""),"A.A.  DO COL. PAROQUIAL BERNARDO SAYAO")</f>
        <v>A.A.  DO COL. PAROQUIAL BERNARDO SAYAO</v>
      </c>
      <c r="D528" s="212" t="str">
        <f ca="1">IFERROR(__xludf.DUMMYFUNCTION("""COMPUTED_VALUE"""),"01865371000107")</f>
        <v>01865371000107</v>
      </c>
      <c r="E528" s="212" t="str">
        <f ca="1">IFERROR(__xludf.DUMMYFUNCTION("""COMPUTED_VALUE"""),"001")</f>
        <v>001</v>
      </c>
      <c r="F528" s="212" t="str">
        <f ca="1">IFERROR(__xludf.DUMMYFUNCTION("""COMPUTED_VALUE"""),"0794")</f>
        <v>0794</v>
      </c>
      <c r="G528" s="213" t="str">
        <f ca="1">IFERROR(__xludf.DUMMYFUNCTION("""COMPUTED_VALUE"""),"66796")</f>
        <v>66796</v>
      </c>
      <c r="H528" s="211" t="str">
        <f ca="1">IFERROR(__xludf.DUMMYFUNCTION("""COMPUTED_VALUE"""),"ENS FUND PARCIAL")</f>
        <v>ENS FUND PARCIAL</v>
      </c>
      <c r="I528" s="214">
        <f ca="1">IFERROR(__xludf.DUMMYFUNCTION("""COMPUTED_VALUE"""),5310)</f>
        <v>5310</v>
      </c>
      <c r="J528" s="209"/>
      <c r="K528" s="209"/>
      <c r="L528" s="209"/>
      <c r="M528" s="209"/>
      <c r="N528" s="209"/>
      <c r="O528" s="209"/>
      <c r="P528" s="209"/>
      <c r="Q528" s="209"/>
      <c r="R528" s="209"/>
      <c r="S528" s="209"/>
      <c r="T528" s="209"/>
      <c r="U528" s="209"/>
      <c r="V528" s="209"/>
      <c r="W528" s="209"/>
      <c r="X528" s="209"/>
      <c r="Y528" s="209"/>
      <c r="Z528" s="209"/>
    </row>
    <row r="529" spans="1:26" ht="18.75" customHeight="1">
      <c r="A529" s="210" t="str">
        <f ca="1">IFERROR(__xludf.DUMMYFUNCTION("""COMPUTED_VALUE"""),"Gurupi")</f>
        <v>Gurupi</v>
      </c>
      <c r="B529" s="210" t="str">
        <f ca="1">IFERROR(__xludf.DUMMYFUNCTION("""COMPUTED_VALUE"""),"Gurupi")</f>
        <v>Gurupi</v>
      </c>
      <c r="C529" s="211" t="str">
        <f ca="1">IFERROR(__xludf.DUMMYFUNCTION("""COMPUTED_VALUE"""),"A.A.  DO COL. PAROQUIAL BERNARDO SAYAO")</f>
        <v>A.A.  DO COL. PAROQUIAL BERNARDO SAYAO</v>
      </c>
      <c r="D529" s="212" t="str">
        <f ca="1">IFERROR(__xludf.DUMMYFUNCTION("""COMPUTED_VALUE"""),"01865371000107")</f>
        <v>01865371000107</v>
      </c>
      <c r="E529" s="212" t="str">
        <f ca="1">IFERROR(__xludf.DUMMYFUNCTION("""COMPUTED_VALUE"""),"001")</f>
        <v>001</v>
      </c>
      <c r="F529" s="212" t="str">
        <f ca="1">IFERROR(__xludf.DUMMYFUNCTION("""COMPUTED_VALUE"""),"0794")</f>
        <v>0794</v>
      </c>
      <c r="G529" s="213" t="str">
        <f ca="1">IFERROR(__xludf.DUMMYFUNCTION("""COMPUTED_VALUE"""),"66796")</f>
        <v>66796</v>
      </c>
      <c r="H529" s="211" t="str">
        <f ca="1">IFERROR(__xludf.DUMMYFUNCTION("""COMPUTED_VALUE"""),"AEE")</f>
        <v>AEE</v>
      </c>
      <c r="I529" s="214">
        <f ca="1">IFERROR(__xludf.DUMMYFUNCTION("""COMPUTED_VALUE"""),435.2)</f>
        <v>435.2</v>
      </c>
      <c r="J529" s="209"/>
      <c r="K529" s="209"/>
      <c r="L529" s="209"/>
      <c r="M529" s="209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9"/>
      <c r="Y529" s="209"/>
      <c r="Z529" s="209"/>
    </row>
    <row r="530" spans="1:26" ht="18.75" customHeight="1">
      <c r="A530" s="210" t="str">
        <f ca="1">IFERROR(__xludf.DUMMYFUNCTION("""COMPUTED_VALUE"""),"Gurupi")</f>
        <v>Gurupi</v>
      </c>
      <c r="B530" s="210" t="str">
        <f ca="1">IFERROR(__xludf.DUMMYFUNCTION("""COMPUTED_VALUE"""),"Gurupi")</f>
        <v>Gurupi</v>
      </c>
      <c r="C530" s="211" t="str">
        <f ca="1">IFERROR(__xludf.DUMMYFUNCTION("""COMPUTED_VALUE"""),"A.A. ESC. EST. DR. JOAQUIM P. DA COSTA")</f>
        <v>A.A. ESC. EST. DR. JOAQUIM P. DA COSTA</v>
      </c>
      <c r="D530" s="212" t="str">
        <f ca="1">IFERROR(__xludf.DUMMYFUNCTION("""COMPUTED_VALUE"""),"01865386000167")</f>
        <v>01865386000167</v>
      </c>
      <c r="E530" s="212" t="str">
        <f ca="1">IFERROR(__xludf.DUMMYFUNCTION("""COMPUTED_VALUE"""),"001")</f>
        <v>001</v>
      </c>
      <c r="F530" s="212" t="str">
        <f ca="1">IFERROR(__xludf.DUMMYFUNCTION("""COMPUTED_VALUE"""),"0794")</f>
        <v>0794</v>
      </c>
      <c r="G530" s="213" t="str">
        <f ca="1">IFERROR(__xludf.DUMMYFUNCTION("""COMPUTED_VALUE"""),"67288")</f>
        <v>67288</v>
      </c>
      <c r="H530" s="211" t="str">
        <f ca="1">IFERROR(__xludf.DUMMYFUNCTION("""COMPUTED_VALUE"""),"ENS FUND PARCIAL")</f>
        <v>ENS FUND PARCIAL</v>
      </c>
      <c r="I530" s="214">
        <f ca="1">IFERROR(__xludf.DUMMYFUNCTION("""COMPUTED_VALUE"""),2250)</f>
        <v>2250</v>
      </c>
      <c r="J530" s="209"/>
      <c r="K530" s="209"/>
      <c r="L530" s="209"/>
      <c r="M530" s="209"/>
      <c r="N530" s="209"/>
      <c r="O530" s="209"/>
      <c r="P530" s="209"/>
      <c r="Q530" s="209"/>
      <c r="R530" s="209"/>
      <c r="S530" s="209"/>
      <c r="T530" s="209"/>
      <c r="U530" s="209"/>
      <c r="V530" s="209"/>
      <c r="W530" s="209"/>
      <c r="X530" s="209"/>
      <c r="Y530" s="209"/>
      <c r="Z530" s="209"/>
    </row>
    <row r="531" spans="1:26" ht="18.75" customHeight="1">
      <c r="A531" s="210" t="str">
        <f ca="1">IFERROR(__xludf.DUMMYFUNCTION("""COMPUTED_VALUE"""),"Gurupi")</f>
        <v>Gurupi</v>
      </c>
      <c r="B531" s="210" t="str">
        <f ca="1">IFERROR(__xludf.DUMMYFUNCTION("""COMPUTED_VALUE"""),"Gurupi")</f>
        <v>Gurupi</v>
      </c>
      <c r="C531" s="211" t="str">
        <f ca="1">IFERROR(__xludf.DUMMYFUNCTION("""COMPUTED_VALUE"""),"A.A. ESC. EST. DR. JOAQUIM P. DA COSTA")</f>
        <v>A.A. ESC. EST. DR. JOAQUIM P. DA COSTA</v>
      </c>
      <c r="D531" s="212" t="str">
        <f ca="1">IFERROR(__xludf.DUMMYFUNCTION("""COMPUTED_VALUE"""),"01865386000167")</f>
        <v>01865386000167</v>
      </c>
      <c r="E531" s="212" t="str">
        <f ca="1">IFERROR(__xludf.DUMMYFUNCTION("""COMPUTED_VALUE"""),"001")</f>
        <v>001</v>
      </c>
      <c r="F531" s="212" t="str">
        <f ca="1">IFERROR(__xludf.DUMMYFUNCTION("""COMPUTED_VALUE"""),"0794")</f>
        <v>0794</v>
      </c>
      <c r="G531" s="213" t="str">
        <f ca="1">IFERROR(__xludf.DUMMYFUNCTION("""COMPUTED_VALUE"""),"67288")</f>
        <v>67288</v>
      </c>
      <c r="H531" s="211" t="str">
        <f ca="1">IFERROR(__xludf.DUMMYFUNCTION("""COMPUTED_VALUE"""),"AEE")</f>
        <v>AEE</v>
      </c>
      <c r="I531" s="214">
        <f ca="1">IFERROR(__xludf.DUMMYFUNCTION("""COMPUTED_VALUE"""),462.4)</f>
        <v>462.4</v>
      </c>
      <c r="J531" s="209"/>
      <c r="K531" s="209"/>
      <c r="L531" s="209"/>
      <c r="M531" s="209"/>
      <c r="N531" s="209"/>
      <c r="O531" s="209"/>
      <c r="P531" s="209"/>
      <c r="Q531" s="209"/>
      <c r="R531" s="209"/>
      <c r="S531" s="209"/>
      <c r="T531" s="209"/>
      <c r="U531" s="209"/>
      <c r="V531" s="209"/>
      <c r="W531" s="209"/>
      <c r="X531" s="209"/>
      <c r="Y531" s="209"/>
      <c r="Z531" s="209"/>
    </row>
    <row r="532" spans="1:26" ht="18.75" customHeight="1">
      <c r="A532" s="210" t="str">
        <f ca="1">IFERROR(__xludf.DUMMYFUNCTION("""COMPUTED_VALUE"""),"Gurupi")</f>
        <v>Gurupi</v>
      </c>
      <c r="B532" s="210" t="str">
        <f ca="1">IFERROR(__xludf.DUMMYFUNCTION("""COMPUTED_VALUE"""),"Gurupi")</f>
        <v>Gurupi</v>
      </c>
      <c r="C532" s="211" t="str">
        <f ca="1">IFERROR(__xludf.DUMMYFUNCTION("""COMPUTED_VALUE"""),"A.A. ESC. EST. DR. JOAQUIM P. DA COSTA")</f>
        <v>A.A. ESC. EST. DR. JOAQUIM P. DA COSTA</v>
      </c>
      <c r="D532" s="212" t="str">
        <f ca="1">IFERROR(__xludf.DUMMYFUNCTION("""COMPUTED_VALUE"""),"01865386000167")</f>
        <v>01865386000167</v>
      </c>
      <c r="E532" s="212" t="str">
        <f ca="1">IFERROR(__xludf.DUMMYFUNCTION("""COMPUTED_VALUE"""),"001")</f>
        <v>001</v>
      </c>
      <c r="F532" s="212" t="str">
        <f ca="1">IFERROR(__xludf.DUMMYFUNCTION("""COMPUTED_VALUE"""),"0794")</f>
        <v>0794</v>
      </c>
      <c r="G532" s="213" t="str">
        <f ca="1">IFERROR(__xludf.DUMMYFUNCTION("""COMPUTED_VALUE"""),"67288")</f>
        <v>67288</v>
      </c>
      <c r="H532" s="211" t="str">
        <f ca="1">IFERROR(__xludf.DUMMYFUNCTION("""COMPUTED_VALUE"""),"ENSINO MEDIO PARCIAL")</f>
        <v>ENSINO MEDIO PARCIAL</v>
      </c>
      <c r="I532" s="214">
        <f ca="1">IFERROR(__xludf.DUMMYFUNCTION("""COMPUTED_VALUE"""),6610)</f>
        <v>6610</v>
      </c>
      <c r="J532" s="209"/>
      <c r="K532" s="209"/>
      <c r="L532" s="209"/>
      <c r="M532" s="209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9"/>
      <c r="Y532" s="209"/>
      <c r="Z532" s="209"/>
    </row>
    <row r="533" spans="1:26" ht="18.75" customHeight="1">
      <c r="A533" s="210" t="str">
        <f ca="1">IFERROR(__xludf.DUMMYFUNCTION("""COMPUTED_VALUE"""),"Gurupi")</f>
        <v>Gurupi</v>
      </c>
      <c r="B533" s="210" t="str">
        <f ca="1">IFERROR(__xludf.DUMMYFUNCTION("""COMPUTED_VALUE"""),"Gurupi")</f>
        <v>Gurupi</v>
      </c>
      <c r="C533" s="211" t="str">
        <f ca="1">IFERROR(__xludf.DUMMYFUNCTION("""COMPUTED_VALUE"""),"A.A. ESC. EST. DR. JOAQUIM P. DA COSTA")</f>
        <v>A.A. ESC. EST. DR. JOAQUIM P. DA COSTA</v>
      </c>
      <c r="D533" s="212" t="str">
        <f ca="1">IFERROR(__xludf.DUMMYFUNCTION("""COMPUTED_VALUE"""),"01865386000167")</f>
        <v>01865386000167</v>
      </c>
      <c r="E533" s="212" t="str">
        <f ca="1">IFERROR(__xludf.DUMMYFUNCTION("""COMPUTED_VALUE"""),"001")</f>
        <v>001</v>
      </c>
      <c r="F533" s="212" t="str">
        <f ca="1">IFERROR(__xludf.DUMMYFUNCTION("""COMPUTED_VALUE"""),"0794")</f>
        <v>0794</v>
      </c>
      <c r="G533" s="213" t="str">
        <f ca="1">IFERROR(__xludf.DUMMYFUNCTION("""COMPUTED_VALUE"""),"67288")</f>
        <v>67288</v>
      </c>
      <c r="H533" s="211" t="str">
        <f ca="1">IFERROR(__xludf.DUMMYFUNCTION("""COMPUTED_VALUE"""),"EJA")</f>
        <v>EJA</v>
      </c>
      <c r="I533" s="214">
        <f ca="1">IFERROR(__xludf.DUMMYFUNCTION("""COMPUTED_VALUE"""),426.4)</f>
        <v>426.4</v>
      </c>
      <c r="J533" s="209"/>
      <c r="K533" s="209"/>
      <c r="L533" s="209"/>
      <c r="M533" s="209"/>
      <c r="N533" s="209"/>
      <c r="O533" s="209"/>
      <c r="P533" s="209"/>
      <c r="Q533" s="209"/>
      <c r="R533" s="209"/>
      <c r="S533" s="209"/>
      <c r="T533" s="209"/>
      <c r="U533" s="209"/>
      <c r="V533" s="209"/>
      <c r="W533" s="209"/>
      <c r="X533" s="209"/>
      <c r="Y533" s="209"/>
      <c r="Z533" s="209"/>
    </row>
    <row r="534" spans="1:26" ht="18.75" customHeight="1">
      <c r="A534" s="210" t="str">
        <f ca="1">IFERROR(__xludf.DUMMYFUNCTION("""COMPUTED_VALUE"""),"Gurupi")</f>
        <v>Gurupi</v>
      </c>
      <c r="B534" s="210" t="str">
        <f ca="1">IFERROR(__xludf.DUMMYFUNCTION("""COMPUTED_VALUE"""),"Gurupi")</f>
        <v>Gurupi</v>
      </c>
      <c r="C534" s="211" t="str">
        <f ca="1">IFERROR(__xludf.DUMMYFUNCTION("""COMPUTED_VALUE"""),"ASSOC. DE APOIO ESC. EST. BOM JESUS")</f>
        <v>ASSOC. DE APOIO ESC. EST. BOM JESUS</v>
      </c>
      <c r="D534" s="212" t="str">
        <f ca="1">IFERROR(__xludf.DUMMYFUNCTION("""COMPUTED_VALUE"""),"01865430000139")</f>
        <v>01865430000139</v>
      </c>
      <c r="E534" s="212" t="str">
        <f ca="1">IFERROR(__xludf.DUMMYFUNCTION("""COMPUTED_VALUE"""),"001")</f>
        <v>001</v>
      </c>
      <c r="F534" s="212" t="str">
        <f ca="1">IFERROR(__xludf.DUMMYFUNCTION("""COMPUTED_VALUE"""),"0794")</f>
        <v>0794</v>
      </c>
      <c r="G534" s="213" t="str">
        <f ca="1">IFERROR(__xludf.DUMMYFUNCTION("""COMPUTED_VALUE"""),"420603")</f>
        <v>420603</v>
      </c>
      <c r="H534" s="211" t="str">
        <f ca="1">IFERROR(__xludf.DUMMYFUNCTION("""COMPUTED_VALUE"""),"AEE")</f>
        <v>AEE</v>
      </c>
      <c r="I534" s="214">
        <f ca="1">IFERROR(__xludf.DUMMYFUNCTION("""COMPUTED_VALUE"""),231.2)</f>
        <v>231.2</v>
      </c>
      <c r="J534" s="209"/>
      <c r="K534" s="209"/>
      <c r="L534" s="209"/>
      <c r="M534" s="209"/>
      <c r="N534" s="209"/>
      <c r="O534" s="209"/>
      <c r="P534" s="209"/>
      <c r="Q534" s="209"/>
      <c r="R534" s="209"/>
      <c r="S534" s="209"/>
      <c r="T534" s="209"/>
      <c r="U534" s="209"/>
      <c r="V534" s="209"/>
      <c r="W534" s="209"/>
      <c r="X534" s="209"/>
      <c r="Y534" s="209"/>
      <c r="Z534" s="209"/>
    </row>
    <row r="535" spans="1:26" ht="18.75" customHeight="1">
      <c r="A535" s="210" t="str">
        <f ca="1">IFERROR(__xludf.DUMMYFUNCTION("""COMPUTED_VALUE"""),"Gurupi")</f>
        <v>Gurupi</v>
      </c>
      <c r="B535" s="210" t="str">
        <f ca="1">IFERROR(__xludf.DUMMYFUNCTION("""COMPUTED_VALUE"""),"Gurupi")</f>
        <v>Gurupi</v>
      </c>
      <c r="C535" s="211" t="str">
        <f ca="1">IFERROR(__xludf.DUMMYFUNCTION("""COMPUTED_VALUE"""),"ASSOC. DE APOIO ESC. EST. BOM JESUS")</f>
        <v>ASSOC. DE APOIO ESC. EST. BOM JESUS</v>
      </c>
      <c r="D535" s="212" t="str">
        <f ca="1">IFERROR(__xludf.DUMMYFUNCTION("""COMPUTED_VALUE"""),"01865430000139")</f>
        <v>01865430000139</v>
      </c>
      <c r="E535" s="212" t="str">
        <f ca="1">IFERROR(__xludf.DUMMYFUNCTION("""COMPUTED_VALUE"""),"001")</f>
        <v>001</v>
      </c>
      <c r="F535" s="212" t="str">
        <f ca="1">IFERROR(__xludf.DUMMYFUNCTION("""COMPUTED_VALUE"""),"0794")</f>
        <v>0794</v>
      </c>
      <c r="G535" s="213" t="str">
        <f ca="1">IFERROR(__xludf.DUMMYFUNCTION("""COMPUTED_VALUE"""),"420603")</f>
        <v>420603</v>
      </c>
      <c r="H535" s="211" t="str">
        <f ca="1">IFERROR(__xludf.DUMMYFUNCTION("""COMPUTED_VALUE"""),"JOVEM AÇÃO")</f>
        <v>JOVEM AÇÃO</v>
      </c>
      <c r="I535" s="214">
        <f ca="1">IFERROR(__xludf.DUMMYFUNCTION("""COMPUTED_VALUE"""),14950.4)</f>
        <v>14950.4</v>
      </c>
      <c r="J535" s="209"/>
      <c r="K535" s="209"/>
      <c r="L535" s="209"/>
      <c r="M535" s="209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9"/>
      <c r="Y535" s="209"/>
      <c r="Z535" s="209"/>
    </row>
    <row r="536" spans="1:26" ht="18.75" customHeight="1">
      <c r="A536" s="210" t="str">
        <f ca="1">IFERROR(__xludf.DUMMYFUNCTION("""COMPUTED_VALUE"""),"Gurupi")</f>
        <v>Gurupi</v>
      </c>
      <c r="B536" s="210" t="str">
        <f ca="1">IFERROR(__xludf.DUMMYFUNCTION("""COMPUTED_VALUE"""),"Gurupi")</f>
        <v>Gurupi</v>
      </c>
      <c r="C536" s="211" t="str">
        <f ca="1">IFERROR(__xludf.DUMMYFUNCTION("""COMPUTED_VALUE"""),"A.P.M.AL.MAIORES DE ID.C.POSITIVO GURUPI")</f>
        <v>A.P.M.AL.MAIORES DE ID.C.POSITIVO GURUPI</v>
      </c>
      <c r="D536" s="212" t="str">
        <f ca="1">IFERROR(__xludf.DUMMYFUNCTION("""COMPUTED_VALUE"""),"01865432000128")</f>
        <v>01865432000128</v>
      </c>
      <c r="E536" s="212" t="str">
        <f ca="1">IFERROR(__xludf.DUMMYFUNCTION("""COMPUTED_VALUE"""),"104")</f>
        <v>104</v>
      </c>
      <c r="F536" s="212" t="str">
        <f ca="1">IFERROR(__xludf.DUMMYFUNCTION("""COMPUTED_VALUE"""),"0793")</f>
        <v>0793</v>
      </c>
      <c r="G536" s="213" t="str">
        <f ca="1">IFERROR(__xludf.DUMMYFUNCTION("""COMPUTED_VALUE"""),"12138")</f>
        <v>12138</v>
      </c>
      <c r="H536" s="211" t="str">
        <f ca="1">IFERROR(__xludf.DUMMYFUNCTION("""COMPUTED_VALUE"""),"ENS FUND PARCIAL")</f>
        <v>ENS FUND PARCIAL</v>
      </c>
      <c r="I536" s="214">
        <f ca="1">IFERROR(__xludf.DUMMYFUNCTION("""COMPUTED_VALUE"""),4510)</f>
        <v>4510</v>
      </c>
      <c r="J536" s="209"/>
      <c r="K536" s="209"/>
      <c r="L536" s="209"/>
      <c r="M536" s="209"/>
      <c r="N536" s="209"/>
      <c r="O536" s="209"/>
      <c r="P536" s="209"/>
      <c r="Q536" s="209"/>
      <c r="R536" s="209"/>
      <c r="S536" s="209"/>
      <c r="T536" s="209"/>
      <c r="U536" s="209"/>
      <c r="V536" s="209"/>
      <c r="W536" s="209"/>
      <c r="X536" s="209"/>
      <c r="Y536" s="209"/>
      <c r="Z536" s="209"/>
    </row>
    <row r="537" spans="1:26" ht="18.75" customHeight="1">
      <c r="A537" s="210" t="str">
        <f ca="1">IFERROR(__xludf.DUMMYFUNCTION("""COMPUTED_VALUE"""),"Gurupi")</f>
        <v>Gurupi</v>
      </c>
      <c r="B537" s="210" t="str">
        <f ca="1">IFERROR(__xludf.DUMMYFUNCTION("""COMPUTED_VALUE"""),"Gurupi")</f>
        <v>Gurupi</v>
      </c>
      <c r="C537" s="211" t="str">
        <f ca="1">IFERROR(__xludf.DUMMYFUNCTION("""COMPUTED_VALUE"""),"ASSOC. DE APOIO COL. EST. DE GURUPI")</f>
        <v>ASSOC. DE APOIO COL. EST. DE GURUPI</v>
      </c>
      <c r="D537" s="212" t="str">
        <f ca="1">IFERROR(__xludf.DUMMYFUNCTION("""COMPUTED_VALUE"""),"01887135000183")</f>
        <v>01887135000183</v>
      </c>
      <c r="E537" s="212" t="str">
        <f ca="1">IFERROR(__xludf.DUMMYFUNCTION("""COMPUTED_VALUE"""),"001")</f>
        <v>001</v>
      </c>
      <c r="F537" s="212" t="str">
        <f ca="1">IFERROR(__xludf.DUMMYFUNCTION("""COMPUTED_VALUE"""),"0794")</f>
        <v>0794</v>
      </c>
      <c r="G537" s="213" t="str">
        <f ca="1">IFERROR(__xludf.DUMMYFUNCTION("""COMPUTED_VALUE"""),"420700")</f>
        <v>420700</v>
      </c>
      <c r="H537" s="211" t="str">
        <f ca="1">IFERROR(__xludf.DUMMYFUNCTION("""COMPUTED_VALUE"""),"AEE")</f>
        <v>AEE</v>
      </c>
      <c r="I537" s="214">
        <f ca="1">IFERROR(__xludf.DUMMYFUNCTION("""COMPUTED_VALUE"""),108.8)</f>
        <v>108.8</v>
      </c>
      <c r="J537" s="209"/>
      <c r="K537" s="209"/>
      <c r="L537" s="209"/>
      <c r="M537" s="209"/>
      <c r="N537" s="209"/>
      <c r="O537" s="209"/>
      <c r="P537" s="209"/>
      <c r="Q537" s="209"/>
      <c r="R537" s="209"/>
      <c r="S537" s="209"/>
      <c r="T537" s="209"/>
      <c r="U537" s="209"/>
      <c r="V537" s="209"/>
      <c r="W537" s="209"/>
      <c r="X537" s="209"/>
      <c r="Y537" s="209"/>
      <c r="Z537" s="209"/>
    </row>
    <row r="538" spans="1:26" ht="18.75" customHeight="1">
      <c r="A538" s="210" t="str">
        <f ca="1">IFERROR(__xludf.DUMMYFUNCTION("""COMPUTED_VALUE"""),"Gurupi")</f>
        <v>Gurupi</v>
      </c>
      <c r="B538" s="210" t="str">
        <f ca="1">IFERROR(__xludf.DUMMYFUNCTION("""COMPUTED_VALUE"""),"Gurupi")</f>
        <v>Gurupi</v>
      </c>
      <c r="C538" s="211" t="str">
        <f ca="1">IFERROR(__xludf.DUMMYFUNCTION("""COMPUTED_VALUE"""),"ASSOC. DE APOIO COL. EST. DE GURUPI")</f>
        <v>ASSOC. DE APOIO COL. EST. DE GURUPI</v>
      </c>
      <c r="D538" s="212" t="str">
        <f ca="1">IFERROR(__xludf.DUMMYFUNCTION("""COMPUTED_VALUE"""),"01887135000183")</f>
        <v>01887135000183</v>
      </c>
      <c r="E538" s="212" t="str">
        <f ca="1">IFERROR(__xludf.DUMMYFUNCTION("""COMPUTED_VALUE"""),"001")</f>
        <v>001</v>
      </c>
      <c r="F538" s="212" t="str">
        <f ca="1">IFERROR(__xludf.DUMMYFUNCTION("""COMPUTED_VALUE"""),"0794")</f>
        <v>0794</v>
      </c>
      <c r="G538" s="213" t="str">
        <f ca="1">IFERROR(__xludf.DUMMYFUNCTION("""COMPUTED_VALUE"""),"420700")</f>
        <v>420700</v>
      </c>
      <c r="H538" s="211" t="str">
        <f ca="1">IFERROR(__xludf.DUMMYFUNCTION("""COMPUTED_VALUE"""),"JOVEM AÇÃO")</f>
        <v>JOVEM AÇÃO</v>
      </c>
      <c r="I538" s="214">
        <f ca="1">IFERROR(__xludf.DUMMYFUNCTION("""COMPUTED_VALUE"""),4710.4)</f>
        <v>4710.3999999999996</v>
      </c>
      <c r="J538" s="209"/>
      <c r="K538" s="209"/>
      <c r="L538" s="209"/>
      <c r="M538" s="209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9"/>
      <c r="Y538" s="209"/>
      <c r="Z538" s="209"/>
    </row>
    <row r="539" spans="1:26" ht="18.75" customHeight="1">
      <c r="A539" s="210" t="str">
        <f ca="1">IFERROR(__xludf.DUMMYFUNCTION("""COMPUTED_VALUE"""),"Gurupi")</f>
        <v>Gurupi</v>
      </c>
      <c r="B539" s="210" t="str">
        <f ca="1">IFERROR(__xludf.DUMMYFUNCTION("""COMPUTED_VALUE"""),"Gurupi")</f>
        <v>Gurupi</v>
      </c>
      <c r="C539" s="211" t="str">
        <f ca="1">IFERROR(__xludf.DUMMYFUNCTION("""COMPUTED_VALUE"""),"A. EDUCACIONAL PRES. COSTA E SILVA")</f>
        <v>A. EDUCACIONAL PRES. COSTA E SILVA</v>
      </c>
      <c r="D539" s="212" t="str">
        <f ca="1">IFERROR(__xludf.DUMMYFUNCTION("""COMPUTED_VALUE"""),"01888719000173")</f>
        <v>01888719000173</v>
      </c>
      <c r="E539" s="212" t="str">
        <f ca="1">IFERROR(__xludf.DUMMYFUNCTION("""COMPUTED_VALUE"""),"001")</f>
        <v>001</v>
      </c>
      <c r="F539" s="212" t="str">
        <f ca="1">IFERROR(__xludf.DUMMYFUNCTION("""COMPUTED_VALUE"""),"0794")</f>
        <v>0794</v>
      </c>
      <c r="G539" s="213" t="str">
        <f ca="1">IFERROR(__xludf.DUMMYFUNCTION("""COMPUTED_VALUE"""),"67490")</f>
        <v>67490</v>
      </c>
      <c r="H539" s="211" t="str">
        <f ca="1">IFERROR(__xludf.DUMMYFUNCTION("""COMPUTED_VALUE"""),"ENS FUND INTEGRAL")</f>
        <v>ENS FUND INTEGRAL</v>
      </c>
      <c r="I539" s="214">
        <f ca="1">IFERROR(__xludf.DUMMYFUNCTION("""COMPUTED_VALUE"""),22742)</f>
        <v>22742</v>
      </c>
      <c r="J539" s="209"/>
      <c r="K539" s="209"/>
      <c r="L539" s="209"/>
      <c r="M539" s="209"/>
      <c r="N539" s="209"/>
      <c r="O539" s="209"/>
      <c r="P539" s="209"/>
      <c r="Q539" s="209"/>
      <c r="R539" s="209"/>
      <c r="S539" s="209"/>
      <c r="T539" s="209"/>
      <c r="U539" s="209"/>
      <c r="V539" s="209"/>
      <c r="W539" s="209"/>
      <c r="X539" s="209"/>
      <c r="Y539" s="209"/>
      <c r="Z539" s="209"/>
    </row>
    <row r="540" spans="1:26" ht="18.75" customHeight="1">
      <c r="A540" s="210" t="str">
        <f ca="1">IFERROR(__xludf.DUMMYFUNCTION("""COMPUTED_VALUE"""),"Gurupi")</f>
        <v>Gurupi</v>
      </c>
      <c r="B540" s="210" t="str">
        <f ca="1">IFERROR(__xludf.DUMMYFUNCTION("""COMPUTED_VALUE"""),"Gurupi")</f>
        <v>Gurupi</v>
      </c>
      <c r="C540" s="211" t="str">
        <f ca="1">IFERROR(__xludf.DUMMYFUNCTION("""COMPUTED_VALUE"""),"A. EDUCACIONAL PRES. COSTA E SILVA")</f>
        <v>A. EDUCACIONAL PRES. COSTA E SILVA</v>
      </c>
      <c r="D540" s="212" t="str">
        <f ca="1">IFERROR(__xludf.DUMMYFUNCTION("""COMPUTED_VALUE"""),"01888719000173")</f>
        <v>01888719000173</v>
      </c>
      <c r="E540" s="212" t="str">
        <f ca="1">IFERROR(__xludf.DUMMYFUNCTION("""COMPUTED_VALUE"""),"001")</f>
        <v>001</v>
      </c>
      <c r="F540" s="212" t="str">
        <f ca="1">IFERROR(__xludf.DUMMYFUNCTION("""COMPUTED_VALUE"""),"0794")</f>
        <v>0794</v>
      </c>
      <c r="G540" s="213" t="str">
        <f ca="1">IFERROR(__xludf.DUMMYFUNCTION("""COMPUTED_VALUE"""),"67490")</f>
        <v>67490</v>
      </c>
      <c r="H540" s="211" t="str">
        <f ca="1">IFERROR(__xludf.DUMMYFUNCTION("""COMPUTED_VALUE"""),"AEE")</f>
        <v>AEE</v>
      </c>
      <c r="I540" s="214">
        <f ca="1">IFERROR(__xludf.DUMMYFUNCTION("""COMPUTED_VALUE"""),734.4)</f>
        <v>734.4</v>
      </c>
      <c r="J540" s="209"/>
      <c r="K540" s="209"/>
      <c r="L540" s="209"/>
      <c r="M540" s="209"/>
      <c r="N540" s="209"/>
      <c r="O540" s="209"/>
      <c r="P540" s="209"/>
      <c r="Q540" s="209"/>
      <c r="R540" s="209"/>
      <c r="S540" s="209"/>
      <c r="T540" s="209"/>
      <c r="U540" s="209"/>
      <c r="V540" s="209"/>
      <c r="W540" s="209"/>
      <c r="X540" s="209"/>
      <c r="Y540" s="209"/>
      <c r="Z540" s="209"/>
    </row>
    <row r="541" spans="1:26" ht="18.75" customHeight="1">
      <c r="A541" s="210" t="str">
        <f ca="1">IFERROR(__xludf.DUMMYFUNCTION("""COMPUTED_VALUE"""),"Gurupi")</f>
        <v>Gurupi</v>
      </c>
      <c r="B541" s="210" t="str">
        <f ca="1">IFERROR(__xludf.DUMMYFUNCTION("""COMPUTED_VALUE"""),"Gurupi")</f>
        <v>Gurupi</v>
      </c>
      <c r="C541" s="211" t="str">
        <f ca="1">IFERROR(__xludf.DUMMYFUNCTION("""COMPUTED_VALUE"""),"A. EDUCACIONAL PRES. COSTA E SILVA")</f>
        <v>A. EDUCACIONAL PRES. COSTA E SILVA</v>
      </c>
      <c r="D541" s="212" t="str">
        <f ca="1">IFERROR(__xludf.DUMMYFUNCTION("""COMPUTED_VALUE"""),"01888719000173")</f>
        <v>01888719000173</v>
      </c>
      <c r="E541" s="212" t="str">
        <f ca="1">IFERROR(__xludf.DUMMYFUNCTION("""COMPUTED_VALUE"""),"001")</f>
        <v>001</v>
      </c>
      <c r="F541" s="212" t="str">
        <f ca="1">IFERROR(__xludf.DUMMYFUNCTION("""COMPUTED_VALUE"""),"0794")</f>
        <v>0794</v>
      </c>
      <c r="G541" s="213" t="str">
        <f ca="1">IFERROR(__xludf.DUMMYFUNCTION("""COMPUTED_VALUE"""),"67490")</f>
        <v>67490</v>
      </c>
      <c r="H541" s="211" t="str">
        <f ca="1">IFERROR(__xludf.DUMMYFUNCTION("""COMPUTED_VALUE"""),"ENSINO MEDIO INTEGRAL")</f>
        <v>ENSINO MEDIO INTEGRAL</v>
      </c>
      <c r="I541" s="214">
        <f ca="1">IFERROR(__xludf.DUMMYFUNCTION("""COMPUTED_VALUE"""),8220)</f>
        <v>8220</v>
      </c>
      <c r="J541" s="209"/>
      <c r="K541" s="209"/>
      <c r="L541" s="209"/>
      <c r="M541" s="209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9"/>
      <c r="Y541" s="209"/>
      <c r="Z541" s="209"/>
    </row>
    <row r="542" spans="1:26" ht="18.75" customHeight="1">
      <c r="A542" s="210" t="str">
        <f ca="1">IFERROR(__xludf.DUMMYFUNCTION("""COMPUTED_VALUE"""),"Gurupi")</f>
        <v>Gurupi</v>
      </c>
      <c r="B542" s="210" t="str">
        <f ca="1">IFERROR(__xludf.DUMMYFUNCTION("""COMPUTED_VALUE"""),"Gurupi")</f>
        <v>Gurupi</v>
      </c>
      <c r="C542" s="211" t="str">
        <f ca="1">IFERROR(__xludf.DUMMYFUNCTION("""COMPUTED_VALUE"""),"A.A.  ESCOLAR DO COL. EST. JOSE SEABRA")</f>
        <v>A.A.  ESCOLAR DO COL. EST. JOSE SEABRA</v>
      </c>
      <c r="D542" s="212" t="str">
        <f ca="1">IFERROR(__xludf.DUMMYFUNCTION("""COMPUTED_VALUE"""),"01910570000181")</f>
        <v>01910570000181</v>
      </c>
      <c r="E542" s="212" t="str">
        <f ca="1">IFERROR(__xludf.DUMMYFUNCTION("""COMPUTED_VALUE"""),"001")</f>
        <v>001</v>
      </c>
      <c r="F542" s="212" t="str">
        <f ca="1">IFERROR(__xludf.DUMMYFUNCTION("""COMPUTED_VALUE"""),"0794")</f>
        <v>0794</v>
      </c>
      <c r="G542" s="213" t="str">
        <f ca="1">IFERROR(__xludf.DUMMYFUNCTION("""COMPUTED_VALUE"""),"66982")</f>
        <v>66982</v>
      </c>
      <c r="H542" s="211" t="str">
        <f ca="1">IFERROR(__xludf.DUMMYFUNCTION("""COMPUTED_VALUE"""),"ENS FUND INTEGRAL")</f>
        <v>ENS FUND INTEGRAL</v>
      </c>
      <c r="I542" s="214">
        <f ca="1">IFERROR(__xludf.DUMMYFUNCTION("""COMPUTED_VALUE"""),17426.3999999999)</f>
        <v>17426.3999999999</v>
      </c>
      <c r="J542" s="209"/>
      <c r="K542" s="209"/>
      <c r="L542" s="209"/>
      <c r="M542" s="209"/>
      <c r="N542" s="209"/>
      <c r="O542" s="209"/>
      <c r="P542" s="209"/>
      <c r="Q542" s="209"/>
      <c r="R542" s="209"/>
      <c r="S542" s="209"/>
      <c r="T542" s="209"/>
      <c r="U542" s="209"/>
      <c r="V542" s="209"/>
      <c r="W542" s="209"/>
      <c r="X542" s="209"/>
      <c r="Y542" s="209"/>
      <c r="Z542" s="209"/>
    </row>
    <row r="543" spans="1:26" ht="18.75" customHeight="1">
      <c r="A543" s="210" t="str">
        <f ca="1">IFERROR(__xludf.DUMMYFUNCTION("""COMPUTED_VALUE"""),"Gurupi")</f>
        <v>Gurupi</v>
      </c>
      <c r="B543" s="210" t="str">
        <f ca="1">IFERROR(__xludf.DUMMYFUNCTION("""COMPUTED_VALUE"""),"Gurupi")</f>
        <v>Gurupi</v>
      </c>
      <c r="C543" s="211" t="str">
        <f ca="1">IFERROR(__xludf.DUMMYFUNCTION("""COMPUTED_VALUE"""),"A. DE PAIS E MESTRES/ESC. EST. VILA GUARACY")</f>
        <v>A. DE PAIS E MESTRES/ESC. EST. VILA GUARACY</v>
      </c>
      <c r="D543" s="212" t="str">
        <f ca="1">IFERROR(__xludf.DUMMYFUNCTION("""COMPUTED_VALUE"""),"01918955000195")</f>
        <v>01918955000195</v>
      </c>
      <c r="E543" s="212" t="str">
        <f ca="1">IFERROR(__xludf.DUMMYFUNCTION("""COMPUTED_VALUE"""),"001")</f>
        <v>001</v>
      </c>
      <c r="F543" s="212" t="str">
        <f ca="1">IFERROR(__xludf.DUMMYFUNCTION("""COMPUTED_VALUE"""),"0794")</f>
        <v>0794</v>
      </c>
      <c r="G543" s="213" t="str">
        <f ca="1">IFERROR(__xludf.DUMMYFUNCTION("""COMPUTED_VALUE"""),"67008")</f>
        <v>67008</v>
      </c>
      <c r="H543" s="211" t="str">
        <f ca="1">IFERROR(__xludf.DUMMYFUNCTION("""COMPUTED_VALUE"""),"ENS FUND PARCIAL")</f>
        <v>ENS FUND PARCIAL</v>
      </c>
      <c r="I543" s="214">
        <f ca="1">IFERROR(__xludf.DUMMYFUNCTION("""COMPUTED_VALUE"""),1760)</f>
        <v>1760</v>
      </c>
      <c r="J543" s="209"/>
      <c r="K543" s="209"/>
      <c r="L543" s="209"/>
      <c r="M543" s="209"/>
      <c r="N543" s="209"/>
      <c r="O543" s="209"/>
      <c r="P543" s="209"/>
      <c r="Q543" s="209"/>
      <c r="R543" s="209"/>
      <c r="S543" s="209"/>
      <c r="T543" s="209"/>
      <c r="U543" s="209"/>
      <c r="V543" s="209"/>
      <c r="W543" s="209"/>
      <c r="X543" s="209"/>
      <c r="Y543" s="209"/>
      <c r="Z543" s="209"/>
    </row>
    <row r="544" spans="1:26" ht="18.75" customHeight="1">
      <c r="A544" s="210" t="str">
        <f ca="1">IFERROR(__xludf.DUMMYFUNCTION("""COMPUTED_VALUE"""),"Gurupi")</f>
        <v>Gurupi</v>
      </c>
      <c r="B544" s="210" t="str">
        <f ca="1">IFERROR(__xludf.DUMMYFUNCTION("""COMPUTED_VALUE"""),"Gurupi")</f>
        <v>Gurupi</v>
      </c>
      <c r="C544" s="211" t="str">
        <f ca="1">IFERROR(__xludf.DUMMYFUNCTION("""COMPUTED_VALUE"""),"A. DE PAIS E MESTRES/ESC. EST. VILA GUARACY")</f>
        <v>A. DE PAIS E MESTRES/ESC. EST. VILA GUARACY</v>
      </c>
      <c r="D544" s="212" t="str">
        <f ca="1">IFERROR(__xludf.DUMMYFUNCTION("""COMPUTED_VALUE"""),"01918955000195")</f>
        <v>01918955000195</v>
      </c>
      <c r="E544" s="212" t="str">
        <f ca="1">IFERROR(__xludf.DUMMYFUNCTION("""COMPUTED_VALUE"""),"001")</f>
        <v>001</v>
      </c>
      <c r="F544" s="212" t="str">
        <f ca="1">IFERROR(__xludf.DUMMYFUNCTION("""COMPUTED_VALUE"""),"0794")</f>
        <v>0794</v>
      </c>
      <c r="G544" s="213" t="str">
        <f ca="1">IFERROR(__xludf.DUMMYFUNCTION("""COMPUTED_VALUE"""),"67008")</f>
        <v>67008</v>
      </c>
      <c r="H544" s="211" t="str">
        <f ca="1">IFERROR(__xludf.DUMMYFUNCTION("""COMPUTED_VALUE"""),"AEE")</f>
        <v>AEE</v>
      </c>
      <c r="I544" s="214">
        <f ca="1">IFERROR(__xludf.DUMMYFUNCTION("""COMPUTED_VALUE"""),204)</f>
        <v>204</v>
      </c>
      <c r="J544" s="209"/>
      <c r="K544" s="209"/>
      <c r="L544" s="209"/>
      <c r="M544" s="209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9"/>
      <c r="Y544" s="209"/>
      <c r="Z544" s="209"/>
    </row>
    <row r="545" spans="1:26" ht="18.75" customHeight="1">
      <c r="A545" s="210" t="str">
        <f ca="1">IFERROR(__xludf.DUMMYFUNCTION("""COMPUTED_VALUE"""),"Gurupi")</f>
        <v>Gurupi</v>
      </c>
      <c r="B545" s="210" t="str">
        <f ca="1">IFERROR(__xludf.DUMMYFUNCTION("""COMPUTED_VALUE"""),"Gurupi")</f>
        <v>Gurupi</v>
      </c>
      <c r="C545" s="211" t="str">
        <f ca="1">IFERROR(__xludf.DUMMYFUNCTION("""COMPUTED_VALUE"""),"A.A. ESCOLAR DA ESC. EST. DR.WALDIR LINS")</f>
        <v>A.A. ESCOLAR DA ESC. EST. DR.WALDIR LINS</v>
      </c>
      <c r="D545" s="212" t="str">
        <f ca="1">IFERROR(__xludf.DUMMYFUNCTION("""COMPUTED_VALUE"""),"01936535000131")</f>
        <v>01936535000131</v>
      </c>
      <c r="E545" s="212" t="str">
        <f ca="1">IFERROR(__xludf.DUMMYFUNCTION("""COMPUTED_VALUE"""),"001")</f>
        <v>001</v>
      </c>
      <c r="F545" s="212" t="str">
        <f ca="1">IFERROR(__xludf.DUMMYFUNCTION("""COMPUTED_VALUE"""),"0794")</f>
        <v>0794</v>
      </c>
      <c r="G545" s="213" t="str">
        <f ca="1">IFERROR(__xludf.DUMMYFUNCTION("""COMPUTED_VALUE"""),"66966")</f>
        <v>66966</v>
      </c>
      <c r="H545" s="211" t="str">
        <f ca="1">IFERROR(__xludf.DUMMYFUNCTION("""COMPUTED_VALUE"""),"ENS FUND PARCIAL")</f>
        <v>ENS FUND PARCIAL</v>
      </c>
      <c r="I545" s="214">
        <f ca="1">IFERROR(__xludf.DUMMYFUNCTION("""COMPUTED_VALUE"""),40)</f>
        <v>40</v>
      </c>
      <c r="J545" s="209"/>
      <c r="K545" s="209"/>
      <c r="L545" s="209"/>
      <c r="M545" s="209"/>
      <c r="N545" s="209"/>
      <c r="O545" s="209"/>
      <c r="P545" s="209"/>
      <c r="Q545" s="209"/>
      <c r="R545" s="209"/>
      <c r="S545" s="209"/>
      <c r="T545" s="209"/>
      <c r="U545" s="209"/>
      <c r="V545" s="209"/>
      <c r="W545" s="209"/>
      <c r="X545" s="209"/>
      <c r="Y545" s="209"/>
      <c r="Z545" s="209"/>
    </row>
    <row r="546" spans="1:26" ht="18.75" customHeight="1">
      <c r="A546" s="210" t="str">
        <f ca="1">IFERROR(__xludf.DUMMYFUNCTION("""COMPUTED_VALUE"""),"Gurupi")</f>
        <v>Gurupi</v>
      </c>
      <c r="B546" s="210" t="str">
        <f ca="1">IFERROR(__xludf.DUMMYFUNCTION("""COMPUTED_VALUE"""),"Gurupi")</f>
        <v>Gurupi</v>
      </c>
      <c r="C546" s="211" t="str">
        <f ca="1">IFERROR(__xludf.DUMMYFUNCTION("""COMPUTED_VALUE"""),"A.A. ESCOLAR DA ESC. EST. DR.WALDIR LINS")</f>
        <v>A.A. ESCOLAR DA ESC. EST. DR.WALDIR LINS</v>
      </c>
      <c r="D546" s="212" t="str">
        <f ca="1">IFERROR(__xludf.DUMMYFUNCTION("""COMPUTED_VALUE"""),"01936535000131")</f>
        <v>01936535000131</v>
      </c>
      <c r="E546" s="212" t="str">
        <f ca="1">IFERROR(__xludf.DUMMYFUNCTION("""COMPUTED_VALUE"""),"001")</f>
        <v>001</v>
      </c>
      <c r="F546" s="212" t="str">
        <f ca="1">IFERROR(__xludf.DUMMYFUNCTION("""COMPUTED_VALUE"""),"0794")</f>
        <v>0794</v>
      </c>
      <c r="G546" s="213" t="str">
        <f ca="1">IFERROR(__xludf.DUMMYFUNCTION("""COMPUTED_VALUE"""),"66966")</f>
        <v>66966</v>
      </c>
      <c r="H546" s="211" t="str">
        <f ca="1">IFERROR(__xludf.DUMMYFUNCTION("""COMPUTED_VALUE"""),"AEE")</f>
        <v>AEE</v>
      </c>
      <c r="I546" s="214">
        <f ca="1">IFERROR(__xludf.DUMMYFUNCTION("""COMPUTED_VALUE"""),163.2)</f>
        <v>163.19999999999999</v>
      </c>
      <c r="J546" s="209"/>
      <c r="K546" s="209"/>
      <c r="L546" s="209"/>
      <c r="M546" s="209"/>
      <c r="N546" s="209"/>
      <c r="O546" s="209"/>
      <c r="P546" s="209"/>
      <c r="Q546" s="209"/>
      <c r="R546" s="209"/>
      <c r="S546" s="209"/>
      <c r="T546" s="209"/>
      <c r="U546" s="209"/>
      <c r="V546" s="209"/>
      <c r="W546" s="209"/>
      <c r="X546" s="209"/>
      <c r="Y546" s="209"/>
      <c r="Z546" s="209"/>
    </row>
    <row r="547" spans="1:26" ht="18.75" customHeight="1">
      <c r="A547" s="210" t="str">
        <f ca="1">IFERROR(__xludf.DUMMYFUNCTION("""COMPUTED_VALUE"""),"Gurupi")</f>
        <v>Gurupi</v>
      </c>
      <c r="B547" s="210" t="str">
        <f ca="1">IFERROR(__xludf.DUMMYFUNCTION("""COMPUTED_VALUE"""),"Gurupi")</f>
        <v>Gurupi</v>
      </c>
      <c r="C547" s="211" t="str">
        <f ca="1">IFERROR(__xludf.DUMMYFUNCTION("""COMPUTED_VALUE"""),"A.A. ESCOLAR DA ESC. EST. DR.WALDIR LINS")</f>
        <v>A.A. ESCOLAR DA ESC. EST. DR.WALDIR LINS</v>
      </c>
      <c r="D547" s="212" t="str">
        <f ca="1">IFERROR(__xludf.DUMMYFUNCTION("""COMPUTED_VALUE"""),"01936535000131")</f>
        <v>01936535000131</v>
      </c>
      <c r="E547" s="212" t="str">
        <f ca="1">IFERROR(__xludf.DUMMYFUNCTION("""COMPUTED_VALUE"""),"001")</f>
        <v>001</v>
      </c>
      <c r="F547" s="212" t="str">
        <f ca="1">IFERROR(__xludf.DUMMYFUNCTION("""COMPUTED_VALUE"""),"0794")</f>
        <v>0794</v>
      </c>
      <c r="G547" s="213" t="str">
        <f ca="1">IFERROR(__xludf.DUMMYFUNCTION("""COMPUTED_VALUE"""),"66966")</f>
        <v>66966</v>
      </c>
      <c r="H547" s="211" t="str">
        <f ca="1">IFERROR(__xludf.DUMMYFUNCTION("""COMPUTED_VALUE"""),"ENSINO MEDIO PARCIAL")</f>
        <v>ENSINO MEDIO PARCIAL</v>
      </c>
      <c r="I547" s="214">
        <f ca="1">IFERROR(__xludf.DUMMYFUNCTION("""COMPUTED_VALUE"""),1130)</f>
        <v>1130</v>
      </c>
      <c r="J547" s="209"/>
      <c r="K547" s="209"/>
      <c r="L547" s="209"/>
      <c r="M547" s="209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9"/>
      <c r="Y547" s="209"/>
      <c r="Z547" s="209"/>
    </row>
    <row r="548" spans="1:26" ht="18.75" customHeight="1">
      <c r="A548" s="210" t="str">
        <f ca="1">IFERROR(__xludf.DUMMYFUNCTION("""COMPUTED_VALUE"""),"Gurupi")</f>
        <v>Gurupi</v>
      </c>
      <c r="B548" s="210" t="str">
        <f ca="1">IFERROR(__xludf.DUMMYFUNCTION("""COMPUTED_VALUE"""),"Gurupi")</f>
        <v>Gurupi</v>
      </c>
      <c r="C548" s="211" t="str">
        <f ca="1">IFERROR(__xludf.DUMMYFUNCTION("""COMPUTED_VALUE"""),"ASSOC. A. CENTRO DE ENS. MÉDIO ARY R. VALADÃO FILHO")</f>
        <v>ASSOC. A. CENTRO DE ENS. MÉDIO ARY R. VALADÃO FILHO</v>
      </c>
      <c r="D548" s="212" t="str">
        <f ca="1">IFERROR(__xludf.DUMMYFUNCTION("""COMPUTED_VALUE"""),"02152392000130")</f>
        <v>02152392000130</v>
      </c>
      <c r="E548" s="212" t="str">
        <f ca="1">IFERROR(__xludf.DUMMYFUNCTION("""COMPUTED_VALUE"""),"001")</f>
        <v>001</v>
      </c>
      <c r="F548" s="212" t="str">
        <f ca="1">IFERROR(__xludf.DUMMYFUNCTION("""COMPUTED_VALUE"""),"0794")</f>
        <v>0794</v>
      </c>
      <c r="G548" s="213" t="str">
        <f ca="1">IFERROR(__xludf.DUMMYFUNCTION("""COMPUTED_VALUE"""),"420646")</f>
        <v>420646</v>
      </c>
      <c r="H548" s="211" t="str">
        <f ca="1">IFERROR(__xludf.DUMMYFUNCTION("""COMPUTED_VALUE"""),"AEE")</f>
        <v>AEE</v>
      </c>
      <c r="I548" s="214">
        <f ca="1">IFERROR(__xludf.DUMMYFUNCTION("""COMPUTED_VALUE"""),394.4)</f>
        <v>394.4</v>
      </c>
      <c r="J548" s="209"/>
      <c r="K548" s="209"/>
      <c r="L548" s="209"/>
      <c r="M548" s="209"/>
      <c r="N548" s="209"/>
      <c r="O548" s="209"/>
      <c r="P548" s="209"/>
      <c r="Q548" s="209"/>
      <c r="R548" s="209"/>
      <c r="S548" s="209"/>
      <c r="T548" s="209"/>
      <c r="U548" s="209"/>
      <c r="V548" s="209"/>
      <c r="W548" s="209"/>
      <c r="X548" s="209"/>
      <c r="Y548" s="209"/>
      <c r="Z548" s="209"/>
    </row>
    <row r="549" spans="1:26" ht="18.75" customHeight="1">
      <c r="A549" s="210" t="str">
        <f ca="1">IFERROR(__xludf.DUMMYFUNCTION("""COMPUTED_VALUE"""),"Gurupi")</f>
        <v>Gurupi</v>
      </c>
      <c r="B549" s="210" t="str">
        <f ca="1">IFERROR(__xludf.DUMMYFUNCTION("""COMPUTED_VALUE"""),"Gurupi")</f>
        <v>Gurupi</v>
      </c>
      <c r="C549" s="211" t="str">
        <f ca="1">IFERROR(__xludf.DUMMYFUNCTION("""COMPUTED_VALUE"""),"ASSOC. A. CENTRO DE ENS. MÉDIO ARY R. VALADÃO FILHO")</f>
        <v>ASSOC. A. CENTRO DE ENS. MÉDIO ARY R. VALADÃO FILHO</v>
      </c>
      <c r="D549" s="212" t="str">
        <f ca="1">IFERROR(__xludf.DUMMYFUNCTION("""COMPUTED_VALUE"""),"02152392000130")</f>
        <v>02152392000130</v>
      </c>
      <c r="E549" s="212" t="str">
        <f ca="1">IFERROR(__xludf.DUMMYFUNCTION("""COMPUTED_VALUE"""),"001")</f>
        <v>001</v>
      </c>
      <c r="F549" s="212" t="str">
        <f ca="1">IFERROR(__xludf.DUMMYFUNCTION("""COMPUTED_VALUE"""),"0794")</f>
        <v>0794</v>
      </c>
      <c r="G549" s="213" t="str">
        <f ca="1">IFERROR(__xludf.DUMMYFUNCTION("""COMPUTED_VALUE"""),"420646")</f>
        <v>420646</v>
      </c>
      <c r="H549" s="211" t="str">
        <f ca="1">IFERROR(__xludf.DUMMYFUNCTION("""COMPUTED_VALUE"""),"ENSINO MEDIO PARCIAL")</f>
        <v>ENSINO MEDIO PARCIAL</v>
      </c>
      <c r="I549" s="214">
        <f ca="1">IFERROR(__xludf.DUMMYFUNCTION("""COMPUTED_VALUE"""),7860)</f>
        <v>7860</v>
      </c>
      <c r="J549" s="209"/>
      <c r="K549" s="209"/>
      <c r="L549" s="209"/>
      <c r="M549" s="209"/>
      <c r="N549" s="209"/>
      <c r="O549" s="209"/>
      <c r="P549" s="209"/>
      <c r="Q549" s="209"/>
      <c r="R549" s="209"/>
      <c r="S549" s="209"/>
      <c r="T549" s="209"/>
      <c r="U549" s="209"/>
      <c r="V549" s="209"/>
      <c r="W549" s="209"/>
      <c r="X549" s="209"/>
      <c r="Y549" s="209"/>
      <c r="Z549" s="209"/>
    </row>
    <row r="550" spans="1:26" ht="18.75" customHeight="1">
      <c r="A550" s="210" t="str">
        <f ca="1">IFERROR(__xludf.DUMMYFUNCTION("""COMPUTED_VALUE"""),"Gurupi")</f>
        <v>Gurupi</v>
      </c>
      <c r="B550" s="210" t="str">
        <f ca="1">IFERROR(__xludf.DUMMYFUNCTION("""COMPUTED_VALUE"""),"Gurupi")</f>
        <v>Gurupi</v>
      </c>
      <c r="C550" s="211" t="str">
        <f ca="1">IFERROR(__xludf.DUMMYFUNCTION("""COMPUTED_VALUE"""),"A.A. ESC. EST.ISOL.E IND.REG.DE GURUPI")</f>
        <v>A.A. ESC. EST.ISOL.E IND.REG.DE GURUPI</v>
      </c>
      <c r="D550" s="212" t="str">
        <f ca="1">IFERROR(__xludf.DUMMYFUNCTION("""COMPUTED_VALUE"""),"03011592000135")</f>
        <v>03011592000135</v>
      </c>
      <c r="E550" s="212" t="str">
        <f ca="1">IFERROR(__xludf.DUMMYFUNCTION("""COMPUTED_VALUE"""),"001")</f>
        <v>001</v>
      </c>
      <c r="F550" s="212" t="str">
        <f ca="1">IFERROR(__xludf.DUMMYFUNCTION("""COMPUTED_VALUE"""),"0794")</f>
        <v>0794</v>
      </c>
      <c r="G550" s="213" t="str">
        <f ca="1">IFERROR(__xludf.DUMMYFUNCTION("""COMPUTED_VALUE"""),"67563")</f>
        <v>67563</v>
      </c>
      <c r="H550" s="211" t="str">
        <f ca="1">IFERROR(__xludf.DUMMYFUNCTION("""COMPUTED_VALUE"""),"INDIGENA")</f>
        <v>INDIGENA</v>
      </c>
      <c r="I550" s="214">
        <f ca="1">IFERROR(__xludf.DUMMYFUNCTION("""COMPUTED_VALUE"""),2803.6)</f>
        <v>2803.6</v>
      </c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9"/>
    </row>
    <row r="551" spans="1:26" ht="18.75" customHeight="1">
      <c r="A551" s="210" t="str">
        <f ca="1">IFERROR(__xludf.DUMMYFUNCTION("""COMPUTED_VALUE"""),"Gurupi")</f>
        <v>Gurupi</v>
      </c>
      <c r="B551" s="210" t="str">
        <f ca="1">IFERROR(__xludf.DUMMYFUNCTION("""COMPUTED_VALUE"""),"Gurupi")</f>
        <v>Gurupi</v>
      </c>
      <c r="C551" s="211" t="str">
        <f ca="1">IFERROR(__xludf.DUMMYFUNCTION("""COMPUTED_VALUE"""),"A.A. DO INSTITUTO PRESBITERIANO ARAGUAIA")</f>
        <v>A.A. DO INSTITUTO PRESBITERIANO ARAGUAIA</v>
      </c>
      <c r="D551" s="212" t="str">
        <f ca="1">IFERROR(__xludf.DUMMYFUNCTION("""COMPUTED_VALUE"""),"03060918000114")</f>
        <v>03060918000114</v>
      </c>
      <c r="E551" s="212" t="str">
        <f ca="1">IFERROR(__xludf.DUMMYFUNCTION("""COMPUTED_VALUE"""),"104")</f>
        <v>104</v>
      </c>
      <c r="F551" s="212" t="str">
        <f ca="1">IFERROR(__xludf.DUMMYFUNCTION("""COMPUTED_VALUE"""),"0793")</f>
        <v>0793</v>
      </c>
      <c r="G551" s="213" t="str">
        <f ca="1">IFERROR(__xludf.DUMMYFUNCTION("""COMPUTED_VALUE"""),"12090")</f>
        <v>12090</v>
      </c>
      <c r="H551" s="211" t="str">
        <f ca="1">IFERROR(__xludf.DUMMYFUNCTION("""COMPUTED_VALUE"""),"ENS FUND PARCIAL")</f>
        <v>ENS FUND PARCIAL</v>
      </c>
      <c r="I551" s="214">
        <f ca="1">IFERROR(__xludf.DUMMYFUNCTION("""COMPUTED_VALUE"""),6360)</f>
        <v>6360</v>
      </c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9"/>
    </row>
    <row r="552" spans="1:26" ht="18.75" customHeight="1">
      <c r="A552" s="210" t="str">
        <f ca="1">IFERROR(__xludf.DUMMYFUNCTION("""COMPUTED_VALUE"""),"Gurupi")</f>
        <v>Gurupi</v>
      </c>
      <c r="B552" s="210" t="str">
        <f ca="1">IFERROR(__xludf.DUMMYFUNCTION("""COMPUTED_VALUE"""),"Gurupi")</f>
        <v>Gurupi</v>
      </c>
      <c r="C552" s="211" t="str">
        <f ca="1">IFERROR(__xludf.DUMMYFUNCTION("""COMPUTED_VALUE"""),"A.A. DO INSTITUTO PRESBITERIANO ARAGUAIA")</f>
        <v>A.A. DO INSTITUTO PRESBITERIANO ARAGUAIA</v>
      </c>
      <c r="D552" s="212" t="str">
        <f ca="1">IFERROR(__xludf.DUMMYFUNCTION("""COMPUTED_VALUE"""),"03060918000114")</f>
        <v>03060918000114</v>
      </c>
      <c r="E552" s="212" t="str">
        <f ca="1">IFERROR(__xludf.DUMMYFUNCTION("""COMPUTED_VALUE"""),"104")</f>
        <v>104</v>
      </c>
      <c r="F552" s="212" t="str">
        <f ca="1">IFERROR(__xludf.DUMMYFUNCTION("""COMPUTED_VALUE"""),"0793")</f>
        <v>0793</v>
      </c>
      <c r="G552" s="213" t="str">
        <f ca="1">IFERROR(__xludf.DUMMYFUNCTION("""COMPUTED_VALUE"""),"12090")</f>
        <v>12090</v>
      </c>
      <c r="H552" s="211" t="str">
        <f ca="1">IFERROR(__xludf.DUMMYFUNCTION("""COMPUTED_VALUE"""),"AEE")</f>
        <v>AEE</v>
      </c>
      <c r="I552" s="214">
        <f ca="1">IFERROR(__xludf.DUMMYFUNCTION("""COMPUTED_VALUE"""),367.2)</f>
        <v>367.2</v>
      </c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9"/>
    </row>
    <row r="553" spans="1:26" ht="18.75" customHeight="1">
      <c r="A553" s="210" t="str">
        <f ca="1">IFERROR(__xludf.DUMMYFUNCTION("""COMPUTED_VALUE"""),"Gurupi")</f>
        <v>Gurupi</v>
      </c>
      <c r="B553" s="210" t="str">
        <f ca="1">IFERROR(__xludf.DUMMYFUNCTION("""COMPUTED_VALUE"""),"Gurupi")</f>
        <v>Gurupi</v>
      </c>
      <c r="C553" s="211" t="str">
        <f ca="1">IFERROR(__xludf.DUMMYFUNCTION("""COMPUTED_VALUE"""),"A.A. DO INSTITUTO PRESBITERIANO ARAGUAIA")</f>
        <v>A.A. DO INSTITUTO PRESBITERIANO ARAGUAIA</v>
      </c>
      <c r="D553" s="212" t="str">
        <f ca="1">IFERROR(__xludf.DUMMYFUNCTION("""COMPUTED_VALUE"""),"03060918000114")</f>
        <v>03060918000114</v>
      </c>
      <c r="E553" s="212" t="str">
        <f ca="1">IFERROR(__xludf.DUMMYFUNCTION("""COMPUTED_VALUE"""),"104")</f>
        <v>104</v>
      </c>
      <c r="F553" s="212" t="str">
        <f ca="1">IFERROR(__xludf.DUMMYFUNCTION("""COMPUTED_VALUE"""),"0793")</f>
        <v>0793</v>
      </c>
      <c r="G553" s="213" t="str">
        <f ca="1">IFERROR(__xludf.DUMMYFUNCTION("""COMPUTED_VALUE"""),"12090")</f>
        <v>12090</v>
      </c>
      <c r="H553" s="211" t="str">
        <f ca="1">IFERROR(__xludf.DUMMYFUNCTION("""COMPUTED_VALUE"""),"ENSINO MEDIO PARCIAL")</f>
        <v>ENSINO MEDIO PARCIAL</v>
      </c>
      <c r="I553" s="214">
        <f ca="1">IFERROR(__xludf.DUMMYFUNCTION("""COMPUTED_VALUE"""),4630)</f>
        <v>4630</v>
      </c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9"/>
    </row>
    <row r="554" spans="1:26" ht="18.75" customHeight="1">
      <c r="A554" s="210" t="str">
        <f ca="1">IFERROR(__xludf.DUMMYFUNCTION("""COMPUTED_VALUE"""),"Gurupi")</f>
        <v>Gurupi</v>
      </c>
      <c r="B554" s="210" t="str">
        <f ca="1">IFERROR(__xludf.DUMMYFUNCTION("""COMPUTED_VALUE"""),"Gurupi")</f>
        <v>Gurupi</v>
      </c>
      <c r="C554" s="211" t="str">
        <f ca="1">IFERROR(__xludf.DUMMYFUNCTION("""COMPUTED_VALUE"""),"A.A. DO INSTITUTO PRESBITERIANO EDUCACIONAL")</f>
        <v>A.A. DO INSTITUTO PRESBITERIANO EDUCACIONAL</v>
      </c>
      <c r="D554" s="212" t="str">
        <f ca="1">IFERROR(__xludf.DUMMYFUNCTION("""COMPUTED_VALUE"""),"07217559000117")</f>
        <v>07217559000117</v>
      </c>
      <c r="E554" s="212" t="str">
        <f ca="1">IFERROR(__xludf.DUMMYFUNCTION("""COMPUTED_VALUE"""),"104")</f>
        <v>104</v>
      </c>
      <c r="F554" s="212" t="str">
        <f ca="1">IFERROR(__xludf.DUMMYFUNCTION("""COMPUTED_VALUE"""),"0793")</f>
        <v>0793</v>
      </c>
      <c r="G554" s="213" t="str">
        <f ca="1">IFERROR(__xludf.DUMMYFUNCTION("""COMPUTED_VALUE"""),"2663")</f>
        <v>2663</v>
      </c>
      <c r="H554" s="211" t="str">
        <f ca="1">IFERROR(__xludf.DUMMYFUNCTION("""COMPUTED_VALUE"""),"ENS FUND PARCIAL")</f>
        <v>ENS FUND PARCIAL</v>
      </c>
      <c r="I554" s="214">
        <f ca="1">IFERROR(__xludf.DUMMYFUNCTION("""COMPUTED_VALUE"""),2600)</f>
        <v>2600</v>
      </c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9"/>
    </row>
    <row r="555" spans="1:26" ht="18.75" customHeight="1">
      <c r="A555" s="210" t="str">
        <f ca="1">IFERROR(__xludf.DUMMYFUNCTION("""COMPUTED_VALUE"""),"Gurupi")</f>
        <v>Gurupi</v>
      </c>
      <c r="B555" s="210" t="str">
        <f ca="1">IFERROR(__xludf.DUMMYFUNCTION("""COMPUTED_VALUE"""),"Gurupi")</f>
        <v>Gurupi</v>
      </c>
      <c r="C555" s="211" t="str">
        <f ca="1">IFERROR(__xludf.DUMMYFUNCTION("""COMPUTED_VALUE"""),"ASSOCIAÇÃO DE APOIO A ESCOLA ESPECIAL SÃO FRANCISCO DE ASSIS")</f>
        <v>ASSOCIAÇÃO DE APOIO A ESCOLA ESPECIAL SÃO FRANCISCO DE ASSIS</v>
      </c>
      <c r="D555" s="212" t="str">
        <f ca="1">IFERROR(__xludf.DUMMYFUNCTION("""COMPUTED_VALUE"""),"07947356000186")</f>
        <v>07947356000186</v>
      </c>
      <c r="E555" s="212" t="str">
        <f ca="1">IFERROR(__xludf.DUMMYFUNCTION("""COMPUTED_VALUE"""),"001")</f>
        <v>001</v>
      </c>
      <c r="F555" s="212" t="str">
        <f ca="1">IFERROR(__xludf.DUMMYFUNCTION("""COMPUTED_VALUE"""),"0794")</f>
        <v>0794</v>
      </c>
      <c r="G555" s="213" t="str">
        <f ca="1">IFERROR(__xludf.DUMMYFUNCTION("""COMPUTED_VALUE"""),"431109")</f>
        <v>431109</v>
      </c>
      <c r="H555" s="211" t="str">
        <f ca="1">IFERROR(__xludf.DUMMYFUNCTION("""COMPUTED_VALUE"""),"PRÉ-ESCOLA")</f>
        <v>PRÉ-ESCOLA</v>
      </c>
      <c r="I555" s="214">
        <f ca="1">IFERROR(__xludf.DUMMYFUNCTION("""COMPUTED_VALUE"""),331.2)</f>
        <v>331.2</v>
      </c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9"/>
    </row>
    <row r="556" spans="1:26" ht="18.75" customHeight="1">
      <c r="A556" s="210" t="str">
        <f ca="1">IFERROR(__xludf.DUMMYFUNCTION("""COMPUTED_VALUE"""),"Gurupi")</f>
        <v>Gurupi</v>
      </c>
      <c r="B556" s="210" t="str">
        <f ca="1">IFERROR(__xludf.DUMMYFUNCTION("""COMPUTED_VALUE"""),"Gurupi")</f>
        <v>Gurupi</v>
      </c>
      <c r="C556" s="211" t="str">
        <f ca="1">IFERROR(__xludf.DUMMYFUNCTION("""COMPUTED_VALUE"""),"ASSOCIAÇÃO DE APOIO A ESCOLA ESPECIAL SÃO FRANCISCO DE ASSIS")</f>
        <v>ASSOCIAÇÃO DE APOIO A ESCOLA ESPECIAL SÃO FRANCISCO DE ASSIS</v>
      </c>
      <c r="D556" s="212" t="str">
        <f ca="1">IFERROR(__xludf.DUMMYFUNCTION("""COMPUTED_VALUE"""),"07947356000186")</f>
        <v>07947356000186</v>
      </c>
      <c r="E556" s="212" t="str">
        <f ca="1">IFERROR(__xludf.DUMMYFUNCTION("""COMPUTED_VALUE"""),"001")</f>
        <v>001</v>
      </c>
      <c r="F556" s="212" t="str">
        <f ca="1">IFERROR(__xludf.DUMMYFUNCTION("""COMPUTED_VALUE"""),"0794")</f>
        <v>0794</v>
      </c>
      <c r="G556" s="213" t="str">
        <f ca="1">IFERROR(__xludf.DUMMYFUNCTION("""COMPUTED_VALUE"""),"431109")</f>
        <v>431109</v>
      </c>
      <c r="H556" s="211" t="str">
        <f ca="1">IFERROR(__xludf.DUMMYFUNCTION("""COMPUTED_VALUE"""),"ENS FUND PARCIAL")</f>
        <v>ENS FUND PARCIAL</v>
      </c>
      <c r="I556" s="214">
        <f ca="1">IFERROR(__xludf.DUMMYFUNCTION("""COMPUTED_VALUE"""),220)</f>
        <v>220</v>
      </c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9"/>
    </row>
    <row r="557" spans="1:26" ht="18.75" customHeight="1">
      <c r="A557" s="210" t="str">
        <f ca="1">IFERROR(__xludf.DUMMYFUNCTION("""COMPUTED_VALUE"""),"Gurupi")</f>
        <v>Gurupi</v>
      </c>
      <c r="B557" s="210" t="str">
        <f ca="1">IFERROR(__xludf.DUMMYFUNCTION("""COMPUTED_VALUE"""),"Gurupi")</f>
        <v>Gurupi</v>
      </c>
      <c r="C557" s="211" t="str">
        <f ca="1">IFERROR(__xludf.DUMMYFUNCTION("""COMPUTED_VALUE"""),"ASSOCIAÇÃO DE APOIO A ESCOLA ESPECIAL SÃO FRANCISCO DE ASSIS")</f>
        <v>ASSOCIAÇÃO DE APOIO A ESCOLA ESPECIAL SÃO FRANCISCO DE ASSIS</v>
      </c>
      <c r="D557" s="212" t="str">
        <f ca="1">IFERROR(__xludf.DUMMYFUNCTION("""COMPUTED_VALUE"""),"07947356000186")</f>
        <v>07947356000186</v>
      </c>
      <c r="E557" s="212" t="str">
        <f ca="1">IFERROR(__xludf.DUMMYFUNCTION("""COMPUTED_VALUE"""),"001")</f>
        <v>001</v>
      </c>
      <c r="F557" s="212" t="str">
        <f ca="1">IFERROR(__xludf.DUMMYFUNCTION("""COMPUTED_VALUE"""),"0794")</f>
        <v>0794</v>
      </c>
      <c r="G557" s="213" t="str">
        <f ca="1">IFERROR(__xludf.DUMMYFUNCTION("""COMPUTED_VALUE"""),"431109")</f>
        <v>431109</v>
      </c>
      <c r="H557" s="211" t="str">
        <f ca="1">IFERROR(__xludf.DUMMYFUNCTION("""COMPUTED_VALUE"""),"AEE")</f>
        <v>AEE</v>
      </c>
      <c r="I557" s="214">
        <f ca="1">IFERROR(__xludf.DUMMYFUNCTION("""COMPUTED_VALUE"""),258.4)</f>
        <v>258.39999999999998</v>
      </c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9"/>
    </row>
    <row r="558" spans="1:26" ht="18.75" customHeight="1">
      <c r="A558" s="210" t="str">
        <f ca="1">IFERROR(__xludf.DUMMYFUNCTION("""COMPUTED_VALUE"""),"Gurupi")</f>
        <v>Gurupi</v>
      </c>
      <c r="B558" s="210" t="str">
        <f ca="1">IFERROR(__xludf.DUMMYFUNCTION("""COMPUTED_VALUE"""),"Gurupi")</f>
        <v>Gurupi</v>
      </c>
      <c r="C558" s="211" t="str">
        <f ca="1">IFERROR(__xludf.DUMMYFUNCTION("""COMPUTED_VALUE"""),"ASSOCIAÇÃO DE APOIO A ESCOLA ESPECIAL SÃO FRANCISCO DE ASSIS")</f>
        <v>ASSOCIAÇÃO DE APOIO A ESCOLA ESPECIAL SÃO FRANCISCO DE ASSIS</v>
      </c>
      <c r="D558" s="212" t="str">
        <f ca="1">IFERROR(__xludf.DUMMYFUNCTION("""COMPUTED_VALUE"""),"07947356000186")</f>
        <v>07947356000186</v>
      </c>
      <c r="E558" s="212" t="str">
        <f ca="1">IFERROR(__xludf.DUMMYFUNCTION("""COMPUTED_VALUE"""),"001")</f>
        <v>001</v>
      </c>
      <c r="F558" s="212" t="str">
        <f ca="1">IFERROR(__xludf.DUMMYFUNCTION("""COMPUTED_VALUE"""),"0794")</f>
        <v>0794</v>
      </c>
      <c r="G558" s="213" t="str">
        <f ca="1">IFERROR(__xludf.DUMMYFUNCTION("""COMPUTED_VALUE"""),"431109")</f>
        <v>431109</v>
      </c>
      <c r="H558" s="211" t="str">
        <f ca="1">IFERROR(__xludf.DUMMYFUNCTION("""COMPUTED_VALUE"""),"EJA")</f>
        <v>EJA</v>
      </c>
      <c r="I558" s="214">
        <f ca="1">IFERROR(__xludf.DUMMYFUNCTION("""COMPUTED_VALUE"""),926.599999999999)</f>
        <v>926.599999999999</v>
      </c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9"/>
    </row>
    <row r="559" spans="1:26" ht="18.75" customHeight="1">
      <c r="A559" s="210" t="str">
        <f ca="1">IFERROR(__xludf.DUMMYFUNCTION("""COMPUTED_VALUE"""),"Gurupi")</f>
        <v>Gurupi</v>
      </c>
      <c r="B559" s="210" t="str">
        <f ca="1">IFERROR(__xludf.DUMMYFUNCTION("""COMPUTED_VALUE"""),"Gurupi")</f>
        <v>Gurupi</v>
      </c>
      <c r="C559" s="211" t="str">
        <f ca="1">IFERROR(__xludf.DUMMYFUNCTION("""COMPUTED_VALUE"""),"ASSOC APOIO INSTITUTO EDUCACIONAL PASSO A PASSO")</f>
        <v>ASSOC APOIO INSTITUTO EDUCACIONAL PASSO A PASSO</v>
      </c>
      <c r="D559" s="212" t="str">
        <f ca="1">IFERROR(__xludf.DUMMYFUNCTION("""COMPUTED_VALUE"""),"10450172000110")</f>
        <v>10450172000110</v>
      </c>
      <c r="E559" s="212" t="str">
        <f ca="1">IFERROR(__xludf.DUMMYFUNCTION("""COMPUTED_VALUE"""),"001")</f>
        <v>001</v>
      </c>
      <c r="F559" s="212" t="str">
        <f ca="1">IFERROR(__xludf.DUMMYFUNCTION("""COMPUTED_VALUE"""),"0794")</f>
        <v>0794</v>
      </c>
      <c r="G559" s="213" t="str">
        <f ca="1">IFERROR(__xludf.DUMMYFUNCTION("""COMPUTED_VALUE"""),"414263")</f>
        <v>414263</v>
      </c>
      <c r="H559" s="211" t="str">
        <f ca="1">IFERROR(__xludf.DUMMYFUNCTION("""COMPUTED_VALUE"""),"ENS FUND PARCIAL")</f>
        <v>ENS FUND PARCIAL</v>
      </c>
      <c r="I559" s="214">
        <f ca="1">IFERROR(__xludf.DUMMYFUNCTION("""COMPUTED_VALUE"""),4200)</f>
        <v>4200</v>
      </c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9"/>
    </row>
    <row r="560" spans="1:26" ht="18.75" customHeight="1">
      <c r="A560" s="210" t="str">
        <f ca="1">IFERROR(__xludf.DUMMYFUNCTION("""COMPUTED_VALUE"""),"Gurupi")</f>
        <v>Gurupi</v>
      </c>
      <c r="B560" s="210" t="str">
        <f ca="1">IFERROR(__xludf.DUMMYFUNCTION("""COMPUTED_VALUE"""),"Gurupi")</f>
        <v>Gurupi</v>
      </c>
      <c r="C560" s="211" t="str">
        <f ca="1">IFERROR(__xludf.DUMMYFUNCTION("""COMPUTED_VALUE"""),"APM. DA INSTITUIÇÃO BENEFICENTE IRMÃ DULCE")</f>
        <v>APM. DA INSTITUIÇÃO BENEFICENTE IRMÃ DULCE</v>
      </c>
      <c r="D560" s="212" t="str">
        <f ca="1">IFERROR(__xludf.DUMMYFUNCTION("""COMPUTED_VALUE"""),"10807313000100")</f>
        <v>10807313000100</v>
      </c>
      <c r="E560" s="212" t="str">
        <f ca="1">IFERROR(__xludf.DUMMYFUNCTION("""COMPUTED_VALUE"""),"001")</f>
        <v>001</v>
      </c>
      <c r="F560" s="212" t="str">
        <f ca="1">IFERROR(__xludf.DUMMYFUNCTION("""COMPUTED_VALUE"""),"0794")</f>
        <v>0794</v>
      </c>
      <c r="G560" s="213" t="str">
        <f ca="1">IFERROR(__xludf.DUMMYFUNCTION("""COMPUTED_VALUE"""),"447218")</f>
        <v>447218</v>
      </c>
      <c r="H560" s="211" t="str">
        <f ca="1">IFERROR(__xludf.DUMMYFUNCTION("""COMPUTED_VALUE"""),"ENS FUND INTEGRAL")</f>
        <v>ENS FUND INTEGRAL</v>
      </c>
      <c r="I560" s="214">
        <f ca="1">IFERROR(__xludf.DUMMYFUNCTION("""COMPUTED_VALUE"""),5069)</f>
        <v>5069</v>
      </c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9"/>
    </row>
    <row r="561" spans="1:26" ht="18.75" customHeight="1">
      <c r="A561" s="210" t="str">
        <f ca="1">IFERROR(__xludf.DUMMYFUNCTION("""COMPUTED_VALUE"""),"Gurupi")</f>
        <v>Gurupi</v>
      </c>
      <c r="B561" s="210" t="str">
        <f ca="1">IFERROR(__xludf.DUMMYFUNCTION("""COMPUTED_VALUE"""),"Gurupi")</f>
        <v>Gurupi</v>
      </c>
      <c r="C561" s="211" t="str">
        <f ca="1">IFERROR(__xludf.DUMMYFUNCTION("""COMPUTED_VALUE"""),"INSTITUTO SOCIAL EVANG DE GURUPI/EDUC. EVANG. EBENÉZER")</f>
        <v>INSTITUTO SOCIAL EVANG DE GURUPI/EDUC. EVANG. EBENÉZER</v>
      </c>
      <c r="D561" s="212" t="str">
        <f ca="1">IFERROR(__xludf.DUMMYFUNCTION("""COMPUTED_VALUE"""),"17194297000176")</f>
        <v>17194297000176</v>
      </c>
      <c r="E561" s="212" t="str">
        <f ca="1">IFERROR(__xludf.DUMMYFUNCTION("""COMPUTED_VALUE"""),"001")</f>
        <v>001</v>
      </c>
      <c r="F561" s="212" t="str">
        <f ca="1">IFERROR(__xludf.DUMMYFUNCTION("""COMPUTED_VALUE"""),"0794")</f>
        <v>0794</v>
      </c>
      <c r="G561" s="213" t="str">
        <f ca="1">IFERROR(__xludf.DUMMYFUNCTION("""COMPUTED_VALUE"""),"493066")</f>
        <v>493066</v>
      </c>
      <c r="H561" s="211" t="str">
        <f ca="1">IFERROR(__xludf.DUMMYFUNCTION("""COMPUTED_VALUE"""),"ENS FUND PARCIAL")</f>
        <v>ENS FUND PARCIAL</v>
      </c>
      <c r="I561" s="214">
        <f ca="1">IFERROR(__xludf.DUMMYFUNCTION("""COMPUTED_VALUE"""),7500)</f>
        <v>7500</v>
      </c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9"/>
    </row>
    <row r="562" spans="1:26" ht="18.75" customHeight="1">
      <c r="A562" s="210" t="str">
        <f ca="1">IFERROR(__xludf.DUMMYFUNCTION("""COMPUTED_VALUE"""),"Gurupi")</f>
        <v>Gurupi</v>
      </c>
      <c r="B562" s="210" t="str">
        <f ca="1">IFERROR(__xludf.DUMMYFUNCTION("""COMPUTED_VALUE"""),"Gurupi")</f>
        <v>Gurupi</v>
      </c>
      <c r="C562" s="211" t="str">
        <f ca="1">IFERROR(__xludf.DUMMYFUNCTION("""COMPUTED_VALUE"""),"A.A. DA ESCOLA ESTADUAL RUI BARBOSA")</f>
        <v>A.A. DA ESCOLA ESTADUAL RUI BARBOSA</v>
      </c>
      <c r="D562" s="212" t="str">
        <f ca="1">IFERROR(__xludf.DUMMYFUNCTION("""COMPUTED_VALUE"""),"43753475000161")</f>
        <v>43753475000161</v>
      </c>
      <c r="E562" s="212" t="str">
        <f ca="1">IFERROR(__xludf.DUMMYFUNCTION("""COMPUTED_VALUE"""),"001")</f>
        <v>001</v>
      </c>
      <c r="F562" s="212" t="str">
        <f ca="1">IFERROR(__xludf.DUMMYFUNCTION("""COMPUTED_VALUE"""),"0794")</f>
        <v>0794</v>
      </c>
      <c r="G562" s="213" t="str">
        <f ca="1">IFERROR(__xludf.DUMMYFUNCTION("""COMPUTED_VALUE"""),"682969")</f>
        <v>682969</v>
      </c>
      <c r="H562" s="211" t="str">
        <f ca="1">IFERROR(__xludf.DUMMYFUNCTION("""COMPUTED_VALUE"""),"EJA")</f>
        <v>EJA</v>
      </c>
      <c r="I562" s="214">
        <f ca="1">IFERROR(__xludf.DUMMYFUNCTION("""COMPUTED_VALUE"""),2025.39999999999)</f>
        <v>2025.3999999999901</v>
      </c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9"/>
    </row>
    <row r="563" spans="1:26" ht="18.75" customHeight="1">
      <c r="A563" s="210" t="str">
        <f ca="1">IFERROR(__xludf.DUMMYFUNCTION("""COMPUTED_VALUE"""),"Gurupi")</f>
        <v>Gurupi</v>
      </c>
      <c r="B563" s="210" t="str">
        <f ca="1">IFERROR(__xludf.DUMMYFUNCTION("""COMPUTED_VALUE"""),"Jau do Tocantins")</f>
        <v>Jau do Tocantins</v>
      </c>
      <c r="C563" s="211" t="str">
        <f ca="1">IFERROR(__xludf.DUMMYFUNCTION("""COMPUTED_VALUE"""),"AAEC PEDRO LUIZ BONFIM/ADELÁIDE FRANCISCO SOARES")</f>
        <v>AAEC PEDRO LUIZ BONFIM/ADELÁIDE FRANCISCO SOARES</v>
      </c>
      <c r="D563" s="212" t="str">
        <f ca="1">IFERROR(__xludf.DUMMYFUNCTION("""COMPUTED_VALUE"""),"02080228000164")</f>
        <v>02080228000164</v>
      </c>
      <c r="E563" s="212" t="str">
        <f ca="1">IFERROR(__xludf.DUMMYFUNCTION("""COMPUTED_VALUE"""),"001")</f>
        <v>001</v>
      </c>
      <c r="F563" s="212" t="str">
        <f ca="1">IFERROR(__xludf.DUMMYFUNCTION("""COMPUTED_VALUE"""),"0794")</f>
        <v>0794</v>
      </c>
      <c r="G563" s="213" t="str">
        <f ca="1">IFERROR(__xludf.DUMMYFUNCTION("""COMPUTED_VALUE"""),"420743")</f>
        <v>420743</v>
      </c>
      <c r="H563" s="211" t="str">
        <f ca="1">IFERROR(__xludf.DUMMYFUNCTION("""COMPUTED_VALUE"""),"ENSINO MEDIO PARCIAL")</f>
        <v>ENSINO MEDIO PARCIAL</v>
      </c>
      <c r="I563" s="214">
        <f ca="1">IFERROR(__xludf.DUMMYFUNCTION("""COMPUTED_VALUE"""),1300)</f>
        <v>1300</v>
      </c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9"/>
    </row>
    <row r="564" spans="1:26" ht="18.75" customHeight="1">
      <c r="A564" s="210" t="str">
        <f ca="1">IFERROR(__xludf.DUMMYFUNCTION("""COMPUTED_VALUE"""),"Gurupi")</f>
        <v>Gurupi</v>
      </c>
      <c r="B564" s="210" t="str">
        <f ca="1">IFERROR(__xludf.DUMMYFUNCTION("""COMPUTED_VALUE"""),"Palmeiropolis")</f>
        <v>Palmeiropolis</v>
      </c>
      <c r="C564" s="211" t="str">
        <f ca="1">IFERROR(__xludf.DUMMYFUNCTION("""COMPUTED_VALUE"""),"A. A.DO COLEGIO EST. DE PALMEIROPOLIS (COLÉGIO MILITAR)")</f>
        <v>A. A.DO COLEGIO EST. DE PALMEIROPOLIS (COLÉGIO MILITAR)</v>
      </c>
      <c r="D564" s="212" t="str">
        <f ca="1">IFERROR(__xludf.DUMMYFUNCTION("""COMPUTED_VALUE"""),"01210496000190")</f>
        <v>01210496000190</v>
      </c>
      <c r="E564" s="212" t="str">
        <f ca="1">IFERROR(__xludf.DUMMYFUNCTION("""COMPUTED_VALUE"""),"001")</f>
        <v>001</v>
      </c>
      <c r="F564" s="212" t="str">
        <f ca="1">IFERROR(__xludf.DUMMYFUNCTION("""COMPUTED_VALUE"""),"1303")</f>
        <v>1303</v>
      </c>
      <c r="G564" s="213" t="str">
        <f ca="1">IFERROR(__xludf.DUMMYFUNCTION("""COMPUTED_VALUE"""),"97438")</f>
        <v>97438</v>
      </c>
      <c r="H564" s="211" t="str">
        <f ca="1">IFERROR(__xludf.DUMMYFUNCTION("""COMPUTED_VALUE"""),"ENS FUND PARCIAL")</f>
        <v>ENS FUND PARCIAL</v>
      </c>
      <c r="I564" s="214">
        <f ca="1">IFERROR(__xludf.DUMMYFUNCTION("""COMPUTED_VALUE"""),2220)</f>
        <v>2220</v>
      </c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9"/>
    </row>
    <row r="565" spans="1:26" ht="18.75" customHeight="1">
      <c r="A565" s="210" t="str">
        <f ca="1">IFERROR(__xludf.DUMMYFUNCTION("""COMPUTED_VALUE"""),"Gurupi")</f>
        <v>Gurupi</v>
      </c>
      <c r="B565" s="210" t="str">
        <f ca="1">IFERROR(__xludf.DUMMYFUNCTION("""COMPUTED_VALUE"""),"Palmeiropolis")</f>
        <v>Palmeiropolis</v>
      </c>
      <c r="C565" s="211" t="str">
        <f ca="1">IFERROR(__xludf.DUMMYFUNCTION("""COMPUTED_VALUE"""),"A. A.DO COLEGIO EST. DE PALMEIROPOLIS (COLÉGIO MILITAR)")</f>
        <v>A. A.DO COLEGIO EST. DE PALMEIROPOLIS (COLÉGIO MILITAR)</v>
      </c>
      <c r="D565" s="212" t="str">
        <f ca="1">IFERROR(__xludf.DUMMYFUNCTION("""COMPUTED_VALUE"""),"01210496000190")</f>
        <v>01210496000190</v>
      </c>
      <c r="E565" s="212" t="str">
        <f ca="1">IFERROR(__xludf.DUMMYFUNCTION("""COMPUTED_VALUE"""),"001")</f>
        <v>001</v>
      </c>
      <c r="F565" s="212" t="str">
        <f ca="1">IFERROR(__xludf.DUMMYFUNCTION("""COMPUTED_VALUE"""),"1303")</f>
        <v>1303</v>
      </c>
      <c r="G565" s="213" t="str">
        <f ca="1">IFERROR(__xludf.DUMMYFUNCTION("""COMPUTED_VALUE"""),"97438")</f>
        <v>97438</v>
      </c>
      <c r="H565" s="211" t="str">
        <f ca="1">IFERROR(__xludf.DUMMYFUNCTION("""COMPUTED_VALUE"""),"AEE")</f>
        <v>AEE</v>
      </c>
      <c r="I565" s="214">
        <f ca="1">IFERROR(__xludf.DUMMYFUNCTION("""COMPUTED_VALUE"""),176.799999999999)</f>
        <v>176.79999999999899</v>
      </c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9"/>
    </row>
    <row r="566" spans="1:26" ht="18.75" customHeight="1">
      <c r="A566" s="210" t="str">
        <f ca="1">IFERROR(__xludf.DUMMYFUNCTION("""COMPUTED_VALUE"""),"Gurupi")</f>
        <v>Gurupi</v>
      </c>
      <c r="B566" s="210" t="str">
        <f ca="1">IFERROR(__xludf.DUMMYFUNCTION("""COMPUTED_VALUE"""),"Palmeiropolis")</f>
        <v>Palmeiropolis</v>
      </c>
      <c r="C566" s="211" t="str">
        <f ca="1">IFERROR(__xludf.DUMMYFUNCTION("""COMPUTED_VALUE"""),"A. A.DO COLEGIO EST. DE PALMEIROPOLIS (COLÉGIO MILITAR)")</f>
        <v>A. A.DO COLEGIO EST. DE PALMEIROPOLIS (COLÉGIO MILITAR)</v>
      </c>
      <c r="D566" s="212" t="str">
        <f ca="1">IFERROR(__xludf.DUMMYFUNCTION("""COMPUTED_VALUE"""),"01210496000190")</f>
        <v>01210496000190</v>
      </c>
      <c r="E566" s="212" t="str">
        <f ca="1">IFERROR(__xludf.DUMMYFUNCTION("""COMPUTED_VALUE"""),"001")</f>
        <v>001</v>
      </c>
      <c r="F566" s="212" t="str">
        <f ca="1">IFERROR(__xludf.DUMMYFUNCTION("""COMPUTED_VALUE"""),"1303")</f>
        <v>1303</v>
      </c>
      <c r="G566" s="213" t="str">
        <f ca="1">IFERROR(__xludf.DUMMYFUNCTION("""COMPUTED_VALUE"""),"97438")</f>
        <v>97438</v>
      </c>
      <c r="H566" s="211" t="str">
        <f ca="1">IFERROR(__xludf.DUMMYFUNCTION("""COMPUTED_VALUE"""),"ENSINO MEDIO PARCIAL")</f>
        <v>ENSINO MEDIO PARCIAL</v>
      </c>
      <c r="I566" s="214">
        <f ca="1">IFERROR(__xludf.DUMMYFUNCTION("""COMPUTED_VALUE"""),1670)</f>
        <v>1670</v>
      </c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9"/>
    </row>
    <row r="567" spans="1:26" ht="18.75" customHeight="1">
      <c r="A567" s="210" t="str">
        <f ca="1">IFERROR(__xludf.DUMMYFUNCTION("""COMPUTED_VALUE"""),"Gurupi")</f>
        <v>Gurupi</v>
      </c>
      <c r="B567" s="210" t="str">
        <f ca="1">IFERROR(__xludf.DUMMYFUNCTION("""COMPUTED_VALUE"""),"Palmeiropolis")</f>
        <v>Palmeiropolis</v>
      </c>
      <c r="C567" s="211" t="str">
        <f ca="1">IFERROR(__xludf.DUMMYFUNCTION("""COMPUTED_VALUE"""),"A.A. ESCOLA ESTADUAL PROFESSORA ONEIDES")</f>
        <v>A.A. ESCOLA ESTADUAL PROFESSORA ONEIDES</v>
      </c>
      <c r="D567" s="212" t="str">
        <f ca="1">IFERROR(__xludf.DUMMYFUNCTION("""COMPUTED_VALUE"""),"01262903000103")</f>
        <v>01262903000103</v>
      </c>
      <c r="E567" s="212" t="str">
        <f ca="1">IFERROR(__xludf.DUMMYFUNCTION("""COMPUTED_VALUE"""),"001")</f>
        <v>001</v>
      </c>
      <c r="F567" s="212" t="str">
        <f ca="1">IFERROR(__xludf.DUMMYFUNCTION("""COMPUTED_VALUE"""),"4608")</f>
        <v>4608</v>
      </c>
      <c r="G567" s="213" t="str">
        <f ca="1">IFERROR(__xludf.DUMMYFUNCTION("""COMPUTED_VALUE"""),"79758")</f>
        <v>79758</v>
      </c>
      <c r="H567" s="211" t="str">
        <f ca="1">IFERROR(__xludf.DUMMYFUNCTION("""COMPUTED_VALUE"""),"ENS FUND PARCIAL")</f>
        <v>ENS FUND PARCIAL</v>
      </c>
      <c r="I567" s="214">
        <f ca="1">IFERROR(__xludf.DUMMYFUNCTION("""COMPUTED_VALUE"""),2320)</f>
        <v>2320</v>
      </c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9"/>
    </row>
    <row r="568" spans="1:26" ht="18.75" customHeight="1">
      <c r="A568" s="210" t="str">
        <f ca="1">IFERROR(__xludf.DUMMYFUNCTION("""COMPUTED_VALUE"""),"Gurupi")</f>
        <v>Gurupi</v>
      </c>
      <c r="B568" s="210" t="str">
        <f ca="1">IFERROR(__xludf.DUMMYFUNCTION("""COMPUTED_VALUE"""),"Palmeiropolis")</f>
        <v>Palmeiropolis</v>
      </c>
      <c r="C568" s="211" t="str">
        <f ca="1">IFERROR(__xludf.DUMMYFUNCTION("""COMPUTED_VALUE"""),"A.A. ESCOLA ESTADUAL PROFESSORA ONEIDES")</f>
        <v>A.A. ESCOLA ESTADUAL PROFESSORA ONEIDES</v>
      </c>
      <c r="D568" s="212" t="str">
        <f ca="1">IFERROR(__xludf.DUMMYFUNCTION("""COMPUTED_VALUE"""),"01262903000103")</f>
        <v>01262903000103</v>
      </c>
      <c r="E568" s="212" t="str">
        <f ca="1">IFERROR(__xludf.DUMMYFUNCTION("""COMPUTED_VALUE"""),"001")</f>
        <v>001</v>
      </c>
      <c r="F568" s="212" t="str">
        <f ca="1">IFERROR(__xludf.DUMMYFUNCTION("""COMPUTED_VALUE"""),"4608")</f>
        <v>4608</v>
      </c>
      <c r="G568" s="213" t="str">
        <f ca="1">IFERROR(__xludf.DUMMYFUNCTION("""COMPUTED_VALUE"""),"79758")</f>
        <v>79758</v>
      </c>
      <c r="H568" s="211" t="str">
        <f ca="1">IFERROR(__xludf.DUMMYFUNCTION("""COMPUTED_VALUE"""),"AEE")</f>
        <v>AEE</v>
      </c>
      <c r="I568" s="214">
        <f ca="1">IFERROR(__xludf.DUMMYFUNCTION("""COMPUTED_VALUE"""),353.599999999999)</f>
        <v>353.599999999999</v>
      </c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9"/>
    </row>
    <row r="569" spans="1:26" ht="18.75" customHeight="1">
      <c r="A569" s="210" t="str">
        <f ca="1">IFERROR(__xludf.DUMMYFUNCTION("""COMPUTED_VALUE"""),"Gurupi")</f>
        <v>Gurupi</v>
      </c>
      <c r="B569" s="210" t="str">
        <f ca="1">IFERROR(__xludf.DUMMYFUNCTION("""COMPUTED_VALUE"""),"Palmeiropolis")</f>
        <v>Palmeiropolis</v>
      </c>
      <c r="C569" s="211" t="str">
        <f ca="1">IFERROR(__xludf.DUMMYFUNCTION("""COMPUTED_VALUE"""),"A.A. ESCOLA ESTADUAL PROFESSORA ONEIDES")</f>
        <v>A.A. ESCOLA ESTADUAL PROFESSORA ONEIDES</v>
      </c>
      <c r="D569" s="212" t="str">
        <f ca="1">IFERROR(__xludf.DUMMYFUNCTION("""COMPUTED_VALUE"""),"01262903000103")</f>
        <v>01262903000103</v>
      </c>
      <c r="E569" s="212" t="str">
        <f ca="1">IFERROR(__xludf.DUMMYFUNCTION("""COMPUTED_VALUE"""),"001")</f>
        <v>001</v>
      </c>
      <c r="F569" s="212" t="str">
        <f ca="1">IFERROR(__xludf.DUMMYFUNCTION("""COMPUTED_VALUE"""),"4608")</f>
        <v>4608</v>
      </c>
      <c r="G569" s="213" t="str">
        <f ca="1">IFERROR(__xludf.DUMMYFUNCTION("""COMPUTED_VALUE"""),"79758")</f>
        <v>79758</v>
      </c>
      <c r="H569" s="211" t="str">
        <f ca="1">IFERROR(__xludf.DUMMYFUNCTION("""COMPUTED_VALUE"""),"ENSINO MEDIO PARCIAL")</f>
        <v>ENSINO MEDIO PARCIAL</v>
      </c>
      <c r="I569" s="214">
        <f ca="1">IFERROR(__xludf.DUMMYFUNCTION("""COMPUTED_VALUE"""),1470)</f>
        <v>1470</v>
      </c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9"/>
    </row>
    <row r="570" spans="1:26" ht="18.75" customHeight="1">
      <c r="A570" s="210" t="str">
        <f ca="1">IFERROR(__xludf.DUMMYFUNCTION("""COMPUTED_VALUE"""),"Gurupi")</f>
        <v>Gurupi</v>
      </c>
      <c r="B570" s="210" t="str">
        <f ca="1">IFERROR(__xludf.DUMMYFUNCTION("""COMPUTED_VALUE"""),"Palmeiropolis")</f>
        <v>Palmeiropolis</v>
      </c>
      <c r="C570" s="211" t="str">
        <f ca="1">IFERROR(__xludf.DUMMYFUNCTION("""COMPUTED_VALUE"""),"A.A. ESCOLA ESTADUAL PROFESSORA ONEIDES")</f>
        <v>A.A. ESCOLA ESTADUAL PROFESSORA ONEIDES</v>
      </c>
      <c r="D570" s="212" t="str">
        <f ca="1">IFERROR(__xludf.DUMMYFUNCTION("""COMPUTED_VALUE"""),"01262903000103")</f>
        <v>01262903000103</v>
      </c>
      <c r="E570" s="212" t="str">
        <f ca="1">IFERROR(__xludf.DUMMYFUNCTION("""COMPUTED_VALUE"""),"001")</f>
        <v>001</v>
      </c>
      <c r="F570" s="212" t="str">
        <f ca="1">IFERROR(__xludf.DUMMYFUNCTION("""COMPUTED_VALUE"""),"4608")</f>
        <v>4608</v>
      </c>
      <c r="G570" s="213" t="str">
        <f ca="1">IFERROR(__xludf.DUMMYFUNCTION("""COMPUTED_VALUE"""),"79758")</f>
        <v>79758</v>
      </c>
      <c r="H570" s="211" t="str">
        <f ca="1">IFERROR(__xludf.DUMMYFUNCTION("""COMPUTED_VALUE"""),"EJA")</f>
        <v>EJA</v>
      </c>
      <c r="I570" s="214">
        <f ca="1">IFERROR(__xludf.DUMMYFUNCTION("""COMPUTED_VALUE"""),147.6)</f>
        <v>147.6</v>
      </c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9"/>
    </row>
    <row r="571" spans="1:26" ht="18.75" customHeight="1">
      <c r="A571" s="210" t="str">
        <f ca="1">IFERROR(__xludf.DUMMYFUNCTION("""COMPUTED_VALUE"""),"Gurupi")</f>
        <v>Gurupi</v>
      </c>
      <c r="B571" s="210" t="str">
        <f ca="1">IFERROR(__xludf.DUMMYFUNCTION("""COMPUTED_VALUE"""),"Peixe")</f>
        <v>Peixe</v>
      </c>
      <c r="C571" s="211" t="str">
        <f ca="1">IFERROR(__xludf.DUMMYFUNCTION("""COMPUTED_VALUE"""),"A.A. AO COLEGIO ESTADUAL D. ALANO")</f>
        <v>A.A. AO COLEGIO ESTADUAL D. ALANO</v>
      </c>
      <c r="D571" s="212" t="str">
        <f ca="1">IFERROR(__xludf.DUMMYFUNCTION("""COMPUTED_VALUE"""),"01133705000140")</f>
        <v>01133705000140</v>
      </c>
      <c r="E571" s="212" t="str">
        <f ca="1">IFERROR(__xludf.DUMMYFUNCTION("""COMPUTED_VALUE"""),"001")</f>
        <v>001</v>
      </c>
      <c r="F571" s="212" t="str">
        <f ca="1">IFERROR(__xludf.DUMMYFUNCTION("""COMPUTED_VALUE"""),"3979")</f>
        <v>3979</v>
      </c>
      <c r="G571" s="213" t="str">
        <f ca="1">IFERROR(__xludf.DUMMYFUNCTION("""COMPUTED_VALUE"""),"53155")</f>
        <v>53155</v>
      </c>
      <c r="H571" s="211" t="str">
        <f ca="1">IFERROR(__xludf.DUMMYFUNCTION("""COMPUTED_VALUE"""),"ENSINO MEDIO PARCIAL")</f>
        <v>ENSINO MEDIO PARCIAL</v>
      </c>
      <c r="I571" s="214">
        <f ca="1">IFERROR(__xludf.DUMMYFUNCTION("""COMPUTED_VALUE"""),2860)</f>
        <v>2860</v>
      </c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9"/>
    </row>
    <row r="572" spans="1:26" ht="18.75" customHeight="1">
      <c r="A572" s="210" t="str">
        <f ca="1">IFERROR(__xludf.DUMMYFUNCTION("""COMPUTED_VALUE"""),"Gurupi")</f>
        <v>Gurupi</v>
      </c>
      <c r="B572" s="210" t="str">
        <f ca="1">IFERROR(__xludf.DUMMYFUNCTION("""COMPUTED_VALUE"""),"Peixe")</f>
        <v>Peixe</v>
      </c>
      <c r="C572" s="211" t="str">
        <f ca="1">IFERROR(__xludf.DUMMYFUNCTION("""COMPUTED_VALUE"""),"A.A. AO COLEGIO ESTADUAL D. ALANO")</f>
        <v>A.A. AO COLEGIO ESTADUAL D. ALANO</v>
      </c>
      <c r="D572" s="212" t="str">
        <f ca="1">IFERROR(__xludf.DUMMYFUNCTION("""COMPUTED_VALUE"""),"01133705000140")</f>
        <v>01133705000140</v>
      </c>
      <c r="E572" s="212" t="str">
        <f ca="1">IFERROR(__xludf.DUMMYFUNCTION("""COMPUTED_VALUE"""),"001")</f>
        <v>001</v>
      </c>
      <c r="F572" s="212" t="str">
        <f ca="1">IFERROR(__xludf.DUMMYFUNCTION("""COMPUTED_VALUE"""),"3979")</f>
        <v>3979</v>
      </c>
      <c r="G572" s="213" t="str">
        <f ca="1">IFERROR(__xludf.DUMMYFUNCTION("""COMPUTED_VALUE"""),"53155")</f>
        <v>53155</v>
      </c>
      <c r="H572" s="211" t="str">
        <f ca="1">IFERROR(__xludf.DUMMYFUNCTION("""COMPUTED_VALUE"""),"EJA")</f>
        <v>EJA</v>
      </c>
      <c r="I572" s="214">
        <f ca="1">IFERROR(__xludf.DUMMYFUNCTION("""COMPUTED_VALUE"""),139.399999999999)</f>
        <v>139.39999999999901</v>
      </c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9"/>
    </row>
    <row r="573" spans="1:26" ht="18.75" customHeight="1">
      <c r="A573" s="210" t="str">
        <f ca="1">IFERROR(__xludf.DUMMYFUNCTION("""COMPUTED_VALUE"""),"Gurupi")</f>
        <v>Gurupi</v>
      </c>
      <c r="B573" s="210" t="str">
        <f ca="1">IFERROR(__xludf.DUMMYFUNCTION("""COMPUTED_VALUE"""),"Peixe")</f>
        <v>Peixe</v>
      </c>
      <c r="C573" s="211" t="str">
        <f ca="1">IFERROR(__xludf.DUMMYFUNCTION("""COMPUTED_VALUE"""),"A.A.  ESC. EST.TANCREDO DE ALMEIDA NEVES")</f>
        <v>A.A.  ESC. EST.TANCREDO DE ALMEIDA NEVES</v>
      </c>
      <c r="D573" s="212" t="str">
        <f ca="1">IFERROR(__xludf.DUMMYFUNCTION("""COMPUTED_VALUE"""),"01136008000142")</f>
        <v>01136008000142</v>
      </c>
      <c r="E573" s="212" t="str">
        <f ca="1">IFERROR(__xludf.DUMMYFUNCTION("""COMPUTED_VALUE"""),"001")</f>
        <v>001</v>
      </c>
      <c r="F573" s="212" t="str">
        <f ca="1">IFERROR(__xludf.DUMMYFUNCTION("""COMPUTED_VALUE"""),"3979")</f>
        <v>3979</v>
      </c>
      <c r="G573" s="213" t="str">
        <f ca="1">IFERROR(__xludf.DUMMYFUNCTION("""COMPUTED_VALUE"""),"52914")</f>
        <v>52914</v>
      </c>
      <c r="H573" s="211" t="str">
        <f ca="1">IFERROR(__xludf.DUMMYFUNCTION("""COMPUTED_VALUE"""),"ENS FUND PARCIAL")</f>
        <v>ENS FUND PARCIAL</v>
      </c>
      <c r="I573" s="214">
        <f ca="1">IFERROR(__xludf.DUMMYFUNCTION("""COMPUTED_VALUE"""),3560)</f>
        <v>3560</v>
      </c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9"/>
    </row>
    <row r="574" spans="1:26" ht="18.75" customHeight="1">
      <c r="A574" s="210" t="str">
        <f ca="1">IFERROR(__xludf.DUMMYFUNCTION("""COMPUTED_VALUE"""),"Gurupi")</f>
        <v>Gurupi</v>
      </c>
      <c r="B574" s="210" t="str">
        <f ca="1">IFERROR(__xludf.DUMMYFUNCTION("""COMPUTED_VALUE"""),"Sandolandia")</f>
        <v>Sandolandia</v>
      </c>
      <c r="C574" s="211" t="str">
        <f ca="1">IFERROR(__xludf.DUMMYFUNCTION("""COMPUTED_VALUE"""),"ASS. DE APOIO ESC. EST.PE.JOSE DE ANCHIETA")</f>
        <v>ASS. DE APOIO ESC. EST.PE.JOSE DE ANCHIETA</v>
      </c>
      <c r="D574" s="212" t="str">
        <f ca="1">IFERROR(__xludf.DUMMYFUNCTION("""COMPUTED_VALUE"""),"01190190000110")</f>
        <v>01190190000110</v>
      </c>
      <c r="E574" s="212" t="str">
        <f ca="1">IFERROR(__xludf.DUMMYFUNCTION("""COMPUTED_VALUE"""),"001")</f>
        <v>001</v>
      </c>
      <c r="F574" s="212" t="str">
        <f ca="1">IFERROR(__xludf.DUMMYFUNCTION("""COMPUTED_VALUE"""),"1304")</f>
        <v>1304</v>
      </c>
      <c r="G574" s="213" t="str">
        <f ca="1">IFERROR(__xludf.DUMMYFUNCTION("""COMPUTED_VALUE"""),"105171")</f>
        <v>105171</v>
      </c>
      <c r="H574" s="211" t="str">
        <f ca="1">IFERROR(__xludf.DUMMYFUNCTION("""COMPUTED_VALUE"""),"ENS FUND PARCIAL")</f>
        <v>ENS FUND PARCIAL</v>
      </c>
      <c r="I574" s="214">
        <f ca="1">IFERROR(__xludf.DUMMYFUNCTION("""COMPUTED_VALUE"""),430)</f>
        <v>430</v>
      </c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9"/>
    </row>
    <row r="575" spans="1:26" ht="18.75" customHeight="1">
      <c r="A575" s="210" t="str">
        <f ca="1">IFERROR(__xludf.DUMMYFUNCTION("""COMPUTED_VALUE"""),"Gurupi")</f>
        <v>Gurupi</v>
      </c>
      <c r="B575" s="210" t="str">
        <f ca="1">IFERROR(__xludf.DUMMYFUNCTION("""COMPUTED_VALUE"""),"Sandolandia")</f>
        <v>Sandolandia</v>
      </c>
      <c r="C575" s="211" t="str">
        <f ca="1">IFERROR(__xludf.DUMMYFUNCTION("""COMPUTED_VALUE"""),"ASS. DE APOIO ESC. EST.PE.JOSE DE ANCHIETA")</f>
        <v>ASS. DE APOIO ESC. EST.PE.JOSE DE ANCHIETA</v>
      </c>
      <c r="D575" s="212" t="str">
        <f ca="1">IFERROR(__xludf.DUMMYFUNCTION("""COMPUTED_VALUE"""),"01190190000110")</f>
        <v>01190190000110</v>
      </c>
      <c r="E575" s="212" t="str">
        <f ca="1">IFERROR(__xludf.DUMMYFUNCTION("""COMPUTED_VALUE"""),"001")</f>
        <v>001</v>
      </c>
      <c r="F575" s="212" t="str">
        <f ca="1">IFERROR(__xludf.DUMMYFUNCTION("""COMPUTED_VALUE"""),"1304")</f>
        <v>1304</v>
      </c>
      <c r="G575" s="213" t="str">
        <f ca="1">IFERROR(__xludf.DUMMYFUNCTION("""COMPUTED_VALUE"""),"105171")</f>
        <v>105171</v>
      </c>
      <c r="H575" s="211" t="str">
        <f ca="1">IFERROR(__xludf.DUMMYFUNCTION("""COMPUTED_VALUE"""),"ENSINO MEDIO PARCIAL")</f>
        <v>ENSINO MEDIO PARCIAL</v>
      </c>
      <c r="I575" s="214">
        <f ca="1">IFERROR(__xludf.DUMMYFUNCTION("""COMPUTED_VALUE"""),160)</f>
        <v>160</v>
      </c>
      <c r="J575" s="209"/>
      <c r="K575" s="209"/>
      <c r="L575" s="209"/>
      <c r="M575" s="209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9"/>
    </row>
    <row r="576" spans="1:26" ht="18.75" customHeight="1">
      <c r="A576" s="210" t="str">
        <f ca="1">IFERROR(__xludf.DUMMYFUNCTION("""COMPUTED_VALUE"""),"Gurupi")</f>
        <v>Gurupi</v>
      </c>
      <c r="B576" s="210" t="str">
        <f ca="1">IFERROR(__xludf.DUMMYFUNCTION("""COMPUTED_VALUE"""),"Sandolandia")</f>
        <v>Sandolandia</v>
      </c>
      <c r="C576" s="211" t="str">
        <f ca="1">IFERROR(__xludf.DUMMYFUNCTION("""COMPUTED_VALUE"""),"A.A. A ESC. EST.NOSSA SENHORA APARECIDA")</f>
        <v>A.A. A ESC. EST.NOSSA SENHORA APARECIDA</v>
      </c>
      <c r="D576" s="212" t="str">
        <f ca="1">IFERROR(__xludf.DUMMYFUNCTION("""COMPUTED_VALUE"""),"01393269000148")</f>
        <v>01393269000148</v>
      </c>
      <c r="E576" s="212" t="str">
        <f ca="1">IFERROR(__xludf.DUMMYFUNCTION("""COMPUTED_VALUE"""),"001")</f>
        <v>001</v>
      </c>
      <c r="F576" s="212" t="str">
        <f ca="1">IFERROR(__xludf.DUMMYFUNCTION("""COMPUTED_VALUE"""),"1304")</f>
        <v>1304</v>
      </c>
      <c r="G576" s="213" t="str">
        <f ca="1">IFERROR(__xludf.DUMMYFUNCTION("""COMPUTED_VALUE"""),"105163")</f>
        <v>105163</v>
      </c>
      <c r="H576" s="211" t="str">
        <f ca="1">IFERROR(__xludf.DUMMYFUNCTION("""COMPUTED_VALUE"""),"ENS FUND PARCIAL")</f>
        <v>ENS FUND PARCIAL</v>
      </c>
      <c r="I576" s="214">
        <f ca="1">IFERROR(__xludf.DUMMYFUNCTION("""COMPUTED_VALUE"""),2110)</f>
        <v>2110</v>
      </c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9"/>
    </row>
    <row r="577" spans="1:26" ht="18.75" customHeight="1">
      <c r="A577" s="210" t="str">
        <f ca="1">IFERROR(__xludf.DUMMYFUNCTION("""COMPUTED_VALUE"""),"Gurupi")</f>
        <v>Gurupi</v>
      </c>
      <c r="B577" s="210" t="str">
        <f ca="1">IFERROR(__xludf.DUMMYFUNCTION("""COMPUTED_VALUE"""),"Sandolandia")</f>
        <v>Sandolandia</v>
      </c>
      <c r="C577" s="211" t="str">
        <f ca="1">IFERROR(__xludf.DUMMYFUNCTION("""COMPUTED_VALUE"""),"A.A. A ESC. EST.NOSSA SENHORA APARECIDA")</f>
        <v>A.A. A ESC. EST.NOSSA SENHORA APARECIDA</v>
      </c>
      <c r="D577" s="212" t="str">
        <f ca="1">IFERROR(__xludf.DUMMYFUNCTION("""COMPUTED_VALUE"""),"01393269000148")</f>
        <v>01393269000148</v>
      </c>
      <c r="E577" s="212" t="str">
        <f ca="1">IFERROR(__xludf.DUMMYFUNCTION("""COMPUTED_VALUE"""),"001")</f>
        <v>001</v>
      </c>
      <c r="F577" s="212" t="str">
        <f ca="1">IFERROR(__xludf.DUMMYFUNCTION("""COMPUTED_VALUE"""),"1304")</f>
        <v>1304</v>
      </c>
      <c r="G577" s="213" t="str">
        <f ca="1">IFERROR(__xludf.DUMMYFUNCTION("""COMPUTED_VALUE"""),"105163")</f>
        <v>105163</v>
      </c>
      <c r="H577" s="211" t="str">
        <f ca="1">IFERROR(__xludf.DUMMYFUNCTION("""COMPUTED_VALUE"""),"AEE")</f>
        <v>AEE</v>
      </c>
      <c r="I577" s="214">
        <f ca="1">IFERROR(__xludf.DUMMYFUNCTION("""COMPUTED_VALUE"""),258.4)</f>
        <v>258.39999999999998</v>
      </c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9"/>
    </row>
    <row r="578" spans="1:26" ht="18.75" customHeight="1">
      <c r="A578" s="210" t="str">
        <f ca="1">IFERROR(__xludf.DUMMYFUNCTION("""COMPUTED_VALUE"""),"Gurupi")</f>
        <v>Gurupi</v>
      </c>
      <c r="B578" s="210" t="str">
        <f ca="1">IFERROR(__xludf.DUMMYFUNCTION("""COMPUTED_VALUE"""),"Sandolandia")</f>
        <v>Sandolandia</v>
      </c>
      <c r="C578" s="211" t="str">
        <f ca="1">IFERROR(__xludf.DUMMYFUNCTION("""COMPUTED_VALUE"""),"A.A. A ESC. EST.NOSSA SENHORA APARECIDA")</f>
        <v>A.A. A ESC. EST.NOSSA SENHORA APARECIDA</v>
      </c>
      <c r="D578" s="212" t="str">
        <f ca="1">IFERROR(__xludf.DUMMYFUNCTION("""COMPUTED_VALUE"""),"01393269000148")</f>
        <v>01393269000148</v>
      </c>
      <c r="E578" s="212" t="str">
        <f ca="1">IFERROR(__xludf.DUMMYFUNCTION("""COMPUTED_VALUE"""),"001")</f>
        <v>001</v>
      </c>
      <c r="F578" s="212" t="str">
        <f ca="1">IFERROR(__xludf.DUMMYFUNCTION("""COMPUTED_VALUE"""),"1304")</f>
        <v>1304</v>
      </c>
      <c r="G578" s="213" t="str">
        <f ca="1">IFERROR(__xludf.DUMMYFUNCTION("""COMPUTED_VALUE"""),"105163")</f>
        <v>105163</v>
      </c>
      <c r="H578" s="211" t="str">
        <f ca="1">IFERROR(__xludf.DUMMYFUNCTION("""COMPUTED_VALUE"""),"ENSINO MEDIO PARCIAL")</f>
        <v>ENSINO MEDIO PARCIAL</v>
      </c>
      <c r="I578" s="214">
        <f ca="1">IFERROR(__xludf.DUMMYFUNCTION("""COMPUTED_VALUE"""),1190)</f>
        <v>1190</v>
      </c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9"/>
    </row>
    <row r="579" spans="1:26" ht="18.75" customHeight="1">
      <c r="A579" s="210" t="str">
        <f ca="1">IFERROR(__xludf.DUMMYFUNCTION("""COMPUTED_VALUE"""),"Gurupi")</f>
        <v>Gurupi</v>
      </c>
      <c r="B579" s="210" t="str">
        <f ca="1">IFERROR(__xludf.DUMMYFUNCTION("""COMPUTED_VALUE"""),"Sandolandia")</f>
        <v>Sandolandia</v>
      </c>
      <c r="C579" s="211" t="str">
        <f ca="1">IFERROR(__xludf.DUMMYFUNCTION("""COMPUTED_VALUE"""),"A.A.DE APOIO ESCOLAR DA ESCOLA INDÍGENA IJAWALA")</f>
        <v>A.A.DE APOIO ESCOLAR DA ESCOLA INDÍGENA IJAWALA</v>
      </c>
      <c r="D579" s="212" t="str">
        <f ca="1">IFERROR(__xludf.DUMMYFUNCTION("""COMPUTED_VALUE"""),"48240313000143")</f>
        <v>48240313000143</v>
      </c>
      <c r="E579" s="212" t="str">
        <f ca="1">IFERROR(__xludf.DUMMYFUNCTION("""COMPUTED_VALUE"""),"001")</f>
        <v>001</v>
      </c>
      <c r="F579" s="212" t="str">
        <f ca="1">IFERROR(__xludf.DUMMYFUNCTION("""COMPUTED_VALUE"""),"1304")</f>
        <v>1304</v>
      </c>
      <c r="G579" s="213" t="str">
        <f ca="1">IFERROR(__xludf.DUMMYFUNCTION("""COMPUTED_VALUE"""),"1949810")</f>
        <v>1949810</v>
      </c>
      <c r="H579" s="211" t="str">
        <f ca="1">IFERROR(__xludf.DUMMYFUNCTION("""COMPUTED_VALUE"""),"INDIGENA")</f>
        <v>INDIGENA</v>
      </c>
      <c r="I579" s="214">
        <f ca="1">IFERROR(__xludf.DUMMYFUNCTION("""COMPUTED_VALUE"""),1152.39999999999)</f>
        <v>1152.3999999999901</v>
      </c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9"/>
    </row>
    <row r="580" spans="1:26" ht="18.75" customHeight="1">
      <c r="A580" s="210" t="str">
        <f ca="1">IFERROR(__xludf.DUMMYFUNCTION("""COMPUTED_VALUE"""),"Gurupi")</f>
        <v>Gurupi</v>
      </c>
      <c r="B580" s="210" t="str">
        <f ca="1">IFERROR(__xludf.DUMMYFUNCTION("""COMPUTED_VALUE"""),"Sao Salvador do Tocantins")</f>
        <v>Sao Salvador do Tocantins</v>
      </c>
      <c r="C580" s="211" t="str">
        <f ca="1">IFERROR(__xludf.DUMMYFUNCTION("""COMPUTED_VALUE"""),"ASS.PAIS E M.ESC. EST.PORTO RIO MARANHAO")</f>
        <v>ASS.PAIS E M.ESC. EST.PORTO RIO MARANHAO</v>
      </c>
      <c r="D580" s="212" t="str">
        <f ca="1">IFERROR(__xludf.DUMMYFUNCTION("""COMPUTED_VALUE"""),"01296366000112")</f>
        <v>01296366000112</v>
      </c>
      <c r="E580" s="212" t="str">
        <f ca="1">IFERROR(__xludf.DUMMYFUNCTION("""COMPUTED_VALUE"""),"001")</f>
        <v>001</v>
      </c>
      <c r="F580" s="212" t="str">
        <f ca="1">IFERROR(__xludf.DUMMYFUNCTION("""COMPUTED_VALUE"""),"4608")</f>
        <v>4608</v>
      </c>
      <c r="G580" s="213" t="str">
        <f ca="1">IFERROR(__xludf.DUMMYFUNCTION("""COMPUTED_VALUE"""),"70270")</f>
        <v>70270</v>
      </c>
      <c r="H580" s="211" t="str">
        <f ca="1">IFERROR(__xludf.DUMMYFUNCTION("""COMPUTED_VALUE"""),"ENS FUND PARCIAL")</f>
        <v>ENS FUND PARCIAL</v>
      </c>
      <c r="I580" s="214">
        <f ca="1">IFERROR(__xludf.DUMMYFUNCTION("""COMPUTED_VALUE"""),1200)</f>
        <v>1200</v>
      </c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9"/>
    </row>
    <row r="581" spans="1:26" ht="18.75" customHeight="1">
      <c r="A581" s="210" t="str">
        <f ca="1">IFERROR(__xludf.DUMMYFUNCTION("""COMPUTED_VALUE"""),"Gurupi")</f>
        <v>Gurupi</v>
      </c>
      <c r="B581" s="210" t="str">
        <f ca="1">IFERROR(__xludf.DUMMYFUNCTION("""COMPUTED_VALUE"""),"Sao Salvador do Tocantins")</f>
        <v>Sao Salvador do Tocantins</v>
      </c>
      <c r="C581" s="211" t="str">
        <f ca="1">IFERROR(__xludf.DUMMYFUNCTION("""COMPUTED_VALUE"""),"ASS.PAIS E M.ESC. EST.PORTO RIO MARANHAO")</f>
        <v>ASS.PAIS E M.ESC. EST.PORTO RIO MARANHAO</v>
      </c>
      <c r="D581" s="212" t="str">
        <f ca="1">IFERROR(__xludf.DUMMYFUNCTION("""COMPUTED_VALUE"""),"01296366000112")</f>
        <v>01296366000112</v>
      </c>
      <c r="E581" s="212" t="str">
        <f ca="1">IFERROR(__xludf.DUMMYFUNCTION("""COMPUTED_VALUE"""),"001")</f>
        <v>001</v>
      </c>
      <c r="F581" s="212" t="str">
        <f ca="1">IFERROR(__xludf.DUMMYFUNCTION("""COMPUTED_VALUE"""),"4608")</f>
        <v>4608</v>
      </c>
      <c r="G581" s="213" t="str">
        <f ca="1">IFERROR(__xludf.DUMMYFUNCTION("""COMPUTED_VALUE"""),"70270")</f>
        <v>70270</v>
      </c>
      <c r="H581" s="211" t="str">
        <f ca="1">IFERROR(__xludf.DUMMYFUNCTION("""COMPUTED_VALUE"""),"ENSINO MEDIO PARCIAL")</f>
        <v>ENSINO MEDIO PARCIAL</v>
      </c>
      <c r="I581" s="214">
        <f ca="1">IFERROR(__xludf.DUMMYFUNCTION("""COMPUTED_VALUE"""),510)</f>
        <v>510</v>
      </c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9"/>
    </row>
    <row r="582" spans="1:26" ht="18.75" customHeight="1">
      <c r="A582" s="210" t="str">
        <f ca="1">IFERROR(__xludf.DUMMYFUNCTION("""COMPUTED_VALUE"""),"Gurupi")</f>
        <v>Gurupi</v>
      </c>
      <c r="B582" s="210" t="str">
        <f ca="1">IFERROR(__xludf.DUMMYFUNCTION("""COMPUTED_VALUE"""),"Sao Salvador do Tocantins")</f>
        <v>Sao Salvador do Tocantins</v>
      </c>
      <c r="C582" s="211" t="str">
        <f ca="1">IFERROR(__xludf.DUMMYFUNCTION("""COMPUTED_VALUE"""),"A.A DA ESCOLA ESTADUAL RETIRO")</f>
        <v>A.A DA ESCOLA ESTADUAL RETIRO</v>
      </c>
      <c r="D582" s="212" t="str">
        <f ca="1">IFERROR(__xludf.DUMMYFUNCTION("""COMPUTED_VALUE"""),"04205236000115")</f>
        <v>04205236000115</v>
      </c>
      <c r="E582" s="212" t="str">
        <f ca="1">IFERROR(__xludf.DUMMYFUNCTION("""COMPUTED_VALUE"""),"001")</f>
        <v>001</v>
      </c>
      <c r="F582" s="212" t="str">
        <f ca="1">IFERROR(__xludf.DUMMYFUNCTION("""COMPUTED_VALUE"""),"4608")</f>
        <v>4608</v>
      </c>
      <c r="G582" s="213" t="str">
        <f ca="1">IFERROR(__xludf.DUMMYFUNCTION("""COMPUTED_VALUE"""),"73563")</f>
        <v>73563</v>
      </c>
      <c r="H582" s="211" t="str">
        <f ca="1">IFERROR(__xludf.DUMMYFUNCTION("""COMPUTED_VALUE"""),"ENS FUND INTEGRAL")</f>
        <v>ENS FUND INTEGRAL</v>
      </c>
      <c r="I582" s="214">
        <f ca="1">IFERROR(__xludf.DUMMYFUNCTION("""COMPUTED_VALUE"""),1781)</f>
        <v>1781</v>
      </c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9"/>
    </row>
    <row r="583" spans="1:26" ht="18.75" customHeight="1">
      <c r="A583" s="210" t="str">
        <f ca="1">IFERROR(__xludf.DUMMYFUNCTION("""COMPUTED_VALUE"""),"Gurupi")</f>
        <v>Gurupi</v>
      </c>
      <c r="B583" s="210" t="str">
        <f ca="1">IFERROR(__xludf.DUMMYFUNCTION("""COMPUTED_VALUE"""),"Sao Salvador do Tocantins")</f>
        <v>Sao Salvador do Tocantins</v>
      </c>
      <c r="C583" s="211" t="str">
        <f ca="1">IFERROR(__xludf.DUMMYFUNCTION("""COMPUTED_VALUE"""),"A.A DA ESCOLA ESTADUAL RETIRO")</f>
        <v>A.A DA ESCOLA ESTADUAL RETIRO</v>
      </c>
      <c r="D583" s="212" t="str">
        <f ca="1">IFERROR(__xludf.DUMMYFUNCTION("""COMPUTED_VALUE"""),"04205236000115")</f>
        <v>04205236000115</v>
      </c>
      <c r="E583" s="212" t="str">
        <f ca="1">IFERROR(__xludf.DUMMYFUNCTION("""COMPUTED_VALUE"""),"001")</f>
        <v>001</v>
      </c>
      <c r="F583" s="212" t="str">
        <f ca="1">IFERROR(__xludf.DUMMYFUNCTION("""COMPUTED_VALUE"""),"4608")</f>
        <v>4608</v>
      </c>
      <c r="G583" s="213" t="str">
        <f ca="1">IFERROR(__xludf.DUMMYFUNCTION("""COMPUTED_VALUE"""),"73563")</f>
        <v>73563</v>
      </c>
      <c r="H583" s="211" t="str">
        <f ca="1">IFERROR(__xludf.DUMMYFUNCTION("""COMPUTED_VALUE"""),"ENSINO MEDIO PARCIAL")</f>
        <v>ENSINO MEDIO PARCIAL</v>
      </c>
      <c r="I583" s="214">
        <f ca="1">IFERROR(__xludf.DUMMYFUNCTION("""COMPUTED_VALUE"""),320)</f>
        <v>320</v>
      </c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9"/>
    </row>
    <row r="584" spans="1:26" ht="18.75" customHeight="1">
      <c r="A584" s="210" t="str">
        <f ca="1">IFERROR(__xludf.DUMMYFUNCTION("""COMPUTED_VALUE"""),"Gurupi")</f>
        <v>Gurupi</v>
      </c>
      <c r="B584" s="210" t="str">
        <f ca="1">IFERROR(__xludf.DUMMYFUNCTION("""COMPUTED_VALUE"""),"Sao Salvador do Tocantins")</f>
        <v>Sao Salvador do Tocantins</v>
      </c>
      <c r="C584" s="211" t="str">
        <f ca="1">IFERROR(__xludf.DUMMYFUNCTION("""COMPUTED_VALUE"""),"A.A. COLEGIO ESTADUAL AGRÍCOLA JOSÉ PORFÍRIO DE SOUZA")</f>
        <v>A.A. COLEGIO ESTADUAL AGRÍCOLA JOSÉ PORFÍRIO DE SOUZA</v>
      </c>
      <c r="D584" s="212" t="str">
        <f ca="1">IFERROR(__xludf.DUMMYFUNCTION("""COMPUTED_VALUE"""),"49952315000128")</f>
        <v>49952315000128</v>
      </c>
      <c r="E584" s="212" t="str">
        <f ca="1">IFERROR(__xludf.DUMMYFUNCTION("""COMPUTED_VALUE"""),"001")</f>
        <v>001</v>
      </c>
      <c r="F584" s="212" t="str">
        <f ca="1">IFERROR(__xludf.DUMMYFUNCTION("""COMPUTED_VALUE"""),"4608")</f>
        <v>4608</v>
      </c>
      <c r="G584" s="213" t="str">
        <f ca="1">IFERROR(__xludf.DUMMYFUNCTION("""COMPUTED_VALUE"""),"183679")</f>
        <v>183679</v>
      </c>
      <c r="H584" s="211" t="str">
        <f ca="1">IFERROR(__xludf.DUMMYFUNCTION("""COMPUTED_VALUE"""),"ENS FUND INTEGRAL")</f>
        <v>ENS FUND INTEGRAL</v>
      </c>
      <c r="I584" s="214">
        <f ca="1">IFERROR(__xludf.DUMMYFUNCTION("""COMPUTED_VALUE"""),2904.39999999999)</f>
        <v>2904.3999999999901</v>
      </c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9"/>
    </row>
    <row r="585" spans="1:26" ht="18.75" customHeight="1">
      <c r="A585" s="210" t="str">
        <f ca="1">IFERROR(__xludf.DUMMYFUNCTION("""COMPUTED_VALUE"""),"Gurupi")</f>
        <v>Gurupi</v>
      </c>
      <c r="B585" s="210" t="str">
        <f ca="1">IFERROR(__xludf.DUMMYFUNCTION("""COMPUTED_VALUE"""),"Sao Salvador do Tocantins")</f>
        <v>Sao Salvador do Tocantins</v>
      </c>
      <c r="C585" s="211" t="str">
        <f ca="1">IFERROR(__xludf.DUMMYFUNCTION("""COMPUTED_VALUE"""),"A.A. COLEGIO ESTADUAL AGRÍCOLA JOSÉ PORFÍRIO DE SOUZA")</f>
        <v>A.A. COLEGIO ESTADUAL AGRÍCOLA JOSÉ PORFÍRIO DE SOUZA</v>
      </c>
      <c r="D585" s="212" t="str">
        <f ca="1">IFERROR(__xludf.DUMMYFUNCTION("""COMPUTED_VALUE"""),"49952315000128")</f>
        <v>49952315000128</v>
      </c>
      <c r="E585" s="212" t="str">
        <f ca="1">IFERROR(__xludf.DUMMYFUNCTION("""COMPUTED_VALUE"""),"001")</f>
        <v>001</v>
      </c>
      <c r="F585" s="212" t="str">
        <f ca="1">IFERROR(__xludf.DUMMYFUNCTION("""COMPUTED_VALUE"""),"4608")</f>
        <v>4608</v>
      </c>
      <c r="G585" s="213" t="str">
        <f ca="1">IFERROR(__xludf.DUMMYFUNCTION("""COMPUTED_VALUE"""),"183679")</f>
        <v>183679</v>
      </c>
      <c r="H585" s="211" t="str">
        <f ca="1">IFERROR(__xludf.DUMMYFUNCTION("""COMPUTED_VALUE"""),"ENSINO MEDIO INTEGRAL")</f>
        <v>ENSINO MEDIO INTEGRAL</v>
      </c>
      <c r="I585" s="214">
        <f ca="1">IFERROR(__xludf.DUMMYFUNCTION("""COMPUTED_VALUE"""),2356.4)</f>
        <v>2356.4</v>
      </c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9"/>
    </row>
    <row r="586" spans="1:26" ht="18.75" customHeight="1">
      <c r="A586" s="210" t="str">
        <f ca="1">IFERROR(__xludf.DUMMYFUNCTION("""COMPUTED_VALUE"""),"Gurupi")</f>
        <v>Gurupi</v>
      </c>
      <c r="B586" s="210" t="str">
        <f ca="1">IFERROR(__xludf.DUMMYFUNCTION("""COMPUTED_VALUE"""),"Sao Valerio da Natividade")</f>
        <v>Sao Valerio da Natividade</v>
      </c>
      <c r="C586" s="211" t="str">
        <f ca="1">IFERROR(__xludf.DUMMYFUNCTION("""COMPUTED_VALUE"""),"A.P.M.E ALUNOS COL. EST. REGINA S. CAMPOS")</f>
        <v>A.P.M.E ALUNOS COL. EST. REGINA S. CAMPOS</v>
      </c>
      <c r="D586" s="212" t="str">
        <f ca="1">IFERROR(__xludf.DUMMYFUNCTION("""COMPUTED_VALUE"""),"01431377000168")</f>
        <v>01431377000168</v>
      </c>
      <c r="E586" s="212" t="str">
        <f ca="1">IFERROR(__xludf.DUMMYFUNCTION("""COMPUTED_VALUE"""),"001")</f>
        <v>001</v>
      </c>
      <c r="F586" s="212" t="str">
        <f ca="1">IFERROR(__xludf.DUMMYFUNCTION("""COMPUTED_VALUE"""),"0794")</f>
        <v>0794</v>
      </c>
      <c r="G586" s="213" t="str">
        <f ca="1">IFERROR(__xludf.DUMMYFUNCTION("""COMPUTED_VALUE"""),"52477")</f>
        <v>52477</v>
      </c>
      <c r="H586" s="211" t="str">
        <f ca="1">IFERROR(__xludf.DUMMYFUNCTION("""COMPUTED_VALUE"""),"ENS FUND PARCIAL")</f>
        <v>ENS FUND PARCIAL</v>
      </c>
      <c r="I586" s="214">
        <f ca="1">IFERROR(__xludf.DUMMYFUNCTION("""COMPUTED_VALUE"""),2960)</f>
        <v>2960</v>
      </c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9"/>
    </row>
    <row r="587" spans="1:26" ht="18.75" customHeight="1">
      <c r="A587" s="210" t="str">
        <f ca="1">IFERROR(__xludf.DUMMYFUNCTION("""COMPUTED_VALUE"""),"Gurupi")</f>
        <v>Gurupi</v>
      </c>
      <c r="B587" s="210" t="str">
        <f ca="1">IFERROR(__xludf.DUMMYFUNCTION("""COMPUTED_VALUE"""),"Sao Valerio da Natividade")</f>
        <v>Sao Valerio da Natividade</v>
      </c>
      <c r="C587" s="211" t="str">
        <f ca="1">IFERROR(__xludf.DUMMYFUNCTION("""COMPUTED_VALUE"""),"A.P.M.E ALUNOS COL. EST. REGINA S. CAMPOS")</f>
        <v>A.P.M.E ALUNOS COL. EST. REGINA S. CAMPOS</v>
      </c>
      <c r="D587" s="212" t="str">
        <f ca="1">IFERROR(__xludf.DUMMYFUNCTION("""COMPUTED_VALUE"""),"01431377000168")</f>
        <v>01431377000168</v>
      </c>
      <c r="E587" s="212" t="str">
        <f ca="1">IFERROR(__xludf.DUMMYFUNCTION("""COMPUTED_VALUE"""),"001")</f>
        <v>001</v>
      </c>
      <c r="F587" s="212" t="str">
        <f ca="1">IFERROR(__xludf.DUMMYFUNCTION("""COMPUTED_VALUE"""),"0794")</f>
        <v>0794</v>
      </c>
      <c r="G587" s="213" t="str">
        <f ca="1">IFERROR(__xludf.DUMMYFUNCTION("""COMPUTED_VALUE"""),"52477")</f>
        <v>52477</v>
      </c>
      <c r="H587" s="211" t="str">
        <f ca="1">IFERROR(__xludf.DUMMYFUNCTION("""COMPUTED_VALUE"""),"AEE")</f>
        <v>AEE</v>
      </c>
      <c r="I587" s="214">
        <f ca="1">IFERROR(__xludf.DUMMYFUNCTION("""COMPUTED_VALUE"""),625.6)</f>
        <v>625.6</v>
      </c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9"/>
    </row>
    <row r="588" spans="1:26" ht="18.75" customHeight="1">
      <c r="A588" s="210" t="str">
        <f ca="1">IFERROR(__xludf.DUMMYFUNCTION("""COMPUTED_VALUE"""),"Gurupi")</f>
        <v>Gurupi</v>
      </c>
      <c r="B588" s="210" t="str">
        <f ca="1">IFERROR(__xludf.DUMMYFUNCTION("""COMPUTED_VALUE"""),"Sao Valerio da Natividade")</f>
        <v>Sao Valerio da Natividade</v>
      </c>
      <c r="C588" s="211" t="str">
        <f ca="1">IFERROR(__xludf.DUMMYFUNCTION("""COMPUTED_VALUE"""),"A.P.M.E ALUNOS COL. EST. REGINA S. CAMPOS")</f>
        <v>A.P.M.E ALUNOS COL. EST. REGINA S. CAMPOS</v>
      </c>
      <c r="D588" s="212" t="str">
        <f ca="1">IFERROR(__xludf.DUMMYFUNCTION("""COMPUTED_VALUE"""),"01431377000168")</f>
        <v>01431377000168</v>
      </c>
      <c r="E588" s="212" t="str">
        <f ca="1">IFERROR(__xludf.DUMMYFUNCTION("""COMPUTED_VALUE"""),"001")</f>
        <v>001</v>
      </c>
      <c r="F588" s="212" t="str">
        <f ca="1">IFERROR(__xludf.DUMMYFUNCTION("""COMPUTED_VALUE"""),"0794")</f>
        <v>0794</v>
      </c>
      <c r="G588" s="213" t="str">
        <f ca="1">IFERROR(__xludf.DUMMYFUNCTION("""COMPUTED_VALUE"""),"52477")</f>
        <v>52477</v>
      </c>
      <c r="H588" s="211" t="str">
        <f ca="1">IFERROR(__xludf.DUMMYFUNCTION("""COMPUTED_VALUE"""),"ENSINO MEDIO PARCIAL")</f>
        <v>ENSINO MEDIO PARCIAL</v>
      </c>
      <c r="I588" s="214">
        <f ca="1">IFERROR(__xludf.DUMMYFUNCTION("""COMPUTED_VALUE"""),3680)</f>
        <v>3680</v>
      </c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9"/>
    </row>
    <row r="589" spans="1:26" ht="18.75" customHeight="1">
      <c r="A589" s="210" t="str">
        <f ca="1">IFERROR(__xludf.DUMMYFUNCTION("""COMPUTED_VALUE"""),"Gurupi")</f>
        <v>Gurupi</v>
      </c>
      <c r="B589" s="210" t="str">
        <f ca="1">IFERROR(__xludf.DUMMYFUNCTION("""COMPUTED_VALUE"""),"Sucupira")</f>
        <v>Sucupira</v>
      </c>
      <c r="C589" s="211" t="str">
        <f ca="1">IFERROR(__xludf.DUMMYFUNCTION("""COMPUTED_VALUE"""),"AS. APOIO ESCOLA ESTADUAL OLAVO BILAC")</f>
        <v>AS. APOIO ESCOLA ESTADUAL OLAVO BILAC</v>
      </c>
      <c r="D589" s="212" t="str">
        <f ca="1">IFERROR(__xludf.DUMMYFUNCTION("""COMPUTED_VALUE"""),"01268287000106")</f>
        <v>01268287000106</v>
      </c>
      <c r="E589" s="212" t="str">
        <f ca="1">IFERROR(__xludf.DUMMYFUNCTION("""COMPUTED_VALUE"""),"001")</f>
        <v>001</v>
      </c>
      <c r="F589" s="212" t="str">
        <f ca="1">IFERROR(__xludf.DUMMYFUNCTION("""COMPUTED_VALUE"""),"0794")</f>
        <v>0794</v>
      </c>
      <c r="G589" s="213" t="str">
        <f ca="1">IFERROR(__xludf.DUMMYFUNCTION("""COMPUTED_VALUE"""),"245852")</f>
        <v>245852</v>
      </c>
      <c r="H589" s="211" t="str">
        <f ca="1">IFERROR(__xludf.DUMMYFUNCTION("""COMPUTED_VALUE"""),"ENS FUND PARCIAL")</f>
        <v>ENS FUND PARCIAL</v>
      </c>
      <c r="I589" s="214">
        <f ca="1">IFERROR(__xludf.DUMMYFUNCTION("""COMPUTED_VALUE"""),1380)</f>
        <v>1380</v>
      </c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9"/>
    </row>
    <row r="590" spans="1:26" ht="18.75" customHeight="1">
      <c r="A590" s="210" t="str">
        <f ca="1">IFERROR(__xludf.DUMMYFUNCTION("""COMPUTED_VALUE"""),"Gurupi")</f>
        <v>Gurupi</v>
      </c>
      <c r="B590" s="210" t="str">
        <f ca="1">IFERROR(__xludf.DUMMYFUNCTION("""COMPUTED_VALUE"""),"Sucupira")</f>
        <v>Sucupira</v>
      </c>
      <c r="C590" s="211" t="str">
        <f ca="1">IFERROR(__xludf.DUMMYFUNCTION("""COMPUTED_VALUE"""),"AS. APOIO ESCOLA ESTADUAL OLAVO BILAC")</f>
        <v>AS. APOIO ESCOLA ESTADUAL OLAVO BILAC</v>
      </c>
      <c r="D590" s="212" t="str">
        <f ca="1">IFERROR(__xludf.DUMMYFUNCTION("""COMPUTED_VALUE"""),"01268287000106")</f>
        <v>01268287000106</v>
      </c>
      <c r="E590" s="212" t="str">
        <f ca="1">IFERROR(__xludf.DUMMYFUNCTION("""COMPUTED_VALUE"""),"001")</f>
        <v>001</v>
      </c>
      <c r="F590" s="212" t="str">
        <f ca="1">IFERROR(__xludf.DUMMYFUNCTION("""COMPUTED_VALUE"""),"0794")</f>
        <v>0794</v>
      </c>
      <c r="G590" s="213" t="str">
        <f ca="1">IFERROR(__xludf.DUMMYFUNCTION("""COMPUTED_VALUE"""),"245852")</f>
        <v>245852</v>
      </c>
      <c r="H590" s="211" t="str">
        <f ca="1">IFERROR(__xludf.DUMMYFUNCTION("""COMPUTED_VALUE"""),"ENSINO MEDIO PARCIAL")</f>
        <v>ENSINO MEDIO PARCIAL</v>
      </c>
      <c r="I590" s="214">
        <f ca="1">IFERROR(__xludf.DUMMYFUNCTION("""COMPUTED_VALUE"""),640)</f>
        <v>640</v>
      </c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9"/>
    </row>
    <row r="591" spans="1:26" ht="18.75" customHeight="1">
      <c r="A591" s="210" t="str">
        <f ca="1">IFERROR(__xludf.DUMMYFUNCTION("""COMPUTED_VALUE"""),"Gurupi")</f>
        <v>Gurupi</v>
      </c>
      <c r="B591" s="210" t="str">
        <f ca="1">IFERROR(__xludf.DUMMYFUNCTION("""COMPUTED_VALUE"""),"Talisma")</f>
        <v>Talisma</v>
      </c>
      <c r="C591" s="211" t="str">
        <f ca="1">IFERROR(__xludf.DUMMYFUNCTION("""COMPUTED_VALUE"""),"A.A.  DO COLEGIO ESTADUAL DE TALISMA")</f>
        <v>A.A.  DO COLEGIO ESTADUAL DE TALISMA</v>
      </c>
      <c r="D591" s="212" t="str">
        <f ca="1">IFERROR(__xludf.DUMMYFUNCTION("""COMPUTED_VALUE"""),"07547605000146")</f>
        <v>07547605000146</v>
      </c>
      <c r="E591" s="212" t="str">
        <f ca="1">IFERROR(__xludf.DUMMYFUNCTION("""COMPUTED_VALUE"""),"001")</f>
        <v>001</v>
      </c>
      <c r="F591" s="212" t="str">
        <f ca="1">IFERROR(__xludf.DUMMYFUNCTION("""COMPUTED_VALUE"""),"1303")</f>
        <v>1303</v>
      </c>
      <c r="G591" s="213" t="str">
        <f ca="1">IFERROR(__xludf.DUMMYFUNCTION("""COMPUTED_VALUE"""),"155446")</f>
        <v>155446</v>
      </c>
      <c r="H591" s="211" t="str">
        <f ca="1">IFERROR(__xludf.DUMMYFUNCTION("""COMPUTED_VALUE"""),"ENSINO MEDIO PARCIAL")</f>
        <v>ENSINO MEDIO PARCIAL</v>
      </c>
      <c r="I591" s="214">
        <f ca="1">IFERROR(__xludf.DUMMYFUNCTION("""COMPUTED_VALUE"""),860)</f>
        <v>860</v>
      </c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9"/>
    </row>
    <row r="592" spans="1:26" ht="18.75" customHeight="1">
      <c r="A592" s="210" t="str">
        <f ca="1">IFERROR(__xludf.DUMMYFUNCTION("""COMPUTED_VALUE"""),"Gurupi")</f>
        <v>Gurupi</v>
      </c>
      <c r="B592" s="210" t="str">
        <f ca="1">IFERROR(__xludf.DUMMYFUNCTION("""COMPUTED_VALUE"""),"Talisma")</f>
        <v>Talisma</v>
      </c>
      <c r="C592" s="211" t="str">
        <f ca="1">IFERROR(__xludf.DUMMYFUNCTION("""COMPUTED_VALUE"""),"A.A.  DO COLEGIO ESTADUAL DE TALISMA")</f>
        <v>A.A.  DO COLEGIO ESTADUAL DE TALISMA</v>
      </c>
      <c r="D592" s="212" t="str">
        <f ca="1">IFERROR(__xludf.DUMMYFUNCTION("""COMPUTED_VALUE"""),"07547605000146")</f>
        <v>07547605000146</v>
      </c>
      <c r="E592" s="212" t="str">
        <f ca="1">IFERROR(__xludf.DUMMYFUNCTION("""COMPUTED_VALUE"""),"001")</f>
        <v>001</v>
      </c>
      <c r="F592" s="212" t="str">
        <f ca="1">IFERROR(__xludf.DUMMYFUNCTION("""COMPUTED_VALUE"""),"1303")</f>
        <v>1303</v>
      </c>
      <c r="G592" s="213" t="str">
        <f ca="1">IFERROR(__xludf.DUMMYFUNCTION("""COMPUTED_VALUE"""),"155446")</f>
        <v>155446</v>
      </c>
      <c r="H592" s="211" t="str">
        <f ca="1">IFERROR(__xludf.DUMMYFUNCTION("""COMPUTED_VALUE"""),"EJA")</f>
        <v>EJA</v>
      </c>
      <c r="I592" s="214">
        <f ca="1">IFERROR(__xludf.DUMMYFUNCTION("""COMPUTED_VALUE"""),65.6)</f>
        <v>65.599999999999994</v>
      </c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9"/>
    </row>
    <row r="593" spans="1:26" ht="18.75" customHeight="1">
      <c r="A593" s="210" t="str">
        <f ca="1">IFERROR(__xludf.DUMMYFUNCTION("""COMPUTED_VALUE"""),"Miracema")</f>
        <v>Miracema</v>
      </c>
      <c r="B593" s="210" t="str">
        <f ca="1">IFERROR(__xludf.DUMMYFUNCTION("""COMPUTED_VALUE"""),"dois Irmaos do Tocantins")</f>
        <v>dois Irmaos do Tocantins</v>
      </c>
      <c r="C593" s="211" t="str">
        <f ca="1">IFERROR(__xludf.DUMMYFUNCTION("""COMPUTED_VALUE"""),"A.C.E. COL PRES. CASTELO BRANCO")</f>
        <v>A.C.E. COL PRES. CASTELO BRANCO</v>
      </c>
      <c r="D593" s="212" t="str">
        <f ca="1">IFERROR(__xludf.DUMMYFUNCTION("""COMPUTED_VALUE"""),"01034882000179")</f>
        <v>01034882000179</v>
      </c>
      <c r="E593" s="212" t="str">
        <f ca="1">IFERROR(__xludf.DUMMYFUNCTION("""COMPUTED_VALUE"""),"001")</f>
        <v>001</v>
      </c>
      <c r="F593" s="212" t="str">
        <f ca="1">IFERROR(__xludf.DUMMYFUNCTION("""COMPUTED_VALUE"""),"0862")</f>
        <v>0862</v>
      </c>
      <c r="G593" s="213" t="str">
        <f ca="1">IFERROR(__xludf.DUMMYFUNCTION("""COMPUTED_VALUE"""),"68950")</f>
        <v>68950</v>
      </c>
      <c r="H593" s="211" t="str">
        <f ca="1">IFERROR(__xludf.DUMMYFUNCTION("""COMPUTED_VALUE"""),"ENS FUND PARCIAL")</f>
        <v>ENS FUND PARCIAL</v>
      </c>
      <c r="I593" s="214">
        <f ca="1">IFERROR(__xludf.DUMMYFUNCTION("""COMPUTED_VALUE"""),3710)</f>
        <v>3710</v>
      </c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9"/>
    </row>
    <row r="594" spans="1:26" ht="18.75" customHeight="1">
      <c r="A594" s="210" t="str">
        <f ca="1">IFERROR(__xludf.DUMMYFUNCTION("""COMPUTED_VALUE"""),"Miracema")</f>
        <v>Miracema</v>
      </c>
      <c r="B594" s="210" t="str">
        <f ca="1">IFERROR(__xludf.DUMMYFUNCTION("""COMPUTED_VALUE"""),"dois Irmaos do Tocantins")</f>
        <v>dois Irmaos do Tocantins</v>
      </c>
      <c r="C594" s="211" t="str">
        <f ca="1">IFERROR(__xludf.DUMMYFUNCTION("""COMPUTED_VALUE"""),"A.C.E. COL PRES. CASTELO BRANCO")</f>
        <v>A.C.E. COL PRES. CASTELO BRANCO</v>
      </c>
      <c r="D594" s="212" t="str">
        <f ca="1">IFERROR(__xludf.DUMMYFUNCTION("""COMPUTED_VALUE"""),"01034882000179")</f>
        <v>01034882000179</v>
      </c>
      <c r="E594" s="212" t="str">
        <f ca="1">IFERROR(__xludf.DUMMYFUNCTION("""COMPUTED_VALUE"""),"001")</f>
        <v>001</v>
      </c>
      <c r="F594" s="212" t="str">
        <f ca="1">IFERROR(__xludf.DUMMYFUNCTION("""COMPUTED_VALUE"""),"0862")</f>
        <v>0862</v>
      </c>
      <c r="G594" s="213" t="str">
        <f ca="1">IFERROR(__xludf.DUMMYFUNCTION("""COMPUTED_VALUE"""),"68950")</f>
        <v>68950</v>
      </c>
      <c r="H594" s="211" t="str">
        <f ca="1">IFERROR(__xludf.DUMMYFUNCTION("""COMPUTED_VALUE"""),"AEE")</f>
        <v>AEE</v>
      </c>
      <c r="I594" s="214">
        <f ca="1">IFERROR(__xludf.DUMMYFUNCTION("""COMPUTED_VALUE"""),176.799999999999)</f>
        <v>176.79999999999899</v>
      </c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9"/>
    </row>
    <row r="595" spans="1:26" ht="18.75" customHeight="1">
      <c r="A595" s="210" t="str">
        <f ca="1">IFERROR(__xludf.DUMMYFUNCTION("""COMPUTED_VALUE"""),"Miracema")</f>
        <v>Miracema</v>
      </c>
      <c r="B595" s="210" t="str">
        <f ca="1">IFERROR(__xludf.DUMMYFUNCTION("""COMPUTED_VALUE"""),"dois Irmaos do Tocantins")</f>
        <v>dois Irmaos do Tocantins</v>
      </c>
      <c r="C595" s="211" t="str">
        <f ca="1">IFERROR(__xludf.DUMMYFUNCTION("""COMPUTED_VALUE"""),"A.C.E. COL PRES. CASTELO BRANCO")</f>
        <v>A.C.E. COL PRES. CASTELO BRANCO</v>
      </c>
      <c r="D595" s="212" t="str">
        <f ca="1">IFERROR(__xludf.DUMMYFUNCTION("""COMPUTED_VALUE"""),"01034882000179")</f>
        <v>01034882000179</v>
      </c>
      <c r="E595" s="212" t="str">
        <f ca="1">IFERROR(__xludf.DUMMYFUNCTION("""COMPUTED_VALUE"""),"001")</f>
        <v>001</v>
      </c>
      <c r="F595" s="212" t="str">
        <f ca="1">IFERROR(__xludf.DUMMYFUNCTION("""COMPUTED_VALUE"""),"0862")</f>
        <v>0862</v>
      </c>
      <c r="G595" s="213" t="str">
        <f ca="1">IFERROR(__xludf.DUMMYFUNCTION("""COMPUTED_VALUE"""),"68950")</f>
        <v>68950</v>
      </c>
      <c r="H595" s="211" t="str">
        <f ca="1">IFERROR(__xludf.DUMMYFUNCTION("""COMPUTED_VALUE"""),"ENSINO MEDIO PARCIAL")</f>
        <v>ENSINO MEDIO PARCIAL</v>
      </c>
      <c r="I595" s="214">
        <f ca="1">IFERROR(__xludf.DUMMYFUNCTION("""COMPUTED_VALUE"""),2090)</f>
        <v>2090</v>
      </c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9"/>
    </row>
    <row r="596" spans="1:26" ht="18.75" customHeight="1">
      <c r="A596" s="210" t="str">
        <f ca="1">IFERROR(__xludf.DUMMYFUNCTION("""COMPUTED_VALUE"""),"Miracema")</f>
        <v>Miracema</v>
      </c>
      <c r="B596" s="210" t="str">
        <f ca="1">IFERROR(__xludf.DUMMYFUNCTION("""COMPUTED_VALUE"""),"dois Irmaos do Tocantins")</f>
        <v>dois Irmaos do Tocantins</v>
      </c>
      <c r="C596" s="211" t="str">
        <f ca="1">IFERROR(__xludf.DUMMYFUNCTION("""COMPUTED_VALUE"""),"ASSOC. DE APOIO A ESCOLA ESPECIAL CLOVIS DE ASSIS")</f>
        <v>ASSOC. DE APOIO A ESCOLA ESPECIAL CLOVIS DE ASSIS</v>
      </c>
      <c r="D596" s="212" t="str">
        <f ca="1">IFERROR(__xludf.DUMMYFUNCTION("""COMPUTED_VALUE"""),"09327390000183")</f>
        <v>09327390000183</v>
      </c>
      <c r="E596" s="212" t="str">
        <f ca="1">IFERROR(__xludf.DUMMYFUNCTION("""COMPUTED_VALUE"""),"001")</f>
        <v>001</v>
      </c>
      <c r="F596" s="212" t="str">
        <f ca="1">IFERROR(__xludf.DUMMYFUNCTION("""COMPUTED_VALUE"""),"0862")</f>
        <v>0862</v>
      </c>
      <c r="G596" s="213" t="str">
        <f ca="1">IFERROR(__xludf.DUMMYFUNCTION("""COMPUTED_VALUE"""),"211087")</f>
        <v>211087</v>
      </c>
      <c r="H596" s="211" t="str">
        <f ca="1">IFERROR(__xludf.DUMMYFUNCTION("""COMPUTED_VALUE"""),"ENS FUND PARCIAL")</f>
        <v>ENS FUND PARCIAL</v>
      </c>
      <c r="I596" s="214">
        <f ca="1">IFERROR(__xludf.DUMMYFUNCTION("""COMPUTED_VALUE"""),110)</f>
        <v>110</v>
      </c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9"/>
    </row>
    <row r="597" spans="1:26" ht="18.75" customHeight="1">
      <c r="A597" s="210" t="str">
        <f ca="1">IFERROR(__xludf.DUMMYFUNCTION("""COMPUTED_VALUE"""),"Miracema")</f>
        <v>Miracema</v>
      </c>
      <c r="B597" s="210" t="str">
        <f ca="1">IFERROR(__xludf.DUMMYFUNCTION("""COMPUTED_VALUE"""),"dois Irmaos do Tocantins")</f>
        <v>dois Irmaos do Tocantins</v>
      </c>
      <c r="C597" s="211" t="str">
        <f ca="1">IFERROR(__xludf.DUMMYFUNCTION("""COMPUTED_VALUE"""),"ASSOC. DE APOIO A ESCOLA ESPECIAL CLOVIS DE ASSIS")</f>
        <v>ASSOC. DE APOIO A ESCOLA ESPECIAL CLOVIS DE ASSIS</v>
      </c>
      <c r="D597" s="212" t="str">
        <f ca="1">IFERROR(__xludf.DUMMYFUNCTION("""COMPUTED_VALUE"""),"09327390000183")</f>
        <v>09327390000183</v>
      </c>
      <c r="E597" s="212" t="str">
        <f ca="1">IFERROR(__xludf.DUMMYFUNCTION("""COMPUTED_VALUE"""),"001")</f>
        <v>001</v>
      </c>
      <c r="F597" s="212" t="str">
        <f ca="1">IFERROR(__xludf.DUMMYFUNCTION("""COMPUTED_VALUE"""),"0862")</f>
        <v>0862</v>
      </c>
      <c r="G597" s="213" t="str">
        <f ca="1">IFERROR(__xludf.DUMMYFUNCTION("""COMPUTED_VALUE"""),"211087")</f>
        <v>211087</v>
      </c>
      <c r="H597" s="211" t="str">
        <f ca="1">IFERROR(__xludf.DUMMYFUNCTION("""COMPUTED_VALUE"""),"AEE")</f>
        <v>AEE</v>
      </c>
      <c r="I597" s="214">
        <f ca="1">IFERROR(__xludf.DUMMYFUNCTION("""COMPUTED_VALUE"""),190.4)</f>
        <v>190.4</v>
      </c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9"/>
    </row>
    <row r="598" spans="1:26" ht="18.75" customHeight="1">
      <c r="A598" s="210" t="str">
        <f ca="1">IFERROR(__xludf.DUMMYFUNCTION("""COMPUTED_VALUE"""),"Miracema")</f>
        <v>Miracema</v>
      </c>
      <c r="B598" s="210" t="str">
        <f ca="1">IFERROR(__xludf.DUMMYFUNCTION("""COMPUTED_VALUE"""),"dois Irmaos do Tocantins")</f>
        <v>dois Irmaos do Tocantins</v>
      </c>
      <c r="C598" s="211" t="str">
        <f ca="1">IFERROR(__xludf.DUMMYFUNCTION("""COMPUTED_VALUE"""),"ASSOC. DE APOIO A ESCOLA ESPECIAL CLOVIS DE ASSIS")</f>
        <v>ASSOC. DE APOIO A ESCOLA ESPECIAL CLOVIS DE ASSIS</v>
      </c>
      <c r="D598" s="212" t="str">
        <f ca="1">IFERROR(__xludf.DUMMYFUNCTION("""COMPUTED_VALUE"""),"09327390000183")</f>
        <v>09327390000183</v>
      </c>
      <c r="E598" s="212" t="str">
        <f ca="1">IFERROR(__xludf.DUMMYFUNCTION("""COMPUTED_VALUE"""),"001")</f>
        <v>001</v>
      </c>
      <c r="F598" s="212" t="str">
        <f ca="1">IFERROR(__xludf.DUMMYFUNCTION("""COMPUTED_VALUE"""),"0862")</f>
        <v>0862</v>
      </c>
      <c r="G598" s="213" t="str">
        <f ca="1">IFERROR(__xludf.DUMMYFUNCTION("""COMPUTED_VALUE"""),"211087")</f>
        <v>211087</v>
      </c>
      <c r="H598" s="211" t="str">
        <f ca="1">IFERROR(__xludf.DUMMYFUNCTION("""COMPUTED_VALUE"""),"EJA")</f>
        <v>EJA</v>
      </c>
      <c r="I598" s="214">
        <f ca="1">IFERROR(__xludf.DUMMYFUNCTION("""COMPUTED_VALUE"""),368.999999999999)</f>
        <v>368.99999999999898</v>
      </c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9"/>
    </row>
    <row r="599" spans="1:26" ht="18.75" customHeight="1">
      <c r="A599" s="210" t="str">
        <f ca="1">IFERROR(__xludf.DUMMYFUNCTION("""COMPUTED_VALUE"""),"Miracema")</f>
        <v>Miracema</v>
      </c>
      <c r="B599" s="210" t="str">
        <f ca="1">IFERROR(__xludf.DUMMYFUNCTION("""COMPUTED_VALUE"""),"Lizarda")</f>
        <v>Lizarda</v>
      </c>
      <c r="C599" s="211" t="str">
        <f ca="1">IFERROR(__xludf.DUMMYFUNCTION("""COMPUTED_VALUE"""),"A. ESC. COMUN. DO COL. EST. 31 DE MARCO")</f>
        <v>A. ESC. COMUN. DO COL. EST. 31 DE MARCO</v>
      </c>
      <c r="D599" s="212" t="str">
        <f ca="1">IFERROR(__xludf.DUMMYFUNCTION("""COMPUTED_VALUE"""),"01232873000192")</f>
        <v>01232873000192</v>
      </c>
      <c r="E599" s="212" t="str">
        <f ca="1">IFERROR(__xludf.DUMMYFUNCTION("""COMPUTED_VALUE"""),"001")</f>
        <v>001</v>
      </c>
      <c r="F599" s="212" t="str">
        <f ca="1">IFERROR(__xludf.DUMMYFUNCTION("""COMPUTED_VALUE"""),"0862")</f>
        <v>0862</v>
      </c>
      <c r="G599" s="213" t="str">
        <f ca="1">IFERROR(__xludf.DUMMYFUNCTION("""COMPUTED_VALUE"""),"68969")</f>
        <v>68969</v>
      </c>
      <c r="H599" s="211" t="str">
        <f ca="1">IFERROR(__xludf.DUMMYFUNCTION("""COMPUTED_VALUE"""),"ENS FUND PARCIAL")</f>
        <v>ENS FUND PARCIAL</v>
      </c>
      <c r="I599" s="214">
        <f ca="1">IFERROR(__xludf.DUMMYFUNCTION("""COMPUTED_VALUE"""),1780)</f>
        <v>1780</v>
      </c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9"/>
    </row>
    <row r="600" spans="1:26" ht="18.75" customHeight="1">
      <c r="A600" s="210" t="str">
        <f ca="1">IFERROR(__xludf.DUMMYFUNCTION("""COMPUTED_VALUE"""),"Miracema")</f>
        <v>Miracema</v>
      </c>
      <c r="B600" s="210" t="str">
        <f ca="1">IFERROR(__xludf.DUMMYFUNCTION("""COMPUTED_VALUE"""),"Lizarda")</f>
        <v>Lizarda</v>
      </c>
      <c r="C600" s="211" t="str">
        <f ca="1">IFERROR(__xludf.DUMMYFUNCTION("""COMPUTED_VALUE"""),"A. ESC. COMUN. DO COL. EST. 31 DE MARCO")</f>
        <v>A. ESC. COMUN. DO COL. EST. 31 DE MARCO</v>
      </c>
      <c r="D600" s="212" t="str">
        <f ca="1">IFERROR(__xludf.DUMMYFUNCTION("""COMPUTED_VALUE"""),"01232873000192")</f>
        <v>01232873000192</v>
      </c>
      <c r="E600" s="212" t="str">
        <f ca="1">IFERROR(__xludf.DUMMYFUNCTION("""COMPUTED_VALUE"""),"001")</f>
        <v>001</v>
      </c>
      <c r="F600" s="212" t="str">
        <f ca="1">IFERROR(__xludf.DUMMYFUNCTION("""COMPUTED_VALUE"""),"0862")</f>
        <v>0862</v>
      </c>
      <c r="G600" s="213" t="str">
        <f ca="1">IFERROR(__xludf.DUMMYFUNCTION("""COMPUTED_VALUE"""),"68969")</f>
        <v>68969</v>
      </c>
      <c r="H600" s="211" t="str">
        <f ca="1">IFERROR(__xludf.DUMMYFUNCTION("""COMPUTED_VALUE"""),"AEE")</f>
        <v>AEE</v>
      </c>
      <c r="I600" s="214">
        <f ca="1">IFERROR(__xludf.DUMMYFUNCTION("""COMPUTED_VALUE"""),149.6)</f>
        <v>149.6</v>
      </c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9"/>
    </row>
    <row r="601" spans="1:26" ht="18.75" customHeight="1">
      <c r="A601" s="210" t="str">
        <f ca="1">IFERROR(__xludf.DUMMYFUNCTION("""COMPUTED_VALUE"""),"Miracema")</f>
        <v>Miracema</v>
      </c>
      <c r="B601" s="210" t="str">
        <f ca="1">IFERROR(__xludf.DUMMYFUNCTION("""COMPUTED_VALUE"""),"Lizarda")</f>
        <v>Lizarda</v>
      </c>
      <c r="C601" s="211" t="str">
        <f ca="1">IFERROR(__xludf.DUMMYFUNCTION("""COMPUTED_VALUE"""),"A. ESC. COMUN. DO COL. EST. 31 DE MARCO")</f>
        <v>A. ESC. COMUN. DO COL. EST. 31 DE MARCO</v>
      </c>
      <c r="D601" s="212" t="str">
        <f ca="1">IFERROR(__xludf.DUMMYFUNCTION("""COMPUTED_VALUE"""),"01232873000192")</f>
        <v>01232873000192</v>
      </c>
      <c r="E601" s="212" t="str">
        <f ca="1">IFERROR(__xludf.DUMMYFUNCTION("""COMPUTED_VALUE"""),"001")</f>
        <v>001</v>
      </c>
      <c r="F601" s="212" t="str">
        <f ca="1">IFERROR(__xludf.DUMMYFUNCTION("""COMPUTED_VALUE"""),"0862")</f>
        <v>0862</v>
      </c>
      <c r="G601" s="213" t="str">
        <f ca="1">IFERROR(__xludf.DUMMYFUNCTION("""COMPUTED_VALUE"""),"68969")</f>
        <v>68969</v>
      </c>
      <c r="H601" s="211" t="str">
        <f ca="1">IFERROR(__xludf.DUMMYFUNCTION("""COMPUTED_VALUE"""),"ENSINO MEDIO PARCIAL")</f>
        <v>ENSINO MEDIO PARCIAL</v>
      </c>
      <c r="I601" s="214">
        <f ca="1">IFERROR(__xludf.DUMMYFUNCTION("""COMPUTED_VALUE"""),1610)</f>
        <v>1610</v>
      </c>
      <c r="J601" s="209"/>
      <c r="K601" s="209"/>
      <c r="L601" s="209"/>
      <c r="M601" s="209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  <c r="Z601" s="209"/>
    </row>
    <row r="602" spans="1:26" ht="18.75" customHeight="1">
      <c r="A602" s="210" t="str">
        <f ca="1">IFERROR(__xludf.DUMMYFUNCTION("""COMPUTED_VALUE"""),"Miracema")</f>
        <v>Miracema</v>
      </c>
      <c r="B602" s="210" t="str">
        <f ca="1">IFERROR(__xludf.DUMMYFUNCTION("""COMPUTED_VALUE"""),"Lizarda")</f>
        <v>Lizarda</v>
      </c>
      <c r="C602" s="211" t="str">
        <f ca="1">IFERROR(__xludf.DUMMYFUNCTION("""COMPUTED_VALUE"""),"ESCOLA ESTADUAL AYRTON SENNA")</f>
        <v>ESCOLA ESTADUAL AYRTON SENNA</v>
      </c>
      <c r="D602" s="212" t="str">
        <f ca="1">IFERROR(__xludf.DUMMYFUNCTION("""COMPUTED_VALUE"""),"11406586000105")</f>
        <v>11406586000105</v>
      </c>
      <c r="E602" s="212" t="str">
        <f ca="1">IFERROR(__xludf.DUMMYFUNCTION("""COMPUTED_VALUE"""),"001")</f>
        <v>001</v>
      </c>
      <c r="F602" s="212" t="str">
        <f ca="1">IFERROR(__xludf.DUMMYFUNCTION("""COMPUTED_VALUE"""),"0862")</f>
        <v>0862</v>
      </c>
      <c r="G602" s="213" t="str">
        <f ca="1">IFERROR(__xludf.DUMMYFUNCTION("""COMPUTED_VALUE"""),"270393")</f>
        <v>270393</v>
      </c>
      <c r="H602" s="211" t="str">
        <f ca="1">IFERROR(__xludf.DUMMYFUNCTION("""COMPUTED_VALUE"""),"ENS FUND PARCIAL")</f>
        <v>ENS FUND PARCIAL</v>
      </c>
      <c r="I602" s="214">
        <f ca="1">IFERROR(__xludf.DUMMYFUNCTION("""COMPUTED_VALUE"""),680)</f>
        <v>680</v>
      </c>
      <c r="J602" s="209"/>
      <c r="K602" s="209"/>
      <c r="L602" s="209"/>
      <c r="M602" s="209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/>
      <c r="Y602" s="209"/>
      <c r="Z602" s="209"/>
    </row>
    <row r="603" spans="1:26" ht="18.75" customHeight="1">
      <c r="A603" s="210" t="str">
        <f ca="1">IFERROR(__xludf.DUMMYFUNCTION("""COMPUTED_VALUE"""),"Miracema")</f>
        <v>Miracema</v>
      </c>
      <c r="B603" s="210" t="str">
        <f ca="1">IFERROR(__xludf.DUMMYFUNCTION("""COMPUTED_VALUE"""),"Lizarda")</f>
        <v>Lizarda</v>
      </c>
      <c r="C603" s="211" t="str">
        <f ca="1">IFERROR(__xludf.DUMMYFUNCTION("""COMPUTED_VALUE"""),"ESCOLA ESTADUAL AYRTON SENNA")</f>
        <v>ESCOLA ESTADUAL AYRTON SENNA</v>
      </c>
      <c r="D603" s="212" t="str">
        <f ca="1">IFERROR(__xludf.DUMMYFUNCTION("""COMPUTED_VALUE"""),"11406586000105")</f>
        <v>11406586000105</v>
      </c>
      <c r="E603" s="212" t="str">
        <f ca="1">IFERROR(__xludf.DUMMYFUNCTION("""COMPUTED_VALUE"""),"001")</f>
        <v>001</v>
      </c>
      <c r="F603" s="212" t="str">
        <f ca="1">IFERROR(__xludf.DUMMYFUNCTION("""COMPUTED_VALUE"""),"0862")</f>
        <v>0862</v>
      </c>
      <c r="G603" s="213" t="str">
        <f ca="1">IFERROR(__xludf.DUMMYFUNCTION("""COMPUTED_VALUE"""),"270393")</f>
        <v>270393</v>
      </c>
      <c r="H603" s="211" t="str">
        <f ca="1">IFERROR(__xludf.DUMMYFUNCTION("""COMPUTED_VALUE"""),"AEE")</f>
        <v>AEE</v>
      </c>
      <c r="I603" s="214">
        <f ca="1">IFERROR(__xludf.DUMMYFUNCTION("""COMPUTED_VALUE"""),68)</f>
        <v>68</v>
      </c>
      <c r="J603" s="209"/>
      <c r="K603" s="209"/>
      <c r="L603" s="209"/>
      <c r="M603" s="209"/>
      <c r="N603" s="209"/>
      <c r="O603" s="209"/>
      <c r="P603" s="209"/>
      <c r="Q603" s="209"/>
      <c r="R603" s="209"/>
      <c r="S603" s="209"/>
      <c r="T603" s="209"/>
      <c r="U603" s="209"/>
      <c r="V603" s="209"/>
      <c r="W603" s="209"/>
      <c r="X603" s="209"/>
      <c r="Y603" s="209"/>
      <c r="Z603" s="209"/>
    </row>
    <row r="604" spans="1:26" ht="18.75" customHeight="1">
      <c r="A604" s="210" t="str">
        <f ca="1">IFERROR(__xludf.DUMMYFUNCTION("""COMPUTED_VALUE"""),"Miracema")</f>
        <v>Miracema</v>
      </c>
      <c r="B604" s="210" t="str">
        <f ca="1">IFERROR(__xludf.DUMMYFUNCTION("""COMPUTED_VALUE"""),"Lizarda")</f>
        <v>Lizarda</v>
      </c>
      <c r="C604" s="211" t="str">
        <f ca="1">IFERROR(__xludf.DUMMYFUNCTION("""COMPUTED_VALUE"""),"ESCOLA ESTADUAL AYRTON SENNA")</f>
        <v>ESCOLA ESTADUAL AYRTON SENNA</v>
      </c>
      <c r="D604" s="212" t="str">
        <f ca="1">IFERROR(__xludf.DUMMYFUNCTION("""COMPUTED_VALUE"""),"11406586000105")</f>
        <v>11406586000105</v>
      </c>
      <c r="E604" s="212" t="str">
        <f ca="1">IFERROR(__xludf.DUMMYFUNCTION("""COMPUTED_VALUE"""),"001")</f>
        <v>001</v>
      </c>
      <c r="F604" s="212" t="str">
        <f ca="1">IFERROR(__xludf.DUMMYFUNCTION("""COMPUTED_VALUE"""),"0862")</f>
        <v>0862</v>
      </c>
      <c r="G604" s="213" t="str">
        <f ca="1">IFERROR(__xludf.DUMMYFUNCTION("""COMPUTED_VALUE"""),"270393")</f>
        <v>270393</v>
      </c>
      <c r="H604" s="211" t="str">
        <f ca="1">IFERROR(__xludf.DUMMYFUNCTION("""COMPUTED_VALUE"""),"ENSINO MEDIO PARCIAL")</f>
        <v>ENSINO MEDIO PARCIAL</v>
      </c>
      <c r="I604" s="214">
        <f ca="1">IFERROR(__xludf.DUMMYFUNCTION("""COMPUTED_VALUE"""),250)</f>
        <v>250</v>
      </c>
      <c r="J604" s="209"/>
      <c r="K604" s="209"/>
      <c r="L604" s="209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9"/>
      <c r="Y604" s="209"/>
      <c r="Z604" s="209"/>
    </row>
    <row r="605" spans="1:26" ht="18.75" customHeight="1">
      <c r="A605" s="210" t="str">
        <f ca="1">IFERROR(__xludf.DUMMYFUNCTION("""COMPUTED_VALUE"""),"Miracema")</f>
        <v>Miracema</v>
      </c>
      <c r="B605" s="210" t="str">
        <f ca="1">IFERROR(__xludf.DUMMYFUNCTION("""COMPUTED_VALUE"""),"Miracema do Tocantins")</f>
        <v>Miracema do Tocantins</v>
      </c>
      <c r="C605" s="211" t="str">
        <f ca="1">IFERROR(__xludf.DUMMYFUNCTION("""COMPUTED_VALUE"""),"ASSOC ESC COM COL EST FILOMENA MOREIRA DE PAULA")</f>
        <v>ASSOC ESC COM COL EST FILOMENA MOREIRA DE PAULA</v>
      </c>
      <c r="D605" s="212" t="str">
        <f ca="1">IFERROR(__xludf.DUMMYFUNCTION("""COMPUTED_VALUE"""),"00900200000109")</f>
        <v>00900200000109</v>
      </c>
      <c r="E605" s="212" t="str">
        <f ca="1">IFERROR(__xludf.DUMMYFUNCTION("""COMPUTED_VALUE"""),"001")</f>
        <v>001</v>
      </c>
      <c r="F605" s="212" t="str">
        <f ca="1">IFERROR(__xludf.DUMMYFUNCTION("""COMPUTED_VALUE"""),"0862")</f>
        <v>0862</v>
      </c>
      <c r="G605" s="213" t="str">
        <f ca="1">IFERROR(__xludf.DUMMYFUNCTION("""COMPUTED_VALUE"""),"97527")</f>
        <v>97527</v>
      </c>
      <c r="H605" s="211" t="str">
        <f ca="1">IFERROR(__xludf.DUMMYFUNCTION("""COMPUTED_VALUE"""),"AEE")</f>
        <v>AEE</v>
      </c>
      <c r="I605" s="214">
        <f ca="1">IFERROR(__xludf.DUMMYFUNCTION("""COMPUTED_VALUE"""),204)</f>
        <v>204</v>
      </c>
      <c r="J605" s="209"/>
      <c r="K605" s="209"/>
      <c r="L605" s="209"/>
      <c r="M605" s="209"/>
      <c r="N605" s="209"/>
      <c r="O605" s="209"/>
      <c r="P605" s="209"/>
      <c r="Q605" s="209"/>
      <c r="R605" s="209"/>
      <c r="S605" s="209"/>
      <c r="T605" s="209"/>
      <c r="U605" s="209"/>
      <c r="V605" s="209"/>
      <c r="W605" s="209"/>
      <c r="X605" s="209"/>
      <c r="Y605" s="209"/>
      <c r="Z605" s="209"/>
    </row>
    <row r="606" spans="1:26" ht="18.75" customHeight="1">
      <c r="A606" s="210" t="str">
        <f ca="1">IFERROR(__xludf.DUMMYFUNCTION("""COMPUTED_VALUE"""),"Miracema")</f>
        <v>Miracema</v>
      </c>
      <c r="B606" s="210" t="str">
        <f ca="1">IFERROR(__xludf.DUMMYFUNCTION("""COMPUTED_VALUE"""),"Miracema do Tocantins")</f>
        <v>Miracema do Tocantins</v>
      </c>
      <c r="C606" s="211" t="str">
        <f ca="1">IFERROR(__xludf.DUMMYFUNCTION("""COMPUTED_VALUE"""),"ASSOC ESC COM COL EST FILOMENA MOREIRA DE PAULA")</f>
        <v>ASSOC ESC COM COL EST FILOMENA MOREIRA DE PAULA</v>
      </c>
      <c r="D606" s="212" t="str">
        <f ca="1">IFERROR(__xludf.DUMMYFUNCTION("""COMPUTED_VALUE"""),"00900200000109")</f>
        <v>00900200000109</v>
      </c>
      <c r="E606" s="212" t="str">
        <f ca="1">IFERROR(__xludf.DUMMYFUNCTION("""COMPUTED_VALUE"""),"001")</f>
        <v>001</v>
      </c>
      <c r="F606" s="212" t="str">
        <f ca="1">IFERROR(__xludf.DUMMYFUNCTION("""COMPUTED_VALUE"""),"0862")</f>
        <v>0862</v>
      </c>
      <c r="G606" s="213" t="str">
        <f ca="1">IFERROR(__xludf.DUMMYFUNCTION("""COMPUTED_VALUE"""),"97527")</f>
        <v>97527</v>
      </c>
      <c r="H606" s="211" t="str">
        <f ca="1">IFERROR(__xludf.DUMMYFUNCTION("""COMPUTED_VALUE"""),"JOVEM AÇÃO")</f>
        <v>JOVEM AÇÃO</v>
      </c>
      <c r="I606" s="214">
        <f ca="1">IFERROR(__xludf.DUMMYFUNCTION("""COMPUTED_VALUE"""),5580.8)</f>
        <v>5580.8</v>
      </c>
      <c r="J606" s="209"/>
      <c r="K606" s="209"/>
      <c r="L606" s="209"/>
      <c r="M606" s="209"/>
      <c r="N606" s="209"/>
      <c r="O606" s="209"/>
      <c r="P606" s="209"/>
      <c r="Q606" s="209"/>
      <c r="R606" s="209"/>
      <c r="S606" s="209"/>
      <c r="T606" s="209"/>
      <c r="U606" s="209"/>
      <c r="V606" s="209"/>
      <c r="W606" s="209"/>
      <c r="X606" s="209"/>
      <c r="Y606" s="209"/>
      <c r="Z606" s="209"/>
    </row>
    <row r="607" spans="1:26" ht="18.75" customHeight="1">
      <c r="A607" s="210" t="str">
        <f ca="1">IFERROR(__xludf.DUMMYFUNCTION("""COMPUTED_VALUE"""),"Miracema")</f>
        <v>Miracema</v>
      </c>
      <c r="B607" s="210" t="str">
        <f ca="1">IFERROR(__xludf.DUMMYFUNCTION("""COMPUTED_VALUE"""),"Miracema do Tocantins")</f>
        <v>Miracema do Tocantins</v>
      </c>
      <c r="C607" s="211" t="str">
        <f ca="1">IFERROR(__xludf.DUMMYFUNCTION("""COMPUTED_VALUE"""),"A.COM.DA ESC. EST. JOSE D. VASCONCELOS")</f>
        <v>A.COM.DA ESC. EST. JOSE D. VASCONCELOS</v>
      </c>
      <c r="D607" s="212" t="str">
        <f ca="1">IFERROR(__xludf.DUMMYFUNCTION("""COMPUTED_VALUE"""),"01068379000134")</f>
        <v>01068379000134</v>
      </c>
      <c r="E607" s="212" t="str">
        <f ca="1">IFERROR(__xludf.DUMMYFUNCTION("""COMPUTED_VALUE"""),"001")</f>
        <v>001</v>
      </c>
      <c r="F607" s="212" t="str">
        <f ca="1">IFERROR(__xludf.DUMMYFUNCTION("""COMPUTED_VALUE"""),"0862")</f>
        <v>0862</v>
      </c>
      <c r="G607" s="213" t="str">
        <f ca="1">IFERROR(__xludf.DUMMYFUNCTION("""COMPUTED_VALUE"""),"69035")</f>
        <v>69035</v>
      </c>
      <c r="H607" s="211" t="str">
        <f ca="1">IFERROR(__xludf.DUMMYFUNCTION("""COMPUTED_VALUE"""),"ENS FUND PARCIAL")</f>
        <v>ENS FUND PARCIAL</v>
      </c>
      <c r="I607" s="214">
        <f ca="1">IFERROR(__xludf.DUMMYFUNCTION("""COMPUTED_VALUE"""),1570)</f>
        <v>1570</v>
      </c>
      <c r="J607" s="209"/>
      <c r="K607" s="209"/>
      <c r="L607" s="209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9"/>
      <c r="Y607" s="209"/>
      <c r="Z607" s="209"/>
    </row>
    <row r="608" spans="1:26" ht="18.75" customHeight="1">
      <c r="A608" s="210" t="str">
        <f ca="1">IFERROR(__xludf.DUMMYFUNCTION("""COMPUTED_VALUE"""),"Miracema")</f>
        <v>Miracema</v>
      </c>
      <c r="B608" s="210" t="str">
        <f ca="1">IFERROR(__xludf.DUMMYFUNCTION("""COMPUTED_VALUE"""),"Miracema do Tocantins")</f>
        <v>Miracema do Tocantins</v>
      </c>
      <c r="C608" s="211" t="str">
        <f ca="1">IFERROR(__xludf.DUMMYFUNCTION("""COMPUTED_VALUE"""),"A.COM.DA ESC. EST. JOSE D. VASCONCELOS")</f>
        <v>A.COM.DA ESC. EST. JOSE D. VASCONCELOS</v>
      </c>
      <c r="D608" s="212" t="str">
        <f ca="1">IFERROR(__xludf.DUMMYFUNCTION("""COMPUTED_VALUE"""),"01068379000134")</f>
        <v>01068379000134</v>
      </c>
      <c r="E608" s="212" t="str">
        <f ca="1">IFERROR(__xludf.DUMMYFUNCTION("""COMPUTED_VALUE"""),"001")</f>
        <v>001</v>
      </c>
      <c r="F608" s="212" t="str">
        <f ca="1">IFERROR(__xludf.DUMMYFUNCTION("""COMPUTED_VALUE"""),"0862")</f>
        <v>0862</v>
      </c>
      <c r="G608" s="213" t="str">
        <f ca="1">IFERROR(__xludf.DUMMYFUNCTION("""COMPUTED_VALUE"""),"69035")</f>
        <v>69035</v>
      </c>
      <c r="H608" s="211" t="str">
        <f ca="1">IFERROR(__xludf.DUMMYFUNCTION("""COMPUTED_VALUE"""),"AEE")</f>
        <v>AEE</v>
      </c>
      <c r="I608" s="214">
        <f ca="1">IFERROR(__xludf.DUMMYFUNCTION("""COMPUTED_VALUE"""),244.799999999999)</f>
        <v>244.79999999999899</v>
      </c>
      <c r="J608" s="209"/>
      <c r="K608" s="209"/>
      <c r="L608" s="209"/>
      <c r="M608" s="209"/>
      <c r="N608" s="209"/>
      <c r="O608" s="209"/>
      <c r="P608" s="209"/>
      <c r="Q608" s="209"/>
      <c r="R608" s="209"/>
      <c r="S608" s="209"/>
      <c r="T608" s="209"/>
      <c r="U608" s="209"/>
      <c r="V608" s="209"/>
      <c r="W608" s="209"/>
      <c r="X608" s="209"/>
      <c r="Y608" s="209"/>
      <c r="Z608" s="209"/>
    </row>
    <row r="609" spans="1:26" ht="18.75" customHeight="1">
      <c r="A609" s="210" t="str">
        <f ca="1">IFERROR(__xludf.DUMMYFUNCTION("""COMPUTED_VALUE"""),"Miracema")</f>
        <v>Miracema</v>
      </c>
      <c r="B609" s="210" t="str">
        <f ca="1">IFERROR(__xludf.DUMMYFUNCTION("""COMPUTED_VALUE"""),"Miracema do Tocantins")</f>
        <v>Miracema do Tocantins</v>
      </c>
      <c r="C609" s="211" t="str">
        <f ca="1">IFERROR(__xludf.DUMMYFUNCTION("""COMPUTED_VALUE"""),"A.COM.DA ESC. EST. JOSE D. VASCONCELOS")</f>
        <v>A.COM.DA ESC. EST. JOSE D. VASCONCELOS</v>
      </c>
      <c r="D609" s="212" t="str">
        <f ca="1">IFERROR(__xludf.DUMMYFUNCTION("""COMPUTED_VALUE"""),"01068379000134")</f>
        <v>01068379000134</v>
      </c>
      <c r="E609" s="212" t="str">
        <f ca="1">IFERROR(__xludf.DUMMYFUNCTION("""COMPUTED_VALUE"""),"001")</f>
        <v>001</v>
      </c>
      <c r="F609" s="212" t="str">
        <f ca="1">IFERROR(__xludf.DUMMYFUNCTION("""COMPUTED_VALUE"""),"0862")</f>
        <v>0862</v>
      </c>
      <c r="G609" s="213" t="str">
        <f ca="1">IFERROR(__xludf.DUMMYFUNCTION("""COMPUTED_VALUE"""),"69035")</f>
        <v>69035</v>
      </c>
      <c r="H609" s="211" t="str">
        <f ca="1">IFERROR(__xludf.DUMMYFUNCTION("""COMPUTED_VALUE"""),"ENSINO MEDIO PARCIAL")</f>
        <v>ENSINO MEDIO PARCIAL</v>
      </c>
      <c r="I609" s="214">
        <f ca="1">IFERROR(__xludf.DUMMYFUNCTION("""COMPUTED_VALUE"""),2380)</f>
        <v>2380</v>
      </c>
      <c r="J609" s="209"/>
      <c r="K609" s="209"/>
      <c r="L609" s="209"/>
      <c r="M609" s="209"/>
      <c r="N609" s="209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  <c r="Z609" s="209"/>
    </row>
    <row r="610" spans="1:26" ht="18.75" customHeight="1">
      <c r="A610" s="210" t="str">
        <f ca="1">IFERROR(__xludf.DUMMYFUNCTION("""COMPUTED_VALUE"""),"Miracema")</f>
        <v>Miracema</v>
      </c>
      <c r="B610" s="210" t="str">
        <f ca="1">IFERROR(__xludf.DUMMYFUNCTION("""COMPUTED_VALUE"""),"Miracema do Tocantins")</f>
        <v>Miracema do Tocantins</v>
      </c>
      <c r="C610" s="211" t="str">
        <f ca="1">IFERROR(__xludf.DUMMYFUNCTION("""COMPUTED_VALUE"""),"A.COM.DA ESC. EST. JOSE D. VASCONCELOS")</f>
        <v>A.COM.DA ESC. EST. JOSE D. VASCONCELOS</v>
      </c>
      <c r="D610" s="212" t="str">
        <f ca="1">IFERROR(__xludf.DUMMYFUNCTION("""COMPUTED_VALUE"""),"01068379000134")</f>
        <v>01068379000134</v>
      </c>
      <c r="E610" s="212" t="str">
        <f ca="1">IFERROR(__xludf.DUMMYFUNCTION("""COMPUTED_VALUE"""),"001")</f>
        <v>001</v>
      </c>
      <c r="F610" s="212" t="str">
        <f ca="1">IFERROR(__xludf.DUMMYFUNCTION("""COMPUTED_VALUE"""),"0862")</f>
        <v>0862</v>
      </c>
      <c r="G610" s="213" t="str">
        <f ca="1">IFERROR(__xludf.DUMMYFUNCTION("""COMPUTED_VALUE"""),"69035")</f>
        <v>69035</v>
      </c>
      <c r="H610" s="211" t="str">
        <f ca="1">IFERROR(__xludf.DUMMYFUNCTION("""COMPUTED_VALUE"""),"EJA")</f>
        <v>EJA</v>
      </c>
      <c r="I610" s="214">
        <f ca="1">IFERROR(__xludf.DUMMYFUNCTION("""COMPUTED_VALUE"""),41)</f>
        <v>41</v>
      </c>
      <c r="J610" s="209"/>
      <c r="K610" s="209"/>
      <c r="L610" s="209"/>
      <c r="M610" s="209"/>
      <c r="N610" s="209"/>
      <c r="O610" s="209"/>
      <c r="P610" s="209"/>
      <c r="Q610" s="209"/>
      <c r="R610" s="209"/>
      <c r="S610" s="209"/>
      <c r="T610" s="209"/>
      <c r="U610" s="209"/>
      <c r="V610" s="209"/>
      <c r="W610" s="209"/>
      <c r="X610" s="209"/>
      <c r="Y610" s="209"/>
      <c r="Z610" s="209"/>
    </row>
    <row r="611" spans="1:26" ht="18.75" customHeight="1">
      <c r="A611" s="210" t="str">
        <f ca="1">IFERROR(__xludf.DUMMYFUNCTION("""COMPUTED_VALUE"""),"Miracema")</f>
        <v>Miracema</v>
      </c>
      <c r="B611" s="210" t="str">
        <f ca="1">IFERROR(__xludf.DUMMYFUNCTION("""COMPUTED_VALUE"""),"Miracema do Tocantins")</f>
        <v>Miracema do Tocantins</v>
      </c>
      <c r="C611" s="211" t="str">
        <f ca="1">IFERROR(__xludf.DUMMYFUNCTION("""COMPUTED_VALUE"""),"ASS. DE APOIO AO CEM SANTA TEREZINHA")</f>
        <v>ASS. DE APOIO AO CEM SANTA TEREZINHA</v>
      </c>
      <c r="D611" s="212" t="str">
        <f ca="1">IFERROR(__xludf.DUMMYFUNCTION("""COMPUTED_VALUE"""),"01085211000137")</f>
        <v>01085211000137</v>
      </c>
      <c r="E611" s="212" t="str">
        <f ca="1">IFERROR(__xludf.DUMMYFUNCTION("""COMPUTED_VALUE"""),"001")</f>
        <v>001</v>
      </c>
      <c r="F611" s="212" t="str">
        <f ca="1">IFERROR(__xludf.DUMMYFUNCTION("""COMPUTED_VALUE"""),"0862")</f>
        <v>0862</v>
      </c>
      <c r="G611" s="213" t="str">
        <f ca="1">IFERROR(__xludf.DUMMYFUNCTION("""COMPUTED_VALUE"""),"244589")</f>
        <v>244589</v>
      </c>
      <c r="H611" s="211" t="str">
        <f ca="1">IFERROR(__xludf.DUMMYFUNCTION("""COMPUTED_VALUE"""),"ENS FUND PARCIAL")</f>
        <v>ENS FUND PARCIAL</v>
      </c>
      <c r="I611" s="214">
        <f ca="1">IFERROR(__xludf.DUMMYFUNCTION("""COMPUTED_VALUE"""),2810)</f>
        <v>2810</v>
      </c>
      <c r="J611" s="209"/>
      <c r="K611" s="209"/>
      <c r="L611" s="209"/>
      <c r="M611" s="209"/>
      <c r="N611" s="209"/>
      <c r="O611" s="209"/>
      <c r="P611" s="209"/>
      <c r="Q611" s="209"/>
      <c r="R611" s="209"/>
      <c r="S611" s="209"/>
      <c r="T611" s="209"/>
      <c r="U611" s="209"/>
      <c r="V611" s="209"/>
      <c r="W611" s="209"/>
      <c r="X611" s="209"/>
      <c r="Y611" s="209"/>
      <c r="Z611" s="209"/>
    </row>
    <row r="612" spans="1:26" ht="18.75" customHeight="1">
      <c r="A612" s="210" t="str">
        <f ca="1">IFERROR(__xludf.DUMMYFUNCTION("""COMPUTED_VALUE"""),"Miracema")</f>
        <v>Miracema</v>
      </c>
      <c r="B612" s="210" t="str">
        <f ca="1">IFERROR(__xludf.DUMMYFUNCTION("""COMPUTED_VALUE"""),"Miracema do Tocantins")</f>
        <v>Miracema do Tocantins</v>
      </c>
      <c r="C612" s="211" t="str">
        <f ca="1">IFERROR(__xludf.DUMMYFUNCTION("""COMPUTED_VALUE"""),"ASS. DE APOIO AO CEM SANTA TEREZINHA")</f>
        <v>ASS. DE APOIO AO CEM SANTA TEREZINHA</v>
      </c>
      <c r="D612" s="212" t="str">
        <f ca="1">IFERROR(__xludf.DUMMYFUNCTION("""COMPUTED_VALUE"""),"01085211000137")</f>
        <v>01085211000137</v>
      </c>
      <c r="E612" s="212" t="str">
        <f ca="1">IFERROR(__xludf.DUMMYFUNCTION("""COMPUTED_VALUE"""),"001")</f>
        <v>001</v>
      </c>
      <c r="F612" s="212" t="str">
        <f ca="1">IFERROR(__xludf.DUMMYFUNCTION("""COMPUTED_VALUE"""),"0862")</f>
        <v>0862</v>
      </c>
      <c r="G612" s="213" t="str">
        <f ca="1">IFERROR(__xludf.DUMMYFUNCTION("""COMPUTED_VALUE"""),"244589")</f>
        <v>244589</v>
      </c>
      <c r="H612" s="211" t="str">
        <f ca="1">IFERROR(__xludf.DUMMYFUNCTION("""COMPUTED_VALUE"""),"AEE")</f>
        <v>AEE</v>
      </c>
      <c r="I612" s="214">
        <f ca="1">IFERROR(__xludf.DUMMYFUNCTION("""COMPUTED_VALUE"""),272)</f>
        <v>272</v>
      </c>
      <c r="J612" s="209"/>
      <c r="K612" s="209"/>
      <c r="L612" s="209"/>
      <c r="M612" s="209"/>
      <c r="N612" s="209"/>
      <c r="O612" s="209"/>
      <c r="P612" s="209"/>
      <c r="Q612" s="209"/>
      <c r="R612" s="209"/>
      <c r="S612" s="209"/>
      <c r="T612" s="209"/>
      <c r="U612" s="209"/>
      <c r="V612" s="209"/>
      <c r="W612" s="209"/>
      <c r="X612" s="209"/>
      <c r="Y612" s="209"/>
      <c r="Z612" s="209"/>
    </row>
    <row r="613" spans="1:26" ht="18.75" customHeight="1">
      <c r="A613" s="210" t="str">
        <f ca="1">IFERROR(__xludf.DUMMYFUNCTION("""COMPUTED_VALUE"""),"Miracema")</f>
        <v>Miracema</v>
      </c>
      <c r="B613" s="210" t="str">
        <f ca="1">IFERROR(__xludf.DUMMYFUNCTION("""COMPUTED_VALUE"""),"Miracema do Tocantins")</f>
        <v>Miracema do Tocantins</v>
      </c>
      <c r="C613" s="211" t="str">
        <f ca="1">IFERROR(__xludf.DUMMYFUNCTION("""COMPUTED_VALUE"""),"ASS. DE APOIO AO CEM SANTA TEREZINHA")</f>
        <v>ASS. DE APOIO AO CEM SANTA TEREZINHA</v>
      </c>
      <c r="D613" s="212" t="str">
        <f ca="1">IFERROR(__xludf.DUMMYFUNCTION("""COMPUTED_VALUE"""),"01085211000137")</f>
        <v>01085211000137</v>
      </c>
      <c r="E613" s="212" t="str">
        <f ca="1">IFERROR(__xludf.DUMMYFUNCTION("""COMPUTED_VALUE"""),"001")</f>
        <v>001</v>
      </c>
      <c r="F613" s="212" t="str">
        <f ca="1">IFERROR(__xludf.DUMMYFUNCTION("""COMPUTED_VALUE"""),"0862")</f>
        <v>0862</v>
      </c>
      <c r="G613" s="213" t="str">
        <f ca="1">IFERROR(__xludf.DUMMYFUNCTION("""COMPUTED_VALUE"""),"244589")</f>
        <v>244589</v>
      </c>
      <c r="H613" s="211" t="str">
        <f ca="1">IFERROR(__xludf.DUMMYFUNCTION("""COMPUTED_VALUE"""),"ENSINO MEDIO PARCIAL")</f>
        <v>ENSINO MEDIO PARCIAL</v>
      </c>
      <c r="I613" s="214">
        <f ca="1">IFERROR(__xludf.DUMMYFUNCTION("""COMPUTED_VALUE"""),1700)</f>
        <v>1700</v>
      </c>
      <c r="J613" s="209"/>
      <c r="K613" s="209"/>
      <c r="L613" s="209"/>
      <c r="M613" s="209"/>
      <c r="N613" s="209"/>
      <c r="O613" s="209"/>
      <c r="P613" s="209"/>
      <c r="Q613" s="209"/>
      <c r="R613" s="209"/>
      <c r="S613" s="209"/>
      <c r="T613" s="209"/>
      <c r="U613" s="209"/>
      <c r="V613" s="209"/>
      <c r="W613" s="209"/>
      <c r="X613" s="209"/>
      <c r="Y613" s="209"/>
      <c r="Z613" s="209"/>
    </row>
    <row r="614" spans="1:26" ht="18.75" customHeight="1">
      <c r="A614" s="210" t="str">
        <f ca="1">IFERROR(__xludf.DUMMYFUNCTION("""COMPUTED_VALUE"""),"Miracema")</f>
        <v>Miracema</v>
      </c>
      <c r="B614" s="210" t="str">
        <f ca="1">IFERROR(__xludf.DUMMYFUNCTION("""COMPUTED_VALUE"""),"Miracema do Tocantins")</f>
        <v>Miracema do Tocantins</v>
      </c>
      <c r="C614" s="211" t="str">
        <f ca="1">IFERROR(__xludf.DUMMYFUNCTION("""COMPUTED_VALUE"""),"A.P.M.A. ESC. CONV. ONESINA BANDEIRA")</f>
        <v>A.P.M.A. ESC. CONV. ONESINA BANDEIRA</v>
      </c>
      <c r="D614" s="212" t="str">
        <f ca="1">IFERROR(__xludf.DUMMYFUNCTION("""COMPUTED_VALUE"""),"01133700000117")</f>
        <v>01133700000117</v>
      </c>
      <c r="E614" s="212" t="str">
        <f ca="1">IFERROR(__xludf.DUMMYFUNCTION("""COMPUTED_VALUE"""),"001")</f>
        <v>001</v>
      </c>
      <c r="F614" s="212" t="str">
        <f ca="1">IFERROR(__xludf.DUMMYFUNCTION("""COMPUTED_VALUE"""),"0862")</f>
        <v>0862</v>
      </c>
      <c r="G614" s="213" t="str">
        <f ca="1">IFERROR(__xludf.DUMMYFUNCTION("""COMPUTED_VALUE"""),"69051")</f>
        <v>69051</v>
      </c>
      <c r="H614" s="211" t="str">
        <f ca="1">IFERROR(__xludf.DUMMYFUNCTION("""COMPUTED_VALUE"""),"ENS FUND PARCIAL")</f>
        <v>ENS FUND PARCIAL</v>
      </c>
      <c r="I614" s="214">
        <f ca="1">IFERROR(__xludf.DUMMYFUNCTION("""COMPUTED_VALUE"""),7760)</f>
        <v>7760</v>
      </c>
      <c r="J614" s="209"/>
      <c r="K614" s="209"/>
      <c r="L614" s="209"/>
      <c r="M614" s="209"/>
      <c r="N614" s="209"/>
      <c r="O614" s="209"/>
      <c r="P614" s="209"/>
      <c r="Q614" s="209"/>
      <c r="R614" s="209"/>
      <c r="S614" s="209"/>
      <c r="T614" s="209"/>
      <c r="U614" s="209"/>
      <c r="V614" s="209"/>
      <c r="W614" s="209"/>
      <c r="X614" s="209"/>
      <c r="Y614" s="209"/>
      <c r="Z614" s="209"/>
    </row>
    <row r="615" spans="1:26" ht="18.75" customHeight="1">
      <c r="A615" s="210" t="str">
        <f ca="1">IFERROR(__xludf.DUMMYFUNCTION("""COMPUTED_VALUE"""),"Miracema")</f>
        <v>Miracema</v>
      </c>
      <c r="B615" s="210" t="str">
        <f ca="1">IFERROR(__xludf.DUMMYFUNCTION("""COMPUTED_VALUE"""),"Miracema do Tocantins")</f>
        <v>Miracema do Tocantins</v>
      </c>
      <c r="C615" s="211" t="str">
        <f ca="1">IFERROR(__xludf.DUMMYFUNCTION("""COMPUTED_VALUE"""),"A.P.M.A. ESC. CONV. ONESINA BANDEIRA")</f>
        <v>A.P.M.A. ESC. CONV. ONESINA BANDEIRA</v>
      </c>
      <c r="D615" s="212" t="str">
        <f ca="1">IFERROR(__xludf.DUMMYFUNCTION("""COMPUTED_VALUE"""),"01133700000117")</f>
        <v>01133700000117</v>
      </c>
      <c r="E615" s="212" t="str">
        <f ca="1">IFERROR(__xludf.DUMMYFUNCTION("""COMPUTED_VALUE"""),"001")</f>
        <v>001</v>
      </c>
      <c r="F615" s="212" t="str">
        <f ca="1">IFERROR(__xludf.DUMMYFUNCTION("""COMPUTED_VALUE"""),"0862")</f>
        <v>0862</v>
      </c>
      <c r="G615" s="213" t="str">
        <f ca="1">IFERROR(__xludf.DUMMYFUNCTION("""COMPUTED_VALUE"""),"69051")</f>
        <v>69051</v>
      </c>
      <c r="H615" s="211" t="str">
        <f ca="1">IFERROR(__xludf.DUMMYFUNCTION("""COMPUTED_VALUE"""),"AEE")</f>
        <v>AEE</v>
      </c>
      <c r="I615" s="214">
        <f ca="1">IFERROR(__xludf.DUMMYFUNCTION("""COMPUTED_VALUE"""),516.8)</f>
        <v>516.79999999999995</v>
      </c>
      <c r="J615" s="209"/>
      <c r="K615" s="209"/>
      <c r="L615" s="209"/>
      <c r="M615" s="209"/>
      <c r="N615" s="209"/>
      <c r="O615" s="209"/>
      <c r="P615" s="209"/>
      <c r="Q615" s="209"/>
      <c r="R615" s="209"/>
      <c r="S615" s="209"/>
      <c r="T615" s="209"/>
      <c r="U615" s="209"/>
      <c r="V615" s="209"/>
      <c r="W615" s="209"/>
      <c r="X615" s="209"/>
      <c r="Y615" s="209"/>
      <c r="Z615" s="209"/>
    </row>
    <row r="616" spans="1:26" ht="18.75" customHeight="1">
      <c r="A616" s="210" t="str">
        <f ca="1">IFERROR(__xludf.DUMMYFUNCTION("""COMPUTED_VALUE"""),"Miracema")</f>
        <v>Miracema</v>
      </c>
      <c r="B616" s="210" t="str">
        <f ca="1">IFERROR(__xludf.DUMMYFUNCTION("""COMPUTED_VALUE"""),"Miracema do Tocantins")</f>
        <v>Miracema do Tocantins</v>
      </c>
      <c r="C616" s="211" t="str">
        <f ca="1">IFERROR(__xludf.DUMMYFUNCTION("""COMPUTED_VALUE"""),"A.P.M.A. ESC. CONV. ONESINA BANDEIRA")</f>
        <v>A.P.M.A. ESC. CONV. ONESINA BANDEIRA</v>
      </c>
      <c r="D616" s="212" t="str">
        <f ca="1">IFERROR(__xludf.DUMMYFUNCTION("""COMPUTED_VALUE"""),"01133700000117")</f>
        <v>01133700000117</v>
      </c>
      <c r="E616" s="212" t="str">
        <f ca="1">IFERROR(__xludf.DUMMYFUNCTION("""COMPUTED_VALUE"""),"001")</f>
        <v>001</v>
      </c>
      <c r="F616" s="212" t="str">
        <f ca="1">IFERROR(__xludf.DUMMYFUNCTION("""COMPUTED_VALUE"""),"0862")</f>
        <v>0862</v>
      </c>
      <c r="G616" s="213" t="str">
        <f ca="1">IFERROR(__xludf.DUMMYFUNCTION("""COMPUTED_VALUE"""),"69051")</f>
        <v>69051</v>
      </c>
      <c r="H616" s="211" t="str">
        <f ca="1">IFERROR(__xludf.DUMMYFUNCTION("""COMPUTED_VALUE"""),"ENSINO MEDIO PARCIAL")</f>
        <v>ENSINO MEDIO PARCIAL</v>
      </c>
      <c r="I616" s="214">
        <f ca="1">IFERROR(__xludf.DUMMYFUNCTION("""COMPUTED_VALUE"""),1000)</f>
        <v>1000</v>
      </c>
      <c r="J616" s="209"/>
      <c r="K616" s="209"/>
      <c r="L616" s="209"/>
      <c r="M616" s="209"/>
      <c r="N616" s="209"/>
      <c r="O616" s="209"/>
      <c r="P616" s="209"/>
      <c r="Q616" s="209"/>
      <c r="R616" s="209"/>
      <c r="S616" s="209"/>
      <c r="T616" s="209"/>
      <c r="U616" s="209"/>
      <c r="V616" s="209"/>
      <c r="W616" s="209"/>
      <c r="X616" s="209"/>
      <c r="Y616" s="209"/>
      <c r="Z616" s="209"/>
    </row>
    <row r="617" spans="1:26" ht="18.75" customHeight="1">
      <c r="A617" s="210" t="str">
        <f ca="1">IFERROR(__xludf.DUMMYFUNCTION("""COMPUTED_VALUE"""),"Miracema")</f>
        <v>Miracema</v>
      </c>
      <c r="B617" s="210" t="str">
        <f ca="1">IFERROR(__xludf.DUMMYFUNCTION("""COMPUTED_VALUE"""),"Miracema do Tocantins")</f>
        <v>Miracema do Tocantins</v>
      </c>
      <c r="C617" s="211" t="str">
        <f ca="1">IFERROR(__xludf.DUMMYFUNCTION("""COMPUTED_VALUE"""),"A.P.M.A. ESC. CONV. ONESINA BANDEIRA")</f>
        <v>A.P.M.A. ESC. CONV. ONESINA BANDEIRA</v>
      </c>
      <c r="D617" s="212" t="str">
        <f ca="1">IFERROR(__xludf.DUMMYFUNCTION("""COMPUTED_VALUE"""),"01133700000117")</f>
        <v>01133700000117</v>
      </c>
      <c r="E617" s="212" t="str">
        <f ca="1">IFERROR(__xludf.DUMMYFUNCTION("""COMPUTED_VALUE"""),"001")</f>
        <v>001</v>
      </c>
      <c r="F617" s="212" t="str">
        <f ca="1">IFERROR(__xludf.DUMMYFUNCTION("""COMPUTED_VALUE"""),"0862")</f>
        <v>0862</v>
      </c>
      <c r="G617" s="213" t="str">
        <f ca="1">IFERROR(__xludf.DUMMYFUNCTION("""COMPUTED_VALUE"""),"69051")</f>
        <v>69051</v>
      </c>
      <c r="H617" s="211" t="str">
        <f ca="1">IFERROR(__xludf.DUMMYFUNCTION("""COMPUTED_VALUE"""),"EJA")</f>
        <v>EJA</v>
      </c>
      <c r="I617" s="214">
        <f ca="1">IFERROR(__xludf.DUMMYFUNCTION("""COMPUTED_VALUE"""),2886.39999999999)</f>
        <v>2886.3999999999901</v>
      </c>
      <c r="J617" s="209"/>
      <c r="K617" s="209"/>
      <c r="L617" s="209"/>
      <c r="M617" s="209"/>
      <c r="N617" s="209"/>
      <c r="O617" s="209"/>
      <c r="P617" s="209"/>
      <c r="Q617" s="209"/>
      <c r="R617" s="209"/>
      <c r="S617" s="209"/>
      <c r="T617" s="209"/>
      <c r="U617" s="209"/>
      <c r="V617" s="209"/>
      <c r="W617" s="209"/>
      <c r="X617" s="209"/>
      <c r="Y617" s="209"/>
      <c r="Z617" s="209"/>
    </row>
    <row r="618" spans="1:26" ht="18.75" customHeight="1">
      <c r="A618" s="210" t="str">
        <f ca="1">IFERROR(__xludf.DUMMYFUNCTION("""COMPUTED_VALUE"""),"Miracema")</f>
        <v>Miracema</v>
      </c>
      <c r="B618" s="210" t="str">
        <f ca="1">IFERROR(__xludf.DUMMYFUNCTION("""COMPUTED_VALUE"""),"Miracema do Tocantins")</f>
        <v>Miracema do Tocantins</v>
      </c>
      <c r="C618" s="211" t="str">
        <f ca="1">IFERROR(__xludf.DUMMYFUNCTION("""COMPUTED_VALUE"""),"A.A.  DA ESCOLA ESTADUAL OSCAR SARDINHA")</f>
        <v>A.A.  DA ESCOLA ESTADUAL OSCAR SARDINHA</v>
      </c>
      <c r="D618" s="212" t="str">
        <f ca="1">IFERROR(__xludf.DUMMYFUNCTION("""COMPUTED_VALUE"""),"01197158000166")</f>
        <v>01197158000166</v>
      </c>
      <c r="E618" s="212" t="str">
        <f ca="1">IFERROR(__xludf.DUMMYFUNCTION("""COMPUTED_VALUE"""),"001")</f>
        <v>001</v>
      </c>
      <c r="F618" s="212" t="str">
        <f ca="1">IFERROR(__xludf.DUMMYFUNCTION("""COMPUTED_VALUE"""),"0862")</f>
        <v>0862</v>
      </c>
      <c r="G618" s="213" t="str">
        <f ca="1">IFERROR(__xludf.DUMMYFUNCTION("""COMPUTED_VALUE"""),"6906X")</f>
        <v>6906X</v>
      </c>
      <c r="H618" s="211" t="str">
        <f ca="1">IFERROR(__xludf.DUMMYFUNCTION("""COMPUTED_VALUE"""),"ENS FUND PARCIAL")</f>
        <v>ENS FUND PARCIAL</v>
      </c>
      <c r="I618" s="214">
        <f ca="1">IFERROR(__xludf.DUMMYFUNCTION("""COMPUTED_VALUE"""),940)</f>
        <v>940</v>
      </c>
      <c r="J618" s="209"/>
      <c r="K618" s="209"/>
      <c r="L618" s="209"/>
      <c r="M618" s="209"/>
      <c r="N618" s="209"/>
      <c r="O618" s="209"/>
      <c r="P618" s="209"/>
      <c r="Q618" s="209"/>
      <c r="R618" s="209"/>
      <c r="S618" s="209"/>
      <c r="T618" s="209"/>
      <c r="U618" s="209"/>
      <c r="V618" s="209"/>
      <c r="W618" s="209"/>
      <c r="X618" s="209"/>
      <c r="Y618" s="209"/>
      <c r="Z618" s="209"/>
    </row>
    <row r="619" spans="1:26" ht="18.75" customHeight="1">
      <c r="A619" s="210" t="str">
        <f ca="1">IFERROR(__xludf.DUMMYFUNCTION("""COMPUTED_VALUE"""),"Miracema")</f>
        <v>Miracema</v>
      </c>
      <c r="B619" s="210" t="str">
        <f ca="1">IFERROR(__xludf.DUMMYFUNCTION("""COMPUTED_VALUE"""),"Miracema do Tocantins")</f>
        <v>Miracema do Tocantins</v>
      </c>
      <c r="C619" s="211" t="str">
        <f ca="1">IFERROR(__xludf.DUMMYFUNCTION("""COMPUTED_VALUE"""),"A.A.  DA ESCOLA ESTADUAL OSCAR SARDINHA")</f>
        <v>A.A.  DA ESCOLA ESTADUAL OSCAR SARDINHA</v>
      </c>
      <c r="D619" s="212" t="str">
        <f ca="1">IFERROR(__xludf.DUMMYFUNCTION("""COMPUTED_VALUE"""),"01197158000166")</f>
        <v>01197158000166</v>
      </c>
      <c r="E619" s="212" t="str">
        <f ca="1">IFERROR(__xludf.DUMMYFUNCTION("""COMPUTED_VALUE"""),"001")</f>
        <v>001</v>
      </c>
      <c r="F619" s="212" t="str">
        <f ca="1">IFERROR(__xludf.DUMMYFUNCTION("""COMPUTED_VALUE"""),"0862")</f>
        <v>0862</v>
      </c>
      <c r="G619" s="213" t="str">
        <f ca="1">IFERROR(__xludf.DUMMYFUNCTION("""COMPUTED_VALUE"""),"6906X")</f>
        <v>6906X</v>
      </c>
      <c r="H619" s="211" t="str">
        <f ca="1">IFERROR(__xludf.DUMMYFUNCTION("""COMPUTED_VALUE"""),"AEE")</f>
        <v>AEE</v>
      </c>
      <c r="I619" s="214">
        <f ca="1">IFERROR(__xludf.DUMMYFUNCTION("""COMPUTED_VALUE"""),136)</f>
        <v>136</v>
      </c>
      <c r="J619" s="209"/>
      <c r="K619" s="209"/>
      <c r="L619" s="209"/>
      <c r="M619" s="209"/>
      <c r="N619" s="209"/>
      <c r="O619" s="209"/>
      <c r="P619" s="209"/>
      <c r="Q619" s="209"/>
      <c r="R619" s="209"/>
      <c r="S619" s="209"/>
      <c r="T619" s="209"/>
      <c r="U619" s="209"/>
      <c r="V619" s="209"/>
      <c r="W619" s="209"/>
      <c r="X619" s="209"/>
      <c r="Y619" s="209"/>
      <c r="Z619" s="209"/>
    </row>
    <row r="620" spans="1:26" ht="18.75" customHeight="1">
      <c r="A620" s="210" t="str">
        <f ca="1">IFERROR(__xludf.DUMMYFUNCTION("""COMPUTED_VALUE"""),"Miracema")</f>
        <v>Miracema</v>
      </c>
      <c r="B620" s="210" t="str">
        <f ca="1">IFERROR(__xludf.DUMMYFUNCTION("""COMPUTED_VALUE"""),"Miracema do Tocantins")</f>
        <v>Miracema do Tocantins</v>
      </c>
      <c r="C620" s="211" t="str">
        <f ca="1">IFERROR(__xludf.DUMMYFUNCTION("""COMPUTED_VALUE"""),"ASSOCIAÇÃO DE APOIO ÀS ESCOLAS INDIGENAS XERENTE")</f>
        <v>ASSOCIAÇÃO DE APOIO ÀS ESCOLAS INDIGENAS XERENTE</v>
      </c>
      <c r="D620" s="212" t="str">
        <f ca="1">IFERROR(__xludf.DUMMYFUNCTION("""COMPUTED_VALUE"""),"07671600000120")</f>
        <v>07671600000120</v>
      </c>
      <c r="E620" s="212" t="str">
        <f ca="1">IFERROR(__xludf.DUMMYFUNCTION("""COMPUTED_VALUE"""),"001")</f>
        <v>001</v>
      </c>
      <c r="F620" s="212" t="str">
        <f ca="1">IFERROR(__xludf.DUMMYFUNCTION("""COMPUTED_VALUE"""),"0862")</f>
        <v>0862</v>
      </c>
      <c r="G620" s="213" t="str">
        <f ca="1">IFERROR(__xludf.DUMMYFUNCTION("""COMPUTED_VALUE"""),"185884")</f>
        <v>185884</v>
      </c>
      <c r="H620" s="211" t="str">
        <f ca="1">IFERROR(__xludf.DUMMYFUNCTION("""COMPUTED_VALUE"""),"INDIGENA")</f>
        <v>INDIGENA</v>
      </c>
      <c r="I620" s="214">
        <f ca="1">IFERROR(__xludf.DUMMYFUNCTION("""COMPUTED_VALUE"""),18816.8)</f>
        <v>18816.8</v>
      </c>
      <c r="J620" s="209"/>
      <c r="K620" s="209"/>
      <c r="L620" s="209"/>
      <c r="M620" s="209"/>
      <c r="N620" s="209"/>
      <c r="O620" s="209"/>
      <c r="P620" s="209"/>
      <c r="Q620" s="209"/>
      <c r="R620" s="209"/>
      <c r="S620" s="209"/>
      <c r="T620" s="209"/>
      <c r="U620" s="209"/>
      <c r="V620" s="209"/>
      <c r="W620" s="209"/>
      <c r="X620" s="209"/>
      <c r="Y620" s="209"/>
      <c r="Z620" s="209"/>
    </row>
    <row r="621" spans="1:26" ht="18.75" customHeight="1">
      <c r="A621" s="210" t="str">
        <f ca="1">IFERROR(__xludf.DUMMYFUNCTION("""COMPUTED_VALUE"""),"Miracema")</f>
        <v>Miracema</v>
      </c>
      <c r="B621" s="210" t="str">
        <f ca="1">IFERROR(__xludf.DUMMYFUNCTION("""COMPUTED_VALUE"""),"Miracema do Tocantins")</f>
        <v>Miracema do Tocantins</v>
      </c>
      <c r="C621" s="211" t="str">
        <f ca="1">IFERROR(__xludf.DUMMYFUNCTION("""COMPUTED_VALUE"""),"A.P.A.DOS EXECEPCIONAIS DE MIRACEMA - APAE")</f>
        <v>A.P.A.DOS EXECEPCIONAIS DE MIRACEMA - APAE</v>
      </c>
      <c r="D621" s="212" t="str">
        <f ca="1">IFERROR(__xludf.DUMMYFUNCTION("""COMPUTED_VALUE"""),"38146965000160")</f>
        <v>38146965000160</v>
      </c>
      <c r="E621" s="212" t="str">
        <f ca="1">IFERROR(__xludf.DUMMYFUNCTION("""COMPUTED_VALUE"""),"001")</f>
        <v>001</v>
      </c>
      <c r="F621" s="212" t="str">
        <f ca="1">IFERROR(__xludf.DUMMYFUNCTION("""COMPUTED_VALUE"""),"0862")</f>
        <v>0862</v>
      </c>
      <c r="G621" s="213" t="str">
        <f ca="1">IFERROR(__xludf.DUMMYFUNCTION("""COMPUTED_VALUE"""),"93734")</f>
        <v>93734</v>
      </c>
      <c r="H621" s="211" t="str">
        <f ca="1">IFERROR(__xludf.DUMMYFUNCTION("""COMPUTED_VALUE"""),"PRÉ-ESCOLA")</f>
        <v>PRÉ-ESCOLA</v>
      </c>
      <c r="I621" s="214">
        <f ca="1">IFERROR(__xludf.DUMMYFUNCTION("""COMPUTED_VALUE"""),244.8)</f>
        <v>244.8</v>
      </c>
      <c r="J621" s="209"/>
      <c r="K621" s="209"/>
      <c r="L621" s="209"/>
      <c r="M621" s="209"/>
      <c r="N621" s="209"/>
      <c r="O621" s="209"/>
      <c r="P621" s="209"/>
      <c r="Q621" s="209"/>
      <c r="R621" s="209"/>
      <c r="S621" s="209"/>
      <c r="T621" s="209"/>
      <c r="U621" s="209"/>
      <c r="V621" s="209"/>
      <c r="W621" s="209"/>
      <c r="X621" s="209"/>
      <c r="Y621" s="209"/>
      <c r="Z621" s="209"/>
    </row>
    <row r="622" spans="1:26" ht="18.75" customHeight="1">
      <c r="A622" s="210" t="str">
        <f ca="1">IFERROR(__xludf.DUMMYFUNCTION("""COMPUTED_VALUE"""),"Miracema")</f>
        <v>Miracema</v>
      </c>
      <c r="B622" s="210" t="str">
        <f ca="1">IFERROR(__xludf.DUMMYFUNCTION("""COMPUTED_VALUE"""),"Miracema do Tocantins")</f>
        <v>Miracema do Tocantins</v>
      </c>
      <c r="C622" s="211" t="str">
        <f ca="1">IFERROR(__xludf.DUMMYFUNCTION("""COMPUTED_VALUE"""),"A.P.A.DOS EXECEPCIONAIS DE MIRACEMA - APAE")</f>
        <v>A.P.A.DOS EXECEPCIONAIS DE MIRACEMA - APAE</v>
      </c>
      <c r="D622" s="212" t="str">
        <f ca="1">IFERROR(__xludf.DUMMYFUNCTION("""COMPUTED_VALUE"""),"38146965000160")</f>
        <v>38146965000160</v>
      </c>
      <c r="E622" s="212" t="str">
        <f ca="1">IFERROR(__xludf.DUMMYFUNCTION("""COMPUTED_VALUE"""),"001")</f>
        <v>001</v>
      </c>
      <c r="F622" s="212" t="str">
        <f ca="1">IFERROR(__xludf.DUMMYFUNCTION("""COMPUTED_VALUE"""),"0862")</f>
        <v>0862</v>
      </c>
      <c r="G622" s="213" t="str">
        <f ca="1">IFERROR(__xludf.DUMMYFUNCTION("""COMPUTED_VALUE"""),"93734")</f>
        <v>93734</v>
      </c>
      <c r="H622" s="211" t="str">
        <f ca="1">IFERROR(__xludf.DUMMYFUNCTION("""COMPUTED_VALUE"""),"ENS FUND PARCIAL")</f>
        <v>ENS FUND PARCIAL</v>
      </c>
      <c r="I622" s="214">
        <f ca="1">IFERROR(__xludf.DUMMYFUNCTION("""COMPUTED_VALUE"""),240)</f>
        <v>240</v>
      </c>
      <c r="J622" s="209"/>
      <c r="K622" s="209"/>
      <c r="L622" s="209"/>
      <c r="M622" s="209"/>
      <c r="N622" s="209"/>
      <c r="O622" s="209"/>
      <c r="P622" s="209"/>
      <c r="Q622" s="209"/>
      <c r="R622" s="209"/>
      <c r="S622" s="209"/>
      <c r="T622" s="209"/>
      <c r="U622" s="209"/>
      <c r="V622" s="209"/>
      <c r="W622" s="209"/>
      <c r="X622" s="209"/>
      <c r="Y622" s="209"/>
      <c r="Z622" s="209"/>
    </row>
    <row r="623" spans="1:26" ht="18.75" customHeight="1">
      <c r="A623" s="210" t="str">
        <f ca="1">IFERROR(__xludf.DUMMYFUNCTION("""COMPUTED_VALUE"""),"Miracema")</f>
        <v>Miracema</v>
      </c>
      <c r="B623" s="210" t="str">
        <f ca="1">IFERROR(__xludf.DUMMYFUNCTION("""COMPUTED_VALUE"""),"Miracema do Tocantins")</f>
        <v>Miracema do Tocantins</v>
      </c>
      <c r="C623" s="211" t="str">
        <f ca="1">IFERROR(__xludf.DUMMYFUNCTION("""COMPUTED_VALUE"""),"A.P.A.DOS EXECEPCIONAIS DE MIRACEMA - APAE")</f>
        <v>A.P.A.DOS EXECEPCIONAIS DE MIRACEMA - APAE</v>
      </c>
      <c r="D623" s="212" t="str">
        <f ca="1">IFERROR(__xludf.DUMMYFUNCTION("""COMPUTED_VALUE"""),"38146965000160")</f>
        <v>38146965000160</v>
      </c>
      <c r="E623" s="212" t="str">
        <f ca="1">IFERROR(__xludf.DUMMYFUNCTION("""COMPUTED_VALUE"""),"001")</f>
        <v>001</v>
      </c>
      <c r="F623" s="212" t="str">
        <f ca="1">IFERROR(__xludf.DUMMYFUNCTION("""COMPUTED_VALUE"""),"0862")</f>
        <v>0862</v>
      </c>
      <c r="G623" s="213" t="str">
        <f ca="1">IFERROR(__xludf.DUMMYFUNCTION("""COMPUTED_VALUE"""),"93734")</f>
        <v>93734</v>
      </c>
      <c r="H623" s="211" t="str">
        <f ca="1">IFERROR(__xludf.DUMMYFUNCTION("""COMPUTED_VALUE"""),"AEE")</f>
        <v>AEE</v>
      </c>
      <c r="I623" s="214">
        <f ca="1">IFERROR(__xludf.DUMMYFUNCTION("""COMPUTED_VALUE"""),163.2)</f>
        <v>163.19999999999999</v>
      </c>
      <c r="J623" s="209"/>
      <c r="K623" s="209"/>
      <c r="L623" s="209"/>
      <c r="M623" s="209"/>
      <c r="N623" s="209"/>
      <c r="O623" s="209"/>
      <c r="P623" s="209"/>
      <c r="Q623" s="209"/>
      <c r="R623" s="209"/>
      <c r="S623" s="209"/>
      <c r="T623" s="209"/>
      <c r="U623" s="209"/>
      <c r="V623" s="209"/>
      <c r="W623" s="209"/>
      <c r="X623" s="209"/>
      <c r="Y623" s="209"/>
      <c r="Z623" s="209"/>
    </row>
    <row r="624" spans="1:26" ht="18.75" customHeight="1">
      <c r="A624" s="210" t="str">
        <f ca="1">IFERROR(__xludf.DUMMYFUNCTION("""COMPUTED_VALUE"""),"Miracema")</f>
        <v>Miracema</v>
      </c>
      <c r="B624" s="210" t="str">
        <f ca="1">IFERROR(__xludf.DUMMYFUNCTION("""COMPUTED_VALUE"""),"Miracema do Tocantins")</f>
        <v>Miracema do Tocantins</v>
      </c>
      <c r="C624" s="211" t="str">
        <f ca="1">IFERROR(__xludf.DUMMYFUNCTION("""COMPUTED_VALUE"""),"A.P.A.DOS EXECEPCIONAIS DE MIRACEMA - APAE")</f>
        <v>A.P.A.DOS EXECEPCIONAIS DE MIRACEMA - APAE</v>
      </c>
      <c r="D624" s="212" t="str">
        <f ca="1">IFERROR(__xludf.DUMMYFUNCTION("""COMPUTED_VALUE"""),"38146965000160")</f>
        <v>38146965000160</v>
      </c>
      <c r="E624" s="212" t="str">
        <f ca="1">IFERROR(__xludf.DUMMYFUNCTION("""COMPUTED_VALUE"""),"001")</f>
        <v>001</v>
      </c>
      <c r="F624" s="212" t="str">
        <f ca="1">IFERROR(__xludf.DUMMYFUNCTION("""COMPUTED_VALUE"""),"0862")</f>
        <v>0862</v>
      </c>
      <c r="G624" s="213" t="str">
        <f ca="1">IFERROR(__xludf.DUMMYFUNCTION("""COMPUTED_VALUE"""),"93734")</f>
        <v>93734</v>
      </c>
      <c r="H624" s="211" t="str">
        <f ca="1">IFERROR(__xludf.DUMMYFUNCTION("""COMPUTED_VALUE"""),"EJA")</f>
        <v>EJA</v>
      </c>
      <c r="I624" s="214">
        <f ca="1">IFERROR(__xludf.DUMMYFUNCTION("""COMPUTED_VALUE"""),590.4)</f>
        <v>590.4</v>
      </c>
      <c r="J624" s="209"/>
      <c r="K624" s="209"/>
      <c r="L624" s="209"/>
      <c r="M624" s="209"/>
      <c r="N624" s="209"/>
      <c r="O624" s="209"/>
      <c r="P624" s="209"/>
      <c r="Q624" s="209"/>
      <c r="R624" s="209"/>
      <c r="S624" s="209"/>
      <c r="T624" s="209"/>
      <c r="U624" s="209"/>
      <c r="V624" s="209"/>
      <c r="W624" s="209"/>
      <c r="X624" s="209"/>
      <c r="Y624" s="209"/>
      <c r="Z624" s="209"/>
    </row>
    <row r="625" spans="1:26" ht="18.75" customHeight="1">
      <c r="A625" s="210" t="str">
        <f ca="1">IFERROR(__xludf.DUMMYFUNCTION("""COMPUTED_VALUE"""),"Miracema")</f>
        <v>Miracema</v>
      </c>
      <c r="B625" s="210" t="str">
        <f ca="1">IFERROR(__xludf.DUMMYFUNCTION("""COMPUTED_VALUE"""),"Miracema do Tocantins")</f>
        <v>Miracema do Tocantins</v>
      </c>
      <c r="C625" s="211" t="str">
        <f ca="1">IFERROR(__xludf.DUMMYFUNCTION("""COMPUTED_VALUE"""),"SOCIEDADE EDUCADORA FEMININA/COLÉGIO TOCANTINS")</f>
        <v>SOCIEDADE EDUCADORA FEMININA/COLÉGIO TOCANTINS</v>
      </c>
      <c r="D625" s="212" t="str">
        <f ca="1">IFERROR(__xludf.DUMMYFUNCTION("""COMPUTED_VALUE"""),"61373585000694")</f>
        <v>61373585000694</v>
      </c>
      <c r="E625" s="212" t="str">
        <f ca="1">IFERROR(__xludf.DUMMYFUNCTION("""COMPUTED_VALUE"""),"001")</f>
        <v>001</v>
      </c>
      <c r="F625" s="212" t="str">
        <f ca="1">IFERROR(__xludf.DUMMYFUNCTION("""COMPUTED_VALUE"""),"0862")</f>
        <v>0862</v>
      </c>
      <c r="G625" s="213" t="str">
        <f ca="1">IFERROR(__xludf.DUMMYFUNCTION("""COMPUTED_VALUE"""),"69086")</f>
        <v>69086</v>
      </c>
      <c r="H625" s="211" t="str">
        <f ca="1">IFERROR(__xludf.DUMMYFUNCTION("""COMPUTED_VALUE"""),"ENS FUND PARCIAL")</f>
        <v>ENS FUND PARCIAL</v>
      </c>
      <c r="I625" s="214">
        <f ca="1">IFERROR(__xludf.DUMMYFUNCTION("""COMPUTED_VALUE"""),2380)</f>
        <v>2380</v>
      </c>
      <c r="J625" s="209"/>
      <c r="K625" s="209"/>
      <c r="L625" s="209"/>
      <c r="M625" s="209"/>
      <c r="N625" s="209"/>
      <c r="O625" s="209"/>
      <c r="P625" s="209"/>
      <c r="Q625" s="209"/>
      <c r="R625" s="209"/>
      <c r="S625" s="209"/>
      <c r="T625" s="209"/>
      <c r="U625" s="209"/>
      <c r="V625" s="209"/>
      <c r="W625" s="209"/>
      <c r="X625" s="209"/>
      <c r="Y625" s="209"/>
      <c r="Z625" s="209"/>
    </row>
    <row r="626" spans="1:26" ht="18.75" customHeight="1">
      <c r="A626" s="210" t="str">
        <f ca="1">IFERROR(__xludf.DUMMYFUNCTION("""COMPUTED_VALUE"""),"Miracema")</f>
        <v>Miracema</v>
      </c>
      <c r="B626" s="210" t="str">
        <f ca="1">IFERROR(__xludf.DUMMYFUNCTION("""COMPUTED_VALUE"""),"Miracema do Tocantins")</f>
        <v>Miracema do Tocantins</v>
      </c>
      <c r="C626" s="211" t="str">
        <f ca="1">IFERROR(__xludf.DUMMYFUNCTION("""COMPUTED_VALUE"""),"SOCIEDADE EDUCADORA FEMININA/COLÉGIO TOCANTINS")</f>
        <v>SOCIEDADE EDUCADORA FEMININA/COLÉGIO TOCANTINS</v>
      </c>
      <c r="D626" s="212" t="str">
        <f ca="1">IFERROR(__xludf.DUMMYFUNCTION("""COMPUTED_VALUE"""),"61373585000694")</f>
        <v>61373585000694</v>
      </c>
      <c r="E626" s="212" t="str">
        <f ca="1">IFERROR(__xludf.DUMMYFUNCTION("""COMPUTED_VALUE"""),"001")</f>
        <v>001</v>
      </c>
      <c r="F626" s="212" t="str">
        <f ca="1">IFERROR(__xludf.DUMMYFUNCTION("""COMPUTED_VALUE"""),"0862")</f>
        <v>0862</v>
      </c>
      <c r="G626" s="213" t="str">
        <f ca="1">IFERROR(__xludf.DUMMYFUNCTION("""COMPUTED_VALUE"""),"69086")</f>
        <v>69086</v>
      </c>
      <c r="H626" s="211" t="str">
        <f ca="1">IFERROR(__xludf.DUMMYFUNCTION("""COMPUTED_VALUE"""),"AEE")</f>
        <v>AEE</v>
      </c>
      <c r="I626" s="214">
        <f ca="1">IFERROR(__xludf.DUMMYFUNCTION("""COMPUTED_VALUE"""),176.799999999999)</f>
        <v>176.79999999999899</v>
      </c>
      <c r="J626" s="209"/>
      <c r="K626" s="209"/>
      <c r="L626" s="209"/>
      <c r="M626" s="209"/>
      <c r="N626" s="209"/>
      <c r="O626" s="209"/>
      <c r="P626" s="209"/>
      <c r="Q626" s="209"/>
      <c r="R626" s="209"/>
      <c r="S626" s="209"/>
      <c r="T626" s="209"/>
      <c r="U626" s="209"/>
      <c r="V626" s="209"/>
      <c r="W626" s="209"/>
      <c r="X626" s="209"/>
      <c r="Y626" s="209"/>
      <c r="Z626" s="209"/>
    </row>
    <row r="627" spans="1:26" ht="18.75" customHeight="1">
      <c r="A627" s="210" t="str">
        <f ca="1">IFERROR(__xludf.DUMMYFUNCTION("""COMPUTED_VALUE"""),"Miracema")</f>
        <v>Miracema</v>
      </c>
      <c r="B627" s="210" t="str">
        <f ca="1">IFERROR(__xludf.DUMMYFUNCTION("""COMPUTED_VALUE"""),"Miracema do Tocantins")</f>
        <v>Miracema do Tocantins</v>
      </c>
      <c r="C627" s="211" t="str">
        <f ca="1">IFERROR(__xludf.DUMMYFUNCTION("""COMPUTED_VALUE"""),"SOCIEDADE EDUCADORA FEMININA/COLÉGIO TOCANTINS")</f>
        <v>SOCIEDADE EDUCADORA FEMININA/COLÉGIO TOCANTINS</v>
      </c>
      <c r="D627" s="212" t="str">
        <f ca="1">IFERROR(__xludf.DUMMYFUNCTION("""COMPUTED_VALUE"""),"61373585000694")</f>
        <v>61373585000694</v>
      </c>
      <c r="E627" s="212" t="str">
        <f ca="1">IFERROR(__xludf.DUMMYFUNCTION("""COMPUTED_VALUE"""),"001")</f>
        <v>001</v>
      </c>
      <c r="F627" s="212" t="str">
        <f ca="1">IFERROR(__xludf.DUMMYFUNCTION("""COMPUTED_VALUE"""),"0862")</f>
        <v>0862</v>
      </c>
      <c r="G627" s="213" t="str">
        <f ca="1">IFERROR(__xludf.DUMMYFUNCTION("""COMPUTED_VALUE"""),"69086")</f>
        <v>69086</v>
      </c>
      <c r="H627" s="211" t="str">
        <f ca="1">IFERROR(__xludf.DUMMYFUNCTION("""COMPUTED_VALUE"""),"ENSINO MEDIO PARCIAL")</f>
        <v>ENSINO MEDIO PARCIAL</v>
      </c>
      <c r="I627" s="214">
        <f ca="1">IFERROR(__xludf.DUMMYFUNCTION("""COMPUTED_VALUE"""),2380)</f>
        <v>2380</v>
      </c>
      <c r="J627" s="209"/>
      <c r="K627" s="209"/>
      <c r="L627" s="209"/>
      <c r="M627" s="209"/>
      <c r="N627" s="209"/>
      <c r="O627" s="209"/>
      <c r="P627" s="209"/>
      <c r="Q627" s="209"/>
      <c r="R627" s="209"/>
      <c r="S627" s="209"/>
      <c r="T627" s="209"/>
      <c r="U627" s="209"/>
      <c r="V627" s="209"/>
      <c r="W627" s="209"/>
      <c r="X627" s="209"/>
      <c r="Y627" s="209"/>
      <c r="Z627" s="209"/>
    </row>
    <row r="628" spans="1:26" ht="18.75" customHeight="1">
      <c r="A628" s="210" t="str">
        <f ca="1">IFERROR(__xludf.DUMMYFUNCTION("""COMPUTED_VALUE"""),"Miracema")</f>
        <v>Miracema</v>
      </c>
      <c r="B628" s="210" t="str">
        <f ca="1">IFERROR(__xludf.DUMMYFUNCTION("""COMPUTED_VALUE"""),"Miranorte")</f>
        <v>Miranorte</v>
      </c>
      <c r="C628" s="211" t="str">
        <f ca="1">IFERROR(__xludf.DUMMYFUNCTION("""COMPUTED_VALUE"""),"ASSOC. COM. DO COL. RUI BRASIL CAVALCANTE")</f>
        <v>ASSOC. COM. DO COL. RUI BRASIL CAVALCANTE</v>
      </c>
      <c r="D628" s="212" t="str">
        <f ca="1">IFERROR(__xludf.DUMMYFUNCTION("""COMPUTED_VALUE"""),"01112765000186")</f>
        <v>01112765000186</v>
      </c>
      <c r="E628" s="212" t="str">
        <f ca="1">IFERROR(__xludf.DUMMYFUNCTION("""COMPUTED_VALUE"""),"001")</f>
        <v>001</v>
      </c>
      <c r="F628" s="212" t="str">
        <f ca="1">IFERROR(__xludf.DUMMYFUNCTION("""COMPUTED_VALUE"""),"4560")</f>
        <v>4560</v>
      </c>
      <c r="G628" s="213" t="str">
        <f ca="1">IFERROR(__xludf.DUMMYFUNCTION("""COMPUTED_VALUE"""),"78905")</f>
        <v>78905</v>
      </c>
      <c r="H628" s="211" t="str">
        <f ca="1">IFERROR(__xludf.DUMMYFUNCTION("""COMPUTED_VALUE"""),"AEE")</f>
        <v>AEE</v>
      </c>
      <c r="I628" s="214">
        <f ca="1">IFERROR(__xludf.DUMMYFUNCTION("""COMPUTED_VALUE"""),244.799999999999)</f>
        <v>244.79999999999899</v>
      </c>
      <c r="J628" s="209"/>
      <c r="K628" s="209"/>
      <c r="L628" s="209"/>
      <c r="M628" s="209"/>
      <c r="N628" s="209"/>
      <c r="O628" s="209"/>
      <c r="P628" s="209"/>
      <c r="Q628" s="209"/>
      <c r="R628" s="209"/>
      <c r="S628" s="209"/>
      <c r="T628" s="209"/>
      <c r="U628" s="209"/>
      <c r="V628" s="209"/>
      <c r="W628" s="209"/>
      <c r="X628" s="209"/>
      <c r="Y628" s="209"/>
      <c r="Z628" s="209"/>
    </row>
    <row r="629" spans="1:26" ht="18.75" customHeight="1">
      <c r="A629" s="210" t="str">
        <f ca="1">IFERROR(__xludf.DUMMYFUNCTION("""COMPUTED_VALUE"""),"Miracema")</f>
        <v>Miracema</v>
      </c>
      <c r="B629" s="210" t="str">
        <f ca="1">IFERROR(__xludf.DUMMYFUNCTION("""COMPUTED_VALUE"""),"Miranorte")</f>
        <v>Miranorte</v>
      </c>
      <c r="C629" s="211" t="str">
        <f ca="1">IFERROR(__xludf.DUMMYFUNCTION("""COMPUTED_VALUE"""),"ASSOC. COM. DO COL. RUI BRASIL CAVALCANTE")</f>
        <v>ASSOC. COM. DO COL. RUI BRASIL CAVALCANTE</v>
      </c>
      <c r="D629" s="212" t="str">
        <f ca="1">IFERROR(__xludf.DUMMYFUNCTION("""COMPUTED_VALUE"""),"01112765000186")</f>
        <v>01112765000186</v>
      </c>
      <c r="E629" s="212" t="str">
        <f ca="1">IFERROR(__xludf.DUMMYFUNCTION("""COMPUTED_VALUE"""),"001")</f>
        <v>001</v>
      </c>
      <c r="F629" s="212" t="str">
        <f ca="1">IFERROR(__xludf.DUMMYFUNCTION("""COMPUTED_VALUE"""),"4560")</f>
        <v>4560</v>
      </c>
      <c r="G629" s="213" t="str">
        <f ca="1">IFERROR(__xludf.DUMMYFUNCTION("""COMPUTED_VALUE"""),"78905")</f>
        <v>78905</v>
      </c>
      <c r="H629" s="211" t="str">
        <f ca="1">IFERROR(__xludf.DUMMYFUNCTION("""COMPUTED_VALUE"""),"ENSINO MEDIO PARCIAL")</f>
        <v>ENSINO MEDIO PARCIAL</v>
      </c>
      <c r="I629" s="214">
        <f ca="1">IFERROR(__xludf.DUMMYFUNCTION("""COMPUTED_VALUE"""),4760)</f>
        <v>4760</v>
      </c>
      <c r="J629" s="209"/>
      <c r="K629" s="209"/>
      <c r="L629" s="209"/>
      <c r="M629" s="209"/>
      <c r="N629" s="209"/>
      <c r="O629" s="209"/>
      <c r="P629" s="209"/>
      <c r="Q629" s="209"/>
      <c r="R629" s="209"/>
      <c r="S629" s="209"/>
      <c r="T629" s="209"/>
      <c r="U629" s="209"/>
      <c r="V629" s="209"/>
      <c r="W629" s="209"/>
      <c r="X629" s="209"/>
      <c r="Y629" s="209"/>
      <c r="Z629" s="209"/>
    </row>
    <row r="630" spans="1:26" ht="18.75" customHeight="1">
      <c r="A630" s="210" t="str">
        <f ca="1">IFERROR(__xludf.DUMMYFUNCTION("""COMPUTED_VALUE"""),"Miracema")</f>
        <v>Miracema</v>
      </c>
      <c r="B630" s="210" t="str">
        <f ca="1">IFERROR(__xludf.DUMMYFUNCTION("""COMPUTED_VALUE"""),"Miranorte")</f>
        <v>Miranorte</v>
      </c>
      <c r="C630" s="211" t="str">
        <f ca="1">IFERROR(__xludf.DUMMYFUNCTION("""COMPUTED_VALUE"""),"ASSOC. COM. DO COL. RUI BRASIL CAVALCANTE")</f>
        <v>ASSOC. COM. DO COL. RUI BRASIL CAVALCANTE</v>
      </c>
      <c r="D630" s="212" t="str">
        <f ca="1">IFERROR(__xludf.DUMMYFUNCTION("""COMPUTED_VALUE"""),"01112765000186")</f>
        <v>01112765000186</v>
      </c>
      <c r="E630" s="212" t="str">
        <f ca="1">IFERROR(__xludf.DUMMYFUNCTION("""COMPUTED_VALUE"""),"001")</f>
        <v>001</v>
      </c>
      <c r="F630" s="212" t="str">
        <f ca="1">IFERROR(__xludf.DUMMYFUNCTION("""COMPUTED_VALUE"""),"4560")</f>
        <v>4560</v>
      </c>
      <c r="G630" s="213" t="str">
        <f ca="1">IFERROR(__xludf.DUMMYFUNCTION("""COMPUTED_VALUE"""),"78905")</f>
        <v>78905</v>
      </c>
      <c r="H630" s="211" t="str">
        <f ca="1">IFERROR(__xludf.DUMMYFUNCTION("""COMPUTED_VALUE"""),"EJA")</f>
        <v>EJA</v>
      </c>
      <c r="I630" s="214">
        <f ca="1">IFERROR(__xludf.DUMMYFUNCTION("""COMPUTED_VALUE"""),606.8)</f>
        <v>606.79999999999995</v>
      </c>
      <c r="J630" s="209"/>
      <c r="K630" s="209"/>
      <c r="L630" s="209"/>
      <c r="M630" s="209"/>
      <c r="N630" s="209"/>
      <c r="O630" s="209"/>
      <c r="P630" s="209"/>
      <c r="Q630" s="209"/>
      <c r="R630" s="209"/>
      <c r="S630" s="209"/>
      <c r="T630" s="209"/>
      <c r="U630" s="209"/>
      <c r="V630" s="209"/>
      <c r="W630" s="209"/>
      <c r="X630" s="209"/>
      <c r="Y630" s="209"/>
      <c r="Z630" s="209"/>
    </row>
    <row r="631" spans="1:26" ht="18.75" customHeight="1">
      <c r="A631" s="210" t="str">
        <f ca="1">IFERROR(__xludf.DUMMYFUNCTION("""COMPUTED_VALUE"""),"Miracema")</f>
        <v>Miracema</v>
      </c>
      <c r="B631" s="210" t="str">
        <f ca="1">IFERROR(__xludf.DUMMYFUNCTION("""COMPUTED_VALUE"""),"Miranorte")</f>
        <v>Miranorte</v>
      </c>
      <c r="C631" s="211" t="str">
        <f ca="1">IFERROR(__xludf.DUMMYFUNCTION("""COMPUTED_VALUE"""),"A.A. C.E.NOSSA SENHORA DA PROVIDENCIA")</f>
        <v>A.A. C.E.NOSSA SENHORA DA PROVIDENCIA</v>
      </c>
      <c r="D631" s="212" t="str">
        <f ca="1">IFERROR(__xludf.DUMMYFUNCTION("""COMPUTED_VALUE"""),"01190186000151")</f>
        <v>01190186000151</v>
      </c>
      <c r="E631" s="212" t="str">
        <f ca="1">IFERROR(__xludf.DUMMYFUNCTION("""COMPUTED_VALUE"""),"001")</f>
        <v>001</v>
      </c>
      <c r="F631" s="212" t="str">
        <f ca="1">IFERROR(__xludf.DUMMYFUNCTION("""COMPUTED_VALUE"""),"4560")</f>
        <v>4560</v>
      </c>
      <c r="G631" s="213" t="str">
        <f ca="1">IFERROR(__xludf.DUMMYFUNCTION("""COMPUTED_VALUE"""),"7778X")</f>
        <v>7778X</v>
      </c>
      <c r="H631" s="211" t="str">
        <f ca="1">IFERROR(__xludf.DUMMYFUNCTION("""COMPUTED_VALUE"""),"ENS FUND PARCIAL")</f>
        <v>ENS FUND PARCIAL</v>
      </c>
      <c r="I631" s="214">
        <f ca="1">IFERROR(__xludf.DUMMYFUNCTION("""COMPUTED_VALUE"""),15340)</f>
        <v>15340</v>
      </c>
      <c r="J631" s="209"/>
      <c r="K631" s="209"/>
      <c r="L631" s="209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9"/>
      <c r="Y631" s="209"/>
      <c r="Z631" s="209"/>
    </row>
    <row r="632" spans="1:26" ht="18.75" customHeight="1">
      <c r="A632" s="210" t="str">
        <f ca="1">IFERROR(__xludf.DUMMYFUNCTION("""COMPUTED_VALUE"""),"Miracema")</f>
        <v>Miracema</v>
      </c>
      <c r="B632" s="210" t="str">
        <f ca="1">IFERROR(__xludf.DUMMYFUNCTION("""COMPUTED_VALUE"""),"Miranorte")</f>
        <v>Miranorte</v>
      </c>
      <c r="C632" s="211" t="str">
        <f ca="1">IFERROR(__xludf.DUMMYFUNCTION("""COMPUTED_VALUE"""),"A.A. C.E.NOSSA SENHORA DA PROVIDENCIA")</f>
        <v>A.A. C.E.NOSSA SENHORA DA PROVIDENCIA</v>
      </c>
      <c r="D632" s="212" t="str">
        <f ca="1">IFERROR(__xludf.DUMMYFUNCTION("""COMPUTED_VALUE"""),"01190186000151")</f>
        <v>01190186000151</v>
      </c>
      <c r="E632" s="212" t="str">
        <f ca="1">IFERROR(__xludf.DUMMYFUNCTION("""COMPUTED_VALUE"""),"001")</f>
        <v>001</v>
      </c>
      <c r="F632" s="212" t="str">
        <f ca="1">IFERROR(__xludf.DUMMYFUNCTION("""COMPUTED_VALUE"""),"4560")</f>
        <v>4560</v>
      </c>
      <c r="G632" s="213" t="str">
        <f ca="1">IFERROR(__xludf.DUMMYFUNCTION("""COMPUTED_VALUE"""),"7778X")</f>
        <v>7778X</v>
      </c>
      <c r="H632" s="211" t="str">
        <f ca="1">IFERROR(__xludf.DUMMYFUNCTION("""COMPUTED_VALUE"""),"AEE")</f>
        <v>AEE</v>
      </c>
      <c r="I632" s="214">
        <f ca="1">IFERROR(__xludf.DUMMYFUNCTION("""COMPUTED_VALUE"""),353.599999999999)</f>
        <v>353.599999999999</v>
      </c>
      <c r="J632" s="209"/>
      <c r="K632" s="209"/>
      <c r="L632" s="209"/>
      <c r="M632" s="209"/>
      <c r="N632" s="209"/>
      <c r="O632" s="209"/>
      <c r="P632" s="209"/>
      <c r="Q632" s="209"/>
      <c r="R632" s="209"/>
      <c r="S632" s="209"/>
      <c r="T632" s="209"/>
      <c r="U632" s="209"/>
      <c r="V632" s="209"/>
      <c r="W632" s="209"/>
      <c r="X632" s="209"/>
      <c r="Y632" s="209"/>
      <c r="Z632" s="209"/>
    </row>
    <row r="633" spans="1:26" ht="18.75" customHeight="1">
      <c r="A633" s="210" t="str">
        <f ca="1">IFERROR(__xludf.DUMMYFUNCTION("""COMPUTED_VALUE"""),"Miracema")</f>
        <v>Miracema</v>
      </c>
      <c r="B633" s="210" t="str">
        <f ca="1">IFERROR(__xludf.DUMMYFUNCTION("""COMPUTED_VALUE"""),"Miranorte")</f>
        <v>Miranorte</v>
      </c>
      <c r="C633" s="211" t="str">
        <f ca="1">IFERROR(__xludf.DUMMYFUNCTION("""COMPUTED_VALUE"""),"A.A ESC. ESPECIAL CORAÇÃO DE MARIA")</f>
        <v>A.A ESC. ESPECIAL CORAÇÃO DE MARIA</v>
      </c>
      <c r="D633" s="212" t="str">
        <f ca="1">IFERROR(__xludf.DUMMYFUNCTION("""COMPUTED_VALUE"""),"07968866000130")</f>
        <v>07968866000130</v>
      </c>
      <c r="E633" s="212" t="str">
        <f ca="1">IFERROR(__xludf.DUMMYFUNCTION("""COMPUTED_VALUE"""),"001")</f>
        <v>001</v>
      </c>
      <c r="F633" s="212" t="str">
        <f ca="1">IFERROR(__xludf.DUMMYFUNCTION("""COMPUTED_VALUE"""),"0862")</f>
        <v>0862</v>
      </c>
      <c r="G633" s="213" t="str">
        <f ca="1">IFERROR(__xludf.DUMMYFUNCTION("""COMPUTED_VALUE"""),"265217")</f>
        <v>265217</v>
      </c>
      <c r="H633" s="211" t="str">
        <f ca="1">IFERROR(__xludf.DUMMYFUNCTION("""COMPUTED_VALUE"""),"PRÉ-ESCOLA")</f>
        <v>PRÉ-ESCOLA</v>
      </c>
      <c r="I633" s="214">
        <f ca="1">IFERROR(__xludf.DUMMYFUNCTION("""COMPUTED_VALUE"""),172.8)</f>
        <v>172.8</v>
      </c>
      <c r="J633" s="209"/>
      <c r="K633" s="209"/>
      <c r="L633" s="209"/>
      <c r="M633" s="209"/>
      <c r="N633" s="209"/>
      <c r="O633" s="209"/>
      <c r="P633" s="209"/>
      <c r="Q633" s="209"/>
      <c r="R633" s="209"/>
      <c r="S633" s="209"/>
      <c r="T633" s="209"/>
      <c r="U633" s="209"/>
      <c r="V633" s="209"/>
      <c r="W633" s="209"/>
      <c r="X633" s="209"/>
      <c r="Y633" s="209"/>
      <c r="Z633" s="209"/>
    </row>
    <row r="634" spans="1:26" ht="18.75" customHeight="1">
      <c r="A634" s="210" t="str">
        <f ca="1">IFERROR(__xludf.DUMMYFUNCTION("""COMPUTED_VALUE"""),"Miracema")</f>
        <v>Miracema</v>
      </c>
      <c r="B634" s="210" t="str">
        <f ca="1">IFERROR(__xludf.DUMMYFUNCTION("""COMPUTED_VALUE"""),"Miranorte")</f>
        <v>Miranorte</v>
      </c>
      <c r="C634" s="211" t="str">
        <f ca="1">IFERROR(__xludf.DUMMYFUNCTION("""COMPUTED_VALUE"""),"A.A ESC. ESPECIAL CORAÇÃO DE MARIA")</f>
        <v>A.A ESC. ESPECIAL CORAÇÃO DE MARIA</v>
      </c>
      <c r="D634" s="212" t="str">
        <f ca="1">IFERROR(__xludf.DUMMYFUNCTION("""COMPUTED_VALUE"""),"07968866000130")</f>
        <v>07968866000130</v>
      </c>
      <c r="E634" s="212" t="str">
        <f ca="1">IFERROR(__xludf.DUMMYFUNCTION("""COMPUTED_VALUE"""),"001")</f>
        <v>001</v>
      </c>
      <c r="F634" s="212" t="str">
        <f ca="1">IFERROR(__xludf.DUMMYFUNCTION("""COMPUTED_VALUE"""),"0862")</f>
        <v>0862</v>
      </c>
      <c r="G634" s="213" t="str">
        <f ca="1">IFERROR(__xludf.DUMMYFUNCTION("""COMPUTED_VALUE"""),"265217")</f>
        <v>265217</v>
      </c>
      <c r="H634" s="211" t="str">
        <f ca="1">IFERROR(__xludf.DUMMYFUNCTION("""COMPUTED_VALUE"""),"ENS FUND PARCIAL")</f>
        <v>ENS FUND PARCIAL</v>
      </c>
      <c r="I634" s="214">
        <f ca="1">IFERROR(__xludf.DUMMYFUNCTION("""COMPUTED_VALUE"""),90)</f>
        <v>90</v>
      </c>
      <c r="J634" s="209"/>
      <c r="K634" s="209"/>
      <c r="L634" s="209"/>
      <c r="M634" s="209"/>
      <c r="N634" s="209"/>
      <c r="O634" s="209"/>
      <c r="P634" s="209"/>
      <c r="Q634" s="209"/>
      <c r="R634" s="209"/>
      <c r="S634" s="209"/>
      <c r="T634" s="209"/>
      <c r="U634" s="209"/>
      <c r="V634" s="209"/>
      <c r="W634" s="209"/>
      <c r="X634" s="209"/>
      <c r="Y634" s="209"/>
      <c r="Z634" s="209"/>
    </row>
    <row r="635" spans="1:26" ht="18.75" customHeight="1">
      <c r="A635" s="210" t="str">
        <f ca="1">IFERROR(__xludf.DUMMYFUNCTION("""COMPUTED_VALUE"""),"Miracema")</f>
        <v>Miracema</v>
      </c>
      <c r="B635" s="210" t="str">
        <f ca="1">IFERROR(__xludf.DUMMYFUNCTION("""COMPUTED_VALUE"""),"Miranorte")</f>
        <v>Miranorte</v>
      </c>
      <c r="C635" s="211" t="str">
        <f ca="1">IFERROR(__xludf.DUMMYFUNCTION("""COMPUTED_VALUE"""),"A.A ESC. ESPECIAL CORAÇÃO DE MARIA")</f>
        <v>A.A ESC. ESPECIAL CORAÇÃO DE MARIA</v>
      </c>
      <c r="D635" s="212" t="str">
        <f ca="1">IFERROR(__xludf.DUMMYFUNCTION("""COMPUTED_VALUE"""),"07968866000130")</f>
        <v>07968866000130</v>
      </c>
      <c r="E635" s="212" t="str">
        <f ca="1">IFERROR(__xludf.DUMMYFUNCTION("""COMPUTED_VALUE"""),"001")</f>
        <v>001</v>
      </c>
      <c r="F635" s="212" t="str">
        <f ca="1">IFERROR(__xludf.DUMMYFUNCTION("""COMPUTED_VALUE"""),"0862")</f>
        <v>0862</v>
      </c>
      <c r="G635" s="213" t="str">
        <f ca="1">IFERROR(__xludf.DUMMYFUNCTION("""COMPUTED_VALUE"""),"265217")</f>
        <v>265217</v>
      </c>
      <c r="H635" s="211" t="str">
        <f ca="1">IFERROR(__xludf.DUMMYFUNCTION("""COMPUTED_VALUE"""),"AEE")</f>
        <v>AEE</v>
      </c>
      <c r="I635" s="214">
        <f ca="1">IFERROR(__xludf.DUMMYFUNCTION("""COMPUTED_VALUE"""),163.2)</f>
        <v>163.19999999999999</v>
      </c>
      <c r="J635" s="209"/>
      <c r="K635" s="209"/>
      <c r="L635" s="209"/>
      <c r="M635" s="209"/>
      <c r="N635" s="209"/>
      <c r="O635" s="209"/>
      <c r="P635" s="209"/>
      <c r="Q635" s="209"/>
      <c r="R635" s="209"/>
      <c r="S635" s="209"/>
      <c r="T635" s="209"/>
      <c r="U635" s="209"/>
      <c r="V635" s="209"/>
      <c r="W635" s="209"/>
      <c r="X635" s="209"/>
      <c r="Y635" s="209"/>
      <c r="Z635" s="209"/>
    </row>
    <row r="636" spans="1:26" ht="18.75" customHeight="1">
      <c r="A636" s="210" t="str">
        <f ca="1">IFERROR(__xludf.DUMMYFUNCTION("""COMPUTED_VALUE"""),"Miracema")</f>
        <v>Miracema</v>
      </c>
      <c r="B636" s="210" t="str">
        <f ca="1">IFERROR(__xludf.DUMMYFUNCTION("""COMPUTED_VALUE"""),"Miranorte")</f>
        <v>Miranorte</v>
      </c>
      <c r="C636" s="211" t="str">
        <f ca="1">IFERROR(__xludf.DUMMYFUNCTION("""COMPUTED_VALUE"""),"A.A ESC. ESPECIAL CORAÇÃO DE MARIA")</f>
        <v>A.A ESC. ESPECIAL CORAÇÃO DE MARIA</v>
      </c>
      <c r="D636" s="212" t="str">
        <f ca="1">IFERROR(__xludf.DUMMYFUNCTION("""COMPUTED_VALUE"""),"07968866000130")</f>
        <v>07968866000130</v>
      </c>
      <c r="E636" s="212" t="str">
        <f ca="1">IFERROR(__xludf.DUMMYFUNCTION("""COMPUTED_VALUE"""),"001")</f>
        <v>001</v>
      </c>
      <c r="F636" s="212" t="str">
        <f ca="1">IFERROR(__xludf.DUMMYFUNCTION("""COMPUTED_VALUE"""),"0862")</f>
        <v>0862</v>
      </c>
      <c r="G636" s="213" t="str">
        <f ca="1">IFERROR(__xludf.DUMMYFUNCTION("""COMPUTED_VALUE"""),"265217")</f>
        <v>265217</v>
      </c>
      <c r="H636" s="211" t="str">
        <f ca="1">IFERROR(__xludf.DUMMYFUNCTION("""COMPUTED_VALUE"""),"EJA")</f>
        <v>EJA</v>
      </c>
      <c r="I636" s="214">
        <f ca="1">IFERROR(__xludf.DUMMYFUNCTION("""COMPUTED_VALUE"""),426.4)</f>
        <v>426.4</v>
      </c>
      <c r="J636" s="209"/>
      <c r="K636" s="209"/>
      <c r="L636" s="209"/>
      <c r="M636" s="209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  <c r="Z636" s="209"/>
    </row>
    <row r="637" spans="1:26" ht="18.75" customHeight="1">
      <c r="A637" s="210" t="str">
        <f ca="1">IFERROR(__xludf.DUMMYFUNCTION("""COMPUTED_VALUE"""),"Miracema")</f>
        <v>Miracema</v>
      </c>
      <c r="B637" s="210" t="str">
        <f ca="1">IFERROR(__xludf.DUMMYFUNCTION("""COMPUTED_VALUE"""),"Rio dos Bois")</f>
        <v>Rio dos Bois</v>
      </c>
      <c r="C637" s="211" t="str">
        <f ca="1">IFERROR(__xludf.DUMMYFUNCTION("""COMPUTED_VALUE"""),"A.A. ESC EST DR. VALDECY PINHEIRO")</f>
        <v>A.A. ESC EST DR. VALDECY PINHEIRO</v>
      </c>
      <c r="D637" s="212" t="str">
        <f ca="1">IFERROR(__xludf.DUMMYFUNCTION("""COMPUTED_VALUE"""),"01079937000167")</f>
        <v>01079937000167</v>
      </c>
      <c r="E637" s="212" t="str">
        <f ca="1">IFERROR(__xludf.DUMMYFUNCTION("""COMPUTED_VALUE"""),"001")</f>
        <v>001</v>
      </c>
      <c r="F637" s="212" t="str">
        <f ca="1">IFERROR(__xludf.DUMMYFUNCTION("""COMPUTED_VALUE"""),"0862")</f>
        <v>0862</v>
      </c>
      <c r="G637" s="213" t="str">
        <f ca="1">IFERROR(__xludf.DUMMYFUNCTION("""COMPUTED_VALUE"""),"69116")</f>
        <v>69116</v>
      </c>
      <c r="H637" s="211" t="str">
        <f ca="1">IFERROR(__xludf.DUMMYFUNCTION("""COMPUTED_VALUE"""),"ENS FUND PARCIAL")</f>
        <v>ENS FUND PARCIAL</v>
      </c>
      <c r="I637" s="214">
        <f ca="1">IFERROR(__xludf.DUMMYFUNCTION("""COMPUTED_VALUE"""),2040)</f>
        <v>2040</v>
      </c>
      <c r="J637" s="209"/>
      <c r="K637" s="209"/>
      <c r="L637" s="209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  <c r="Z637" s="209"/>
    </row>
    <row r="638" spans="1:26" ht="18.75" customHeight="1">
      <c r="A638" s="210" t="str">
        <f ca="1">IFERROR(__xludf.DUMMYFUNCTION("""COMPUTED_VALUE"""),"Miracema")</f>
        <v>Miracema</v>
      </c>
      <c r="B638" s="210" t="str">
        <f ca="1">IFERROR(__xludf.DUMMYFUNCTION("""COMPUTED_VALUE"""),"Rio dos Bois")</f>
        <v>Rio dos Bois</v>
      </c>
      <c r="C638" s="211" t="str">
        <f ca="1">IFERROR(__xludf.DUMMYFUNCTION("""COMPUTED_VALUE"""),"A.A. ESC EST DR. VALDECY PINHEIRO")</f>
        <v>A.A. ESC EST DR. VALDECY PINHEIRO</v>
      </c>
      <c r="D638" s="212" t="str">
        <f ca="1">IFERROR(__xludf.DUMMYFUNCTION("""COMPUTED_VALUE"""),"01079937000167")</f>
        <v>01079937000167</v>
      </c>
      <c r="E638" s="212" t="str">
        <f ca="1">IFERROR(__xludf.DUMMYFUNCTION("""COMPUTED_VALUE"""),"001")</f>
        <v>001</v>
      </c>
      <c r="F638" s="212" t="str">
        <f ca="1">IFERROR(__xludf.DUMMYFUNCTION("""COMPUTED_VALUE"""),"0862")</f>
        <v>0862</v>
      </c>
      <c r="G638" s="213" t="str">
        <f ca="1">IFERROR(__xludf.DUMMYFUNCTION("""COMPUTED_VALUE"""),"69116")</f>
        <v>69116</v>
      </c>
      <c r="H638" s="211" t="str">
        <f ca="1">IFERROR(__xludf.DUMMYFUNCTION("""COMPUTED_VALUE"""),"AEE")</f>
        <v>AEE</v>
      </c>
      <c r="I638" s="214">
        <f ca="1">IFERROR(__xludf.DUMMYFUNCTION("""COMPUTED_VALUE"""),176.799999999999)</f>
        <v>176.79999999999899</v>
      </c>
      <c r="J638" s="209"/>
      <c r="K638" s="209"/>
      <c r="L638" s="209"/>
      <c r="M638" s="209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9"/>
    </row>
    <row r="639" spans="1:26" ht="18.75" customHeight="1">
      <c r="A639" s="210" t="str">
        <f ca="1">IFERROR(__xludf.DUMMYFUNCTION("""COMPUTED_VALUE"""),"Miracema")</f>
        <v>Miracema</v>
      </c>
      <c r="B639" s="210" t="str">
        <f ca="1">IFERROR(__xludf.DUMMYFUNCTION("""COMPUTED_VALUE"""),"Rio dos Bois")</f>
        <v>Rio dos Bois</v>
      </c>
      <c r="C639" s="211" t="str">
        <f ca="1">IFERROR(__xludf.DUMMYFUNCTION("""COMPUTED_VALUE"""),"A.A. ESC EST DR. VALDECY PINHEIRO")</f>
        <v>A.A. ESC EST DR. VALDECY PINHEIRO</v>
      </c>
      <c r="D639" s="212" t="str">
        <f ca="1">IFERROR(__xludf.DUMMYFUNCTION("""COMPUTED_VALUE"""),"01079937000167")</f>
        <v>01079937000167</v>
      </c>
      <c r="E639" s="212" t="str">
        <f ca="1">IFERROR(__xludf.DUMMYFUNCTION("""COMPUTED_VALUE"""),"001")</f>
        <v>001</v>
      </c>
      <c r="F639" s="212" t="str">
        <f ca="1">IFERROR(__xludf.DUMMYFUNCTION("""COMPUTED_VALUE"""),"0862")</f>
        <v>0862</v>
      </c>
      <c r="G639" s="213" t="str">
        <f ca="1">IFERROR(__xludf.DUMMYFUNCTION("""COMPUTED_VALUE"""),"69116")</f>
        <v>69116</v>
      </c>
      <c r="H639" s="211" t="str">
        <f ca="1">IFERROR(__xludf.DUMMYFUNCTION("""COMPUTED_VALUE"""),"ENSINO MEDIO PARCIAL")</f>
        <v>ENSINO MEDIO PARCIAL</v>
      </c>
      <c r="I639" s="214">
        <f ca="1">IFERROR(__xludf.DUMMYFUNCTION("""COMPUTED_VALUE"""),960)</f>
        <v>960</v>
      </c>
      <c r="J639" s="209"/>
      <c r="K639" s="209"/>
      <c r="L639" s="209"/>
      <c r="M639" s="209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  <c r="Z639" s="209"/>
    </row>
    <row r="640" spans="1:26" ht="18.75" customHeight="1">
      <c r="A640" s="210" t="str">
        <f ca="1">IFERROR(__xludf.DUMMYFUNCTION("""COMPUTED_VALUE"""),"Miracema")</f>
        <v>Miracema</v>
      </c>
      <c r="B640" s="210" t="str">
        <f ca="1">IFERROR(__xludf.DUMMYFUNCTION("""COMPUTED_VALUE"""),"Rio dos Bois")</f>
        <v>Rio dos Bois</v>
      </c>
      <c r="C640" s="211" t="str">
        <f ca="1">IFERROR(__xludf.DUMMYFUNCTION("""COMPUTED_VALUE"""),"A.A. ESC EST DR. VALDECY PINHEIRO")</f>
        <v>A.A. ESC EST DR. VALDECY PINHEIRO</v>
      </c>
      <c r="D640" s="212" t="str">
        <f ca="1">IFERROR(__xludf.DUMMYFUNCTION("""COMPUTED_VALUE"""),"01079937000167")</f>
        <v>01079937000167</v>
      </c>
      <c r="E640" s="212" t="str">
        <f ca="1">IFERROR(__xludf.DUMMYFUNCTION("""COMPUTED_VALUE"""),"001")</f>
        <v>001</v>
      </c>
      <c r="F640" s="212" t="str">
        <f ca="1">IFERROR(__xludf.DUMMYFUNCTION("""COMPUTED_VALUE"""),"0862")</f>
        <v>0862</v>
      </c>
      <c r="G640" s="213" t="str">
        <f ca="1">IFERROR(__xludf.DUMMYFUNCTION("""COMPUTED_VALUE"""),"69116")</f>
        <v>69116</v>
      </c>
      <c r="H640" s="211" t="str">
        <f ca="1">IFERROR(__xludf.DUMMYFUNCTION("""COMPUTED_VALUE"""),"EJA")</f>
        <v>EJA</v>
      </c>
      <c r="I640" s="214">
        <f ca="1">IFERROR(__xludf.DUMMYFUNCTION("""COMPUTED_VALUE"""),131.2)</f>
        <v>131.19999999999999</v>
      </c>
      <c r="J640" s="209"/>
      <c r="K640" s="209"/>
      <c r="L640" s="209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  <c r="Z640" s="209"/>
    </row>
    <row r="641" spans="1:26" ht="18.75" customHeight="1">
      <c r="A641" s="210" t="str">
        <f ca="1">IFERROR(__xludf.DUMMYFUNCTION("""COMPUTED_VALUE"""),"Miracema")</f>
        <v>Miracema</v>
      </c>
      <c r="B641" s="210" t="str">
        <f ca="1">IFERROR(__xludf.DUMMYFUNCTION("""COMPUTED_VALUE"""),"Tocantinia")</f>
        <v>Tocantinia</v>
      </c>
      <c r="C641" s="211" t="str">
        <f ca="1">IFERROR(__xludf.DUMMYFUNCTION("""COMPUTED_VALUE"""),"A.COM.DO COLEGIO FREI ANTONIO CONVENIADO")</f>
        <v>A.COM.DO COLEGIO FREI ANTONIO CONVENIADO</v>
      </c>
      <c r="D641" s="212" t="str">
        <f ca="1">IFERROR(__xludf.DUMMYFUNCTION("""COMPUTED_VALUE"""),"01066427000155")</f>
        <v>01066427000155</v>
      </c>
      <c r="E641" s="212" t="str">
        <f ca="1">IFERROR(__xludf.DUMMYFUNCTION("""COMPUTED_VALUE"""),"001")</f>
        <v>001</v>
      </c>
      <c r="F641" s="212" t="str">
        <f ca="1">IFERROR(__xludf.DUMMYFUNCTION("""COMPUTED_VALUE"""),"0862")</f>
        <v>0862</v>
      </c>
      <c r="G641" s="213" t="str">
        <f ca="1">IFERROR(__xludf.DUMMYFUNCTION("""COMPUTED_VALUE"""),"68985")</f>
        <v>68985</v>
      </c>
      <c r="H641" s="211" t="str">
        <f ca="1">IFERROR(__xludf.DUMMYFUNCTION("""COMPUTED_VALUE"""),"ENS FUND INTEGRAL")</f>
        <v>ENS FUND INTEGRAL</v>
      </c>
      <c r="I641" s="214">
        <f ca="1">IFERROR(__xludf.DUMMYFUNCTION("""COMPUTED_VALUE"""),8083)</f>
        <v>8083</v>
      </c>
      <c r="J641" s="209"/>
      <c r="K641" s="209"/>
      <c r="L641" s="209"/>
      <c r="M641" s="209"/>
      <c r="N641" s="209"/>
      <c r="O641" s="209"/>
      <c r="P641" s="209"/>
      <c r="Q641" s="209"/>
      <c r="R641" s="209"/>
      <c r="S641" s="209"/>
      <c r="T641" s="209"/>
      <c r="U641" s="209"/>
      <c r="V641" s="209"/>
      <c r="W641" s="209"/>
      <c r="X641" s="209"/>
      <c r="Y641" s="209"/>
      <c r="Z641" s="209"/>
    </row>
    <row r="642" spans="1:26" ht="18.75" customHeight="1">
      <c r="A642" s="210" t="str">
        <f ca="1">IFERROR(__xludf.DUMMYFUNCTION("""COMPUTED_VALUE"""),"Miracema")</f>
        <v>Miracema</v>
      </c>
      <c r="B642" s="210" t="str">
        <f ca="1">IFERROR(__xludf.DUMMYFUNCTION("""COMPUTED_VALUE"""),"Tocantinia")</f>
        <v>Tocantinia</v>
      </c>
      <c r="C642" s="211" t="str">
        <f ca="1">IFERROR(__xludf.DUMMYFUNCTION("""COMPUTED_VALUE"""),"A.COM.DO COLEGIO FREI ANTONIO CONVENIADO")</f>
        <v>A.COM.DO COLEGIO FREI ANTONIO CONVENIADO</v>
      </c>
      <c r="D642" s="212" t="str">
        <f ca="1">IFERROR(__xludf.DUMMYFUNCTION("""COMPUTED_VALUE"""),"01066427000155")</f>
        <v>01066427000155</v>
      </c>
      <c r="E642" s="212" t="str">
        <f ca="1">IFERROR(__xludf.DUMMYFUNCTION("""COMPUTED_VALUE"""),"001")</f>
        <v>001</v>
      </c>
      <c r="F642" s="212" t="str">
        <f ca="1">IFERROR(__xludf.DUMMYFUNCTION("""COMPUTED_VALUE"""),"0862")</f>
        <v>0862</v>
      </c>
      <c r="G642" s="213" t="str">
        <f ca="1">IFERROR(__xludf.DUMMYFUNCTION("""COMPUTED_VALUE"""),"68985")</f>
        <v>68985</v>
      </c>
      <c r="H642" s="211" t="str">
        <f ca="1">IFERROR(__xludf.DUMMYFUNCTION("""COMPUTED_VALUE"""),"AEE")</f>
        <v>AEE</v>
      </c>
      <c r="I642" s="214">
        <f ca="1">IFERROR(__xludf.DUMMYFUNCTION("""COMPUTED_VALUE"""),136)</f>
        <v>136</v>
      </c>
      <c r="J642" s="209"/>
      <c r="K642" s="209"/>
      <c r="L642" s="209"/>
      <c r="M642" s="209"/>
      <c r="N642" s="209"/>
      <c r="O642" s="209"/>
      <c r="P642" s="209"/>
      <c r="Q642" s="209"/>
      <c r="R642" s="209"/>
      <c r="S642" s="209"/>
      <c r="T642" s="209"/>
      <c r="U642" s="209"/>
      <c r="V642" s="209"/>
      <c r="W642" s="209"/>
      <c r="X642" s="209"/>
      <c r="Y642" s="209"/>
      <c r="Z642" s="209"/>
    </row>
    <row r="643" spans="1:26" ht="18.75" customHeight="1">
      <c r="A643" s="210" t="str">
        <f ca="1">IFERROR(__xludf.DUMMYFUNCTION("""COMPUTED_VALUE"""),"Miracema")</f>
        <v>Miracema</v>
      </c>
      <c r="B643" s="210" t="str">
        <f ca="1">IFERROR(__xludf.DUMMYFUNCTION("""COMPUTED_VALUE"""),"Tocantinia")</f>
        <v>Tocantinia</v>
      </c>
      <c r="C643" s="211" t="str">
        <f ca="1">IFERROR(__xludf.DUMMYFUNCTION("""COMPUTED_VALUE"""),"ASS. APOIO AO CEM XERENTE WARA")</f>
        <v>ASS. APOIO AO CEM XERENTE WARA</v>
      </c>
      <c r="D643" s="212" t="str">
        <f ca="1">IFERROR(__xludf.DUMMYFUNCTION("""COMPUTED_VALUE"""),"07674098000101")</f>
        <v>07674098000101</v>
      </c>
      <c r="E643" s="212" t="str">
        <f ca="1">IFERROR(__xludf.DUMMYFUNCTION("""COMPUTED_VALUE"""),"001")</f>
        <v>001</v>
      </c>
      <c r="F643" s="212" t="str">
        <f ca="1">IFERROR(__xludf.DUMMYFUNCTION("""COMPUTED_VALUE"""),"0862")</f>
        <v>0862</v>
      </c>
      <c r="G643" s="213" t="str">
        <f ca="1">IFERROR(__xludf.DUMMYFUNCTION("""COMPUTED_VALUE"""),"183407")</f>
        <v>183407</v>
      </c>
      <c r="H643" s="211" t="str">
        <f ca="1">IFERROR(__xludf.DUMMYFUNCTION("""COMPUTED_VALUE"""),"ENS FUND INTEGRAL")</f>
        <v>ENS FUND INTEGRAL</v>
      </c>
      <c r="I643" s="214">
        <f ca="1">IFERROR(__xludf.DUMMYFUNCTION("""COMPUTED_VALUE"""),3726.39999999999)</f>
        <v>3726.3999999999901</v>
      </c>
      <c r="J643" s="209"/>
      <c r="K643" s="209"/>
      <c r="L643" s="209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9"/>
      <c r="Y643" s="209"/>
      <c r="Z643" s="209"/>
    </row>
    <row r="644" spans="1:26" ht="18.75" customHeight="1">
      <c r="A644" s="210" t="str">
        <f ca="1">IFERROR(__xludf.DUMMYFUNCTION("""COMPUTED_VALUE"""),"Miracema")</f>
        <v>Miracema</v>
      </c>
      <c r="B644" s="210" t="str">
        <f ca="1">IFERROR(__xludf.DUMMYFUNCTION("""COMPUTED_VALUE"""),"Tocantinia")</f>
        <v>Tocantinia</v>
      </c>
      <c r="C644" s="211" t="str">
        <f ca="1">IFERROR(__xludf.DUMMYFUNCTION("""COMPUTED_VALUE"""),"ASS. APOIO AO CEM XERENTE WARA")</f>
        <v>ASS. APOIO AO CEM XERENTE WARA</v>
      </c>
      <c r="D644" s="212" t="str">
        <f ca="1">IFERROR(__xludf.DUMMYFUNCTION("""COMPUTED_VALUE"""),"07674098000101")</f>
        <v>07674098000101</v>
      </c>
      <c r="E644" s="212" t="str">
        <f ca="1">IFERROR(__xludf.DUMMYFUNCTION("""COMPUTED_VALUE"""),"001")</f>
        <v>001</v>
      </c>
      <c r="F644" s="212" t="str">
        <f ca="1">IFERROR(__xludf.DUMMYFUNCTION("""COMPUTED_VALUE"""),"0862")</f>
        <v>0862</v>
      </c>
      <c r="G644" s="213" t="str">
        <f ca="1">IFERROR(__xludf.DUMMYFUNCTION("""COMPUTED_VALUE"""),"183407")</f>
        <v>183407</v>
      </c>
      <c r="H644" s="211" t="str">
        <f ca="1">IFERROR(__xludf.DUMMYFUNCTION("""COMPUTED_VALUE"""),"AEE")</f>
        <v>AEE</v>
      </c>
      <c r="I644" s="214">
        <f ca="1">IFERROR(__xludf.DUMMYFUNCTION("""COMPUTED_VALUE"""),285.599999999999)</f>
        <v>285.599999999999</v>
      </c>
      <c r="J644" s="209"/>
      <c r="K644" s="209"/>
      <c r="L644" s="209"/>
      <c r="M644" s="209"/>
      <c r="N644" s="209"/>
      <c r="O644" s="209"/>
      <c r="P644" s="209"/>
      <c r="Q644" s="209"/>
      <c r="R644" s="209"/>
      <c r="S644" s="209"/>
      <c r="T644" s="209"/>
      <c r="U644" s="209"/>
      <c r="V644" s="209"/>
      <c r="W644" s="209"/>
      <c r="X644" s="209"/>
      <c r="Y644" s="209"/>
      <c r="Z644" s="209"/>
    </row>
    <row r="645" spans="1:26" ht="18.75" customHeight="1">
      <c r="A645" s="210" t="str">
        <f ca="1">IFERROR(__xludf.DUMMYFUNCTION("""COMPUTED_VALUE"""),"Miracema")</f>
        <v>Miracema</v>
      </c>
      <c r="B645" s="210" t="str">
        <f ca="1">IFERROR(__xludf.DUMMYFUNCTION("""COMPUTED_VALUE"""),"Tocantinia")</f>
        <v>Tocantinia</v>
      </c>
      <c r="C645" s="211" t="str">
        <f ca="1">IFERROR(__xludf.DUMMYFUNCTION("""COMPUTED_VALUE"""),"ASS. APOIO AO CEM XERENTE WARA")</f>
        <v>ASS. APOIO AO CEM XERENTE WARA</v>
      </c>
      <c r="D645" s="212" t="str">
        <f ca="1">IFERROR(__xludf.DUMMYFUNCTION("""COMPUTED_VALUE"""),"07674098000101")</f>
        <v>07674098000101</v>
      </c>
      <c r="E645" s="212" t="str">
        <f ca="1">IFERROR(__xludf.DUMMYFUNCTION("""COMPUTED_VALUE"""),"001")</f>
        <v>001</v>
      </c>
      <c r="F645" s="212" t="str">
        <f ca="1">IFERROR(__xludf.DUMMYFUNCTION("""COMPUTED_VALUE"""),"0862")</f>
        <v>0862</v>
      </c>
      <c r="G645" s="213" t="str">
        <f ca="1">IFERROR(__xludf.DUMMYFUNCTION("""COMPUTED_VALUE"""),"183407")</f>
        <v>183407</v>
      </c>
      <c r="H645" s="211" t="str">
        <f ca="1">IFERROR(__xludf.DUMMYFUNCTION("""COMPUTED_VALUE"""),"JOVEM AÇÃO")</f>
        <v>JOVEM AÇÃO</v>
      </c>
      <c r="I645" s="214">
        <f ca="1">IFERROR(__xludf.DUMMYFUNCTION("""COMPUTED_VALUE"""),7680)</f>
        <v>7680</v>
      </c>
      <c r="J645" s="209"/>
      <c r="K645" s="209"/>
      <c r="L645" s="209"/>
      <c r="M645" s="209"/>
      <c r="N645" s="209"/>
      <c r="O645" s="209"/>
      <c r="P645" s="209"/>
      <c r="Q645" s="209"/>
      <c r="R645" s="209"/>
      <c r="S645" s="209"/>
      <c r="T645" s="209"/>
      <c r="U645" s="209"/>
      <c r="V645" s="209"/>
      <c r="W645" s="209"/>
      <c r="X645" s="209"/>
      <c r="Y645" s="209"/>
      <c r="Z645" s="209"/>
    </row>
    <row r="646" spans="1:26" ht="18.75" customHeight="1">
      <c r="A646" s="210" t="str">
        <f ca="1">IFERROR(__xludf.DUMMYFUNCTION("""COMPUTED_VALUE"""),"Miracema")</f>
        <v>Miracema</v>
      </c>
      <c r="B646" s="210" t="str">
        <f ca="1">IFERROR(__xludf.DUMMYFUNCTION("""COMPUTED_VALUE"""),"Tocantinia")</f>
        <v>Tocantinia</v>
      </c>
      <c r="C646" s="211" t="str">
        <f ca="1">IFERROR(__xludf.DUMMYFUNCTION("""COMPUTED_VALUE"""),"ASSOC. DE PAIS E MEST. DO COL. EST. BATISTA PROFª BEATRIZ R. DA SILVA")</f>
        <v>ASSOC. DE PAIS E MEST. DO COL. EST. BATISTA PROFª BEATRIZ R. DA SILVA</v>
      </c>
      <c r="D646" s="212" t="str">
        <f ca="1">IFERROR(__xludf.DUMMYFUNCTION("""COMPUTED_VALUE"""),"15132209000186")</f>
        <v>15132209000186</v>
      </c>
      <c r="E646" s="212" t="str">
        <f ca="1">IFERROR(__xludf.DUMMYFUNCTION("""COMPUTED_VALUE"""),"001")</f>
        <v>001</v>
      </c>
      <c r="F646" s="212" t="str">
        <f ca="1">IFERROR(__xludf.DUMMYFUNCTION("""COMPUTED_VALUE"""),"0862")</f>
        <v>0862</v>
      </c>
      <c r="G646" s="213" t="str">
        <f ca="1">IFERROR(__xludf.DUMMYFUNCTION("""COMPUTED_VALUE"""),"277037")</f>
        <v>277037</v>
      </c>
      <c r="H646" s="211" t="str">
        <f ca="1">IFERROR(__xludf.DUMMYFUNCTION("""COMPUTED_VALUE"""),"ENSINO MEDIO PARCIAL")</f>
        <v>ENSINO MEDIO PARCIAL</v>
      </c>
      <c r="I646" s="214">
        <f ca="1">IFERROR(__xludf.DUMMYFUNCTION("""COMPUTED_VALUE"""),1840)</f>
        <v>1840</v>
      </c>
      <c r="J646" s="209"/>
      <c r="K646" s="209"/>
      <c r="L646" s="209"/>
      <c r="M646" s="209"/>
      <c r="N646" s="209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  <c r="Z646" s="209"/>
    </row>
    <row r="647" spans="1:26" ht="18.75" customHeight="1">
      <c r="A647" s="210" t="str">
        <f ca="1">IFERROR(__xludf.DUMMYFUNCTION("""COMPUTED_VALUE"""),"Miracema")</f>
        <v>Miracema</v>
      </c>
      <c r="B647" s="210" t="str">
        <f ca="1">IFERROR(__xludf.DUMMYFUNCTION("""COMPUTED_VALUE"""),"Tocantinia")</f>
        <v>Tocantinia</v>
      </c>
      <c r="C647" s="211" t="str">
        <f ca="1">IFERROR(__xludf.DUMMYFUNCTION("""COMPUTED_VALUE"""),"ASSOC. DE PAIS E MEST. DO COL. EST. BATISTA PROFª BEATRIZ R. DA SILVA")</f>
        <v>ASSOC. DE PAIS E MEST. DO COL. EST. BATISTA PROFª BEATRIZ R. DA SILVA</v>
      </c>
      <c r="D647" s="212" t="str">
        <f ca="1">IFERROR(__xludf.DUMMYFUNCTION("""COMPUTED_VALUE"""),"15132209000186")</f>
        <v>15132209000186</v>
      </c>
      <c r="E647" s="212" t="str">
        <f ca="1">IFERROR(__xludf.DUMMYFUNCTION("""COMPUTED_VALUE"""),"001")</f>
        <v>001</v>
      </c>
      <c r="F647" s="212" t="str">
        <f ca="1">IFERROR(__xludf.DUMMYFUNCTION("""COMPUTED_VALUE"""),"0862")</f>
        <v>0862</v>
      </c>
      <c r="G647" s="213" t="str">
        <f ca="1">IFERROR(__xludf.DUMMYFUNCTION("""COMPUTED_VALUE"""),"277037")</f>
        <v>277037</v>
      </c>
      <c r="H647" s="211" t="str">
        <f ca="1">IFERROR(__xludf.DUMMYFUNCTION("""COMPUTED_VALUE"""),"EJA")</f>
        <v>EJA</v>
      </c>
      <c r="I647" s="214">
        <f ca="1">IFERROR(__xludf.DUMMYFUNCTION("""COMPUTED_VALUE"""),155.799999999999)</f>
        <v>155.79999999999899</v>
      </c>
      <c r="J647" s="209"/>
      <c r="K647" s="209"/>
      <c r="L647" s="209"/>
      <c r="M647" s="209"/>
      <c r="N647" s="209"/>
      <c r="O647" s="209"/>
      <c r="P647" s="209"/>
      <c r="Q647" s="209"/>
      <c r="R647" s="209"/>
      <c r="S647" s="209"/>
      <c r="T647" s="209"/>
      <c r="U647" s="209"/>
      <c r="V647" s="209"/>
      <c r="W647" s="209"/>
      <c r="X647" s="209"/>
      <c r="Y647" s="209"/>
      <c r="Z647" s="209"/>
    </row>
    <row r="648" spans="1:26" ht="18.75" customHeight="1">
      <c r="A648" s="210" t="str">
        <f ca="1">IFERROR(__xludf.DUMMYFUNCTION("""COMPUTED_VALUE"""),"Palmas")</f>
        <v>Palmas</v>
      </c>
      <c r="B648" s="210" t="str">
        <f ca="1">IFERROR(__xludf.DUMMYFUNCTION("""COMPUTED_VALUE"""),"Aparecida do Rio Negro")</f>
        <v>Aparecida do Rio Negro</v>
      </c>
      <c r="C648" s="211" t="str">
        <f ca="1">IFERROR(__xludf.DUMMYFUNCTION("""COMPUTED_VALUE"""),"ASS. DE AP. DO COL. EST. MEIRA MATOS")</f>
        <v>ASS. DE AP. DO COL. EST. MEIRA MATOS</v>
      </c>
      <c r="D648" s="212" t="str">
        <f ca="1">IFERROR(__xludf.DUMMYFUNCTION("""COMPUTED_VALUE"""),"01186452000172")</f>
        <v>01186452000172</v>
      </c>
      <c r="E648" s="212" t="str">
        <f ca="1">IFERROR(__xludf.DUMMYFUNCTION("""COMPUTED_VALUE"""),"001")</f>
        <v>001</v>
      </c>
      <c r="F648" s="212" t="str">
        <f ca="1">IFERROR(__xludf.DUMMYFUNCTION("""COMPUTED_VALUE"""),"1505")</f>
        <v>1505</v>
      </c>
      <c r="G648" s="213" t="str">
        <f ca="1">IFERROR(__xludf.DUMMYFUNCTION("""COMPUTED_VALUE"""),"327972")</f>
        <v>327972</v>
      </c>
      <c r="H648" s="211" t="str">
        <f ca="1">IFERROR(__xludf.DUMMYFUNCTION("""COMPUTED_VALUE"""),"ENS FUND PARCIAL")</f>
        <v>ENS FUND PARCIAL</v>
      </c>
      <c r="I648" s="214">
        <f ca="1">IFERROR(__xludf.DUMMYFUNCTION("""COMPUTED_VALUE"""),1480)</f>
        <v>1480</v>
      </c>
      <c r="J648" s="209"/>
      <c r="K648" s="209"/>
      <c r="L648" s="209"/>
      <c r="M648" s="209"/>
      <c r="N648" s="209"/>
      <c r="O648" s="209"/>
      <c r="P648" s="209"/>
      <c r="Q648" s="209"/>
      <c r="R648" s="209"/>
      <c r="S648" s="209"/>
      <c r="T648" s="209"/>
      <c r="U648" s="209"/>
      <c r="V648" s="209"/>
      <c r="W648" s="209"/>
      <c r="X648" s="209"/>
      <c r="Y648" s="209"/>
      <c r="Z648" s="209"/>
    </row>
    <row r="649" spans="1:26" ht="18.75" customHeight="1">
      <c r="A649" s="210" t="str">
        <f ca="1">IFERROR(__xludf.DUMMYFUNCTION("""COMPUTED_VALUE"""),"Palmas")</f>
        <v>Palmas</v>
      </c>
      <c r="B649" s="210" t="str">
        <f ca="1">IFERROR(__xludf.DUMMYFUNCTION("""COMPUTED_VALUE"""),"Aparecida do Rio Negro")</f>
        <v>Aparecida do Rio Negro</v>
      </c>
      <c r="C649" s="211" t="str">
        <f ca="1">IFERROR(__xludf.DUMMYFUNCTION("""COMPUTED_VALUE"""),"ASS. DE AP. DO COL. EST. MEIRA MATOS")</f>
        <v>ASS. DE AP. DO COL. EST. MEIRA MATOS</v>
      </c>
      <c r="D649" s="212" t="str">
        <f ca="1">IFERROR(__xludf.DUMMYFUNCTION("""COMPUTED_VALUE"""),"01186452000172")</f>
        <v>01186452000172</v>
      </c>
      <c r="E649" s="212" t="str">
        <f ca="1">IFERROR(__xludf.DUMMYFUNCTION("""COMPUTED_VALUE"""),"001")</f>
        <v>001</v>
      </c>
      <c r="F649" s="212" t="str">
        <f ca="1">IFERROR(__xludf.DUMMYFUNCTION("""COMPUTED_VALUE"""),"1505")</f>
        <v>1505</v>
      </c>
      <c r="G649" s="213" t="str">
        <f ca="1">IFERROR(__xludf.DUMMYFUNCTION("""COMPUTED_VALUE"""),"327972")</f>
        <v>327972</v>
      </c>
      <c r="H649" s="211" t="str">
        <f ca="1">IFERROR(__xludf.DUMMYFUNCTION("""COMPUTED_VALUE"""),"AEE")</f>
        <v>AEE</v>
      </c>
      <c r="I649" s="214">
        <f ca="1">IFERROR(__xludf.DUMMYFUNCTION("""COMPUTED_VALUE"""),190.4)</f>
        <v>190.4</v>
      </c>
      <c r="J649" s="209"/>
      <c r="K649" s="209"/>
      <c r="L649" s="209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9"/>
      <c r="Y649" s="209"/>
      <c r="Z649" s="209"/>
    </row>
    <row r="650" spans="1:26" ht="18.75" customHeight="1">
      <c r="A650" s="210" t="str">
        <f ca="1">IFERROR(__xludf.DUMMYFUNCTION("""COMPUTED_VALUE"""),"Palmas")</f>
        <v>Palmas</v>
      </c>
      <c r="B650" s="210" t="str">
        <f ca="1">IFERROR(__xludf.DUMMYFUNCTION("""COMPUTED_VALUE"""),"Aparecida do Rio Negro")</f>
        <v>Aparecida do Rio Negro</v>
      </c>
      <c r="C650" s="211" t="str">
        <f ca="1">IFERROR(__xludf.DUMMYFUNCTION("""COMPUTED_VALUE"""),"ASS. DE AP. DO COL. EST. MEIRA MATOS")</f>
        <v>ASS. DE AP. DO COL. EST. MEIRA MATOS</v>
      </c>
      <c r="D650" s="212" t="str">
        <f ca="1">IFERROR(__xludf.DUMMYFUNCTION("""COMPUTED_VALUE"""),"01186452000172")</f>
        <v>01186452000172</v>
      </c>
      <c r="E650" s="212" t="str">
        <f ca="1">IFERROR(__xludf.DUMMYFUNCTION("""COMPUTED_VALUE"""),"001")</f>
        <v>001</v>
      </c>
      <c r="F650" s="212" t="str">
        <f ca="1">IFERROR(__xludf.DUMMYFUNCTION("""COMPUTED_VALUE"""),"1505")</f>
        <v>1505</v>
      </c>
      <c r="G650" s="213" t="str">
        <f ca="1">IFERROR(__xludf.DUMMYFUNCTION("""COMPUTED_VALUE"""),"327972")</f>
        <v>327972</v>
      </c>
      <c r="H650" s="211" t="str">
        <f ca="1">IFERROR(__xludf.DUMMYFUNCTION("""COMPUTED_VALUE"""),"ENSINO MEDIO PARCIAL")</f>
        <v>ENSINO MEDIO PARCIAL</v>
      </c>
      <c r="I650" s="214">
        <f ca="1">IFERROR(__xludf.DUMMYFUNCTION("""COMPUTED_VALUE"""),2250)</f>
        <v>2250</v>
      </c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</row>
    <row r="651" spans="1:26" ht="18.75" customHeight="1">
      <c r="A651" s="210" t="str">
        <f ca="1">IFERROR(__xludf.DUMMYFUNCTION("""COMPUTED_VALUE"""),"Palmas")</f>
        <v>Palmas</v>
      </c>
      <c r="B651" s="210" t="str">
        <f ca="1">IFERROR(__xludf.DUMMYFUNCTION("""COMPUTED_VALUE"""),"Lagoa do Tocantins")</f>
        <v>Lagoa do Tocantins</v>
      </c>
      <c r="C651" s="211" t="str">
        <f ca="1">IFERROR(__xludf.DUMMYFUNCTION("""COMPUTED_VALUE"""),"ASS. DE AP. DA ESC. EST. SALMON DO A.BRITO")</f>
        <v>ASS. DE AP. DA ESC. EST. SALMON DO A.BRITO</v>
      </c>
      <c r="D651" s="212" t="str">
        <f ca="1">IFERROR(__xludf.DUMMYFUNCTION("""COMPUTED_VALUE"""),"01440941000109")</f>
        <v>01440941000109</v>
      </c>
      <c r="E651" s="212" t="str">
        <f ca="1">IFERROR(__xludf.DUMMYFUNCTION("""COMPUTED_VALUE"""),"001")</f>
        <v>001</v>
      </c>
      <c r="F651" s="212" t="str">
        <f ca="1">IFERROR(__xludf.DUMMYFUNCTION("""COMPUTED_VALUE"""),"1505")</f>
        <v>1505</v>
      </c>
      <c r="G651" s="213" t="str">
        <f ca="1">IFERROR(__xludf.DUMMYFUNCTION("""COMPUTED_VALUE"""),"465410")</f>
        <v>465410</v>
      </c>
      <c r="H651" s="211" t="str">
        <f ca="1">IFERROR(__xludf.DUMMYFUNCTION("""COMPUTED_VALUE"""),"ENS FUND PARCIAL")</f>
        <v>ENS FUND PARCIAL</v>
      </c>
      <c r="I651" s="214">
        <f ca="1">IFERROR(__xludf.DUMMYFUNCTION("""COMPUTED_VALUE"""),2390)</f>
        <v>2390</v>
      </c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</row>
    <row r="652" spans="1:26" ht="18.75" customHeight="1">
      <c r="A652" s="210" t="str">
        <f ca="1">IFERROR(__xludf.DUMMYFUNCTION("""COMPUTED_VALUE"""),"Palmas")</f>
        <v>Palmas</v>
      </c>
      <c r="B652" s="210" t="str">
        <f ca="1">IFERROR(__xludf.DUMMYFUNCTION("""COMPUTED_VALUE"""),"Lagoa do Tocantins")</f>
        <v>Lagoa do Tocantins</v>
      </c>
      <c r="C652" s="211" t="str">
        <f ca="1">IFERROR(__xludf.DUMMYFUNCTION("""COMPUTED_VALUE"""),"ASS. DE AP. DA ESC. EST. SALMON DO A.BRITO")</f>
        <v>ASS. DE AP. DA ESC. EST. SALMON DO A.BRITO</v>
      </c>
      <c r="D652" s="212" t="str">
        <f ca="1">IFERROR(__xludf.DUMMYFUNCTION("""COMPUTED_VALUE"""),"01440941000109")</f>
        <v>01440941000109</v>
      </c>
      <c r="E652" s="212" t="str">
        <f ca="1">IFERROR(__xludf.DUMMYFUNCTION("""COMPUTED_VALUE"""),"001")</f>
        <v>001</v>
      </c>
      <c r="F652" s="212" t="str">
        <f ca="1">IFERROR(__xludf.DUMMYFUNCTION("""COMPUTED_VALUE"""),"1505")</f>
        <v>1505</v>
      </c>
      <c r="G652" s="213" t="str">
        <f ca="1">IFERROR(__xludf.DUMMYFUNCTION("""COMPUTED_VALUE"""),"465410")</f>
        <v>465410</v>
      </c>
      <c r="H652" s="211" t="str">
        <f ca="1">IFERROR(__xludf.DUMMYFUNCTION("""COMPUTED_VALUE"""),"ENSINO MEDIO PARCIAL")</f>
        <v>ENSINO MEDIO PARCIAL</v>
      </c>
      <c r="I652" s="214">
        <f ca="1">IFERROR(__xludf.DUMMYFUNCTION("""COMPUTED_VALUE"""),2380)</f>
        <v>2380</v>
      </c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</row>
    <row r="653" spans="1:26" ht="18.75" customHeight="1">
      <c r="A653" s="210" t="str">
        <f ca="1">IFERROR(__xludf.DUMMYFUNCTION("""COMPUTED_VALUE"""),"Palmas")</f>
        <v>Palmas</v>
      </c>
      <c r="B653" s="210" t="str">
        <f ca="1">IFERROR(__xludf.DUMMYFUNCTION("""COMPUTED_VALUE"""),"Lajeado")</f>
        <v>Lajeado</v>
      </c>
      <c r="C653" s="211" t="str">
        <f ca="1">IFERROR(__xludf.DUMMYFUNCTION("""COMPUTED_VALUE"""),"A.A. COM. E. E.N.SRA.DA PROVIDENCIA")</f>
        <v>A.A. COM. E. E.N.SRA.DA PROVIDENCIA</v>
      </c>
      <c r="D653" s="212" t="str">
        <f ca="1">IFERROR(__xludf.DUMMYFUNCTION("""COMPUTED_VALUE"""),"01138324000153")</f>
        <v>01138324000153</v>
      </c>
      <c r="E653" s="212" t="str">
        <f ca="1">IFERROR(__xludf.DUMMYFUNCTION("""COMPUTED_VALUE"""),"001")</f>
        <v>001</v>
      </c>
      <c r="F653" s="212" t="str">
        <f ca="1">IFERROR(__xludf.DUMMYFUNCTION("""COMPUTED_VALUE"""),"0862")</f>
        <v>0862</v>
      </c>
      <c r="G653" s="213" t="str">
        <f ca="1">IFERROR(__xludf.DUMMYFUNCTION("""COMPUTED_VALUE"""),"69132")</f>
        <v>69132</v>
      </c>
      <c r="H653" s="211" t="str">
        <f ca="1">IFERROR(__xludf.DUMMYFUNCTION("""COMPUTED_VALUE"""),"ENS FUND PARCIAL")</f>
        <v>ENS FUND PARCIAL</v>
      </c>
      <c r="I653" s="214">
        <f ca="1">IFERROR(__xludf.DUMMYFUNCTION("""COMPUTED_VALUE"""),280)</f>
        <v>280</v>
      </c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</row>
    <row r="654" spans="1:26" ht="18.75" customHeight="1">
      <c r="A654" s="210" t="str">
        <f ca="1">IFERROR(__xludf.DUMMYFUNCTION("""COMPUTED_VALUE"""),"Palmas")</f>
        <v>Palmas</v>
      </c>
      <c r="B654" s="210" t="str">
        <f ca="1">IFERROR(__xludf.DUMMYFUNCTION("""COMPUTED_VALUE"""),"Lajeado")</f>
        <v>Lajeado</v>
      </c>
      <c r="C654" s="211" t="str">
        <f ca="1">IFERROR(__xludf.DUMMYFUNCTION("""COMPUTED_VALUE"""),"A.A. COM. E. E.N.SRA.DA PROVIDENCIA")</f>
        <v>A.A. COM. E. E.N.SRA.DA PROVIDENCIA</v>
      </c>
      <c r="D654" s="212" t="str">
        <f ca="1">IFERROR(__xludf.DUMMYFUNCTION("""COMPUTED_VALUE"""),"01138324000153")</f>
        <v>01138324000153</v>
      </c>
      <c r="E654" s="212" t="str">
        <f ca="1">IFERROR(__xludf.DUMMYFUNCTION("""COMPUTED_VALUE"""),"001")</f>
        <v>001</v>
      </c>
      <c r="F654" s="212" t="str">
        <f ca="1">IFERROR(__xludf.DUMMYFUNCTION("""COMPUTED_VALUE"""),"0862")</f>
        <v>0862</v>
      </c>
      <c r="G654" s="213" t="str">
        <f ca="1">IFERROR(__xludf.DUMMYFUNCTION("""COMPUTED_VALUE"""),"69132")</f>
        <v>69132</v>
      </c>
      <c r="H654" s="211" t="str">
        <f ca="1">IFERROR(__xludf.DUMMYFUNCTION("""COMPUTED_VALUE"""),"AEE")</f>
        <v>AEE</v>
      </c>
      <c r="I654" s="214">
        <f ca="1">IFERROR(__xludf.DUMMYFUNCTION("""COMPUTED_VALUE"""),95.2)</f>
        <v>95.2</v>
      </c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</row>
    <row r="655" spans="1:26" ht="18.75" customHeight="1">
      <c r="A655" s="210" t="str">
        <f ca="1">IFERROR(__xludf.DUMMYFUNCTION("""COMPUTED_VALUE"""),"Palmas")</f>
        <v>Palmas</v>
      </c>
      <c r="B655" s="210" t="str">
        <f ca="1">IFERROR(__xludf.DUMMYFUNCTION("""COMPUTED_VALUE"""),"Lajeado")</f>
        <v>Lajeado</v>
      </c>
      <c r="C655" s="211" t="str">
        <f ca="1">IFERROR(__xludf.DUMMYFUNCTION("""COMPUTED_VALUE"""),"A.A. COM. E. E.N.SRA.DA PROVIDENCIA")</f>
        <v>A.A. COM. E. E.N.SRA.DA PROVIDENCIA</v>
      </c>
      <c r="D655" s="212" t="str">
        <f ca="1">IFERROR(__xludf.DUMMYFUNCTION("""COMPUTED_VALUE"""),"01138324000153")</f>
        <v>01138324000153</v>
      </c>
      <c r="E655" s="212" t="str">
        <f ca="1">IFERROR(__xludf.DUMMYFUNCTION("""COMPUTED_VALUE"""),"001")</f>
        <v>001</v>
      </c>
      <c r="F655" s="212" t="str">
        <f ca="1">IFERROR(__xludf.DUMMYFUNCTION("""COMPUTED_VALUE"""),"0862")</f>
        <v>0862</v>
      </c>
      <c r="G655" s="213" t="str">
        <f ca="1">IFERROR(__xludf.DUMMYFUNCTION("""COMPUTED_VALUE"""),"69132")</f>
        <v>69132</v>
      </c>
      <c r="H655" s="211" t="str">
        <f ca="1">IFERROR(__xludf.DUMMYFUNCTION("""COMPUTED_VALUE"""),"ENSINO MEDIO PARCIAL")</f>
        <v>ENSINO MEDIO PARCIAL</v>
      </c>
      <c r="I655" s="214">
        <f ca="1">IFERROR(__xludf.DUMMYFUNCTION("""COMPUTED_VALUE"""),1200)</f>
        <v>1200</v>
      </c>
      <c r="J655" s="209"/>
      <c r="K655" s="209"/>
      <c r="L655" s="209"/>
      <c r="M655" s="209"/>
      <c r="N655" s="209"/>
      <c r="O655" s="209"/>
      <c r="P655" s="209"/>
      <c r="Q655" s="209"/>
      <c r="R655" s="209"/>
      <c r="S655" s="209"/>
      <c r="T655" s="209"/>
      <c r="U655" s="209"/>
      <c r="V655" s="209"/>
      <c r="W655" s="209"/>
      <c r="X655" s="209"/>
      <c r="Y655" s="209"/>
      <c r="Z655" s="209"/>
    </row>
    <row r="656" spans="1:26" ht="18.75" customHeight="1">
      <c r="A656" s="210" t="str">
        <f ca="1">IFERROR(__xludf.DUMMYFUNCTION("""COMPUTED_VALUE"""),"Palmas")</f>
        <v>Palmas</v>
      </c>
      <c r="B656" s="210" t="str">
        <f ca="1">IFERROR(__xludf.DUMMYFUNCTION("""COMPUTED_VALUE"""),"Lajeado")</f>
        <v>Lajeado</v>
      </c>
      <c r="C656" s="211" t="str">
        <f ca="1">IFERROR(__xludf.DUMMYFUNCTION("""COMPUTED_VALUE"""),"A.A. COM. E. E.N.SRA.DA PROVIDENCIA")</f>
        <v>A.A. COM. E. E.N.SRA.DA PROVIDENCIA</v>
      </c>
      <c r="D656" s="212" t="str">
        <f ca="1">IFERROR(__xludf.DUMMYFUNCTION("""COMPUTED_VALUE"""),"01138324000153")</f>
        <v>01138324000153</v>
      </c>
      <c r="E656" s="212" t="str">
        <f ca="1">IFERROR(__xludf.DUMMYFUNCTION("""COMPUTED_VALUE"""),"001")</f>
        <v>001</v>
      </c>
      <c r="F656" s="212" t="str">
        <f ca="1">IFERROR(__xludf.DUMMYFUNCTION("""COMPUTED_VALUE"""),"0862")</f>
        <v>0862</v>
      </c>
      <c r="G656" s="213" t="str">
        <f ca="1">IFERROR(__xludf.DUMMYFUNCTION("""COMPUTED_VALUE"""),"69132")</f>
        <v>69132</v>
      </c>
      <c r="H656" s="211" t="str">
        <f ca="1">IFERROR(__xludf.DUMMYFUNCTION("""COMPUTED_VALUE"""),"EJA")</f>
        <v>EJA</v>
      </c>
      <c r="I656" s="214">
        <f ca="1">IFERROR(__xludf.DUMMYFUNCTION("""COMPUTED_VALUE"""),114.799999999999)</f>
        <v>114.799999999999</v>
      </c>
      <c r="J656" s="209"/>
      <c r="K656" s="209"/>
      <c r="L656" s="209"/>
      <c r="M656" s="209"/>
      <c r="N656" s="209"/>
      <c r="O656" s="209"/>
      <c r="P656" s="209"/>
      <c r="Q656" s="209"/>
      <c r="R656" s="209"/>
      <c r="S656" s="209"/>
      <c r="T656" s="209"/>
      <c r="U656" s="209"/>
      <c r="V656" s="209"/>
      <c r="W656" s="209"/>
      <c r="X656" s="209"/>
      <c r="Y656" s="209"/>
      <c r="Z656" s="209"/>
    </row>
    <row r="657" spans="1:26" ht="18.75" customHeight="1">
      <c r="A657" s="210" t="str">
        <f ca="1">IFERROR(__xludf.DUMMYFUNCTION("""COMPUTED_VALUE"""),"Palmas")</f>
        <v>Palmas</v>
      </c>
      <c r="B657" s="210" t="str">
        <f ca="1">IFERROR(__xludf.DUMMYFUNCTION("""COMPUTED_VALUE"""),"Mateiros")</f>
        <v>Mateiros</v>
      </c>
      <c r="C657" s="211" t="str">
        <f ca="1">IFERROR(__xludf.DUMMYFUNCTION("""COMPUTED_VALUE"""),"ASS. A. ESC. EST.ESTEFANIO TELES DAS CHAGAS")</f>
        <v>ASS. A. ESC. EST.ESTEFANIO TELES DAS CHAGAS</v>
      </c>
      <c r="D657" s="212" t="str">
        <f ca="1">IFERROR(__xludf.DUMMYFUNCTION("""COMPUTED_VALUE"""),"01206219000104")</f>
        <v>01206219000104</v>
      </c>
      <c r="E657" s="212" t="str">
        <f ca="1">IFERROR(__xludf.DUMMYFUNCTION("""COMPUTED_VALUE"""),"001")</f>
        <v>001</v>
      </c>
      <c r="F657" s="212" t="str">
        <f ca="1">IFERROR(__xludf.DUMMYFUNCTION("""COMPUTED_VALUE"""),"3962")</f>
        <v>3962</v>
      </c>
      <c r="G657" s="213" t="str">
        <f ca="1">IFERROR(__xludf.DUMMYFUNCTION("""COMPUTED_VALUE"""),"127795")</f>
        <v>127795</v>
      </c>
      <c r="H657" s="211" t="str">
        <f ca="1">IFERROR(__xludf.DUMMYFUNCTION("""COMPUTED_VALUE"""),"ENS FUND PARCIAL")</f>
        <v>ENS FUND PARCIAL</v>
      </c>
      <c r="I657" s="214">
        <f ca="1">IFERROR(__xludf.DUMMYFUNCTION("""COMPUTED_VALUE"""),1860)</f>
        <v>1860</v>
      </c>
      <c r="J657" s="209"/>
      <c r="K657" s="209"/>
      <c r="L657" s="209"/>
      <c r="M657" s="209"/>
      <c r="N657" s="209"/>
      <c r="O657" s="209"/>
      <c r="P657" s="209"/>
      <c r="Q657" s="209"/>
      <c r="R657" s="209"/>
      <c r="S657" s="209"/>
      <c r="T657" s="209"/>
      <c r="U657" s="209"/>
      <c r="V657" s="209"/>
      <c r="W657" s="209"/>
      <c r="X657" s="209"/>
      <c r="Y657" s="209"/>
      <c r="Z657" s="209"/>
    </row>
    <row r="658" spans="1:26" ht="18.75" customHeight="1">
      <c r="A658" s="210" t="str">
        <f ca="1">IFERROR(__xludf.DUMMYFUNCTION("""COMPUTED_VALUE"""),"Palmas")</f>
        <v>Palmas</v>
      </c>
      <c r="B658" s="210" t="str">
        <f ca="1">IFERROR(__xludf.DUMMYFUNCTION("""COMPUTED_VALUE"""),"Mateiros")</f>
        <v>Mateiros</v>
      </c>
      <c r="C658" s="211" t="str">
        <f ca="1">IFERROR(__xludf.DUMMYFUNCTION("""COMPUTED_VALUE"""),"ASS. A. ESC. EST.ESTEFANIO TELES DAS CHAGAS")</f>
        <v>ASS. A. ESC. EST.ESTEFANIO TELES DAS CHAGAS</v>
      </c>
      <c r="D658" s="212" t="str">
        <f ca="1">IFERROR(__xludf.DUMMYFUNCTION("""COMPUTED_VALUE"""),"01206219000104")</f>
        <v>01206219000104</v>
      </c>
      <c r="E658" s="212" t="str">
        <f ca="1">IFERROR(__xludf.DUMMYFUNCTION("""COMPUTED_VALUE"""),"001")</f>
        <v>001</v>
      </c>
      <c r="F658" s="212" t="str">
        <f ca="1">IFERROR(__xludf.DUMMYFUNCTION("""COMPUTED_VALUE"""),"3962")</f>
        <v>3962</v>
      </c>
      <c r="G658" s="213" t="str">
        <f ca="1">IFERROR(__xludf.DUMMYFUNCTION("""COMPUTED_VALUE"""),"127795")</f>
        <v>127795</v>
      </c>
      <c r="H658" s="211" t="str">
        <f ca="1">IFERROR(__xludf.DUMMYFUNCTION("""COMPUTED_VALUE"""),"ENSINO MEDIO PARCIAL")</f>
        <v>ENSINO MEDIO PARCIAL</v>
      </c>
      <c r="I658" s="214">
        <f ca="1">IFERROR(__xludf.DUMMYFUNCTION("""COMPUTED_VALUE"""),1210)</f>
        <v>1210</v>
      </c>
      <c r="J658" s="209"/>
      <c r="K658" s="209"/>
      <c r="L658" s="209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9"/>
      <c r="Y658" s="209"/>
      <c r="Z658" s="209"/>
    </row>
    <row r="659" spans="1:26" ht="18.75" customHeight="1">
      <c r="A659" s="210" t="str">
        <f ca="1">IFERROR(__xludf.DUMMYFUNCTION("""COMPUTED_VALUE"""),"Palmas")</f>
        <v>Palmas</v>
      </c>
      <c r="B659" s="210" t="str">
        <f ca="1">IFERROR(__xludf.DUMMYFUNCTION("""COMPUTED_VALUE"""),"Mateiros")</f>
        <v>Mateiros</v>
      </c>
      <c r="C659" s="211" t="str">
        <f ca="1">IFERROR(__xludf.DUMMYFUNCTION("""COMPUTED_VALUE"""),"ASSOC. DE APOIO A ESC. EST. SILVERIO RIBEIRO MATOS")</f>
        <v>ASSOC. DE APOIO A ESC. EST. SILVERIO RIBEIRO MATOS</v>
      </c>
      <c r="D659" s="212" t="str">
        <f ca="1">IFERROR(__xludf.DUMMYFUNCTION("""COMPUTED_VALUE"""),"13439520000147")</f>
        <v>13439520000147</v>
      </c>
      <c r="E659" s="212" t="str">
        <f ca="1">IFERROR(__xludf.DUMMYFUNCTION("""COMPUTED_VALUE"""),"001")</f>
        <v>001</v>
      </c>
      <c r="F659" s="212" t="str">
        <f ca="1">IFERROR(__xludf.DUMMYFUNCTION("""COMPUTED_VALUE"""),"3962")</f>
        <v>3962</v>
      </c>
      <c r="G659" s="213" t="str">
        <f ca="1">IFERROR(__xludf.DUMMYFUNCTION("""COMPUTED_VALUE"""),"261882")</f>
        <v>261882</v>
      </c>
      <c r="H659" s="211" t="str">
        <f ca="1">IFERROR(__xludf.DUMMYFUNCTION("""COMPUTED_VALUE"""),"QUILOMBOLA")</f>
        <v>QUILOMBOLA</v>
      </c>
      <c r="I659" s="214">
        <f ca="1">IFERROR(__xludf.DUMMYFUNCTION("""COMPUTED_VALUE"""),1272.8)</f>
        <v>1272.8</v>
      </c>
      <c r="J659" s="209"/>
      <c r="K659" s="209"/>
      <c r="L659" s="209"/>
      <c r="M659" s="209"/>
      <c r="N659" s="209"/>
      <c r="O659" s="209"/>
      <c r="P659" s="209"/>
      <c r="Q659" s="209"/>
      <c r="R659" s="209"/>
      <c r="S659" s="209"/>
      <c r="T659" s="209"/>
      <c r="U659" s="209"/>
      <c r="V659" s="209"/>
      <c r="W659" s="209"/>
      <c r="X659" s="209"/>
      <c r="Y659" s="209"/>
      <c r="Z659" s="209"/>
    </row>
    <row r="660" spans="1:26" ht="18.75" customHeight="1">
      <c r="A660" s="210" t="str">
        <f ca="1">IFERROR(__xludf.DUMMYFUNCTION("""COMPUTED_VALUE"""),"Palmas")</f>
        <v>Palmas</v>
      </c>
      <c r="B660" s="210" t="str">
        <f ca="1">IFERROR(__xludf.DUMMYFUNCTION("""COMPUTED_VALUE"""),"Novo Acordo")</f>
        <v>Novo Acordo</v>
      </c>
      <c r="C660" s="211" t="str">
        <f ca="1">IFERROR(__xludf.DUMMYFUNCTION("""COMPUTED_VALUE"""),"ASS. A. AO COL. EST. D. PEDRO I/N.ACORDO")</f>
        <v>ASS. A. AO COL. EST. D. PEDRO I/N.ACORDO</v>
      </c>
      <c r="D660" s="212" t="str">
        <f ca="1">IFERROR(__xludf.DUMMYFUNCTION("""COMPUTED_VALUE"""),"01133690000110")</f>
        <v>01133690000110</v>
      </c>
      <c r="E660" s="212" t="str">
        <f ca="1">IFERROR(__xludf.DUMMYFUNCTION("""COMPUTED_VALUE"""),"001")</f>
        <v>001</v>
      </c>
      <c r="F660" s="212" t="str">
        <f ca="1">IFERROR(__xludf.DUMMYFUNCTION("""COMPUTED_VALUE"""),"1505")</f>
        <v>1505</v>
      </c>
      <c r="G660" s="213" t="str">
        <f ca="1">IFERROR(__xludf.DUMMYFUNCTION("""COMPUTED_VALUE"""),"157856")</f>
        <v>157856</v>
      </c>
      <c r="H660" s="211" t="str">
        <f ca="1">IFERROR(__xludf.DUMMYFUNCTION("""COMPUTED_VALUE"""),"ENS FUND PARCIAL")</f>
        <v>ENS FUND PARCIAL</v>
      </c>
      <c r="I660" s="214">
        <f ca="1">IFERROR(__xludf.DUMMYFUNCTION("""COMPUTED_VALUE"""),4740)</f>
        <v>4740</v>
      </c>
      <c r="J660" s="209"/>
      <c r="K660" s="209"/>
      <c r="L660" s="209"/>
      <c r="M660" s="209"/>
      <c r="N660" s="209"/>
      <c r="O660" s="209"/>
      <c r="P660" s="209"/>
      <c r="Q660" s="209"/>
      <c r="R660" s="209"/>
      <c r="S660" s="209"/>
      <c r="T660" s="209"/>
      <c r="U660" s="209"/>
      <c r="V660" s="209"/>
      <c r="W660" s="209"/>
      <c r="X660" s="209"/>
      <c r="Y660" s="209"/>
      <c r="Z660" s="209"/>
    </row>
    <row r="661" spans="1:26" ht="18.75" customHeight="1">
      <c r="A661" s="210" t="str">
        <f ca="1">IFERROR(__xludf.DUMMYFUNCTION("""COMPUTED_VALUE"""),"Palmas")</f>
        <v>Palmas</v>
      </c>
      <c r="B661" s="210" t="str">
        <f ca="1">IFERROR(__xludf.DUMMYFUNCTION("""COMPUTED_VALUE"""),"Novo Acordo")</f>
        <v>Novo Acordo</v>
      </c>
      <c r="C661" s="211" t="str">
        <f ca="1">IFERROR(__xludf.DUMMYFUNCTION("""COMPUTED_VALUE"""),"ASS. A. AO COL. EST. D. PEDRO I/N.ACORDO")</f>
        <v>ASS. A. AO COL. EST. D. PEDRO I/N.ACORDO</v>
      </c>
      <c r="D661" s="212" t="str">
        <f ca="1">IFERROR(__xludf.DUMMYFUNCTION("""COMPUTED_VALUE"""),"01133690000110")</f>
        <v>01133690000110</v>
      </c>
      <c r="E661" s="212" t="str">
        <f ca="1">IFERROR(__xludf.DUMMYFUNCTION("""COMPUTED_VALUE"""),"001")</f>
        <v>001</v>
      </c>
      <c r="F661" s="212" t="str">
        <f ca="1">IFERROR(__xludf.DUMMYFUNCTION("""COMPUTED_VALUE"""),"1505")</f>
        <v>1505</v>
      </c>
      <c r="G661" s="213" t="str">
        <f ca="1">IFERROR(__xludf.DUMMYFUNCTION("""COMPUTED_VALUE"""),"157856")</f>
        <v>157856</v>
      </c>
      <c r="H661" s="211" t="str">
        <f ca="1">IFERROR(__xludf.DUMMYFUNCTION("""COMPUTED_VALUE"""),"AEE")</f>
        <v>AEE</v>
      </c>
      <c r="I661" s="214">
        <f ca="1">IFERROR(__xludf.DUMMYFUNCTION("""COMPUTED_VALUE"""),1060.8)</f>
        <v>1060.8</v>
      </c>
      <c r="J661" s="209"/>
      <c r="K661" s="209"/>
      <c r="L661" s="209"/>
      <c r="M661" s="209"/>
      <c r="N661" s="209"/>
      <c r="O661" s="209"/>
      <c r="P661" s="209"/>
      <c r="Q661" s="209"/>
      <c r="R661" s="209"/>
      <c r="S661" s="209"/>
      <c r="T661" s="209"/>
      <c r="U661" s="209"/>
      <c r="V661" s="209"/>
      <c r="W661" s="209"/>
      <c r="X661" s="209"/>
      <c r="Y661" s="209"/>
      <c r="Z661" s="209"/>
    </row>
    <row r="662" spans="1:26" ht="18.75" customHeight="1">
      <c r="A662" s="210" t="str">
        <f ca="1">IFERROR(__xludf.DUMMYFUNCTION("""COMPUTED_VALUE"""),"Palmas")</f>
        <v>Palmas</v>
      </c>
      <c r="B662" s="210" t="str">
        <f ca="1">IFERROR(__xludf.DUMMYFUNCTION("""COMPUTED_VALUE"""),"Novo Acordo")</f>
        <v>Novo Acordo</v>
      </c>
      <c r="C662" s="211" t="str">
        <f ca="1">IFERROR(__xludf.DUMMYFUNCTION("""COMPUTED_VALUE"""),"ASS. A. AO COL. EST. D. PEDRO I/N.ACORDO")</f>
        <v>ASS. A. AO COL. EST. D. PEDRO I/N.ACORDO</v>
      </c>
      <c r="D662" s="212" t="str">
        <f ca="1">IFERROR(__xludf.DUMMYFUNCTION("""COMPUTED_VALUE"""),"01133690000110")</f>
        <v>01133690000110</v>
      </c>
      <c r="E662" s="212" t="str">
        <f ca="1">IFERROR(__xludf.DUMMYFUNCTION("""COMPUTED_VALUE"""),"001")</f>
        <v>001</v>
      </c>
      <c r="F662" s="212" t="str">
        <f ca="1">IFERROR(__xludf.DUMMYFUNCTION("""COMPUTED_VALUE"""),"1505")</f>
        <v>1505</v>
      </c>
      <c r="G662" s="213" t="str">
        <f ca="1">IFERROR(__xludf.DUMMYFUNCTION("""COMPUTED_VALUE"""),"157856")</f>
        <v>157856</v>
      </c>
      <c r="H662" s="211" t="str">
        <f ca="1">IFERROR(__xludf.DUMMYFUNCTION("""COMPUTED_VALUE"""),"ENSINO MEDIO PARCIAL")</f>
        <v>ENSINO MEDIO PARCIAL</v>
      </c>
      <c r="I662" s="214">
        <f ca="1">IFERROR(__xludf.DUMMYFUNCTION("""COMPUTED_VALUE"""),3980)</f>
        <v>3980</v>
      </c>
      <c r="J662" s="209"/>
      <c r="K662" s="209"/>
      <c r="L662" s="209"/>
      <c r="M662" s="209"/>
      <c r="N662" s="209"/>
      <c r="O662" s="209"/>
      <c r="P662" s="209"/>
      <c r="Q662" s="209"/>
      <c r="R662" s="209"/>
      <c r="S662" s="209"/>
      <c r="T662" s="209"/>
      <c r="U662" s="209"/>
      <c r="V662" s="209"/>
      <c r="W662" s="209"/>
      <c r="X662" s="209"/>
      <c r="Y662" s="209"/>
      <c r="Z662" s="209"/>
    </row>
    <row r="663" spans="1:26" ht="18.75" customHeight="1">
      <c r="A663" s="210" t="str">
        <f ca="1">IFERROR(__xludf.DUMMYFUNCTION("""COMPUTED_VALUE"""),"Palmas")</f>
        <v>Palmas</v>
      </c>
      <c r="B663" s="210" t="str">
        <f ca="1">IFERROR(__xludf.DUMMYFUNCTION("""COMPUTED_VALUE"""),"Novo Acordo")</f>
        <v>Novo Acordo</v>
      </c>
      <c r="C663" s="211" t="str">
        <f ca="1">IFERROR(__xludf.DUMMYFUNCTION("""COMPUTED_VALUE"""),"A.A. DA ESC. EST.PEDRO MACEDO / N.ACORDO")</f>
        <v>A.A. DA ESC. EST.PEDRO MACEDO / N.ACORDO</v>
      </c>
      <c r="D663" s="212" t="str">
        <f ca="1">IFERROR(__xludf.DUMMYFUNCTION("""COMPUTED_VALUE"""),"01136004000164")</f>
        <v>01136004000164</v>
      </c>
      <c r="E663" s="212" t="str">
        <f ca="1">IFERROR(__xludf.DUMMYFUNCTION("""COMPUTED_VALUE"""),"001")</f>
        <v>001</v>
      </c>
      <c r="F663" s="212" t="str">
        <f ca="1">IFERROR(__xludf.DUMMYFUNCTION("""COMPUTED_VALUE"""),"1505")</f>
        <v>1505</v>
      </c>
      <c r="G663" s="213" t="str">
        <f ca="1">IFERROR(__xludf.DUMMYFUNCTION("""COMPUTED_VALUE"""),"171166")</f>
        <v>171166</v>
      </c>
      <c r="H663" s="211" t="str">
        <f ca="1">IFERROR(__xludf.DUMMYFUNCTION("""COMPUTED_VALUE"""),"ENS FUND PARCIAL")</f>
        <v>ENS FUND PARCIAL</v>
      </c>
      <c r="I663" s="214">
        <f ca="1">IFERROR(__xludf.DUMMYFUNCTION("""COMPUTED_VALUE"""),790)</f>
        <v>790</v>
      </c>
      <c r="J663" s="209"/>
      <c r="K663" s="209"/>
      <c r="L663" s="209"/>
      <c r="M663" s="209"/>
      <c r="N663" s="209"/>
      <c r="O663" s="209"/>
      <c r="P663" s="209"/>
      <c r="Q663" s="209"/>
      <c r="R663" s="209"/>
      <c r="S663" s="209"/>
      <c r="T663" s="209"/>
      <c r="U663" s="209"/>
      <c r="V663" s="209"/>
      <c r="W663" s="209"/>
      <c r="X663" s="209"/>
      <c r="Y663" s="209"/>
      <c r="Z663" s="209"/>
    </row>
    <row r="664" spans="1:26" ht="18.75" customHeight="1">
      <c r="A664" s="210" t="str">
        <f ca="1">IFERROR(__xludf.DUMMYFUNCTION("""COMPUTED_VALUE"""),"Palmas")</f>
        <v>Palmas</v>
      </c>
      <c r="B664" s="210" t="str">
        <f ca="1">IFERROR(__xludf.DUMMYFUNCTION("""COMPUTED_VALUE"""),"Novo Acordo")</f>
        <v>Novo Acordo</v>
      </c>
      <c r="C664" s="211" t="str">
        <f ca="1">IFERROR(__xludf.DUMMYFUNCTION("""COMPUTED_VALUE"""),"A.A. DA ESC. EST.PEDRO MACEDO / N.ACORDO")</f>
        <v>A.A. DA ESC. EST.PEDRO MACEDO / N.ACORDO</v>
      </c>
      <c r="D664" s="212" t="str">
        <f ca="1">IFERROR(__xludf.DUMMYFUNCTION("""COMPUTED_VALUE"""),"01136004000164")</f>
        <v>01136004000164</v>
      </c>
      <c r="E664" s="212" t="str">
        <f ca="1">IFERROR(__xludf.DUMMYFUNCTION("""COMPUTED_VALUE"""),"001")</f>
        <v>001</v>
      </c>
      <c r="F664" s="212" t="str">
        <f ca="1">IFERROR(__xludf.DUMMYFUNCTION("""COMPUTED_VALUE"""),"1505")</f>
        <v>1505</v>
      </c>
      <c r="G664" s="213" t="str">
        <f ca="1">IFERROR(__xludf.DUMMYFUNCTION("""COMPUTED_VALUE"""),"171166")</f>
        <v>171166</v>
      </c>
      <c r="H664" s="211" t="str">
        <f ca="1">IFERROR(__xludf.DUMMYFUNCTION("""COMPUTED_VALUE"""),"AEE")</f>
        <v>AEE</v>
      </c>
      <c r="I664" s="214">
        <f ca="1">IFERROR(__xludf.DUMMYFUNCTION("""COMPUTED_VALUE"""),217.6)</f>
        <v>217.6</v>
      </c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</row>
    <row r="665" spans="1:26" ht="18.75" customHeight="1">
      <c r="A665" s="210" t="str">
        <f ca="1">IFERROR(__xludf.DUMMYFUNCTION("""COMPUTED_VALUE"""),"Palmas")</f>
        <v>Palmas</v>
      </c>
      <c r="B665" s="210" t="str">
        <f ca="1">IFERROR(__xludf.DUMMYFUNCTION("""COMPUTED_VALUE"""),"Palmas")</f>
        <v>Palmas</v>
      </c>
      <c r="C665" s="211" t="str">
        <f ca="1">IFERROR(__xludf.DUMMYFUNCTION("""COMPUTED_VALUE"""),"ASSOC. COMUN.ESCOLAR DA ESC. EST. TIRADENTES")</f>
        <v>ASSOC. COMUN.ESCOLAR DA ESC. EST. TIRADENTES</v>
      </c>
      <c r="D665" s="212" t="str">
        <f ca="1">IFERROR(__xludf.DUMMYFUNCTION("""COMPUTED_VALUE"""),"00862122000197")</f>
        <v>00862122000197</v>
      </c>
      <c r="E665" s="212" t="str">
        <f ca="1">IFERROR(__xludf.DUMMYFUNCTION("""COMPUTED_VALUE"""),"001")</f>
        <v>001</v>
      </c>
      <c r="F665" s="212" t="str">
        <f ca="1">IFERROR(__xludf.DUMMYFUNCTION("""COMPUTED_VALUE"""),"1505")</f>
        <v>1505</v>
      </c>
      <c r="G665" s="213" t="str">
        <f ca="1">IFERROR(__xludf.DUMMYFUNCTION("""COMPUTED_VALUE"""),"250562")</f>
        <v>250562</v>
      </c>
      <c r="H665" s="211" t="str">
        <f ca="1">IFERROR(__xludf.DUMMYFUNCTION("""COMPUTED_VALUE"""),"ENSINO MEDIO PARCIAL")</f>
        <v>ENSINO MEDIO PARCIAL</v>
      </c>
      <c r="I665" s="214">
        <f ca="1">IFERROR(__xludf.DUMMYFUNCTION("""COMPUTED_VALUE"""),12770)</f>
        <v>12770</v>
      </c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</row>
    <row r="666" spans="1:26" ht="18.75" customHeight="1">
      <c r="A666" s="210" t="str">
        <f ca="1">IFERROR(__xludf.DUMMYFUNCTION("""COMPUTED_VALUE"""),"Palmas")</f>
        <v>Palmas</v>
      </c>
      <c r="B666" s="210" t="str">
        <f ca="1">IFERROR(__xludf.DUMMYFUNCTION("""COMPUTED_VALUE"""),"Palmas")</f>
        <v>Palmas</v>
      </c>
      <c r="C666" s="211" t="str">
        <f ca="1">IFERROR(__xludf.DUMMYFUNCTION("""COMPUTED_VALUE"""),"A.P.E M. DA ESC. EST. MADRE BELEM")</f>
        <v>A.P.E M. DA ESC. EST. MADRE BELEM</v>
      </c>
      <c r="D666" s="212" t="str">
        <f ca="1">IFERROR(__xludf.DUMMYFUNCTION("""COMPUTED_VALUE"""),"01034134000196")</f>
        <v>01034134000196</v>
      </c>
      <c r="E666" s="212" t="str">
        <f ca="1">IFERROR(__xludf.DUMMYFUNCTION("""COMPUTED_VALUE"""),"001")</f>
        <v>001</v>
      </c>
      <c r="F666" s="212" t="str">
        <f ca="1">IFERROR(__xludf.DUMMYFUNCTION("""COMPUTED_VALUE"""),"1886")</f>
        <v>1886</v>
      </c>
      <c r="G666" s="213" t="str">
        <f ca="1">IFERROR(__xludf.DUMMYFUNCTION("""COMPUTED_VALUE"""),"519855")</f>
        <v>519855</v>
      </c>
      <c r="H666" s="211" t="str">
        <f ca="1">IFERROR(__xludf.DUMMYFUNCTION("""COMPUTED_VALUE"""),"AEE")</f>
        <v>AEE</v>
      </c>
      <c r="I666" s="214">
        <f ca="1">IFERROR(__xludf.DUMMYFUNCTION("""COMPUTED_VALUE"""),163.2)</f>
        <v>163.19999999999999</v>
      </c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</row>
    <row r="667" spans="1:26" ht="18.75" customHeight="1">
      <c r="A667" s="210" t="str">
        <f ca="1">IFERROR(__xludf.DUMMYFUNCTION("""COMPUTED_VALUE"""),"Palmas")</f>
        <v>Palmas</v>
      </c>
      <c r="B667" s="210" t="str">
        <f ca="1">IFERROR(__xludf.DUMMYFUNCTION("""COMPUTED_VALUE"""),"Palmas")</f>
        <v>Palmas</v>
      </c>
      <c r="C667" s="211" t="str">
        <f ca="1">IFERROR(__xludf.DUMMYFUNCTION("""COMPUTED_VALUE"""),"A.P.E M. DA ESC. EST. MADRE BELEM")</f>
        <v>A.P.E M. DA ESC. EST. MADRE BELEM</v>
      </c>
      <c r="D667" s="212" t="str">
        <f ca="1">IFERROR(__xludf.DUMMYFUNCTION("""COMPUTED_VALUE"""),"01034134000196")</f>
        <v>01034134000196</v>
      </c>
      <c r="E667" s="212" t="str">
        <f ca="1">IFERROR(__xludf.DUMMYFUNCTION("""COMPUTED_VALUE"""),"001")</f>
        <v>001</v>
      </c>
      <c r="F667" s="212" t="str">
        <f ca="1">IFERROR(__xludf.DUMMYFUNCTION("""COMPUTED_VALUE"""),"1886")</f>
        <v>1886</v>
      </c>
      <c r="G667" s="213" t="str">
        <f ca="1">IFERROR(__xludf.DUMMYFUNCTION("""COMPUTED_VALUE"""),"519855")</f>
        <v>519855</v>
      </c>
      <c r="H667" s="211" t="str">
        <f ca="1">IFERROR(__xludf.DUMMYFUNCTION("""COMPUTED_VALUE"""),"JOVEM AÇÃO")</f>
        <v>JOVEM AÇÃO</v>
      </c>
      <c r="I667" s="214">
        <f ca="1">IFERROR(__xludf.DUMMYFUNCTION("""COMPUTED_VALUE"""),38297.6)</f>
        <v>38297.599999999999</v>
      </c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</row>
    <row r="668" spans="1:26" ht="18.75" customHeight="1">
      <c r="A668" s="210" t="str">
        <f ca="1">IFERROR(__xludf.DUMMYFUNCTION("""COMPUTED_VALUE"""),"Palmas")</f>
        <v>Palmas</v>
      </c>
      <c r="B668" s="210" t="str">
        <f ca="1">IFERROR(__xludf.DUMMYFUNCTION("""COMPUTED_VALUE"""),"Palmas")</f>
        <v>Palmas</v>
      </c>
      <c r="C668" s="211" t="str">
        <f ca="1">IFERROR(__xludf.DUMMYFUNCTION("""COMPUTED_VALUE"""),"A.COM. DA ESC. EST. NOVO HORIZONTE")</f>
        <v>A.COM. DA ESC. EST. NOVO HORIZONTE</v>
      </c>
      <c r="D668" s="212" t="str">
        <f ca="1">IFERROR(__xludf.DUMMYFUNCTION("""COMPUTED_VALUE"""),"01221539000133")</f>
        <v>01221539000133</v>
      </c>
      <c r="E668" s="212" t="str">
        <f ca="1">IFERROR(__xludf.DUMMYFUNCTION("""COMPUTED_VALUE"""),"001")</f>
        <v>001</v>
      </c>
      <c r="F668" s="212" t="str">
        <f ca="1">IFERROR(__xludf.DUMMYFUNCTION("""COMPUTED_VALUE"""),"1505")</f>
        <v>1505</v>
      </c>
      <c r="G668" s="213" t="str">
        <f ca="1">IFERROR(__xludf.DUMMYFUNCTION("""COMPUTED_VALUE"""),"351687")</f>
        <v>351687</v>
      </c>
      <c r="H668" s="211" t="str">
        <f ca="1">IFERROR(__xludf.DUMMYFUNCTION("""COMPUTED_VALUE"""),"ENS FUND PARCIAL")</f>
        <v>ENS FUND PARCIAL</v>
      </c>
      <c r="I668" s="214">
        <f ca="1">IFERROR(__xludf.DUMMYFUNCTION("""COMPUTED_VALUE"""),6360)</f>
        <v>6360</v>
      </c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</row>
    <row r="669" spans="1:26" ht="18.75" customHeight="1">
      <c r="A669" s="210" t="str">
        <f ca="1">IFERROR(__xludf.DUMMYFUNCTION("""COMPUTED_VALUE"""),"Palmas")</f>
        <v>Palmas</v>
      </c>
      <c r="B669" s="210" t="str">
        <f ca="1">IFERROR(__xludf.DUMMYFUNCTION("""COMPUTED_VALUE"""),"Palmas")</f>
        <v>Palmas</v>
      </c>
      <c r="C669" s="211" t="str">
        <f ca="1">IFERROR(__xludf.DUMMYFUNCTION("""COMPUTED_VALUE"""),"A.COM. DA ESC. EST. NOVO HORIZONTE")</f>
        <v>A.COM. DA ESC. EST. NOVO HORIZONTE</v>
      </c>
      <c r="D669" s="212" t="str">
        <f ca="1">IFERROR(__xludf.DUMMYFUNCTION("""COMPUTED_VALUE"""),"01221539000133")</f>
        <v>01221539000133</v>
      </c>
      <c r="E669" s="212" t="str">
        <f ca="1">IFERROR(__xludf.DUMMYFUNCTION("""COMPUTED_VALUE"""),"001")</f>
        <v>001</v>
      </c>
      <c r="F669" s="212" t="str">
        <f ca="1">IFERROR(__xludf.DUMMYFUNCTION("""COMPUTED_VALUE"""),"1505")</f>
        <v>1505</v>
      </c>
      <c r="G669" s="213" t="str">
        <f ca="1">IFERROR(__xludf.DUMMYFUNCTION("""COMPUTED_VALUE"""),"351687")</f>
        <v>351687</v>
      </c>
      <c r="H669" s="211" t="str">
        <f ca="1">IFERROR(__xludf.DUMMYFUNCTION("""COMPUTED_VALUE"""),"AEE")</f>
        <v>AEE</v>
      </c>
      <c r="I669" s="214">
        <f ca="1">IFERROR(__xludf.DUMMYFUNCTION("""COMPUTED_VALUE"""),870.4)</f>
        <v>870.4</v>
      </c>
      <c r="J669" s="209"/>
      <c r="K669" s="209"/>
      <c r="L669" s="209"/>
      <c r="M669" s="209"/>
      <c r="N669" s="209"/>
      <c r="O669" s="209"/>
      <c r="P669" s="209"/>
      <c r="Q669" s="209"/>
      <c r="R669" s="209"/>
      <c r="S669" s="209"/>
      <c r="T669" s="209"/>
      <c r="U669" s="209"/>
      <c r="V669" s="209"/>
      <c r="W669" s="209"/>
      <c r="X669" s="209"/>
      <c r="Y669" s="209"/>
      <c r="Z669" s="209"/>
    </row>
    <row r="670" spans="1:26" ht="18.75" customHeight="1">
      <c r="A670" s="210" t="str">
        <f ca="1">IFERROR(__xludf.DUMMYFUNCTION("""COMPUTED_VALUE"""),"Palmas")</f>
        <v>Palmas</v>
      </c>
      <c r="B670" s="210" t="str">
        <f ca="1">IFERROR(__xludf.DUMMYFUNCTION("""COMPUTED_VALUE"""),"Palmas")</f>
        <v>Palmas</v>
      </c>
      <c r="C670" s="211" t="str">
        <f ca="1">IFERROR(__xludf.DUMMYFUNCTION("""COMPUTED_VALUE"""),"A.COM. DA ESC. EST. NOVO HORIZONTE")</f>
        <v>A.COM. DA ESC. EST. NOVO HORIZONTE</v>
      </c>
      <c r="D670" s="212" t="str">
        <f ca="1">IFERROR(__xludf.DUMMYFUNCTION("""COMPUTED_VALUE"""),"01221539000133")</f>
        <v>01221539000133</v>
      </c>
      <c r="E670" s="212" t="str">
        <f ca="1">IFERROR(__xludf.DUMMYFUNCTION("""COMPUTED_VALUE"""),"001")</f>
        <v>001</v>
      </c>
      <c r="F670" s="212" t="str">
        <f ca="1">IFERROR(__xludf.DUMMYFUNCTION("""COMPUTED_VALUE"""),"1505")</f>
        <v>1505</v>
      </c>
      <c r="G670" s="213" t="str">
        <f ca="1">IFERROR(__xludf.DUMMYFUNCTION("""COMPUTED_VALUE"""),"351687")</f>
        <v>351687</v>
      </c>
      <c r="H670" s="211" t="str">
        <f ca="1">IFERROR(__xludf.DUMMYFUNCTION("""COMPUTED_VALUE"""),"ENSINO MEDIO PARCIAL")</f>
        <v>ENSINO MEDIO PARCIAL</v>
      </c>
      <c r="I670" s="214">
        <f ca="1">IFERROR(__xludf.DUMMYFUNCTION("""COMPUTED_VALUE"""),7840)</f>
        <v>7840</v>
      </c>
      <c r="J670" s="209"/>
      <c r="K670" s="209"/>
      <c r="L670" s="209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9"/>
      <c r="Y670" s="209"/>
      <c r="Z670" s="209"/>
    </row>
    <row r="671" spans="1:26" ht="18.75" customHeight="1">
      <c r="A671" s="210" t="str">
        <f ca="1">IFERROR(__xludf.DUMMYFUNCTION("""COMPUTED_VALUE"""),"Palmas")</f>
        <v>Palmas</v>
      </c>
      <c r="B671" s="210" t="str">
        <f ca="1">IFERROR(__xludf.DUMMYFUNCTION("""COMPUTED_VALUE"""),"Palmas")</f>
        <v>Palmas</v>
      </c>
      <c r="C671" s="211" t="str">
        <f ca="1">IFERROR(__xludf.DUMMYFUNCTION("""COMPUTED_VALUE"""),"A.COM. DA ESC. EST. NOVO HORIZONTE")</f>
        <v>A.COM. DA ESC. EST. NOVO HORIZONTE</v>
      </c>
      <c r="D671" s="212" t="str">
        <f ca="1">IFERROR(__xludf.DUMMYFUNCTION("""COMPUTED_VALUE"""),"01221539000133")</f>
        <v>01221539000133</v>
      </c>
      <c r="E671" s="212" t="str">
        <f ca="1">IFERROR(__xludf.DUMMYFUNCTION("""COMPUTED_VALUE"""),"001")</f>
        <v>001</v>
      </c>
      <c r="F671" s="212" t="str">
        <f ca="1">IFERROR(__xludf.DUMMYFUNCTION("""COMPUTED_VALUE"""),"1505")</f>
        <v>1505</v>
      </c>
      <c r="G671" s="213" t="str">
        <f ca="1">IFERROR(__xludf.DUMMYFUNCTION("""COMPUTED_VALUE"""),"351687")</f>
        <v>351687</v>
      </c>
      <c r="H671" s="211" t="str">
        <f ca="1">IFERROR(__xludf.DUMMYFUNCTION("""COMPUTED_VALUE"""),"EJA")</f>
        <v>EJA</v>
      </c>
      <c r="I671" s="214">
        <f ca="1">IFERROR(__xludf.DUMMYFUNCTION("""COMPUTED_VALUE"""),295.2)</f>
        <v>295.2</v>
      </c>
      <c r="J671" s="209"/>
      <c r="K671" s="209"/>
      <c r="L671" s="209"/>
      <c r="M671" s="209"/>
      <c r="N671" s="209"/>
      <c r="O671" s="209"/>
      <c r="P671" s="209"/>
      <c r="Q671" s="209"/>
      <c r="R671" s="209"/>
      <c r="S671" s="209"/>
      <c r="T671" s="209"/>
      <c r="U671" s="209"/>
      <c r="V671" s="209"/>
      <c r="W671" s="209"/>
      <c r="X671" s="209"/>
      <c r="Y671" s="209"/>
      <c r="Z671" s="209"/>
    </row>
    <row r="672" spans="1:26" ht="18.75" customHeight="1">
      <c r="A672" s="210" t="str">
        <f ca="1">IFERROR(__xludf.DUMMYFUNCTION("""COMPUTED_VALUE"""),"Palmas")</f>
        <v>Palmas</v>
      </c>
      <c r="B672" s="210" t="str">
        <f ca="1">IFERROR(__xludf.DUMMYFUNCTION("""COMPUTED_VALUE"""),"Palmas")</f>
        <v>Palmas</v>
      </c>
      <c r="C672" s="211" t="str">
        <f ca="1">IFERROR(__xludf.DUMMYFUNCTION("""COMPUTED_VALUE"""),"A. COM. E-E. E. DOM ALANO MARIE DU NODAY")</f>
        <v>A. COM. E-E. E. DOM ALANO MARIE DU NODAY</v>
      </c>
      <c r="D672" s="212" t="str">
        <f ca="1">IFERROR(__xludf.DUMMYFUNCTION("""COMPUTED_VALUE"""),"01343125000187")</f>
        <v>01343125000187</v>
      </c>
      <c r="E672" s="212" t="str">
        <f ca="1">IFERROR(__xludf.DUMMYFUNCTION("""COMPUTED_VALUE"""),"001")</f>
        <v>001</v>
      </c>
      <c r="F672" s="212" t="str">
        <f ca="1">IFERROR(__xludf.DUMMYFUNCTION("""COMPUTED_VALUE"""),"1505")</f>
        <v>1505</v>
      </c>
      <c r="G672" s="213" t="str">
        <f ca="1">IFERROR(__xludf.DUMMYFUNCTION("""COMPUTED_VALUE"""),"265810")</f>
        <v>265810</v>
      </c>
      <c r="H672" s="211" t="str">
        <f ca="1">IFERROR(__xludf.DUMMYFUNCTION("""COMPUTED_VALUE"""),"ENS FUND PARCIAL")</f>
        <v>ENS FUND PARCIAL</v>
      </c>
      <c r="I672" s="214">
        <f ca="1">IFERROR(__xludf.DUMMYFUNCTION("""COMPUTED_VALUE"""),1820)</f>
        <v>1820</v>
      </c>
      <c r="J672" s="209"/>
      <c r="K672" s="209"/>
      <c r="L672" s="209"/>
      <c r="M672" s="209"/>
      <c r="N672" s="209"/>
      <c r="O672" s="209"/>
      <c r="P672" s="209"/>
      <c r="Q672" s="209"/>
      <c r="R672" s="209"/>
      <c r="S672" s="209"/>
      <c r="T672" s="209"/>
      <c r="U672" s="209"/>
      <c r="V672" s="209"/>
      <c r="W672" s="209"/>
      <c r="X672" s="209"/>
      <c r="Y672" s="209"/>
      <c r="Z672" s="209"/>
    </row>
    <row r="673" spans="1:26" ht="18.75" customHeight="1">
      <c r="A673" s="210" t="str">
        <f ca="1">IFERROR(__xludf.DUMMYFUNCTION("""COMPUTED_VALUE"""),"Palmas")</f>
        <v>Palmas</v>
      </c>
      <c r="B673" s="210" t="str">
        <f ca="1">IFERROR(__xludf.DUMMYFUNCTION("""COMPUTED_VALUE"""),"Palmas")</f>
        <v>Palmas</v>
      </c>
      <c r="C673" s="211" t="str">
        <f ca="1">IFERROR(__xludf.DUMMYFUNCTION("""COMPUTED_VALUE"""),"A. COM. E-E. E. DOM ALANO MARIE DU NODAY")</f>
        <v>A. COM. E-E. E. DOM ALANO MARIE DU NODAY</v>
      </c>
      <c r="D673" s="212" t="str">
        <f ca="1">IFERROR(__xludf.DUMMYFUNCTION("""COMPUTED_VALUE"""),"01343125000187")</f>
        <v>01343125000187</v>
      </c>
      <c r="E673" s="212" t="str">
        <f ca="1">IFERROR(__xludf.DUMMYFUNCTION("""COMPUTED_VALUE"""),"001")</f>
        <v>001</v>
      </c>
      <c r="F673" s="212" t="str">
        <f ca="1">IFERROR(__xludf.DUMMYFUNCTION("""COMPUTED_VALUE"""),"1505")</f>
        <v>1505</v>
      </c>
      <c r="G673" s="213" t="str">
        <f ca="1">IFERROR(__xludf.DUMMYFUNCTION("""COMPUTED_VALUE"""),"265810")</f>
        <v>265810</v>
      </c>
      <c r="H673" s="211" t="str">
        <f ca="1">IFERROR(__xludf.DUMMYFUNCTION("""COMPUTED_VALUE"""),"ENSINO MEDIO PARCIAL")</f>
        <v>ENSINO MEDIO PARCIAL</v>
      </c>
      <c r="I673" s="214">
        <f ca="1">IFERROR(__xludf.DUMMYFUNCTION("""COMPUTED_VALUE"""),17320)</f>
        <v>17320</v>
      </c>
      <c r="J673" s="209"/>
      <c r="K673" s="209"/>
      <c r="L673" s="209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9"/>
      <c r="Y673" s="209"/>
      <c r="Z673" s="209"/>
    </row>
    <row r="674" spans="1:26" ht="18.75" customHeight="1">
      <c r="A674" s="210" t="str">
        <f ca="1">IFERROR(__xludf.DUMMYFUNCTION("""COMPUTED_VALUE"""),"Palmas")</f>
        <v>Palmas</v>
      </c>
      <c r="B674" s="210" t="str">
        <f ca="1">IFERROR(__xludf.DUMMYFUNCTION("""COMPUTED_VALUE"""),"Palmas")</f>
        <v>Palmas</v>
      </c>
      <c r="C674" s="211" t="str">
        <f ca="1">IFERROR(__xludf.DUMMYFUNCTION("""COMPUTED_VALUE"""),"A. COM. E-E. E. DOM ALANO MARIE DU NODAY")</f>
        <v>A. COM. E-E. E. DOM ALANO MARIE DU NODAY</v>
      </c>
      <c r="D674" s="212" t="str">
        <f ca="1">IFERROR(__xludf.DUMMYFUNCTION("""COMPUTED_VALUE"""),"01343125000187")</f>
        <v>01343125000187</v>
      </c>
      <c r="E674" s="212" t="str">
        <f ca="1">IFERROR(__xludf.DUMMYFUNCTION("""COMPUTED_VALUE"""),"001")</f>
        <v>001</v>
      </c>
      <c r="F674" s="212" t="str">
        <f ca="1">IFERROR(__xludf.DUMMYFUNCTION("""COMPUTED_VALUE"""),"1505")</f>
        <v>1505</v>
      </c>
      <c r="G674" s="213" t="str">
        <f ca="1">IFERROR(__xludf.DUMMYFUNCTION("""COMPUTED_VALUE"""),"265810")</f>
        <v>265810</v>
      </c>
      <c r="H674" s="211" t="str">
        <f ca="1">IFERROR(__xludf.DUMMYFUNCTION("""COMPUTED_VALUE"""),"EJA")</f>
        <v>EJA</v>
      </c>
      <c r="I674" s="214">
        <f ca="1">IFERROR(__xludf.DUMMYFUNCTION("""COMPUTED_VALUE"""),1131.6)</f>
        <v>1131.5999999999999</v>
      </c>
      <c r="J674" s="209"/>
      <c r="K674" s="209"/>
      <c r="L674" s="209"/>
      <c r="M674" s="209"/>
      <c r="N674" s="209"/>
      <c r="O674" s="209"/>
      <c r="P674" s="209"/>
      <c r="Q674" s="209"/>
      <c r="R674" s="209"/>
      <c r="S674" s="209"/>
      <c r="T674" s="209"/>
      <c r="U674" s="209"/>
      <c r="V674" s="209"/>
      <c r="W674" s="209"/>
      <c r="X674" s="209"/>
      <c r="Y674" s="209"/>
      <c r="Z674" s="209"/>
    </row>
    <row r="675" spans="1:26" ht="18.75" customHeight="1">
      <c r="A675" s="210" t="str">
        <f ca="1">IFERROR(__xludf.DUMMYFUNCTION("""COMPUTED_VALUE"""),"Palmas")</f>
        <v>Palmas</v>
      </c>
      <c r="B675" s="210" t="str">
        <f ca="1">IFERROR(__xludf.DUMMYFUNCTION("""COMPUTED_VALUE"""),"Palmas")</f>
        <v>Palmas</v>
      </c>
      <c r="C675" s="211" t="str">
        <f ca="1">IFERROR(__xludf.DUMMYFUNCTION("""COMPUTED_VALUE"""),"ACE COL. EST. DUQUE DE CAXIAS")</f>
        <v>ACE COL. EST. DUQUE DE CAXIAS</v>
      </c>
      <c r="D675" s="212" t="str">
        <f ca="1">IFERROR(__xludf.DUMMYFUNCTION("""COMPUTED_VALUE"""),"01588669000109")</f>
        <v>01588669000109</v>
      </c>
      <c r="E675" s="212" t="str">
        <f ca="1">IFERROR(__xludf.DUMMYFUNCTION("""COMPUTED_VALUE"""),"001")</f>
        <v>001</v>
      </c>
      <c r="F675" s="212" t="str">
        <f ca="1">IFERROR(__xludf.DUMMYFUNCTION("""COMPUTED_VALUE"""),"1505")</f>
        <v>1505</v>
      </c>
      <c r="G675" s="213" t="str">
        <f ca="1">IFERROR(__xludf.DUMMYFUNCTION("""COMPUTED_VALUE"""),"254002")</f>
        <v>254002</v>
      </c>
      <c r="H675" s="211" t="str">
        <f ca="1">IFERROR(__xludf.DUMMYFUNCTION("""COMPUTED_VALUE"""),"ENS FUND PARCIAL")</f>
        <v>ENS FUND PARCIAL</v>
      </c>
      <c r="I675" s="214">
        <f ca="1">IFERROR(__xludf.DUMMYFUNCTION("""COMPUTED_VALUE"""),1870)</f>
        <v>1870</v>
      </c>
      <c r="J675" s="209"/>
      <c r="K675" s="209"/>
      <c r="L675" s="209"/>
      <c r="M675" s="209"/>
      <c r="N675" s="209"/>
      <c r="O675" s="209"/>
      <c r="P675" s="209"/>
      <c r="Q675" s="209"/>
      <c r="R675" s="209"/>
      <c r="S675" s="209"/>
      <c r="T675" s="209"/>
      <c r="U675" s="209"/>
      <c r="V675" s="209"/>
      <c r="W675" s="209"/>
      <c r="X675" s="209"/>
      <c r="Y675" s="209"/>
      <c r="Z675" s="209"/>
    </row>
    <row r="676" spans="1:26" ht="18.75" customHeight="1">
      <c r="A676" s="210" t="str">
        <f ca="1">IFERROR(__xludf.DUMMYFUNCTION("""COMPUTED_VALUE"""),"Palmas")</f>
        <v>Palmas</v>
      </c>
      <c r="B676" s="210" t="str">
        <f ca="1">IFERROR(__xludf.DUMMYFUNCTION("""COMPUTED_VALUE"""),"Palmas")</f>
        <v>Palmas</v>
      </c>
      <c r="C676" s="211" t="str">
        <f ca="1">IFERROR(__xludf.DUMMYFUNCTION("""COMPUTED_VALUE"""),"ACE COL. EST. DUQUE DE CAXIAS")</f>
        <v>ACE COL. EST. DUQUE DE CAXIAS</v>
      </c>
      <c r="D676" s="212" t="str">
        <f ca="1">IFERROR(__xludf.DUMMYFUNCTION("""COMPUTED_VALUE"""),"01588669000109")</f>
        <v>01588669000109</v>
      </c>
      <c r="E676" s="212" t="str">
        <f ca="1">IFERROR(__xludf.DUMMYFUNCTION("""COMPUTED_VALUE"""),"001")</f>
        <v>001</v>
      </c>
      <c r="F676" s="212" t="str">
        <f ca="1">IFERROR(__xludf.DUMMYFUNCTION("""COMPUTED_VALUE"""),"1505")</f>
        <v>1505</v>
      </c>
      <c r="G676" s="213" t="str">
        <f ca="1">IFERROR(__xludf.DUMMYFUNCTION("""COMPUTED_VALUE"""),"254002")</f>
        <v>254002</v>
      </c>
      <c r="H676" s="211" t="str">
        <f ca="1">IFERROR(__xludf.DUMMYFUNCTION("""COMPUTED_VALUE"""),"AEE")</f>
        <v>AEE</v>
      </c>
      <c r="I676" s="214">
        <f ca="1">IFERROR(__xludf.DUMMYFUNCTION("""COMPUTED_VALUE"""),272)</f>
        <v>272</v>
      </c>
      <c r="J676" s="209"/>
      <c r="K676" s="209"/>
      <c r="L676" s="209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9"/>
      <c r="Y676" s="209"/>
      <c r="Z676" s="209"/>
    </row>
    <row r="677" spans="1:26" ht="18.75" customHeight="1">
      <c r="A677" s="210" t="str">
        <f ca="1">IFERROR(__xludf.DUMMYFUNCTION("""COMPUTED_VALUE"""),"Palmas")</f>
        <v>Palmas</v>
      </c>
      <c r="B677" s="210" t="str">
        <f ca="1">IFERROR(__xludf.DUMMYFUNCTION("""COMPUTED_VALUE"""),"Palmas")</f>
        <v>Palmas</v>
      </c>
      <c r="C677" s="211" t="str">
        <f ca="1">IFERROR(__xludf.DUMMYFUNCTION("""COMPUTED_VALUE"""),"ACE COL. EST. DUQUE DE CAXIAS")</f>
        <v>ACE COL. EST. DUQUE DE CAXIAS</v>
      </c>
      <c r="D677" s="212" t="str">
        <f ca="1">IFERROR(__xludf.DUMMYFUNCTION("""COMPUTED_VALUE"""),"01588669000109")</f>
        <v>01588669000109</v>
      </c>
      <c r="E677" s="212" t="str">
        <f ca="1">IFERROR(__xludf.DUMMYFUNCTION("""COMPUTED_VALUE"""),"001")</f>
        <v>001</v>
      </c>
      <c r="F677" s="212" t="str">
        <f ca="1">IFERROR(__xludf.DUMMYFUNCTION("""COMPUTED_VALUE"""),"1505")</f>
        <v>1505</v>
      </c>
      <c r="G677" s="213" t="str">
        <f ca="1">IFERROR(__xludf.DUMMYFUNCTION("""COMPUTED_VALUE"""),"254002")</f>
        <v>254002</v>
      </c>
      <c r="H677" s="211" t="str">
        <f ca="1">IFERROR(__xludf.DUMMYFUNCTION("""COMPUTED_VALUE"""),"ENSINO MEDIO PARCIAL")</f>
        <v>ENSINO MEDIO PARCIAL</v>
      </c>
      <c r="I677" s="214">
        <f ca="1">IFERROR(__xludf.DUMMYFUNCTION("""COMPUTED_VALUE"""),2680)</f>
        <v>2680</v>
      </c>
      <c r="J677" s="209"/>
      <c r="K677" s="209"/>
      <c r="L677" s="209"/>
      <c r="M677" s="209"/>
      <c r="N677" s="209"/>
      <c r="O677" s="209"/>
      <c r="P677" s="209"/>
      <c r="Q677" s="209"/>
      <c r="R677" s="209"/>
      <c r="S677" s="209"/>
      <c r="T677" s="209"/>
      <c r="U677" s="209"/>
      <c r="V677" s="209"/>
      <c r="W677" s="209"/>
      <c r="X677" s="209"/>
      <c r="Y677" s="209"/>
      <c r="Z677" s="209"/>
    </row>
    <row r="678" spans="1:26" ht="18.75" customHeight="1">
      <c r="A678" s="210" t="str">
        <f ca="1">IFERROR(__xludf.DUMMYFUNCTION("""COMPUTED_VALUE"""),"Palmas")</f>
        <v>Palmas</v>
      </c>
      <c r="B678" s="210" t="str">
        <f ca="1">IFERROR(__xludf.DUMMYFUNCTION("""COMPUTED_VALUE"""),"Palmas")</f>
        <v>Palmas</v>
      </c>
      <c r="C678" s="211" t="str">
        <f ca="1">IFERROR(__xludf.DUMMYFUNCTION("""COMPUTED_VALUE"""),"A.COM. ESC. E. E.BEIRA RIO/PORTO NACIONAL")</f>
        <v>A.COM. ESC. E. E.BEIRA RIO/PORTO NACIONAL</v>
      </c>
      <c r="D678" s="212" t="str">
        <f ca="1">IFERROR(__xludf.DUMMYFUNCTION("""COMPUTED_VALUE"""),"01797298000175")</f>
        <v>01797298000175</v>
      </c>
      <c r="E678" s="212" t="str">
        <f ca="1">IFERROR(__xludf.DUMMYFUNCTION("""COMPUTED_VALUE"""),"001")</f>
        <v>001</v>
      </c>
      <c r="F678" s="212" t="str">
        <f ca="1">IFERROR(__xludf.DUMMYFUNCTION("""COMPUTED_VALUE"""),"1505")</f>
        <v>1505</v>
      </c>
      <c r="G678" s="213" t="str">
        <f ca="1">IFERROR(__xludf.DUMMYFUNCTION("""COMPUTED_VALUE"""),"209929")</f>
        <v>209929</v>
      </c>
      <c r="H678" s="211" t="str">
        <f ca="1">IFERROR(__xludf.DUMMYFUNCTION("""COMPUTED_VALUE"""),"ENS FUND PARCIAL")</f>
        <v>ENS FUND PARCIAL</v>
      </c>
      <c r="I678" s="214">
        <f ca="1">IFERROR(__xludf.DUMMYFUNCTION("""COMPUTED_VALUE"""),15520)</f>
        <v>15520</v>
      </c>
      <c r="J678" s="209"/>
      <c r="K678" s="209"/>
      <c r="L678" s="209"/>
      <c r="M678" s="209"/>
      <c r="N678" s="209"/>
      <c r="O678" s="209"/>
      <c r="P678" s="209"/>
      <c r="Q678" s="209"/>
      <c r="R678" s="209"/>
      <c r="S678" s="209"/>
      <c r="T678" s="209"/>
      <c r="U678" s="209"/>
      <c r="V678" s="209"/>
      <c r="W678" s="209"/>
      <c r="X678" s="209"/>
      <c r="Y678" s="209"/>
      <c r="Z678" s="209"/>
    </row>
    <row r="679" spans="1:26" ht="18.75" customHeight="1">
      <c r="A679" s="210" t="str">
        <f ca="1">IFERROR(__xludf.DUMMYFUNCTION("""COMPUTED_VALUE"""),"Palmas")</f>
        <v>Palmas</v>
      </c>
      <c r="B679" s="210" t="str">
        <f ca="1">IFERROR(__xludf.DUMMYFUNCTION("""COMPUTED_VALUE"""),"Palmas")</f>
        <v>Palmas</v>
      </c>
      <c r="C679" s="211" t="str">
        <f ca="1">IFERROR(__xludf.DUMMYFUNCTION("""COMPUTED_VALUE"""),"A.COM. ESC. E. E.BEIRA RIO/PORTO NACIONAL")</f>
        <v>A.COM. ESC. E. E.BEIRA RIO/PORTO NACIONAL</v>
      </c>
      <c r="D679" s="212" t="str">
        <f ca="1">IFERROR(__xludf.DUMMYFUNCTION("""COMPUTED_VALUE"""),"01797298000175")</f>
        <v>01797298000175</v>
      </c>
      <c r="E679" s="212" t="str">
        <f ca="1">IFERROR(__xludf.DUMMYFUNCTION("""COMPUTED_VALUE"""),"001")</f>
        <v>001</v>
      </c>
      <c r="F679" s="212" t="str">
        <f ca="1">IFERROR(__xludf.DUMMYFUNCTION("""COMPUTED_VALUE"""),"1505")</f>
        <v>1505</v>
      </c>
      <c r="G679" s="213" t="str">
        <f ca="1">IFERROR(__xludf.DUMMYFUNCTION("""COMPUTED_VALUE"""),"209929")</f>
        <v>209929</v>
      </c>
      <c r="H679" s="211" t="str">
        <f ca="1">IFERROR(__xludf.DUMMYFUNCTION("""COMPUTED_VALUE"""),"AEE")</f>
        <v>AEE</v>
      </c>
      <c r="I679" s="214">
        <f ca="1">IFERROR(__xludf.DUMMYFUNCTION("""COMPUTED_VALUE"""),734.4)</f>
        <v>734.4</v>
      </c>
      <c r="J679" s="209"/>
      <c r="K679" s="209"/>
      <c r="L679" s="209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9"/>
      <c r="Y679" s="209"/>
      <c r="Z679" s="209"/>
    </row>
    <row r="680" spans="1:26" ht="18.75" customHeight="1">
      <c r="A680" s="210" t="str">
        <f ca="1">IFERROR(__xludf.DUMMYFUNCTION("""COMPUTED_VALUE"""),"Palmas")</f>
        <v>Palmas</v>
      </c>
      <c r="B680" s="210" t="str">
        <f ca="1">IFERROR(__xludf.DUMMYFUNCTION("""COMPUTED_VALUE"""),"Palmas")</f>
        <v>Palmas</v>
      </c>
      <c r="C680" s="211" t="str">
        <f ca="1">IFERROR(__xludf.DUMMYFUNCTION("""COMPUTED_VALUE"""),"A.COM. ESC. E. E.BEIRA RIO/PORTO NACIONAL")</f>
        <v>A.COM. ESC. E. E.BEIRA RIO/PORTO NACIONAL</v>
      </c>
      <c r="D680" s="212" t="str">
        <f ca="1">IFERROR(__xludf.DUMMYFUNCTION("""COMPUTED_VALUE"""),"01797298000175")</f>
        <v>01797298000175</v>
      </c>
      <c r="E680" s="212" t="str">
        <f ca="1">IFERROR(__xludf.DUMMYFUNCTION("""COMPUTED_VALUE"""),"001")</f>
        <v>001</v>
      </c>
      <c r="F680" s="212" t="str">
        <f ca="1">IFERROR(__xludf.DUMMYFUNCTION("""COMPUTED_VALUE"""),"1505")</f>
        <v>1505</v>
      </c>
      <c r="G680" s="213" t="str">
        <f ca="1">IFERROR(__xludf.DUMMYFUNCTION("""COMPUTED_VALUE"""),"209929")</f>
        <v>209929</v>
      </c>
      <c r="H680" s="211" t="str">
        <f ca="1">IFERROR(__xludf.DUMMYFUNCTION("""COMPUTED_VALUE"""),"ENSINO MEDIO PARCIAL")</f>
        <v>ENSINO MEDIO PARCIAL</v>
      </c>
      <c r="I680" s="214">
        <f ca="1">IFERROR(__xludf.DUMMYFUNCTION("""COMPUTED_VALUE"""),9660)</f>
        <v>9660</v>
      </c>
      <c r="J680" s="209"/>
      <c r="K680" s="209"/>
      <c r="L680" s="209"/>
      <c r="M680" s="209"/>
      <c r="N680" s="209"/>
      <c r="O680" s="209"/>
      <c r="P680" s="209"/>
      <c r="Q680" s="209"/>
      <c r="R680" s="209"/>
      <c r="S680" s="209"/>
      <c r="T680" s="209"/>
      <c r="U680" s="209"/>
      <c r="V680" s="209"/>
      <c r="W680" s="209"/>
      <c r="X680" s="209"/>
      <c r="Y680" s="209"/>
      <c r="Z680" s="209"/>
    </row>
    <row r="681" spans="1:26" ht="18.75" customHeight="1">
      <c r="A681" s="210" t="str">
        <f ca="1">IFERROR(__xludf.DUMMYFUNCTION("""COMPUTED_VALUE"""),"Palmas")</f>
        <v>Palmas</v>
      </c>
      <c r="B681" s="210" t="str">
        <f ca="1">IFERROR(__xludf.DUMMYFUNCTION("""COMPUTED_VALUE"""),"Palmas")</f>
        <v>Palmas</v>
      </c>
      <c r="C681" s="211" t="str">
        <f ca="1">IFERROR(__xludf.DUMMYFUNCTION("""COMPUTED_VALUE"""),"A.COM. ESC. E. E.BEIRA RIO/PORTO NACIONAL")</f>
        <v>A.COM. ESC. E. E.BEIRA RIO/PORTO NACIONAL</v>
      </c>
      <c r="D681" s="212" t="str">
        <f ca="1">IFERROR(__xludf.DUMMYFUNCTION("""COMPUTED_VALUE"""),"01797298000175")</f>
        <v>01797298000175</v>
      </c>
      <c r="E681" s="212" t="str">
        <f ca="1">IFERROR(__xludf.DUMMYFUNCTION("""COMPUTED_VALUE"""),"001")</f>
        <v>001</v>
      </c>
      <c r="F681" s="212" t="str">
        <f ca="1">IFERROR(__xludf.DUMMYFUNCTION("""COMPUTED_VALUE"""),"1505")</f>
        <v>1505</v>
      </c>
      <c r="G681" s="213" t="str">
        <f ca="1">IFERROR(__xludf.DUMMYFUNCTION("""COMPUTED_VALUE"""),"209929")</f>
        <v>209929</v>
      </c>
      <c r="H681" s="211" t="str">
        <f ca="1">IFERROR(__xludf.DUMMYFUNCTION("""COMPUTED_VALUE"""),"EJA")</f>
        <v>EJA</v>
      </c>
      <c r="I681" s="214">
        <f ca="1">IFERROR(__xludf.DUMMYFUNCTION("""COMPUTED_VALUE"""),1213.6)</f>
        <v>1213.5999999999999</v>
      </c>
      <c r="J681" s="209"/>
      <c r="K681" s="209"/>
      <c r="L681" s="209"/>
      <c r="M681" s="209"/>
      <c r="N681" s="209"/>
      <c r="O681" s="209"/>
      <c r="P681" s="209"/>
      <c r="Q681" s="209"/>
      <c r="R681" s="209"/>
      <c r="S681" s="209"/>
      <c r="T681" s="209"/>
      <c r="U681" s="209"/>
      <c r="V681" s="209"/>
      <c r="W681" s="209"/>
      <c r="X681" s="209"/>
      <c r="Y681" s="209"/>
      <c r="Z681" s="209"/>
    </row>
    <row r="682" spans="1:26" ht="18.75" customHeight="1">
      <c r="A682" s="210" t="str">
        <f ca="1">IFERROR(__xludf.DUMMYFUNCTION("""COMPUTED_VALUE"""),"Palmas")</f>
        <v>Palmas</v>
      </c>
      <c r="B682" s="210" t="str">
        <f ca="1">IFERROR(__xludf.DUMMYFUNCTION("""COMPUTED_VALUE"""),"Palmas")</f>
        <v>Palmas</v>
      </c>
      <c r="C682" s="211" t="str">
        <f ca="1">IFERROR(__xludf.DUMMYFUNCTION("""COMPUTED_VALUE"""),"ACE UN.ESC. FREDEDERICO J. PEDRERA NETO")</f>
        <v>ACE UN.ESC. FREDEDERICO J. PEDRERA NETO</v>
      </c>
      <c r="D682" s="212" t="str">
        <f ca="1">IFERROR(__xludf.DUMMYFUNCTION("""COMPUTED_VALUE"""),"01862534000190")</f>
        <v>01862534000190</v>
      </c>
      <c r="E682" s="212" t="str">
        <f ca="1">IFERROR(__xludf.DUMMYFUNCTION("""COMPUTED_VALUE"""),"001")</f>
        <v>001</v>
      </c>
      <c r="F682" s="212" t="str">
        <f ca="1">IFERROR(__xludf.DUMMYFUNCTION("""COMPUTED_VALUE"""),"1867")</f>
        <v>1867</v>
      </c>
      <c r="G682" s="213" t="str">
        <f ca="1">IFERROR(__xludf.DUMMYFUNCTION("""COMPUTED_VALUE"""),"1079972")</f>
        <v>1079972</v>
      </c>
      <c r="H682" s="211" t="str">
        <f ca="1">IFERROR(__xludf.DUMMYFUNCTION("""COMPUTED_VALUE"""),"AEE")</f>
        <v>AEE</v>
      </c>
      <c r="I682" s="214">
        <f ca="1">IFERROR(__xludf.DUMMYFUNCTION("""COMPUTED_VALUE"""),231.2)</f>
        <v>231.2</v>
      </c>
      <c r="J682" s="209"/>
      <c r="K682" s="209"/>
      <c r="L682" s="209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9"/>
      <c r="Y682" s="209"/>
      <c r="Z682" s="209"/>
    </row>
    <row r="683" spans="1:26" ht="18.75" customHeight="1">
      <c r="A683" s="210" t="str">
        <f ca="1">IFERROR(__xludf.DUMMYFUNCTION("""COMPUTED_VALUE"""),"Palmas")</f>
        <v>Palmas</v>
      </c>
      <c r="B683" s="210" t="str">
        <f ca="1">IFERROR(__xludf.DUMMYFUNCTION("""COMPUTED_VALUE"""),"Palmas")</f>
        <v>Palmas</v>
      </c>
      <c r="C683" s="211" t="str">
        <f ca="1">IFERROR(__xludf.DUMMYFUNCTION("""COMPUTED_VALUE"""),"ACE UN.ESC. FREDEDERICO J. PEDRERA NETO")</f>
        <v>ACE UN.ESC. FREDEDERICO J. PEDRERA NETO</v>
      </c>
      <c r="D683" s="212" t="str">
        <f ca="1">IFERROR(__xludf.DUMMYFUNCTION("""COMPUTED_VALUE"""),"01862534000190")</f>
        <v>01862534000190</v>
      </c>
      <c r="E683" s="212" t="str">
        <f ca="1">IFERROR(__xludf.DUMMYFUNCTION("""COMPUTED_VALUE"""),"001")</f>
        <v>001</v>
      </c>
      <c r="F683" s="212" t="str">
        <f ca="1">IFERROR(__xludf.DUMMYFUNCTION("""COMPUTED_VALUE"""),"1867")</f>
        <v>1867</v>
      </c>
      <c r="G683" s="213" t="str">
        <f ca="1">IFERROR(__xludf.DUMMYFUNCTION("""COMPUTED_VALUE"""),"1079972")</f>
        <v>1079972</v>
      </c>
      <c r="H683" s="211" t="str">
        <f ca="1">IFERROR(__xludf.DUMMYFUNCTION("""COMPUTED_VALUE"""),"ENSINO MEDIO PARCIAL")</f>
        <v>ENSINO MEDIO PARCIAL</v>
      </c>
      <c r="I683" s="214">
        <f ca="1">IFERROR(__xludf.DUMMYFUNCTION("""COMPUTED_VALUE"""),8630)</f>
        <v>8630</v>
      </c>
      <c r="J683" s="209"/>
      <c r="K683" s="209"/>
      <c r="L683" s="209"/>
      <c r="M683" s="209"/>
      <c r="N683" s="209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  <c r="Z683" s="209"/>
    </row>
    <row r="684" spans="1:26" ht="18.75" customHeight="1">
      <c r="A684" s="210" t="str">
        <f ca="1">IFERROR(__xludf.DUMMYFUNCTION("""COMPUTED_VALUE"""),"Palmas")</f>
        <v>Palmas</v>
      </c>
      <c r="B684" s="210" t="str">
        <f ca="1">IFERROR(__xludf.DUMMYFUNCTION("""COMPUTED_VALUE"""),"Palmas")</f>
        <v>Palmas</v>
      </c>
      <c r="C684" s="211" t="str">
        <f ca="1">IFERROR(__xludf.DUMMYFUNCTION("""COMPUTED_VALUE"""),"ACE UN.ESC. FREDEDERICO J. PEDRERA NETO")</f>
        <v>ACE UN.ESC. FREDEDERICO J. PEDRERA NETO</v>
      </c>
      <c r="D684" s="212" t="str">
        <f ca="1">IFERROR(__xludf.DUMMYFUNCTION("""COMPUTED_VALUE"""),"01862534000190")</f>
        <v>01862534000190</v>
      </c>
      <c r="E684" s="212" t="str">
        <f ca="1">IFERROR(__xludf.DUMMYFUNCTION("""COMPUTED_VALUE"""),"001")</f>
        <v>001</v>
      </c>
      <c r="F684" s="212" t="str">
        <f ca="1">IFERROR(__xludf.DUMMYFUNCTION("""COMPUTED_VALUE"""),"1867")</f>
        <v>1867</v>
      </c>
      <c r="G684" s="213" t="str">
        <f ca="1">IFERROR(__xludf.DUMMYFUNCTION("""COMPUTED_VALUE"""),"1079972")</f>
        <v>1079972</v>
      </c>
      <c r="H684" s="211" t="str">
        <f ca="1">IFERROR(__xludf.DUMMYFUNCTION("""COMPUTED_VALUE"""),"EJA")</f>
        <v>EJA</v>
      </c>
      <c r="I684" s="214">
        <f ca="1">IFERROR(__xludf.DUMMYFUNCTION("""COMPUTED_VALUE"""),1074.19999999999)</f>
        <v>1074.19999999999</v>
      </c>
      <c r="J684" s="209"/>
      <c r="K684" s="209"/>
      <c r="L684" s="209"/>
      <c r="M684" s="209"/>
      <c r="N684" s="209"/>
      <c r="O684" s="209"/>
      <c r="P684" s="209"/>
      <c r="Q684" s="209"/>
      <c r="R684" s="209"/>
      <c r="S684" s="209"/>
      <c r="T684" s="209"/>
      <c r="U684" s="209"/>
      <c r="V684" s="209"/>
      <c r="W684" s="209"/>
      <c r="X684" s="209"/>
      <c r="Y684" s="209"/>
      <c r="Z684" s="209"/>
    </row>
    <row r="685" spans="1:26" ht="18.75" customHeight="1">
      <c r="A685" s="210" t="str">
        <f ca="1">IFERROR(__xludf.DUMMYFUNCTION("""COMPUTED_VALUE"""),"Palmas")</f>
        <v>Palmas</v>
      </c>
      <c r="B685" s="210" t="str">
        <f ca="1">IFERROR(__xludf.DUMMYFUNCTION("""COMPUTED_VALUE"""),"Palmas")</f>
        <v>Palmas</v>
      </c>
      <c r="C685" s="211" t="str">
        <f ca="1">IFERROR(__xludf.DUMMYFUNCTION("""COMPUTED_VALUE"""),"A.COMUNIDADE ESCOLA/E. EST. VALE DO SOL")</f>
        <v>A.COMUNIDADE ESCOLA/E. EST. VALE DO SOL</v>
      </c>
      <c r="D685" s="212" t="str">
        <f ca="1">IFERROR(__xludf.DUMMYFUNCTION("""COMPUTED_VALUE"""),"01873442000105")</f>
        <v>01873442000105</v>
      </c>
      <c r="E685" s="212" t="str">
        <f ca="1">IFERROR(__xludf.DUMMYFUNCTION("""COMPUTED_VALUE"""),"001")</f>
        <v>001</v>
      </c>
      <c r="F685" s="212" t="str">
        <f ca="1">IFERROR(__xludf.DUMMYFUNCTION("""COMPUTED_VALUE"""),"1505")</f>
        <v>1505</v>
      </c>
      <c r="G685" s="213" t="str">
        <f ca="1">IFERROR(__xludf.DUMMYFUNCTION("""COMPUTED_VALUE"""),"256404")</f>
        <v>256404</v>
      </c>
      <c r="H685" s="211" t="str">
        <f ca="1">IFERROR(__xludf.DUMMYFUNCTION("""COMPUTED_VALUE"""),"ENS FUND PARCIAL")</f>
        <v>ENS FUND PARCIAL</v>
      </c>
      <c r="I685" s="214">
        <f ca="1">IFERROR(__xludf.DUMMYFUNCTION("""COMPUTED_VALUE"""),1540)</f>
        <v>1540</v>
      </c>
      <c r="J685" s="209"/>
      <c r="K685" s="209"/>
      <c r="L685" s="209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9"/>
      <c r="Y685" s="209"/>
      <c r="Z685" s="209"/>
    </row>
    <row r="686" spans="1:26" ht="18.75" customHeight="1">
      <c r="A686" s="210" t="str">
        <f ca="1">IFERROR(__xludf.DUMMYFUNCTION("""COMPUTED_VALUE"""),"Palmas")</f>
        <v>Palmas</v>
      </c>
      <c r="B686" s="210" t="str">
        <f ca="1">IFERROR(__xludf.DUMMYFUNCTION("""COMPUTED_VALUE"""),"Palmas")</f>
        <v>Palmas</v>
      </c>
      <c r="C686" s="211" t="str">
        <f ca="1">IFERROR(__xludf.DUMMYFUNCTION("""COMPUTED_VALUE"""),"A.COMUNIDADE ESCOLA/E. EST. VALE DO SOL")</f>
        <v>A.COMUNIDADE ESCOLA/E. EST. VALE DO SOL</v>
      </c>
      <c r="D686" s="212" t="str">
        <f ca="1">IFERROR(__xludf.DUMMYFUNCTION("""COMPUTED_VALUE"""),"01873442000105")</f>
        <v>01873442000105</v>
      </c>
      <c r="E686" s="212" t="str">
        <f ca="1">IFERROR(__xludf.DUMMYFUNCTION("""COMPUTED_VALUE"""),"001")</f>
        <v>001</v>
      </c>
      <c r="F686" s="212" t="str">
        <f ca="1">IFERROR(__xludf.DUMMYFUNCTION("""COMPUTED_VALUE"""),"1505")</f>
        <v>1505</v>
      </c>
      <c r="G686" s="213" t="str">
        <f ca="1">IFERROR(__xludf.DUMMYFUNCTION("""COMPUTED_VALUE"""),"256404")</f>
        <v>256404</v>
      </c>
      <c r="H686" s="211" t="str">
        <f ca="1">IFERROR(__xludf.DUMMYFUNCTION("""COMPUTED_VALUE"""),"AEE")</f>
        <v>AEE</v>
      </c>
      <c r="I686" s="214">
        <f ca="1">IFERROR(__xludf.DUMMYFUNCTION("""COMPUTED_VALUE"""),136)</f>
        <v>136</v>
      </c>
      <c r="J686" s="209"/>
      <c r="K686" s="209"/>
      <c r="L686" s="209"/>
      <c r="M686" s="209"/>
      <c r="N686" s="209"/>
      <c r="O686" s="209"/>
      <c r="P686" s="209"/>
      <c r="Q686" s="209"/>
      <c r="R686" s="209"/>
      <c r="S686" s="209"/>
      <c r="T686" s="209"/>
      <c r="U686" s="209"/>
      <c r="V686" s="209"/>
      <c r="W686" s="209"/>
      <c r="X686" s="209"/>
      <c r="Y686" s="209"/>
      <c r="Z686" s="209"/>
    </row>
    <row r="687" spans="1:26" ht="18.75" customHeight="1">
      <c r="A687" s="210" t="str">
        <f ca="1">IFERROR(__xludf.DUMMYFUNCTION("""COMPUTED_VALUE"""),"Palmas")</f>
        <v>Palmas</v>
      </c>
      <c r="B687" s="210" t="str">
        <f ca="1">IFERROR(__xludf.DUMMYFUNCTION("""COMPUTED_VALUE"""),"Palmas")</f>
        <v>Palmas</v>
      </c>
      <c r="C687" s="211" t="str">
        <f ca="1">IFERROR(__xludf.DUMMYFUNCTION("""COMPUTED_VALUE"""),"A.COMUNIDADE ESCOLA/E. EST. VALE DO SOL")</f>
        <v>A.COMUNIDADE ESCOLA/E. EST. VALE DO SOL</v>
      </c>
      <c r="D687" s="212" t="str">
        <f ca="1">IFERROR(__xludf.DUMMYFUNCTION("""COMPUTED_VALUE"""),"01873442000105")</f>
        <v>01873442000105</v>
      </c>
      <c r="E687" s="212" t="str">
        <f ca="1">IFERROR(__xludf.DUMMYFUNCTION("""COMPUTED_VALUE"""),"001")</f>
        <v>001</v>
      </c>
      <c r="F687" s="212" t="str">
        <f ca="1">IFERROR(__xludf.DUMMYFUNCTION("""COMPUTED_VALUE"""),"1505")</f>
        <v>1505</v>
      </c>
      <c r="G687" s="213" t="str">
        <f ca="1">IFERROR(__xludf.DUMMYFUNCTION("""COMPUTED_VALUE"""),"256404")</f>
        <v>256404</v>
      </c>
      <c r="H687" s="211" t="str">
        <f ca="1">IFERROR(__xludf.DUMMYFUNCTION("""COMPUTED_VALUE"""),"ENSINO MEDIO PARCIAL")</f>
        <v>ENSINO MEDIO PARCIAL</v>
      </c>
      <c r="I687" s="214">
        <f ca="1">IFERROR(__xludf.DUMMYFUNCTION("""COMPUTED_VALUE"""),3410)</f>
        <v>3410</v>
      </c>
      <c r="J687" s="209"/>
      <c r="K687" s="209"/>
      <c r="L687" s="209"/>
      <c r="M687" s="209"/>
      <c r="N687" s="209"/>
      <c r="O687" s="209"/>
      <c r="P687" s="209"/>
      <c r="Q687" s="209"/>
      <c r="R687" s="209"/>
      <c r="S687" s="209"/>
      <c r="T687" s="209"/>
      <c r="U687" s="209"/>
      <c r="V687" s="209"/>
      <c r="W687" s="209"/>
      <c r="X687" s="209"/>
      <c r="Y687" s="209"/>
      <c r="Z687" s="209"/>
    </row>
    <row r="688" spans="1:26" ht="18.75" customHeight="1">
      <c r="A688" s="210" t="str">
        <f ca="1">IFERROR(__xludf.DUMMYFUNCTION("""COMPUTED_VALUE"""),"Palmas")</f>
        <v>Palmas</v>
      </c>
      <c r="B688" s="210" t="str">
        <f ca="1">IFERROR(__xludf.DUMMYFUNCTION("""COMPUTED_VALUE"""),"Palmas")</f>
        <v>Palmas</v>
      </c>
      <c r="C688" s="211" t="str">
        <f ca="1">IFERROR(__xludf.DUMMYFUNCTION("""COMPUTED_VALUE"""),"A.A. AO COLEGIO ESTADUAL SAO JOSE")</f>
        <v>A.A. AO COLEGIO ESTADUAL SAO JOSE</v>
      </c>
      <c r="D688" s="212" t="str">
        <f ca="1">IFERROR(__xludf.DUMMYFUNCTION("""COMPUTED_VALUE"""),"01913809000177")</f>
        <v>01913809000177</v>
      </c>
      <c r="E688" s="212" t="str">
        <f ca="1">IFERROR(__xludf.DUMMYFUNCTION("""COMPUTED_VALUE"""),"001")</f>
        <v>001</v>
      </c>
      <c r="F688" s="212" t="str">
        <f ca="1">IFERROR(__xludf.DUMMYFUNCTION("""COMPUTED_VALUE"""),"1886")</f>
        <v>1886</v>
      </c>
      <c r="G688" s="213" t="str">
        <f ca="1">IFERROR(__xludf.DUMMYFUNCTION("""COMPUTED_VALUE"""),"325252")</f>
        <v>325252</v>
      </c>
      <c r="H688" s="211" t="str">
        <f ca="1">IFERROR(__xludf.DUMMYFUNCTION("""COMPUTED_VALUE"""),"AEE")</f>
        <v>AEE</v>
      </c>
      <c r="I688" s="214">
        <f ca="1">IFERROR(__xludf.DUMMYFUNCTION("""COMPUTED_VALUE"""),326.4)</f>
        <v>326.39999999999998</v>
      </c>
      <c r="J688" s="209"/>
      <c r="K688" s="209"/>
      <c r="L688" s="209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9"/>
      <c r="Y688" s="209"/>
      <c r="Z688" s="209"/>
    </row>
    <row r="689" spans="1:26" ht="18.75" customHeight="1">
      <c r="A689" s="210" t="str">
        <f ca="1">IFERROR(__xludf.DUMMYFUNCTION("""COMPUTED_VALUE"""),"Palmas")</f>
        <v>Palmas</v>
      </c>
      <c r="B689" s="210" t="str">
        <f ca="1">IFERROR(__xludf.DUMMYFUNCTION("""COMPUTED_VALUE"""),"Palmas")</f>
        <v>Palmas</v>
      </c>
      <c r="C689" s="211" t="str">
        <f ca="1">IFERROR(__xludf.DUMMYFUNCTION("""COMPUTED_VALUE"""),"A.A. AO COLEGIO ESTADUAL SAO JOSE")</f>
        <v>A.A. AO COLEGIO ESTADUAL SAO JOSE</v>
      </c>
      <c r="D689" s="212" t="str">
        <f ca="1">IFERROR(__xludf.DUMMYFUNCTION("""COMPUTED_VALUE"""),"01913809000177")</f>
        <v>01913809000177</v>
      </c>
      <c r="E689" s="212" t="str">
        <f ca="1">IFERROR(__xludf.DUMMYFUNCTION("""COMPUTED_VALUE"""),"001")</f>
        <v>001</v>
      </c>
      <c r="F689" s="212" t="str">
        <f ca="1">IFERROR(__xludf.DUMMYFUNCTION("""COMPUTED_VALUE"""),"1886")</f>
        <v>1886</v>
      </c>
      <c r="G689" s="213" t="str">
        <f ca="1">IFERROR(__xludf.DUMMYFUNCTION("""COMPUTED_VALUE"""),"325252")</f>
        <v>325252</v>
      </c>
      <c r="H689" s="211" t="str">
        <f ca="1">IFERROR(__xludf.DUMMYFUNCTION("""COMPUTED_VALUE"""),"JOVEM AÇÃO")</f>
        <v>JOVEM AÇÃO</v>
      </c>
      <c r="I689" s="214">
        <f ca="1">IFERROR(__xludf.DUMMYFUNCTION("""COMPUTED_VALUE"""),9472)</f>
        <v>9472</v>
      </c>
      <c r="J689" s="209"/>
      <c r="K689" s="209"/>
      <c r="L689" s="209"/>
      <c r="M689" s="209"/>
      <c r="N689" s="209"/>
      <c r="O689" s="209"/>
      <c r="P689" s="209"/>
      <c r="Q689" s="209"/>
      <c r="R689" s="209"/>
      <c r="S689" s="209"/>
      <c r="T689" s="209"/>
      <c r="U689" s="209"/>
      <c r="V689" s="209"/>
      <c r="W689" s="209"/>
      <c r="X689" s="209"/>
      <c r="Y689" s="209"/>
      <c r="Z689" s="209"/>
    </row>
    <row r="690" spans="1:26" ht="18.75" customHeight="1">
      <c r="A690" s="210" t="str">
        <f ca="1">IFERROR(__xludf.DUMMYFUNCTION("""COMPUTED_VALUE"""),"Palmas")</f>
        <v>Palmas</v>
      </c>
      <c r="B690" s="210" t="str">
        <f ca="1">IFERROR(__xludf.DUMMYFUNCTION("""COMPUTED_VALUE"""),"Palmas")</f>
        <v>Palmas</v>
      </c>
      <c r="C690" s="211" t="str">
        <f ca="1">IFERROR(__xludf.DUMMYFUNCTION("""COMPUTED_VALUE"""),"A.A. AO COLEGIO ESTADUAL SAO JOSE")</f>
        <v>A.A. AO COLEGIO ESTADUAL SAO JOSE</v>
      </c>
      <c r="D690" s="212" t="str">
        <f ca="1">IFERROR(__xludf.DUMMYFUNCTION("""COMPUTED_VALUE"""),"01913809000177")</f>
        <v>01913809000177</v>
      </c>
      <c r="E690" s="212" t="str">
        <f ca="1">IFERROR(__xludf.DUMMYFUNCTION("""COMPUTED_VALUE"""),"001")</f>
        <v>001</v>
      </c>
      <c r="F690" s="212" t="str">
        <f ca="1">IFERROR(__xludf.DUMMYFUNCTION("""COMPUTED_VALUE"""),"1886")</f>
        <v>1886</v>
      </c>
      <c r="G690" s="213" t="str">
        <f ca="1">IFERROR(__xludf.DUMMYFUNCTION("""COMPUTED_VALUE"""),"325252")</f>
        <v>325252</v>
      </c>
      <c r="H690" s="211" t="str">
        <f ca="1">IFERROR(__xludf.DUMMYFUNCTION("""COMPUTED_VALUE"""),"EJA")</f>
        <v>EJA</v>
      </c>
      <c r="I690" s="214">
        <f ca="1">IFERROR(__xludf.DUMMYFUNCTION("""COMPUTED_VALUE"""),729.8)</f>
        <v>729.8</v>
      </c>
      <c r="J690" s="209"/>
      <c r="K690" s="209"/>
      <c r="L690" s="209"/>
      <c r="M690" s="209"/>
      <c r="N690" s="209"/>
      <c r="O690" s="209"/>
      <c r="P690" s="209"/>
      <c r="Q690" s="209"/>
      <c r="R690" s="209"/>
      <c r="S690" s="209"/>
      <c r="T690" s="209"/>
      <c r="U690" s="209"/>
      <c r="V690" s="209"/>
      <c r="W690" s="209"/>
      <c r="X690" s="209"/>
      <c r="Y690" s="209"/>
      <c r="Z690" s="209"/>
    </row>
    <row r="691" spans="1:26" ht="18.75" customHeight="1">
      <c r="A691" s="210" t="str">
        <f ca="1">IFERROR(__xludf.DUMMYFUNCTION("""COMPUTED_VALUE"""),"Palmas")</f>
        <v>Palmas</v>
      </c>
      <c r="B691" s="210" t="str">
        <f ca="1">IFERROR(__xludf.DUMMYFUNCTION("""COMPUTED_VALUE"""),"Palmas")</f>
        <v>Palmas</v>
      </c>
      <c r="C691" s="211" t="str">
        <f ca="1">IFERROR(__xludf.DUMMYFUNCTION("""COMPUTED_VALUE"""),"A.C.ESC.M.FUT. C.E. CRIANCA ESPERANCA")</f>
        <v>A.C.ESC.M.FUT. C.E. CRIANCA ESPERANCA</v>
      </c>
      <c r="D691" s="212" t="str">
        <f ca="1">IFERROR(__xludf.DUMMYFUNCTION("""COMPUTED_VALUE"""),"01920781000103")</f>
        <v>01920781000103</v>
      </c>
      <c r="E691" s="212" t="str">
        <f ca="1">IFERROR(__xludf.DUMMYFUNCTION("""COMPUTED_VALUE"""),"001")</f>
        <v>001</v>
      </c>
      <c r="F691" s="212" t="str">
        <f ca="1">IFERROR(__xludf.DUMMYFUNCTION("""COMPUTED_VALUE"""),"1505")</f>
        <v>1505</v>
      </c>
      <c r="G691" s="213" t="str">
        <f ca="1">IFERROR(__xludf.DUMMYFUNCTION("""COMPUTED_VALUE"""),"455369")</f>
        <v>455369</v>
      </c>
      <c r="H691" s="211" t="str">
        <f ca="1">IFERROR(__xludf.DUMMYFUNCTION("""COMPUTED_VALUE"""),"ENSINO MEDIO PARCIAL")</f>
        <v>ENSINO MEDIO PARCIAL</v>
      </c>
      <c r="I691" s="214">
        <f ca="1">IFERROR(__xludf.DUMMYFUNCTION("""COMPUTED_VALUE"""),2670)</f>
        <v>2670</v>
      </c>
      <c r="J691" s="209"/>
      <c r="K691" s="209"/>
      <c r="L691" s="209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9"/>
      <c r="Y691" s="209"/>
      <c r="Z691" s="209"/>
    </row>
    <row r="692" spans="1:26" ht="18.75" customHeight="1">
      <c r="A692" s="210" t="str">
        <f ca="1">IFERROR(__xludf.DUMMYFUNCTION("""COMPUTED_VALUE"""),"Palmas")</f>
        <v>Palmas</v>
      </c>
      <c r="B692" s="210" t="str">
        <f ca="1">IFERROR(__xludf.DUMMYFUNCTION("""COMPUTED_VALUE"""),"Palmas")</f>
        <v>Palmas</v>
      </c>
      <c r="C692" s="211" t="str">
        <f ca="1">IFERROR(__xludf.DUMMYFUNCTION("""COMPUTED_VALUE"""),"A.C.ESC.M.FUT. C.E. CRIANCA ESPERANCA")</f>
        <v>A.C.ESC.M.FUT. C.E. CRIANCA ESPERANCA</v>
      </c>
      <c r="D692" s="212" t="str">
        <f ca="1">IFERROR(__xludf.DUMMYFUNCTION("""COMPUTED_VALUE"""),"01920781000103")</f>
        <v>01920781000103</v>
      </c>
      <c r="E692" s="212" t="str">
        <f ca="1">IFERROR(__xludf.DUMMYFUNCTION("""COMPUTED_VALUE"""),"001")</f>
        <v>001</v>
      </c>
      <c r="F692" s="212" t="str">
        <f ca="1">IFERROR(__xludf.DUMMYFUNCTION("""COMPUTED_VALUE"""),"1505")</f>
        <v>1505</v>
      </c>
      <c r="G692" s="213" t="str">
        <f ca="1">IFERROR(__xludf.DUMMYFUNCTION("""COMPUTED_VALUE"""),"455369")</f>
        <v>455369</v>
      </c>
      <c r="H692" s="211" t="str">
        <f ca="1">IFERROR(__xludf.DUMMYFUNCTION("""COMPUTED_VALUE"""),"EJA")</f>
        <v>EJA</v>
      </c>
      <c r="I692" s="214">
        <f ca="1">IFERROR(__xludf.DUMMYFUNCTION("""COMPUTED_VALUE"""),442.799999999999)</f>
        <v>442.79999999999899</v>
      </c>
      <c r="J692" s="209"/>
      <c r="K692" s="209"/>
      <c r="L692" s="209"/>
      <c r="M692" s="209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  <c r="Z692" s="209"/>
    </row>
    <row r="693" spans="1:26" ht="18.75" customHeight="1">
      <c r="A693" s="210" t="str">
        <f ca="1">IFERROR(__xludf.DUMMYFUNCTION("""COMPUTED_VALUE"""),"Palmas")</f>
        <v>Palmas</v>
      </c>
      <c r="B693" s="210" t="str">
        <f ca="1">IFERROR(__xludf.DUMMYFUNCTION("""COMPUTED_VALUE"""),"Palmas")</f>
        <v>Palmas</v>
      </c>
      <c r="C693" s="211" t="str">
        <f ca="1">IFERROR(__xludf.DUMMYFUNCTION("""COMPUTED_VALUE"""),"A.COMUN.ESCOLA-DA ESC. EST. SETOR SUL")</f>
        <v>A.COMUN.ESCOLA-DA ESC. EST. SETOR SUL</v>
      </c>
      <c r="D693" s="212" t="str">
        <f ca="1">IFERROR(__xludf.DUMMYFUNCTION("""COMPUTED_VALUE"""),"01926545000196")</f>
        <v>01926545000196</v>
      </c>
      <c r="E693" s="212" t="str">
        <f ca="1">IFERROR(__xludf.DUMMYFUNCTION("""COMPUTED_VALUE"""),"001")</f>
        <v>001</v>
      </c>
      <c r="F693" s="212" t="str">
        <f ca="1">IFERROR(__xludf.DUMMYFUNCTION("""COMPUTED_VALUE"""),"1505")</f>
        <v>1505</v>
      </c>
      <c r="G693" s="213" t="str">
        <f ca="1">IFERROR(__xludf.DUMMYFUNCTION("""COMPUTED_VALUE"""),"258105")</f>
        <v>258105</v>
      </c>
      <c r="H693" s="211" t="str">
        <f ca="1">IFERROR(__xludf.DUMMYFUNCTION("""COMPUTED_VALUE"""),"ENS FUND PARCIAL")</f>
        <v>ENS FUND PARCIAL</v>
      </c>
      <c r="I693" s="214">
        <f ca="1">IFERROR(__xludf.DUMMYFUNCTION("""COMPUTED_VALUE"""),2580)</f>
        <v>2580</v>
      </c>
      <c r="J693" s="209"/>
      <c r="K693" s="209"/>
      <c r="L693" s="209"/>
      <c r="M693" s="209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  <c r="Z693" s="209"/>
    </row>
    <row r="694" spans="1:26" ht="18.75" customHeight="1">
      <c r="A694" s="210" t="str">
        <f ca="1">IFERROR(__xludf.DUMMYFUNCTION("""COMPUTED_VALUE"""),"Palmas")</f>
        <v>Palmas</v>
      </c>
      <c r="B694" s="210" t="str">
        <f ca="1">IFERROR(__xludf.DUMMYFUNCTION("""COMPUTED_VALUE"""),"Palmas")</f>
        <v>Palmas</v>
      </c>
      <c r="C694" s="211" t="str">
        <f ca="1">IFERROR(__xludf.DUMMYFUNCTION("""COMPUTED_VALUE"""),"A.COMUN.ESCOLA-DA ESC. EST. SETOR SUL")</f>
        <v>A.COMUN.ESCOLA-DA ESC. EST. SETOR SUL</v>
      </c>
      <c r="D694" s="212" t="str">
        <f ca="1">IFERROR(__xludf.DUMMYFUNCTION("""COMPUTED_VALUE"""),"01926545000196")</f>
        <v>01926545000196</v>
      </c>
      <c r="E694" s="212" t="str">
        <f ca="1">IFERROR(__xludf.DUMMYFUNCTION("""COMPUTED_VALUE"""),"001")</f>
        <v>001</v>
      </c>
      <c r="F694" s="212" t="str">
        <f ca="1">IFERROR(__xludf.DUMMYFUNCTION("""COMPUTED_VALUE"""),"1505")</f>
        <v>1505</v>
      </c>
      <c r="G694" s="213" t="str">
        <f ca="1">IFERROR(__xludf.DUMMYFUNCTION("""COMPUTED_VALUE"""),"258105")</f>
        <v>258105</v>
      </c>
      <c r="H694" s="211" t="str">
        <f ca="1">IFERROR(__xludf.DUMMYFUNCTION("""COMPUTED_VALUE"""),"AEE")</f>
        <v>AEE</v>
      </c>
      <c r="I694" s="214">
        <f ca="1">IFERROR(__xludf.DUMMYFUNCTION("""COMPUTED_VALUE"""),163.2)</f>
        <v>163.19999999999999</v>
      </c>
      <c r="J694" s="209"/>
      <c r="K694" s="209"/>
      <c r="L694" s="209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  <c r="Z694" s="209"/>
    </row>
    <row r="695" spans="1:26" ht="18.75" customHeight="1">
      <c r="A695" s="210" t="str">
        <f ca="1">IFERROR(__xludf.DUMMYFUNCTION("""COMPUTED_VALUE"""),"Palmas")</f>
        <v>Palmas</v>
      </c>
      <c r="B695" s="210" t="str">
        <f ca="1">IFERROR(__xludf.DUMMYFUNCTION("""COMPUTED_VALUE"""),"Palmas")</f>
        <v>Palmas</v>
      </c>
      <c r="C695" s="211" t="str">
        <f ca="1">IFERROR(__xludf.DUMMYFUNCTION("""COMPUTED_VALUE"""),"A.COMUN.ESCOLA-DA ESC. EST. SETOR SUL")</f>
        <v>A.COMUN.ESCOLA-DA ESC. EST. SETOR SUL</v>
      </c>
      <c r="D695" s="212" t="str">
        <f ca="1">IFERROR(__xludf.DUMMYFUNCTION("""COMPUTED_VALUE"""),"01926545000196")</f>
        <v>01926545000196</v>
      </c>
      <c r="E695" s="212" t="str">
        <f ca="1">IFERROR(__xludf.DUMMYFUNCTION("""COMPUTED_VALUE"""),"001")</f>
        <v>001</v>
      </c>
      <c r="F695" s="212" t="str">
        <f ca="1">IFERROR(__xludf.DUMMYFUNCTION("""COMPUTED_VALUE"""),"1505")</f>
        <v>1505</v>
      </c>
      <c r="G695" s="213" t="str">
        <f ca="1">IFERROR(__xludf.DUMMYFUNCTION("""COMPUTED_VALUE"""),"258105")</f>
        <v>258105</v>
      </c>
      <c r="H695" s="211" t="str">
        <f ca="1">IFERROR(__xludf.DUMMYFUNCTION("""COMPUTED_VALUE"""),"ENSINO MEDIO PARCIAL")</f>
        <v>ENSINO MEDIO PARCIAL</v>
      </c>
      <c r="I695" s="214">
        <f ca="1">IFERROR(__xludf.DUMMYFUNCTION("""COMPUTED_VALUE"""),2910)</f>
        <v>2910</v>
      </c>
      <c r="J695" s="209"/>
      <c r="K695" s="209"/>
      <c r="L695" s="209"/>
      <c r="M695" s="209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  <c r="Z695" s="209"/>
    </row>
    <row r="696" spans="1:26" ht="18.75" customHeight="1">
      <c r="A696" s="210" t="str">
        <f ca="1">IFERROR(__xludf.DUMMYFUNCTION("""COMPUTED_VALUE"""),"Palmas")</f>
        <v>Palmas</v>
      </c>
      <c r="B696" s="210" t="str">
        <f ca="1">IFERROR(__xludf.DUMMYFUNCTION("""COMPUTED_VALUE"""),"Palmas")</f>
        <v>Palmas</v>
      </c>
      <c r="C696" s="211" t="str">
        <f ca="1">IFERROR(__xludf.DUMMYFUNCTION("""COMPUTED_VALUE"""),"A.COMUN.ESCOLA-DA ESC. EST. SETOR SUL")</f>
        <v>A.COMUN.ESCOLA-DA ESC. EST. SETOR SUL</v>
      </c>
      <c r="D696" s="212" t="str">
        <f ca="1">IFERROR(__xludf.DUMMYFUNCTION("""COMPUTED_VALUE"""),"01926545000196")</f>
        <v>01926545000196</v>
      </c>
      <c r="E696" s="212" t="str">
        <f ca="1">IFERROR(__xludf.DUMMYFUNCTION("""COMPUTED_VALUE"""),"001")</f>
        <v>001</v>
      </c>
      <c r="F696" s="212" t="str">
        <f ca="1">IFERROR(__xludf.DUMMYFUNCTION("""COMPUTED_VALUE"""),"1505")</f>
        <v>1505</v>
      </c>
      <c r="G696" s="213" t="str">
        <f ca="1">IFERROR(__xludf.DUMMYFUNCTION("""COMPUTED_VALUE"""),"258105")</f>
        <v>258105</v>
      </c>
      <c r="H696" s="211" t="str">
        <f ca="1">IFERROR(__xludf.DUMMYFUNCTION("""COMPUTED_VALUE"""),"EJA")</f>
        <v>EJA</v>
      </c>
      <c r="I696" s="214">
        <f ca="1">IFERROR(__xludf.DUMMYFUNCTION("""COMPUTED_VALUE"""),73.8)</f>
        <v>73.8</v>
      </c>
      <c r="J696" s="209"/>
      <c r="K696" s="209"/>
      <c r="L696" s="209"/>
      <c r="M696" s="209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  <c r="Z696" s="209"/>
    </row>
    <row r="697" spans="1:26" ht="18.75" customHeight="1">
      <c r="A697" s="210" t="str">
        <f ca="1">IFERROR(__xludf.DUMMYFUNCTION("""COMPUTED_VALUE"""),"Palmas")</f>
        <v>Palmas</v>
      </c>
      <c r="B697" s="210" t="str">
        <f ca="1">IFERROR(__xludf.DUMMYFUNCTION("""COMPUTED_VALUE"""),"Palmas")</f>
        <v>Palmas</v>
      </c>
      <c r="C697" s="211" t="str">
        <f ca="1">IFERROR(__xludf.DUMMYFUNCTION("""COMPUTED_VALUE"""),"A.P.M.DA ESC. EST. DE I GRAU VILA UNIAO")</f>
        <v>A.P.M.DA ESC. EST. DE I GRAU VILA UNIAO</v>
      </c>
      <c r="D697" s="212" t="str">
        <f ca="1">IFERROR(__xludf.DUMMYFUNCTION("""COMPUTED_VALUE"""),"01926551000143")</f>
        <v>01926551000143</v>
      </c>
      <c r="E697" s="212" t="str">
        <f ca="1">IFERROR(__xludf.DUMMYFUNCTION("""COMPUTED_VALUE"""),"001")</f>
        <v>001</v>
      </c>
      <c r="F697" s="212" t="str">
        <f ca="1">IFERROR(__xludf.DUMMYFUNCTION("""COMPUTED_VALUE"""),"1505")</f>
        <v>1505</v>
      </c>
      <c r="G697" s="213" t="str">
        <f ca="1">IFERROR(__xludf.DUMMYFUNCTION("""COMPUTED_VALUE"""),"255734")</f>
        <v>255734</v>
      </c>
      <c r="H697" s="211" t="str">
        <f ca="1">IFERROR(__xludf.DUMMYFUNCTION("""COMPUTED_VALUE"""),"ENS FUND PARCIAL")</f>
        <v>ENS FUND PARCIAL</v>
      </c>
      <c r="I697" s="214">
        <f ca="1">IFERROR(__xludf.DUMMYFUNCTION("""COMPUTED_VALUE"""),3290)</f>
        <v>3290</v>
      </c>
      <c r="J697" s="209"/>
      <c r="K697" s="209"/>
      <c r="L697" s="209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9"/>
      <c r="Y697" s="209"/>
      <c r="Z697" s="209"/>
    </row>
    <row r="698" spans="1:26" ht="18.75" customHeight="1">
      <c r="A698" s="210" t="str">
        <f ca="1">IFERROR(__xludf.DUMMYFUNCTION("""COMPUTED_VALUE"""),"Palmas")</f>
        <v>Palmas</v>
      </c>
      <c r="B698" s="210" t="str">
        <f ca="1">IFERROR(__xludf.DUMMYFUNCTION("""COMPUTED_VALUE"""),"Palmas")</f>
        <v>Palmas</v>
      </c>
      <c r="C698" s="211" t="str">
        <f ca="1">IFERROR(__xludf.DUMMYFUNCTION("""COMPUTED_VALUE"""),"A.P.M.DA ESC. EST. DE I GRAU VILA UNIAO")</f>
        <v>A.P.M.DA ESC. EST. DE I GRAU VILA UNIAO</v>
      </c>
      <c r="D698" s="212" t="str">
        <f ca="1">IFERROR(__xludf.DUMMYFUNCTION("""COMPUTED_VALUE"""),"01926551000143")</f>
        <v>01926551000143</v>
      </c>
      <c r="E698" s="212" t="str">
        <f ca="1">IFERROR(__xludf.DUMMYFUNCTION("""COMPUTED_VALUE"""),"001")</f>
        <v>001</v>
      </c>
      <c r="F698" s="212" t="str">
        <f ca="1">IFERROR(__xludf.DUMMYFUNCTION("""COMPUTED_VALUE"""),"1505")</f>
        <v>1505</v>
      </c>
      <c r="G698" s="213" t="str">
        <f ca="1">IFERROR(__xludf.DUMMYFUNCTION("""COMPUTED_VALUE"""),"255734")</f>
        <v>255734</v>
      </c>
      <c r="H698" s="211" t="str">
        <f ca="1">IFERROR(__xludf.DUMMYFUNCTION("""COMPUTED_VALUE"""),"AEE")</f>
        <v>AEE</v>
      </c>
      <c r="I698" s="214">
        <f ca="1">IFERROR(__xludf.DUMMYFUNCTION("""COMPUTED_VALUE"""),258.4)</f>
        <v>258.39999999999998</v>
      </c>
      <c r="J698" s="209"/>
      <c r="K698" s="209"/>
      <c r="L698" s="209"/>
      <c r="M698" s="209"/>
      <c r="N698" s="209"/>
      <c r="O698" s="209"/>
      <c r="P698" s="209"/>
      <c r="Q698" s="209"/>
      <c r="R698" s="209"/>
      <c r="S698" s="209"/>
      <c r="T698" s="209"/>
      <c r="U698" s="209"/>
      <c r="V698" s="209"/>
      <c r="W698" s="209"/>
      <c r="X698" s="209"/>
      <c r="Y698" s="209"/>
      <c r="Z698" s="209"/>
    </row>
    <row r="699" spans="1:26" ht="18.75" customHeight="1">
      <c r="A699" s="210" t="str">
        <f ca="1">IFERROR(__xludf.DUMMYFUNCTION("""COMPUTED_VALUE"""),"Palmas")</f>
        <v>Palmas</v>
      </c>
      <c r="B699" s="210" t="str">
        <f ca="1">IFERROR(__xludf.DUMMYFUNCTION("""COMPUTED_VALUE"""),"Palmas")</f>
        <v>Palmas</v>
      </c>
      <c r="C699" s="211" t="str">
        <f ca="1">IFERROR(__xludf.DUMMYFUNCTION("""COMPUTED_VALUE"""),"A.P.M.DA ESC. EST. DE I GRAU VILA UNIAO")</f>
        <v>A.P.M.DA ESC. EST. DE I GRAU VILA UNIAO</v>
      </c>
      <c r="D699" s="212" t="str">
        <f ca="1">IFERROR(__xludf.DUMMYFUNCTION("""COMPUTED_VALUE"""),"01926551000143")</f>
        <v>01926551000143</v>
      </c>
      <c r="E699" s="212" t="str">
        <f ca="1">IFERROR(__xludf.DUMMYFUNCTION("""COMPUTED_VALUE"""),"001")</f>
        <v>001</v>
      </c>
      <c r="F699" s="212" t="str">
        <f ca="1">IFERROR(__xludf.DUMMYFUNCTION("""COMPUTED_VALUE"""),"1505")</f>
        <v>1505</v>
      </c>
      <c r="G699" s="213" t="str">
        <f ca="1">IFERROR(__xludf.DUMMYFUNCTION("""COMPUTED_VALUE"""),"255734")</f>
        <v>255734</v>
      </c>
      <c r="H699" s="211" t="str">
        <f ca="1">IFERROR(__xludf.DUMMYFUNCTION("""COMPUTED_VALUE"""),"ENSINO MEDIO PARCIAL")</f>
        <v>ENSINO MEDIO PARCIAL</v>
      </c>
      <c r="I699" s="214">
        <f ca="1">IFERROR(__xludf.DUMMYFUNCTION("""COMPUTED_VALUE"""),1530)</f>
        <v>1530</v>
      </c>
      <c r="J699" s="209"/>
      <c r="K699" s="209"/>
      <c r="L699" s="209"/>
      <c r="M699" s="209"/>
      <c r="N699" s="209"/>
      <c r="O699" s="209"/>
      <c r="P699" s="209"/>
      <c r="Q699" s="209"/>
      <c r="R699" s="209"/>
      <c r="S699" s="209"/>
      <c r="T699" s="209"/>
      <c r="U699" s="209"/>
      <c r="V699" s="209"/>
      <c r="W699" s="209"/>
      <c r="X699" s="209"/>
      <c r="Y699" s="209"/>
      <c r="Z699" s="209"/>
    </row>
    <row r="700" spans="1:26" ht="18.75" customHeight="1">
      <c r="A700" s="210" t="str">
        <f ca="1">IFERROR(__xludf.DUMMYFUNCTION("""COMPUTED_VALUE"""),"Palmas")</f>
        <v>Palmas</v>
      </c>
      <c r="B700" s="210" t="str">
        <f ca="1">IFERROR(__xludf.DUMMYFUNCTION("""COMPUTED_VALUE"""),"Palmas")</f>
        <v>Palmas</v>
      </c>
      <c r="C700" s="211" t="str">
        <f ca="1">IFERROR(__xludf.DUMMYFUNCTION("""COMPUTED_VALUE"""),"A.A. DA COM. ESCOLAR - ESC. EST. SANTA FE")</f>
        <v>A.A. DA COM. ESCOLAR - ESC. EST. SANTA FE</v>
      </c>
      <c r="D700" s="212" t="str">
        <f ca="1">IFERROR(__xludf.DUMMYFUNCTION("""COMPUTED_VALUE"""),"01932049000145")</f>
        <v>01932049000145</v>
      </c>
      <c r="E700" s="212" t="str">
        <f ca="1">IFERROR(__xludf.DUMMYFUNCTION("""COMPUTED_VALUE"""),"001")</f>
        <v>001</v>
      </c>
      <c r="F700" s="212" t="str">
        <f ca="1">IFERROR(__xludf.DUMMYFUNCTION("""COMPUTED_VALUE"""),"2781")</f>
        <v>2781</v>
      </c>
      <c r="G700" s="213" t="str">
        <f ca="1">IFERROR(__xludf.DUMMYFUNCTION("""COMPUTED_VALUE"""),"261904")</f>
        <v>261904</v>
      </c>
      <c r="H700" s="211" t="str">
        <f ca="1">IFERROR(__xludf.DUMMYFUNCTION("""COMPUTED_VALUE"""),"ENS FUND PARCIAL")</f>
        <v>ENS FUND PARCIAL</v>
      </c>
      <c r="I700" s="214">
        <f ca="1">IFERROR(__xludf.DUMMYFUNCTION("""COMPUTED_VALUE"""),290)</f>
        <v>290</v>
      </c>
      <c r="J700" s="209"/>
      <c r="K700" s="209"/>
      <c r="L700" s="209"/>
      <c r="M700" s="209"/>
      <c r="N700" s="209"/>
      <c r="O700" s="209"/>
      <c r="P700" s="209"/>
      <c r="Q700" s="209"/>
      <c r="R700" s="209"/>
      <c r="S700" s="209"/>
      <c r="T700" s="209"/>
      <c r="U700" s="209"/>
      <c r="V700" s="209"/>
      <c r="W700" s="209"/>
      <c r="X700" s="209"/>
      <c r="Y700" s="209"/>
      <c r="Z700" s="209"/>
    </row>
    <row r="701" spans="1:26" ht="18.75" customHeight="1">
      <c r="A701" s="210" t="str">
        <f ca="1">IFERROR(__xludf.DUMMYFUNCTION("""COMPUTED_VALUE"""),"Palmas")</f>
        <v>Palmas</v>
      </c>
      <c r="B701" s="210" t="str">
        <f ca="1">IFERROR(__xludf.DUMMYFUNCTION("""COMPUTED_VALUE"""),"Palmas")</f>
        <v>Palmas</v>
      </c>
      <c r="C701" s="211" t="str">
        <f ca="1">IFERROR(__xludf.DUMMYFUNCTION("""COMPUTED_VALUE"""),"A.A. DA COM. ESCOLAR - ESC. EST. SANTA FE")</f>
        <v>A.A. DA COM. ESCOLAR - ESC. EST. SANTA FE</v>
      </c>
      <c r="D701" s="212" t="str">
        <f ca="1">IFERROR(__xludf.DUMMYFUNCTION("""COMPUTED_VALUE"""),"01932049000145")</f>
        <v>01932049000145</v>
      </c>
      <c r="E701" s="212" t="str">
        <f ca="1">IFERROR(__xludf.DUMMYFUNCTION("""COMPUTED_VALUE"""),"001")</f>
        <v>001</v>
      </c>
      <c r="F701" s="212" t="str">
        <f ca="1">IFERROR(__xludf.DUMMYFUNCTION("""COMPUTED_VALUE"""),"2781")</f>
        <v>2781</v>
      </c>
      <c r="G701" s="213" t="str">
        <f ca="1">IFERROR(__xludf.DUMMYFUNCTION("""COMPUTED_VALUE"""),"261904")</f>
        <v>261904</v>
      </c>
      <c r="H701" s="211" t="str">
        <f ca="1">IFERROR(__xludf.DUMMYFUNCTION("""COMPUTED_VALUE"""),"ENSINO MEDIO PARCIAL")</f>
        <v>ENSINO MEDIO PARCIAL</v>
      </c>
      <c r="I701" s="214">
        <f ca="1">IFERROR(__xludf.DUMMYFUNCTION("""COMPUTED_VALUE"""),1820)</f>
        <v>1820</v>
      </c>
      <c r="J701" s="209"/>
      <c r="K701" s="209"/>
      <c r="L701" s="209"/>
      <c r="M701" s="209"/>
      <c r="N701" s="209"/>
      <c r="O701" s="209"/>
      <c r="P701" s="209"/>
      <c r="Q701" s="209"/>
      <c r="R701" s="209"/>
      <c r="S701" s="209"/>
      <c r="T701" s="209"/>
      <c r="U701" s="209"/>
      <c r="V701" s="209"/>
      <c r="W701" s="209"/>
      <c r="X701" s="209"/>
      <c r="Y701" s="209"/>
      <c r="Z701" s="209"/>
    </row>
    <row r="702" spans="1:26" ht="18.75" customHeight="1">
      <c r="A702" s="210" t="str">
        <f ca="1">IFERROR(__xludf.DUMMYFUNCTION("""COMPUTED_VALUE"""),"Palmas")</f>
        <v>Palmas</v>
      </c>
      <c r="B702" s="210" t="str">
        <f ca="1">IFERROR(__xludf.DUMMYFUNCTION("""COMPUTED_VALUE"""),"Palmas")</f>
        <v>Palmas</v>
      </c>
      <c r="C702" s="211" t="str">
        <f ca="1">IFERROR(__xludf.DUMMYFUNCTION("""COMPUTED_VALUE"""),"A.CONS.ESCOLAR E. EST.I GRAU LIBERDADE")</f>
        <v>A.CONS.ESCOLAR E. EST.I GRAU LIBERDADE</v>
      </c>
      <c r="D702" s="212" t="str">
        <f ca="1">IFERROR(__xludf.DUMMYFUNCTION("""COMPUTED_VALUE"""),"01936355000150")</f>
        <v>01936355000150</v>
      </c>
      <c r="E702" s="212" t="str">
        <f ca="1">IFERROR(__xludf.DUMMYFUNCTION("""COMPUTED_VALUE"""),"001")</f>
        <v>001</v>
      </c>
      <c r="F702" s="212" t="str">
        <f ca="1">IFERROR(__xludf.DUMMYFUNCTION("""COMPUTED_VALUE"""),"1505")</f>
        <v>1505</v>
      </c>
      <c r="G702" s="213" t="str">
        <f ca="1">IFERROR(__xludf.DUMMYFUNCTION("""COMPUTED_VALUE"""),"257028")</f>
        <v>257028</v>
      </c>
      <c r="H702" s="211" t="str">
        <f ca="1">IFERROR(__xludf.DUMMYFUNCTION("""COMPUTED_VALUE"""),"ENS FUND PARCIAL")</f>
        <v>ENS FUND PARCIAL</v>
      </c>
      <c r="I702" s="214">
        <f ca="1">IFERROR(__xludf.DUMMYFUNCTION("""COMPUTED_VALUE"""),5340)</f>
        <v>5340</v>
      </c>
      <c r="J702" s="209"/>
      <c r="K702" s="209"/>
      <c r="L702" s="209"/>
      <c r="M702" s="209"/>
      <c r="N702" s="209"/>
      <c r="O702" s="209"/>
      <c r="P702" s="209"/>
      <c r="Q702" s="209"/>
      <c r="R702" s="209"/>
      <c r="S702" s="209"/>
      <c r="T702" s="209"/>
      <c r="U702" s="209"/>
      <c r="V702" s="209"/>
      <c r="W702" s="209"/>
      <c r="X702" s="209"/>
      <c r="Y702" s="209"/>
      <c r="Z702" s="209"/>
    </row>
    <row r="703" spans="1:26" ht="18.75" customHeight="1">
      <c r="A703" s="210" t="str">
        <f ca="1">IFERROR(__xludf.DUMMYFUNCTION("""COMPUTED_VALUE"""),"Palmas")</f>
        <v>Palmas</v>
      </c>
      <c r="B703" s="210" t="str">
        <f ca="1">IFERROR(__xludf.DUMMYFUNCTION("""COMPUTED_VALUE"""),"Palmas")</f>
        <v>Palmas</v>
      </c>
      <c r="C703" s="211" t="str">
        <f ca="1">IFERROR(__xludf.DUMMYFUNCTION("""COMPUTED_VALUE"""),"A.CONS.ESCOLAR E. EST.I GRAU LIBERDADE")</f>
        <v>A.CONS.ESCOLAR E. EST.I GRAU LIBERDADE</v>
      </c>
      <c r="D703" s="212" t="str">
        <f ca="1">IFERROR(__xludf.DUMMYFUNCTION("""COMPUTED_VALUE"""),"01936355000150")</f>
        <v>01936355000150</v>
      </c>
      <c r="E703" s="212" t="str">
        <f ca="1">IFERROR(__xludf.DUMMYFUNCTION("""COMPUTED_VALUE"""),"001")</f>
        <v>001</v>
      </c>
      <c r="F703" s="212" t="str">
        <f ca="1">IFERROR(__xludf.DUMMYFUNCTION("""COMPUTED_VALUE"""),"1505")</f>
        <v>1505</v>
      </c>
      <c r="G703" s="213" t="str">
        <f ca="1">IFERROR(__xludf.DUMMYFUNCTION("""COMPUTED_VALUE"""),"257028")</f>
        <v>257028</v>
      </c>
      <c r="H703" s="211" t="str">
        <f ca="1">IFERROR(__xludf.DUMMYFUNCTION("""COMPUTED_VALUE"""),"AEE")</f>
        <v>AEE</v>
      </c>
      <c r="I703" s="214">
        <f ca="1">IFERROR(__xludf.DUMMYFUNCTION("""COMPUTED_VALUE"""),571.199999999999)</f>
        <v>571.19999999999902</v>
      </c>
      <c r="J703" s="209"/>
      <c r="K703" s="209"/>
      <c r="L703" s="209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9"/>
      <c r="Y703" s="209"/>
      <c r="Z703" s="209"/>
    </row>
    <row r="704" spans="1:26" ht="18.75" customHeight="1">
      <c r="A704" s="210" t="str">
        <f ca="1">IFERROR(__xludf.DUMMYFUNCTION("""COMPUTED_VALUE"""),"Palmas")</f>
        <v>Palmas</v>
      </c>
      <c r="B704" s="210" t="str">
        <f ca="1">IFERROR(__xludf.DUMMYFUNCTION("""COMPUTED_VALUE"""),"Palmas")</f>
        <v>Palmas</v>
      </c>
      <c r="C704" s="211" t="str">
        <f ca="1">IFERROR(__xludf.DUMMYFUNCTION("""COMPUTED_VALUE"""),"A.CONS.ESCOLAR E. EST.I GRAU LIBERDADE")</f>
        <v>A.CONS.ESCOLAR E. EST.I GRAU LIBERDADE</v>
      </c>
      <c r="D704" s="212" t="str">
        <f ca="1">IFERROR(__xludf.DUMMYFUNCTION("""COMPUTED_VALUE"""),"01936355000150")</f>
        <v>01936355000150</v>
      </c>
      <c r="E704" s="212" t="str">
        <f ca="1">IFERROR(__xludf.DUMMYFUNCTION("""COMPUTED_VALUE"""),"001")</f>
        <v>001</v>
      </c>
      <c r="F704" s="212" t="str">
        <f ca="1">IFERROR(__xludf.DUMMYFUNCTION("""COMPUTED_VALUE"""),"1505")</f>
        <v>1505</v>
      </c>
      <c r="G704" s="213" t="str">
        <f ca="1">IFERROR(__xludf.DUMMYFUNCTION("""COMPUTED_VALUE"""),"257028")</f>
        <v>257028</v>
      </c>
      <c r="H704" s="211" t="str">
        <f ca="1">IFERROR(__xludf.DUMMYFUNCTION("""COMPUTED_VALUE"""),"ENSINO MEDIO PARCIAL")</f>
        <v>ENSINO MEDIO PARCIAL</v>
      </c>
      <c r="I704" s="214">
        <f ca="1">IFERROR(__xludf.DUMMYFUNCTION("""COMPUTED_VALUE"""),9100)</f>
        <v>9100</v>
      </c>
      <c r="J704" s="209"/>
      <c r="K704" s="209"/>
      <c r="L704" s="209"/>
      <c r="M704" s="209"/>
      <c r="N704" s="209"/>
      <c r="O704" s="209"/>
      <c r="P704" s="209"/>
      <c r="Q704" s="209"/>
      <c r="R704" s="209"/>
      <c r="S704" s="209"/>
      <c r="T704" s="209"/>
      <c r="U704" s="209"/>
      <c r="V704" s="209"/>
      <c r="W704" s="209"/>
      <c r="X704" s="209"/>
      <c r="Y704" s="209"/>
      <c r="Z704" s="209"/>
    </row>
    <row r="705" spans="1:26" ht="18.75" customHeight="1">
      <c r="A705" s="210" t="str">
        <f ca="1">IFERROR(__xludf.DUMMYFUNCTION("""COMPUTED_VALUE"""),"Palmas")</f>
        <v>Palmas</v>
      </c>
      <c r="B705" s="210" t="str">
        <f ca="1">IFERROR(__xludf.DUMMYFUNCTION("""COMPUTED_VALUE"""),"Palmas")</f>
        <v>Palmas</v>
      </c>
      <c r="C705" s="211" t="str">
        <f ca="1">IFERROR(__xludf.DUMMYFUNCTION("""COMPUTED_VALUE"""),"A.CONS.ESCOLAR E. EST.I GRAU LIBERDADE")</f>
        <v>A.CONS.ESCOLAR E. EST.I GRAU LIBERDADE</v>
      </c>
      <c r="D705" s="212" t="str">
        <f ca="1">IFERROR(__xludf.DUMMYFUNCTION("""COMPUTED_VALUE"""),"01936355000150")</f>
        <v>01936355000150</v>
      </c>
      <c r="E705" s="212" t="str">
        <f ca="1">IFERROR(__xludf.DUMMYFUNCTION("""COMPUTED_VALUE"""),"001")</f>
        <v>001</v>
      </c>
      <c r="F705" s="212" t="str">
        <f ca="1">IFERROR(__xludf.DUMMYFUNCTION("""COMPUTED_VALUE"""),"1505")</f>
        <v>1505</v>
      </c>
      <c r="G705" s="213" t="str">
        <f ca="1">IFERROR(__xludf.DUMMYFUNCTION("""COMPUTED_VALUE"""),"257028")</f>
        <v>257028</v>
      </c>
      <c r="H705" s="211" t="str">
        <f ca="1">IFERROR(__xludf.DUMMYFUNCTION("""COMPUTED_VALUE"""),"EJA")</f>
        <v>EJA</v>
      </c>
      <c r="I705" s="214">
        <f ca="1">IFERROR(__xludf.DUMMYFUNCTION("""COMPUTED_VALUE"""),983.999999999999)</f>
        <v>983.99999999999898</v>
      </c>
      <c r="J705" s="209"/>
      <c r="K705" s="209"/>
      <c r="L705" s="209"/>
      <c r="M705" s="209"/>
      <c r="N705" s="209"/>
      <c r="O705" s="209"/>
      <c r="P705" s="209"/>
      <c r="Q705" s="209"/>
      <c r="R705" s="209"/>
      <c r="S705" s="209"/>
      <c r="T705" s="209"/>
      <c r="U705" s="209"/>
      <c r="V705" s="209"/>
      <c r="W705" s="209"/>
      <c r="X705" s="209"/>
      <c r="Y705" s="209"/>
      <c r="Z705" s="209"/>
    </row>
    <row r="706" spans="1:26" ht="18.75" customHeight="1">
      <c r="A706" s="210" t="str">
        <f ca="1">IFERROR(__xludf.DUMMYFUNCTION("""COMPUTED_VALUE"""),"Palmas")</f>
        <v>Palmas</v>
      </c>
      <c r="B706" s="210" t="str">
        <f ca="1">IFERROR(__xludf.DUMMYFUNCTION("""COMPUTED_VALUE"""),"Palmas")</f>
        <v>Palmas</v>
      </c>
      <c r="C706" s="211" t="str">
        <f ca="1">IFERROR(__xludf.DUMMYFUNCTION("""COMPUTED_VALUE"""),"A.AP. DO COL. EST. SANTA RITA DE CASSIA")</f>
        <v>A.AP. DO COL. EST. SANTA RITA DE CASSIA</v>
      </c>
      <c r="D706" s="212" t="str">
        <f ca="1">IFERROR(__xludf.DUMMYFUNCTION("""COMPUTED_VALUE"""),"01955414000137")</f>
        <v>01955414000137</v>
      </c>
      <c r="E706" s="212" t="str">
        <f ca="1">IFERROR(__xludf.DUMMYFUNCTION("""COMPUTED_VALUE"""),"001")</f>
        <v>001</v>
      </c>
      <c r="F706" s="212" t="str">
        <f ca="1">IFERROR(__xludf.DUMMYFUNCTION("""COMPUTED_VALUE"""),"1505")</f>
        <v>1505</v>
      </c>
      <c r="G706" s="213" t="str">
        <f ca="1">IFERROR(__xludf.DUMMYFUNCTION("""COMPUTED_VALUE"""),"256579")</f>
        <v>256579</v>
      </c>
      <c r="H706" s="211" t="str">
        <f ca="1">IFERROR(__xludf.DUMMYFUNCTION("""COMPUTED_VALUE"""),"AEE")</f>
        <v>AEE</v>
      </c>
      <c r="I706" s="214">
        <f ca="1">IFERROR(__xludf.DUMMYFUNCTION("""COMPUTED_VALUE"""),122.399999999999)</f>
        <v>122.399999999999</v>
      </c>
      <c r="J706" s="209"/>
      <c r="K706" s="209"/>
      <c r="L706" s="209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9"/>
    </row>
    <row r="707" spans="1:26" ht="18.75" customHeight="1">
      <c r="A707" s="210" t="str">
        <f ca="1">IFERROR(__xludf.DUMMYFUNCTION("""COMPUTED_VALUE"""),"Palmas")</f>
        <v>Palmas</v>
      </c>
      <c r="B707" s="210" t="str">
        <f ca="1">IFERROR(__xludf.DUMMYFUNCTION("""COMPUTED_VALUE"""),"Palmas")</f>
        <v>Palmas</v>
      </c>
      <c r="C707" s="211" t="str">
        <f ca="1">IFERROR(__xludf.DUMMYFUNCTION("""COMPUTED_VALUE"""),"A.AP. DO COL. EST. SANTA RITA DE CASSIA")</f>
        <v>A.AP. DO COL. EST. SANTA RITA DE CASSIA</v>
      </c>
      <c r="D707" s="212" t="str">
        <f ca="1">IFERROR(__xludf.DUMMYFUNCTION("""COMPUTED_VALUE"""),"01955414000137")</f>
        <v>01955414000137</v>
      </c>
      <c r="E707" s="212" t="str">
        <f ca="1">IFERROR(__xludf.DUMMYFUNCTION("""COMPUTED_VALUE"""),"001")</f>
        <v>001</v>
      </c>
      <c r="F707" s="212" t="str">
        <f ca="1">IFERROR(__xludf.DUMMYFUNCTION("""COMPUTED_VALUE"""),"1505")</f>
        <v>1505</v>
      </c>
      <c r="G707" s="213" t="str">
        <f ca="1">IFERROR(__xludf.DUMMYFUNCTION("""COMPUTED_VALUE"""),"256579")</f>
        <v>256579</v>
      </c>
      <c r="H707" s="211" t="str">
        <f ca="1">IFERROR(__xludf.DUMMYFUNCTION("""COMPUTED_VALUE"""),"JOVEM AÇÃO")</f>
        <v>JOVEM AÇÃO</v>
      </c>
      <c r="I707" s="214">
        <f ca="1">IFERROR(__xludf.DUMMYFUNCTION("""COMPUTED_VALUE"""),11161.6)</f>
        <v>11161.6</v>
      </c>
      <c r="J707" s="209"/>
      <c r="K707" s="209"/>
      <c r="L707" s="209"/>
      <c r="M707" s="209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9"/>
    </row>
    <row r="708" spans="1:26" ht="18.75" customHeight="1">
      <c r="A708" s="210" t="str">
        <f ca="1">IFERROR(__xludf.DUMMYFUNCTION("""COMPUTED_VALUE"""),"Palmas")</f>
        <v>Palmas</v>
      </c>
      <c r="B708" s="210" t="str">
        <f ca="1">IFERROR(__xludf.DUMMYFUNCTION("""COMPUTED_VALUE"""),"Palmas")</f>
        <v>Palmas</v>
      </c>
      <c r="C708" s="211" t="str">
        <f ca="1">IFERROR(__xludf.DUMMYFUNCTION("""COMPUTED_VALUE"""),"ASSOC. DE APOIO COL. DA POLICIA MILITAR DO TOCANTINS")</f>
        <v>ASSOC. DE APOIO COL. DA POLICIA MILITAR DO TOCANTINS</v>
      </c>
      <c r="D708" s="212" t="str">
        <f ca="1">IFERROR(__xludf.DUMMYFUNCTION("""COMPUTED_VALUE"""),"02050257000183")</f>
        <v>02050257000183</v>
      </c>
      <c r="E708" s="212" t="str">
        <f ca="1">IFERROR(__xludf.DUMMYFUNCTION("""COMPUTED_VALUE"""),"001")</f>
        <v>001</v>
      </c>
      <c r="F708" s="212" t="str">
        <f ca="1">IFERROR(__xludf.DUMMYFUNCTION("""COMPUTED_VALUE"""),"1505")</f>
        <v>1505</v>
      </c>
      <c r="G708" s="213" t="str">
        <f ca="1">IFERROR(__xludf.DUMMYFUNCTION("""COMPUTED_VALUE"""),"455466")</f>
        <v>455466</v>
      </c>
      <c r="H708" s="211" t="str">
        <f ca="1">IFERROR(__xludf.DUMMYFUNCTION("""COMPUTED_VALUE"""),"JOVEM AÇÃO")</f>
        <v>JOVEM AÇÃO</v>
      </c>
      <c r="I708" s="214">
        <f ca="1">IFERROR(__xludf.DUMMYFUNCTION("""COMPUTED_VALUE"""),35686.4)</f>
        <v>35686.400000000001</v>
      </c>
      <c r="J708" s="209"/>
      <c r="K708" s="209"/>
      <c r="L708" s="209"/>
      <c r="M708" s="209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9"/>
    </row>
    <row r="709" spans="1:26" ht="18.75" customHeight="1">
      <c r="A709" s="210" t="str">
        <f ca="1">IFERROR(__xludf.DUMMYFUNCTION("""COMPUTED_VALUE"""),"Palmas")</f>
        <v>Palmas</v>
      </c>
      <c r="B709" s="210" t="str">
        <f ca="1">IFERROR(__xludf.DUMMYFUNCTION("""COMPUTED_VALUE"""),"Palmas")</f>
        <v>Palmas</v>
      </c>
      <c r="C709" s="211" t="str">
        <f ca="1">IFERROR(__xludf.DUMMYFUNCTION("""COMPUTED_VALUE"""),"AÇÃO SOCIAL JESUS DE NAZARÉ/ESC JOÃO PAULO II")</f>
        <v>AÇÃO SOCIAL JESUS DE NAZARÉ/ESC JOÃO PAULO II</v>
      </c>
      <c r="D709" s="212" t="str">
        <f ca="1">IFERROR(__xludf.DUMMYFUNCTION("""COMPUTED_VALUE"""),"03005522000174")</f>
        <v>03005522000174</v>
      </c>
      <c r="E709" s="212" t="str">
        <f ca="1">IFERROR(__xludf.DUMMYFUNCTION("""COMPUTED_VALUE"""),"001")</f>
        <v>001</v>
      </c>
      <c r="F709" s="212" t="str">
        <f ca="1">IFERROR(__xludf.DUMMYFUNCTION("""COMPUTED_VALUE"""),"1505")</f>
        <v>1505</v>
      </c>
      <c r="G709" s="213" t="str">
        <f ca="1">IFERROR(__xludf.DUMMYFUNCTION("""COMPUTED_VALUE"""),"423475")</f>
        <v>423475</v>
      </c>
      <c r="H709" s="211" t="str">
        <f ca="1">IFERROR(__xludf.DUMMYFUNCTION("""COMPUTED_VALUE"""),"ENS FUND PARCIAL")</f>
        <v>ENS FUND PARCIAL</v>
      </c>
      <c r="I709" s="214">
        <f ca="1">IFERROR(__xludf.DUMMYFUNCTION("""COMPUTED_VALUE"""),1220)</f>
        <v>1220</v>
      </c>
      <c r="J709" s="209"/>
      <c r="K709" s="209"/>
      <c r="L709" s="209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9"/>
    </row>
    <row r="710" spans="1:26" ht="18.75" customHeight="1">
      <c r="A710" s="210" t="str">
        <f ca="1">IFERROR(__xludf.DUMMYFUNCTION("""COMPUTED_VALUE"""),"Palmas")</f>
        <v>Palmas</v>
      </c>
      <c r="B710" s="210" t="str">
        <f ca="1">IFERROR(__xludf.DUMMYFUNCTION("""COMPUTED_VALUE"""),"Palmas")</f>
        <v>Palmas</v>
      </c>
      <c r="C710" s="211" t="str">
        <f ca="1">IFERROR(__xludf.DUMMYFUNCTION("""COMPUTED_VALUE"""),"ASSOC. DE APOIO COL. EST. DE TAQUARALTO")</f>
        <v>ASSOC. DE APOIO COL. EST. DE TAQUARALTO</v>
      </c>
      <c r="D710" s="212" t="str">
        <f ca="1">IFERROR(__xludf.DUMMYFUNCTION("""COMPUTED_VALUE"""),"03233677000168")</f>
        <v>03233677000168</v>
      </c>
      <c r="E710" s="212" t="str">
        <f ca="1">IFERROR(__xludf.DUMMYFUNCTION("""COMPUTED_VALUE"""),"001")</f>
        <v>001</v>
      </c>
      <c r="F710" s="212" t="str">
        <f ca="1">IFERROR(__xludf.DUMMYFUNCTION("""COMPUTED_VALUE"""),"1505")</f>
        <v>1505</v>
      </c>
      <c r="G710" s="213" t="str">
        <f ca="1">IFERROR(__xludf.DUMMYFUNCTION("""COMPUTED_VALUE"""),"455059")</f>
        <v>455059</v>
      </c>
      <c r="H710" s="211" t="str">
        <f ca="1">IFERROR(__xludf.DUMMYFUNCTION("""COMPUTED_VALUE"""),"AEE")</f>
        <v>AEE</v>
      </c>
      <c r="I710" s="214">
        <f ca="1">IFERROR(__xludf.DUMMYFUNCTION("""COMPUTED_VALUE"""),353.599999999999)</f>
        <v>353.599999999999</v>
      </c>
      <c r="J710" s="209"/>
      <c r="K710" s="209"/>
      <c r="L710" s="209"/>
      <c r="M710" s="209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9"/>
    </row>
    <row r="711" spans="1:26" ht="18.75" customHeight="1">
      <c r="A711" s="210" t="str">
        <f ca="1">IFERROR(__xludf.DUMMYFUNCTION("""COMPUTED_VALUE"""),"Palmas")</f>
        <v>Palmas</v>
      </c>
      <c r="B711" s="210" t="str">
        <f ca="1">IFERROR(__xludf.DUMMYFUNCTION("""COMPUTED_VALUE"""),"Palmas")</f>
        <v>Palmas</v>
      </c>
      <c r="C711" s="211" t="str">
        <f ca="1">IFERROR(__xludf.DUMMYFUNCTION("""COMPUTED_VALUE"""),"ASSOC. DE APOIO COL. EST. DE TAQUARALTO")</f>
        <v>ASSOC. DE APOIO COL. EST. DE TAQUARALTO</v>
      </c>
      <c r="D711" s="212" t="str">
        <f ca="1">IFERROR(__xludf.DUMMYFUNCTION("""COMPUTED_VALUE"""),"03233677000168")</f>
        <v>03233677000168</v>
      </c>
      <c r="E711" s="212" t="str">
        <f ca="1">IFERROR(__xludf.DUMMYFUNCTION("""COMPUTED_VALUE"""),"001")</f>
        <v>001</v>
      </c>
      <c r="F711" s="212" t="str">
        <f ca="1">IFERROR(__xludf.DUMMYFUNCTION("""COMPUTED_VALUE"""),"1505")</f>
        <v>1505</v>
      </c>
      <c r="G711" s="213" t="str">
        <f ca="1">IFERROR(__xludf.DUMMYFUNCTION("""COMPUTED_VALUE"""),"455059")</f>
        <v>455059</v>
      </c>
      <c r="H711" s="211" t="str">
        <f ca="1">IFERROR(__xludf.DUMMYFUNCTION("""COMPUTED_VALUE"""),"ENSINO MEDIO PARCIAL")</f>
        <v>ENSINO MEDIO PARCIAL</v>
      </c>
      <c r="I711" s="214">
        <f ca="1">IFERROR(__xludf.DUMMYFUNCTION("""COMPUTED_VALUE"""),30120)</f>
        <v>30120</v>
      </c>
      <c r="J711" s="209"/>
      <c r="K711" s="209"/>
      <c r="L711" s="209"/>
      <c r="M711" s="209"/>
      <c r="N711" s="209"/>
      <c r="O711" s="209"/>
      <c r="P711" s="209"/>
      <c r="Q711" s="209"/>
      <c r="R711" s="209"/>
      <c r="S711" s="209"/>
      <c r="T711" s="209"/>
      <c r="U711" s="209"/>
      <c r="V711" s="209"/>
      <c r="W711" s="209"/>
      <c r="X711" s="209"/>
      <c r="Y711" s="209"/>
      <c r="Z711" s="209"/>
    </row>
    <row r="712" spans="1:26" ht="18.75" customHeight="1">
      <c r="A712" s="210" t="str">
        <f ca="1">IFERROR(__xludf.DUMMYFUNCTION("""COMPUTED_VALUE"""),"Palmas")</f>
        <v>Palmas</v>
      </c>
      <c r="B712" s="210" t="str">
        <f ca="1">IFERROR(__xludf.DUMMYFUNCTION("""COMPUTED_VALUE"""),"Palmas")</f>
        <v>Palmas</v>
      </c>
      <c r="C712" s="211" t="str">
        <f ca="1">IFERROR(__xludf.DUMMYFUNCTION("""COMPUTED_VALUE"""),"ASSOC. DE APOIO COL. EST. DE TAQUARALTO")</f>
        <v>ASSOC. DE APOIO COL. EST. DE TAQUARALTO</v>
      </c>
      <c r="D712" s="212" t="str">
        <f ca="1">IFERROR(__xludf.DUMMYFUNCTION("""COMPUTED_VALUE"""),"03233677000168")</f>
        <v>03233677000168</v>
      </c>
      <c r="E712" s="212" t="str">
        <f ca="1">IFERROR(__xludf.DUMMYFUNCTION("""COMPUTED_VALUE"""),"001")</f>
        <v>001</v>
      </c>
      <c r="F712" s="212" t="str">
        <f ca="1">IFERROR(__xludf.DUMMYFUNCTION("""COMPUTED_VALUE"""),"1505")</f>
        <v>1505</v>
      </c>
      <c r="G712" s="213" t="str">
        <f ca="1">IFERROR(__xludf.DUMMYFUNCTION("""COMPUTED_VALUE"""),"455059")</f>
        <v>455059</v>
      </c>
      <c r="H712" s="211" t="str">
        <f ca="1">IFERROR(__xludf.DUMMYFUNCTION("""COMPUTED_VALUE"""),"EJA")</f>
        <v>EJA</v>
      </c>
      <c r="I712" s="214">
        <f ca="1">IFERROR(__xludf.DUMMYFUNCTION("""COMPUTED_VALUE"""),1869.6)</f>
        <v>1869.6</v>
      </c>
      <c r="J712" s="209"/>
      <c r="K712" s="209"/>
      <c r="L712" s="209"/>
      <c r="M712" s="209"/>
      <c r="N712" s="209"/>
      <c r="O712" s="209"/>
      <c r="P712" s="209"/>
      <c r="Q712" s="209"/>
      <c r="R712" s="209"/>
      <c r="S712" s="209"/>
      <c r="T712" s="209"/>
      <c r="U712" s="209"/>
      <c r="V712" s="209"/>
      <c r="W712" s="209"/>
      <c r="X712" s="209"/>
      <c r="Y712" s="209"/>
      <c r="Z712" s="209"/>
    </row>
    <row r="713" spans="1:26" ht="18.75" customHeight="1">
      <c r="A713" s="210" t="str">
        <f ca="1">IFERROR(__xludf.DUMMYFUNCTION("""COMPUTED_VALUE"""),"Palmas")</f>
        <v>Palmas</v>
      </c>
      <c r="B713" s="210" t="str">
        <f ca="1">IFERROR(__xludf.DUMMYFUNCTION("""COMPUTED_VALUE"""),"Palmas")</f>
        <v>Palmas</v>
      </c>
      <c r="C713" s="211" t="str">
        <f ca="1">IFERROR(__xludf.DUMMYFUNCTION("""COMPUTED_VALUE"""),"A. DE CONSELHO ESCOLAR DO CEM 305 NORTE")</f>
        <v>A. DE CONSELHO ESCOLAR DO CEM 305 NORTE</v>
      </c>
      <c r="D713" s="212" t="str">
        <f ca="1">IFERROR(__xludf.DUMMYFUNCTION("""COMPUTED_VALUE"""),"04701394000166")</f>
        <v>04701394000166</v>
      </c>
      <c r="E713" s="212" t="str">
        <f ca="1">IFERROR(__xludf.DUMMYFUNCTION("""COMPUTED_VALUE"""),"001")</f>
        <v>001</v>
      </c>
      <c r="F713" s="212" t="str">
        <f ca="1">IFERROR(__xludf.DUMMYFUNCTION("""COMPUTED_VALUE"""),"1505")</f>
        <v>1505</v>
      </c>
      <c r="G713" s="213" t="str">
        <f ca="1">IFERROR(__xludf.DUMMYFUNCTION("""COMPUTED_VALUE"""),"455261")</f>
        <v>455261</v>
      </c>
      <c r="H713" s="211" t="str">
        <f ca="1">IFERROR(__xludf.DUMMYFUNCTION("""COMPUTED_VALUE"""),"AEE")</f>
        <v>AEE</v>
      </c>
      <c r="I713" s="214">
        <f ca="1">IFERROR(__xludf.DUMMYFUNCTION("""COMPUTED_VALUE"""),163.2)</f>
        <v>163.19999999999999</v>
      </c>
      <c r="J713" s="209"/>
      <c r="K713" s="209"/>
      <c r="L713" s="209"/>
      <c r="M713" s="209"/>
      <c r="N713" s="209"/>
      <c r="O713" s="209"/>
      <c r="P713" s="209"/>
      <c r="Q713" s="209"/>
      <c r="R713" s="209"/>
      <c r="S713" s="209"/>
      <c r="T713" s="209"/>
      <c r="U713" s="209"/>
      <c r="V713" s="209"/>
      <c r="W713" s="209"/>
      <c r="X713" s="209"/>
      <c r="Y713" s="209"/>
      <c r="Z713" s="209"/>
    </row>
    <row r="714" spans="1:26" ht="18.75" customHeight="1">
      <c r="A714" s="210" t="str">
        <f ca="1">IFERROR(__xludf.DUMMYFUNCTION("""COMPUTED_VALUE"""),"Palmas")</f>
        <v>Palmas</v>
      </c>
      <c r="B714" s="210" t="str">
        <f ca="1">IFERROR(__xludf.DUMMYFUNCTION("""COMPUTED_VALUE"""),"Palmas")</f>
        <v>Palmas</v>
      </c>
      <c r="C714" s="211" t="str">
        <f ca="1">IFERROR(__xludf.DUMMYFUNCTION("""COMPUTED_VALUE"""),"A. DE CONSELHO ESCOLAR DO CEM 305 NORTE")</f>
        <v>A. DE CONSELHO ESCOLAR DO CEM 305 NORTE</v>
      </c>
      <c r="D714" s="212" t="str">
        <f ca="1">IFERROR(__xludf.DUMMYFUNCTION("""COMPUTED_VALUE"""),"04701394000166")</f>
        <v>04701394000166</v>
      </c>
      <c r="E714" s="212" t="str">
        <f ca="1">IFERROR(__xludf.DUMMYFUNCTION("""COMPUTED_VALUE"""),"001")</f>
        <v>001</v>
      </c>
      <c r="F714" s="212" t="str">
        <f ca="1">IFERROR(__xludf.DUMMYFUNCTION("""COMPUTED_VALUE"""),"1505")</f>
        <v>1505</v>
      </c>
      <c r="G714" s="213" t="str">
        <f ca="1">IFERROR(__xludf.DUMMYFUNCTION("""COMPUTED_VALUE"""),"455261")</f>
        <v>455261</v>
      </c>
      <c r="H714" s="211" t="str">
        <f ca="1">IFERROR(__xludf.DUMMYFUNCTION("""COMPUTED_VALUE"""),"ENSINO MEDIO PARCIAL")</f>
        <v>ENSINO MEDIO PARCIAL</v>
      </c>
      <c r="I714" s="214">
        <f ca="1">IFERROR(__xludf.DUMMYFUNCTION("""COMPUTED_VALUE"""),11480)</f>
        <v>11480</v>
      </c>
      <c r="J714" s="209"/>
      <c r="K714" s="209"/>
      <c r="L714" s="209"/>
      <c r="M714" s="209"/>
      <c r="N714" s="209"/>
      <c r="O714" s="209"/>
      <c r="P714" s="209"/>
      <c r="Q714" s="209"/>
      <c r="R714" s="209"/>
      <c r="S714" s="209"/>
      <c r="T714" s="209"/>
      <c r="U714" s="209"/>
      <c r="V714" s="209"/>
      <c r="W714" s="209"/>
      <c r="X714" s="209"/>
      <c r="Y714" s="209"/>
      <c r="Z714" s="209"/>
    </row>
    <row r="715" spans="1:26" ht="18.75" customHeight="1">
      <c r="A715" s="210" t="str">
        <f ca="1">IFERROR(__xludf.DUMMYFUNCTION("""COMPUTED_VALUE"""),"Palmas")</f>
        <v>Palmas</v>
      </c>
      <c r="B715" s="210" t="str">
        <f ca="1">IFERROR(__xludf.DUMMYFUNCTION("""COMPUTED_VALUE"""),"Palmas")</f>
        <v>Palmas</v>
      </c>
      <c r="C715" s="211" t="str">
        <f ca="1">IFERROR(__xludf.DUMMYFUNCTION("""COMPUTED_VALUE"""),"A.A. DO INST.PRESB.EDUC.SOC.REV.ROBERT CA")</f>
        <v>A.A. DO INST.PRESB.EDUC.SOC.REV.ROBERT CA</v>
      </c>
      <c r="D715" s="212" t="str">
        <f ca="1">IFERROR(__xludf.DUMMYFUNCTION("""COMPUTED_VALUE"""),"05470057000178")</f>
        <v>05470057000178</v>
      </c>
      <c r="E715" s="212" t="str">
        <f ca="1">IFERROR(__xludf.DUMMYFUNCTION("""COMPUTED_VALUE"""),"001")</f>
        <v>001</v>
      </c>
      <c r="F715" s="212" t="str">
        <f ca="1">IFERROR(__xludf.DUMMYFUNCTION("""COMPUTED_VALUE"""),"1505")</f>
        <v>1505</v>
      </c>
      <c r="G715" s="213" t="str">
        <f ca="1">IFERROR(__xludf.DUMMYFUNCTION("""COMPUTED_VALUE"""),"45110X")</f>
        <v>45110X</v>
      </c>
      <c r="H715" s="211" t="str">
        <f ca="1">IFERROR(__xludf.DUMMYFUNCTION("""COMPUTED_VALUE"""),"ENS FUND PARCIAL")</f>
        <v>ENS FUND PARCIAL</v>
      </c>
      <c r="I715" s="214">
        <f ca="1">IFERROR(__xludf.DUMMYFUNCTION("""COMPUTED_VALUE"""),4690)</f>
        <v>4690</v>
      </c>
      <c r="J715" s="209"/>
      <c r="K715" s="209"/>
      <c r="L715" s="209"/>
      <c r="M715" s="209"/>
      <c r="N715" s="209"/>
      <c r="O715" s="209"/>
      <c r="P715" s="209"/>
      <c r="Q715" s="209"/>
      <c r="R715" s="209"/>
      <c r="S715" s="209"/>
      <c r="T715" s="209"/>
      <c r="U715" s="209"/>
      <c r="V715" s="209"/>
      <c r="W715" s="209"/>
      <c r="X715" s="209"/>
      <c r="Y715" s="209"/>
      <c r="Z715" s="209"/>
    </row>
    <row r="716" spans="1:26" ht="18.75" customHeight="1">
      <c r="A716" s="210" t="str">
        <f ca="1">IFERROR(__xludf.DUMMYFUNCTION("""COMPUTED_VALUE"""),"Palmas")</f>
        <v>Palmas</v>
      </c>
      <c r="B716" s="210" t="str">
        <f ca="1">IFERROR(__xludf.DUMMYFUNCTION("""COMPUTED_VALUE"""),"Palmas")</f>
        <v>Palmas</v>
      </c>
      <c r="C716" s="211" t="str">
        <f ca="1">IFERROR(__xludf.DUMMYFUNCTION("""COMPUTED_VALUE"""),"ASSOCIAÇÃO DE APOIO DA ESCOLA ESPECIAL INTEGRAÇÃO DE PALMAS")</f>
        <v>ASSOCIAÇÃO DE APOIO DA ESCOLA ESPECIAL INTEGRAÇÃO DE PALMAS</v>
      </c>
      <c r="D716" s="212" t="str">
        <f ca="1">IFERROR(__xludf.DUMMYFUNCTION("""COMPUTED_VALUE"""),"07958777000102")</f>
        <v>07958777000102</v>
      </c>
      <c r="E716" s="212" t="str">
        <f ca="1">IFERROR(__xludf.DUMMYFUNCTION("""COMPUTED_VALUE"""),"001")</f>
        <v>001</v>
      </c>
      <c r="F716" s="212" t="str">
        <f ca="1">IFERROR(__xludf.DUMMYFUNCTION("""COMPUTED_VALUE"""),"1505")</f>
        <v>1505</v>
      </c>
      <c r="G716" s="213" t="str">
        <f ca="1">IFERROR(__xludf.DUMMYFUNCTION("""COMPUTED_VALUE"""),"385328")</f>
        <v>385328</v>
      </c>
      <c r="H716" s="211" t="str">
        <f ca="1">IFERROR(__xludf.DUMMYFUNCTION("""COMPUTED_VALUE"""),"PRÉ-ESCOLA")</f>
        <v>PRÉ-ESCOLA</v>
      </c>
      <c r="I716" s="214">
        <f ca="1">IFERROR(__xludf.DUMMYFUNCTION("""COMPUTED_VALUE"""),532.8)</f>
        <v>532.79999999999995</v>
      </c>
      <c r="J716" s="209"/>
      <c r="K716" s="209"/>
      <c r="L716" s="209"/>
      <c r="M716" s="209"/>
      <c r="N716" s="209"/>
      <c r="O716" s="209"/>
      <c r="P716" s="209"/>
      <c r="Q716" s="209"/>
      <c r="R716" s="209"/>
      <c r="S716" s="209"/>
      <c r="T716" s="209"/>
      <c r="U716" s="209"/>
      <c r="V716" s="209"/>
      <c r="W716" s="209"/>
      <c r="X716" s="209"/>
      <c r="Y716" s="209"/>
      <c r="Z716" s="209"/>
    </row>
    <row r="717" spans="1:26" ht="18.75" customHeight="1">
      <c r="A717" s="210" t="str">
        <f ca="1">IFERROR(__xludf.DUMMYFUNCTION("""COMPUTED_VALUE"""),"Palmas")</f>
        <v>Palmas</v>
      </c>
      <c r="B717" s="210" t="str">
        <f ca="1">IFERROR(__xludf.DUMMYFUNCTION("""COMPUTED_VALUE"""),"Palmas")</f>
        <v>Palmas</v>
      </c>
      <c r="C717" s="211" t="str">
        <f ca="1">IFERROR(__xludf.DUMMYFUNCTION("""COMPUTED_VALUE"""),"ASSOCIAÇÃO DE APOIO DA ESCOLA ESPECIAL INTEGRAÇÃO DE PALMAS")</f>
        <v>ASSOCIAÇÃO DE APOIO DA ESCOLA ESPECIAL INTEGRAÇÃO DE PALMAS</v>
      </c>
      <c r="D717" s="212" t="str">
        <f ca="1">IFERROR(__xludf.DUMMYFUNCTION("""COMPUTED_VALUE"""),"07958777000102")</f>
        <v>07958777000102</v>
      </c>
      <c r="E717" s="212" t="str">
        <f ca="1">IFERROR(__xludf.DUMMYFUNCTION("""COMPUTED_VALUE"""),"001")</f>
        <v>001</v>
      </c>
      <c r="F717" s="212" t="str">
        <f ca="1">IFERROR(__xludf.DUMMYFUNCTION("""COMPUTED_VALUE"""),"1505")</f>
        <v>1505</v>
      </c>
      <c r="G717" s="213" t="str">
        <f ca="1">IFERROR(__xludf.DUMMYFUNCTION("""COMPUTED_VALUE"""),"385328")</f>
        <v>385328</v>
      </c>
      <c r="H717" s="211" t="str">
        <f ca="1">IFERROR(__xludf.DUMMYFUNCTION("""COMPUTED_VALUE"""),"ENS FUND PARCIAL")</f>
        <v>ENS FUND PARCIAL</v>
      </c>
      <c r="I717" s="214">
        <f ca="1">IFERROR(__xludf.DUMMYFUNCTION("""COMPUTED_VALUE"""),590)</f>
        <v>590</v>
      </c>
      <c r="J717" s="209"/>
      <c r="K717" s="209"/>
      <c r="L717" s="209"/>
      <c r="M717" s="209"/>
      <c r="N717" s="209"/>
      <c r="O717" s="209"/>
      <c r="P717" s="209"/>
      <c r="Q717" s="209"/>
      <c r="R717" s="209"/>
      <c r="S717" s="209"/>
      <c r="T717" s="209"/>
      <c r="U717" s="209"/>
      <c r="V717" s="209"/>
      <c r="W717" s="209"/>
      <c r="X717" s="209"/>
      <c r="Y717" s="209"/>
      <c r="Z717" s="209"/>
    </row>
    <row r="718" spans="1:26" ht="18.75" customHeight="1">
      <c r="A718" s="210" t="str">
        <f ca="1">IFERROR(__xludf.DUMMYFUNCTION("""COMPUTED_VALUE"""),"Palmas")</f>
        <v>Palmas</v>
      </c>
      <c r="B718" s="210" t="str">
        <f ca="1">IFERROR(__xludf.DUMMYFUNCTION("""COMPUTED_VALUE"""),"Palmas")</f>
        <v>Palmas</v>
      </c>
      <c r="C718" s="211" t="str">
        <f ca="1">IFERROR(__xludf.DUMMYFUNCTION("""COMPUTED_VALUE"""),"ASSOCIAÇÃO DE APOIO DA ESCOLA ESPECIAL INTEGRAÇÃO DE PALMAS")</f>
        <v>ASSOCIAÇÃO DE APOIO DA ESCOLA ESPECIAL INTEGRAÇÃO DE PALMAS</v>
      </c>
      <c r="D718" s="212" t="str">
        <f ca="1">IFERROR(__xludf.DUMMYFUNCTION("""COMPUTED_VALUE"""),"07958777000102")</f>
        <v>07958777000102</v>
      </c>
      <c r="E718" s="212" t="str">
        <f ca="1">IFERROR(__xludf.DUMMYFUNCTION("""COMPUTED_VALUE"""),"001")</f>
        <v>001</v>
      </c>
      <c r="F718" s="212" t="str">
        <f ca="1">IFERROR(__xludf.DUMMYFUNCTION("""COMPUTED_VALUE"""),"1505")</f>
        <v>1505</v>
      </c>
      <c r="G718" s="213" t="str">
        <f ca="1">IFERROR(__xludf.DUMMYFUNCTION("""COMPUTED_VALUE"""),"385328")</f>
        <v>385328</v>
      </c>
      <c r="H718" s="211" t="str">
        <f ca="1">IFERROR(__xludf.DUMMYFUNCTION("""COMPUTED_VALUE"""),"AEE")</f>
        <v>AEE</v>
      </c>
      <c r="I718" s="214">
        <f ca="1">IFERROR(__xludf.DUMMYFUNCTION("""COMPUTED_VALUE"""),326.4)</f>
        <v>326.39999999999998</v>
      </c>
      <c r="J718" s="209"/>
      <c r="K718" s="209"/>
      <c r="L718" s="209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9"/>
      <c r="Y718" s="209"/>
      <c r="Z718" s="209"/>
    </row>
    <row r="719" spans="1:26" ht="18.75" customHeight="1">
      <c r="A719" s="210" t="str">
        <f ca="1">IFERROR(__xludf.DUMMYFUNCTION("""COMPUTED_VALUE"""),"Palmas")</f>
        <v>Palmas</v>
      </c>
      <c r="B719" s="210" t="str">
        <f ca="1">IFERROR(__xludf.DUMMYFUNCTION("""COMPUTED_VALUE"""),"Palmas")</f>
        <v>Palmas</v>
      </c>
      <c r="C719" s="211" t="str">
        <f ca="1">IFERROR(__xludf.DUMMYFUNCTION("""COMPUTED_VALUE"""),"ASSOCIAÇÃO DE APOIO DA ESCOLA ESPECIAL INTEGRAÇÃO DE PALMAS")</f>
        <v>ASSOCIAÇÃO DE APOIO DA ESCOLA ESPECIAL INTEGRAÇÃO DE PALMAS</v>
      </c>
      <c r="D719" s="212" t="str">
        <f ca="1">IFERROR(__xludf.DUMMYFUNCTION("""COMPUTED_VALUE"""),"07958777000102")</f>
        <v>07958777000102</v>
      </c>
      <c r="E719" s="212" t="str">
        <f ca="1">IFERROR(__xludf.DUMMYFUNCTION("""COMPUTED_VALUE"""),"001")</f>
        <v>001</v>
      </c>
      <c r="F719" s="212" t="str">
        <f ca="1">IFERROR(__xludf.DUMMYFUNCTION("""COMPUTED_VALUE"""),"1505")</f>
        <v>1505</v>
      </c>
      <c r="G719" s="213" t="str">
        <f ca="1">IFERROR(__xludf.DUMMYFUNCTION("""COMPUTED_VALUE"""),"385328")</f>
        <v>385328</v>
      </c>
      <c r="H719" s="211" t="str">
        <f ca="1">IFERROR(__xludf.DUMMYFUNCTION("""COMPUTED_VALUE"""),"EJA")</f>
        <v>EJA</v>
      </c>
      <c r="I719" s="214">
        <f ca="1">IFERROR(__xludf.DUMMYFUNCTION("""COMPUTED_VALUE"""),877.4)</f>
        <v>877.4</v>
      </c>
      <c r="J719" s="209"/>
      <c r="K719" s="209"/>
      <c r="L719" s="209"/>
      <c r="M719" s="209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9"/>
    </row>
    <row r="720" spans="1:26" ht="18.75" customHeight="1">
      <c r="A720" s="210" t="str">
        <f ca="1">IFERROR(__xludf.DUMMYFUNCTION("""COMPUTED_VALUE"""),"Palmas")</f>
        <v>Palmas</v>
      </c>
      <c r="B720" s="210" t="str">
        <f ca="1">IFERROR(__xludf.DUMMYFUNCTION("""COMPUTED_VALUE"""),"Palmas")</f>
        <v>Palmas</v>
      </c>
      <c r="C720" s="211" t="str">
        <f ca="1">IFERROR(__xludf.DUMMYFUNCTION("""COMPUTED_VALUE"""),"ASSOC APOIO ESC EST MARIA DOS REIS ALVES BARROS")</f>
        <v>ASSOC APOIO ESC EST MARIA DOS REIS ALVES BARROS</v>
      </c>
      <c r="D720" s="212" t="str">
        <f ca="1">IFERROR(__xludf.DUMMYFUNCTION("""COMPUTED_VALUE"""),"08641263000191")</f>
        <v>08641263000191</v>
      </c>
      <c r="E720" s="212" t="str">
        <f ca="1">IFERROR(__xludf.DUMMYFUNCTION("""COMPUTED_VALUE"""),"001")</f>
        <v>001</v>
      </c>
      <c r="F720" s="212" t="str">
        <f ca="1">IFERROR(__xludf.DUMMYFUNCTION("""COMPUTED_VALUE"""),"1505")</f>
        <v>1505</v>
      </c>
      <c r="G720" s="213" t="str">
        <f ca="1">IFERROR(__xludf.DUMMYFUNCTION("""COMPUTED_VALUE"""),"413666")</f>
        <v>413666</v>
      </c>
      <c r="H720" s="211" t="str">
        <f ca="1">IFERROR(__xludf.DUMMYFUNCTION("""COMPUTED_VALUE"""),"ENS FUND PARCIAL")</f>
        <v>ENS FUND PARCIAL</v>
      </c>
      <c r="I720" s="214">
        <f ca="1">IFERROR(__xludf.DUMMYFUNCTION("""COMPUTED_VALUE"""),20740)</f>
        <v>20740</v>
      </c>
      <c r="J720" s="209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</row>
    <row r="721" spans="1:26" ht="18.75" customHeight="1">
      <c r="A721" s="210" t="str">
        <f ca="1">IFERROR(__xludf.DUMMYFUNCTION("""COMPUTED_VALUE"""),"Palmas")</f>
        <v>Palmas</v>
      </c>
      <c r="B721" s="210" t="str">
        <f ca="1">IFERROR(__xludf.DUMMYFUNCTION("""COMPUTED_VALUE"""),"Palmas")</f>
        <v>Palmas</v>
      </c>
      <c r="C721" s="211" t="str">
        <f ca="1">IFERROR(__xludf.DUMMYFUNCTION("""COMPUTED_VALUE"""),"ASSOC APOIO ESC EST MARIA DOS REIS ALVES BARROS")</f>
        <v>ASSOC APOIO ESC EST MARIA DOS REIS ALVES BARROS</v>
      </c>
      <c r="D721" s="212" t="str">
        <f ca="1">IFERROR(__xludf.DUMMYFUNCTION("""COMPUTED_VALUE"""),"08641263000191")</f>
        <v>08641263000191</v>
      </c>
      <c r="E721" s="212" t="str">
        <f ca="1">IFERROR(__xludf.DUMMYFUNCTION("""COMPUTED_VALUE"""),"001")</f>
        <v>001</v>
      </c>
      <c r="F721" s="212" t="str">
        <f ca="1">IFERROR(__xludf.DUMMYFUNCTION("""COMPUTED_VALUE"""),"1505")</f>
        <v>1505</v>
      </c>
      <c r="G721" s="213" t="str">
        <f ca="1">IFERROR(__xludf.DUMMYFUNCTION("""COMPUTED_VALUE"""),"413666")</f>
        <v>413666</v>
      </c>
      <c r="H721" s="211" t="str">
        <f ca="1">IFERROR(__xludf.DUMMYFUNCTION("""COMPUTED_VALUE"""),"AEE")</f>
        <v>AEE</v>
      </c>
      <c r="I721" s="214">
        <f ca="1">IFERROR(__xludf.DUMMYFUNCTION("""COMPUTED_VALUE"""),1360)</f>
        <v>1360</v>
      </c>
      <c r="J721" s="209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</row>
    <row r="722" spans="1:26" ht="18.75" customHeight="1">
      <c r="A722" s="210" t="str">
        <f ca="1">IFERROR(__xludf.DUMMYFUNCTION("""COMPUTED_VALUE"""),"Palmas")</f>
        <v>Palmas</v>
      </c>
      <c r="B722" s="210" t="str">
        <f ca="1">IFERROR(__xludf.DUMMYFUNCTION("""COMPUTED_VALUE"""),"Palmas")</f>
        <v>Palmas</v>
      </c>
      <c r="C722" s="211" t="str">
        <f ca="1">IFERROR(__xludf.DUMMYFUNCTION("""COMPUTED_VALUE"""),"ASSOC APOIO ESC EST MARIA DOS REIS ALVES BARROS")</f>
        <v>ASSOC APOIO ESC EST MARIA DOS REIS ALVES BARROS</v>
      </c>
      <c r="D722" s="212" t="str">
        <f ca="1">IFERROR(__xludf.DUMMYFUNCTION("""COMPUTED_VALUE"""),"08641263000191")</f>
        <v>08641263000191</v>
      </c>
      <c r="E722" s="212" t="str">
        <f ca="1">IFERROR(__xludf.DUMMYFUNCTION("""COMPUTED_VALUE"""),"001")</f>
        <v>001</v>
      </c>
      <c r="F722" s="212" t="str">
        <f ca="1">IFERROR(__xludf.DUMMYFUNCTION("""COMPUTED_VALUE"""),"1505")</f>
        <v>1505</v>
      </c>
      <c r="G722" s="213" t="str">
        <f ca="1">IFERROR(__xludf.DUMMYFUNCTION("""COMPUTED_VALUE"""),"413666")</f>
        <v>413666</v>
      </c>
      <c r="H722" s="211" t="str">
        <f ca="1">IFERROR(__xludf.DUMMYFUNCTION("""COMPUTED_VALUE"""),"ENSINO MEDIO PARCIAL")</f>
        <v>ENSINO MEDIO PARCIAL</v>
      </c>
      <c r="I722" s="214">
        <f ca="1">IFERROR(__xludf.DUMMYFUNCTION("""COMPUTED_VALUE"""),11700)</f>
        <v>11700</v>
      </c>
      <c r="J722" s="209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</row>
    <row r="723" spans="1:26" ht="18.75" customHeight="1">
      <c r="A723" s="210" t="str">
        <f ca="1">IFERROR(__xludf.DUMMYFUNCTION("""COMPUTED_VALUE"""),"Palmas")</f>
        <v>Palmas</v>
      </c>
      <c r="B723" s="210" t="str">
        <f ca="1">IFERROR(__xludf.DUMMYFUNCTION("""COMPUTED_VALUE"""),"Palmas")</f>
        <v>Palmas</v>
      </c>
      <c r="C723" s="211" t="str">
        <f ca="1">IFERROR(__xludf.DUMMYFUNCTION("""COMPUTED_VALUE"""),"ASSOC APOIO ESC EST MARIA DOS REIS ALVES BARROS")</f>
        <v>ASSOC APOIO ESC EST MARIA DOS REIS ALVES BARROS</v>
      </c>
      <c r="D723" s="212" t="str">
        <f ca="1">IFERROR(__xludf.DUMMYFUNCTION("""COMPUTED_VALUE"""),"08641263000191")</f>
        <v>08641263000191</v>
      </c>
      <c r="E723" s="212" t="str">
        <f ca="1">IFERROR(__xludf.DUMMYFUNCTION("""COMPUTED_VALUE"""),"001")</f>
        <v>001</v>
      </c>
      <c r="F723" s="212" t="str">
        <f ca="1">IFERROR(__xludf.DUMMYFUNCTION("""COMPUTED_VALUE"""),"1505")</f>
        <v>1505</v>
      </c>
      <c r="G723" s="213" t="str">
        <f ca="1">IFERROR(__xludf.DUMMYFUNCTION("""COMPUTED_VALUE"""),"413666")</f>
        <v>413666</v>
      </c>
      <c r="H723" s="211" t="str">
        <f ca="1">IFERROR(__xludf.DUMMYFUNCTION("""COMPUTED_VALUE"""),"EJA")</f>
        <v>EJA</v>
      </c>
      <c r="I723" s="214">
        <f ca="1">IFERROR(__xludf.DUMMYFUNCTION("""COMPUTED_VALUE"""),1574.39999999999)</f>
        <v>1574.3999999999901</v>
      </c>
      <c r="J723" s="209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</row>
    <row r="724" spans="1:26" ht="18.75" customHeight="1">
      <c r="A724" s="210" t="str">
        <f ca="1">IFERROR(__xludf.DUMMYFUNCTION("""COMPUTED_VALUE"""),"Palmas")</f>
        <v>Palmas</v>
      </c>
      <c r="B724" s="210" t="str">
        <f ca="1">IFERROR(__xludf.DUMMYFUNCTION("""COMPUTED_VALUE"""),"Palmas")</f>
        <v>Palmas</v>
      </c>
      <c r="C724" s="211" t="str">
        <f ca="1">IFERROR(__xludf.DUMMYFUNCTION("""COMPUTED_VALUE"""),"ASSOC.COMUNIDADE ESC. ESTADUAL RURAL ENTRE RIOS")</f>
        <v>ASSOC.COMUNIDADE ESC. ESTADUAL RURAL ENTRE RIOS</v>
      </c>
      <c r="D724" s="212" t="str">
        <f ca="1">IFERROR(__xludf.DUMMYFUNCTION("""COMPUTED_VALUE"""),"11257180000108")</f>
        <v>11257180000108</v>
      </c>
      <c r="E724" s="212" t="str">
        <f ca="1">IFERROR(__xludf.DUMMYFUNCTION("""COMPUTED_VALUE"""),"001")</f>
        <v>001</v>
      </c>
      <c r="F724" s="212" t="str">
        <f ca="1">IFERROR(__xludf.DUMMYFUNCTION("""COMPUTED_VALUE"""),"1886")</f>
        <v>1886</v>
      </c>
      <c r="G724" s="213" t="str">
        <f ca="1">IFERROR(__xludf.DUMMYFUNCTION("""COMPUTED_VALUE"""),"1464884")</f>
        <v>1464884</v>
      </c>
      <c r="H724" s="211" t="str">
        <f ca="1">IFERROR(__xludf.DUMMYFUNCTION("""COMPUTED_VALUE"""),"ENS FUND INTEGRAL")</f>
        <v>ENS FUND INTEGRAL</v>
      </c>
      <c r="I724" s="214">
        <f ca="1">IFERROR(__xludf.DUMMYFUNCTION("""COMPUTED_VALUE"""),959)</f>
        <v>959</v>
      </c>
      <c r="J724" s="209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</row>
    <row r="725" spans="1:26" ht="18.75" customHeight="1">
      <c r="A725" s="210" t="str">
        <f ca="1">IFERROR(__xludf.DUMMYFUNCTION("""COMPUTED_VALUE"""),"Palmas")</f>
        <v>Palmas</v>
      </c>
      <c r="B725" s="210" t="str">
        <f ca="1">IFERROR(__xludf.DUMMYFUNCTION("""COMPUTED_VALUE"""),"Palmas")</f>
        <v>Palmas</v>
      </c>
      <c r="C725" s="211" t="str">
        <f ca="1">IFERROR(__xludf.DUMMYFUNCTION("""COMPUTED_VALUE"""),"ASSOCIAÇÃO DE APOIO A ESC. ESTADUAL DA 403 SUL")</f>
        <v>ASSOCIAÇÃO DE APOIO A ESC. ESTADUAL DA 403 SUL</v>
      </c>
      <c r="D725" s="212" t="str">
        <f ca="1">IFERROR(__xludf.DUMMYFUNCTION("""COMPUTED_VALUE"""),"11332101000186")</f>
        <v>11332101000186</v>
      </c>
      <c r="E725" s="212" t="str">
        <f ca="1">IFERROR(__xludf.DUMMYFUNCTION("""COMPUTED_VALUE"""),"001")</f>
        <v>001</v>
      </c>
      <c r="F725" s="212" t="str">
        <f ca="1">IFERROR(__xludf.DUMMYFUNCTION("""COMPUTED_VALUE"""),"1505")</f>
        <v>1505</v>
      </c>
      <c r="G725" s="213" t="str">
        <f ca="1">IFERROR(__xludf.DUMMYFUNCTION("""COMPUTED_VALUE"""),"467588")</f>
        <v>467588</v>
      </c>
      <c r="H725" s="211" t="str">
        <f ca="1">IFERROR(__xludf.DUMMYFUNCTION("""COMPUTED_VALUE"""),"ENS FUND INTEGRAL")</f>
        <v>ENS FUND INTEGRAL</v>
      </c>
      <c r="I725" s="214">
        <f ca="1">IFERROR(__xludf.DUMMYFUNCTION("""COMPUTED_VALUE"""),22468)</f>
        <v>22468</v>
      </c>
      <c r="J725" s="209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</row>
    <row r="726" spans="1:26" ht="18.75" customHeight="1">
      <c r="A726" s="210" t="str">
        <f ca="1">IFERROR(__xludf.DUMMYFUNCTION("""COMPUTED_VALUE"""),"Palmas")</f>
        <v>Palmas</v>
      </c>
      <c r="B726" s="210" t="str">
        <f ca="1">IFERROR(__xludf.DUMMYFUNCTION("""COMPUTED_VALUE"""),"Palmas")</f>
        <v>Palmas</v>
      </c>
      <c r="C726" s="211" t="str">
        <f ca="1">IFERROR(__xludf.DUMMYFUNCTION("""COMPUTED_VALUE"""),"A.A. COL GIRASSOL TEMPO INTEGRAL RAQUEL QUEIROZ")</f>
        <v>A.A. COL GIRASSOL TEMPO INTEGRAL RAQUEL QUEIROZ</v>
      </c>
      <c r="D726" s="212" t="str">
        <f ca="1">IFERROR(__xludf.DUMMYFUNCTION("""COMPUTED_VALUE"""),"13748657000183")</f>
        <v>13748657000183</v>
      </c>
      <c r="E726" s="212" t="str">
        <f ca="1">IFERROR(__xludf.DUMMYFUNCTION("""COMPUTED_VALUE"""),"001")</f>
        <v>001</v>
      </c>
      <c r="F726" s="212" t="str">
        <f ca="1">IFERROR(__xludf.DUMMYFUNCTION("""COMPUTED_VALUE"""),"1867")</f>
        <v>1867</v>
      </c>
      <c r="G726" s="213" t="str">
        <f ca="1">IFERROR(__xludf.DUMMYFUNCTION("""COMPUTED_VALUE"""),"856312")</f>
        <v>856312</v>
      </c>
      <c r="H726" s="211" t="str">
        <f ca="1">IFERROR(__xludf.DUMMYFUNCTION("""COMPUTED_VALUE"""),"AEE")</f>
        <v>AEE</v>
      </c>
      <c r="I726" s="214">
        <f ca="1">IFERROR(__xludf.DUMMYFUNCTION("""COMPUTED_VALUE"""),516.8)</f>
        <v>516.79999999999995</v>
      </c>
      <c r="J726" s="209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</row>
    <row r="727" spans="1:26" ht="18.75" customHeight="1">
      <c r="A727" s="210" t="str">
        <f ca="1">IFERROR(__xludf.DUMMYFUNCTION("""COMPUTED_VALUE"""),"Palmas")</f>
        <v>Palmas</v>
      </c>
      <c r="B727" s="210" t="str">
        <f ca="1">IFERROR(__xludf.DUMMYFUNCTION("""COMPUTED_VALUE"""),"Palmas")</f>
        <v>Palmas</v>
      </c>
      <c r="C727" s="211" t="str">
        <f ca="1">IFERROR(__xludf.DUMMYFUNCTION("""COMPUTED_VALUE"""),"A.A. COL GIRASSOL TEMPO INTEGRAL RAQUEL QUEIROZ")</f>
        <v>A.A. COL GIRASSOL TEMPO INTEGRAL RAQUEL QUEIROZ</v>
      </c>
      <c r="D727" s="212" t="str">
        <f ca="1">IFERROR(__xludf.DUMMYFUNCTION("""COMPUTED_VALUE"""),"13748657000183")</f>
        <v>13748657000183</v>
      </c>
      <c r="E727" s="212" t="str">
        <f ca="1">IFERROR(__xludf.DUMMYFUNCTION("""COMPUTED_VALUE"""),"001")</f>
        <v>001</v>
      </c>
      <c r="F727" s="212" t="str">
        <f ca="1">IFERROR(__xludf.DUMMYFUNCTION("""COMPUTED_VALUE"""),"1867")</f>
        <v>1867</v>
      </c>
      <c r="G727" s="213" t="str">
        <f ca="1">IFERROR(__xludf.DUMMYFUNCTION("""COMPUTED_VALUE"""),"856312")</f>
        <v>856312</v>
      </c>
      <c r="H727" s="211" t="str">
        <f ca="1">IFERROR(__xludf.DUMMYFUNCTION("""COMPUTED_VALUE"""),"ENSINO MEDIO PARCIAL")</f>
        <v>ENSINO MEDIO PARCIAL</v>
      </c>
      <c r="I727" s="214">
        <f ca="1">IFERROR(__xludf.DUMMYFUNCTION("""COMPUTED_VALUE"""),14160)</f>
        <v>14160</v>
      </c>
      <c r="J727" s="209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</row>
    <row r="728" spans="1:26" ht="18.75" customHeight="1">
      <c r="A728" s="210" t="str">
        <f ca="1">IFERROR(__xludf.DUMMYFUNCTION("""COMPUTED_VALUE"""),"Palmas")</f>
        <v>Palmas</v>
      </c>
      <c r="B728" s="210" t="str">
        <f ca="1">IFERROR(__xludf.DUMMYFUNCTION("""COMPUTED_VALUE"""),"Rio Sono")</f>
        <v>Rio Sono</v>
      </c>
      <c r="C728" s="211" t="str">
        <f ca="1">IFERROR(__xludf.DUMMYFUNCTION("""COMPUTED_VALUE"""),"A. DE PAIS E MESTRES DO COL. EST.RIO SONO")</f>
        <v>A. DE PAIS E MESTRES DO COL. EST.RIO SONO</v>
      </c>
      <c r="D728" s="212" t="str">
        <f ca="1">IFERROR(__xludf.DUMMYFUNCTION("""COMPUTED_VALUE"""),"01184376000166")</f>
        <v>01184376000166</v>
      </c>
      <c r="E728" s="212" t="str">
        <f ca="1">IFERROR(__xludf.DUMMYFUNCTION("""COMPUTED_VALUE"""),"001")</f>
        <v>001</v>
      </c>
      <c r="F728" s="212" t="str">
        <f ca="1">IFERROR(__xludf.DUMMYFUNCTION("""COMPUTED_VALUE"""),"1505")</f>
        <v>1505</v>
      </c>
      <c r="G728" s="213" t="str">
        <f ca="1">IFERROR(__xludf.DUMMYFUNCTION("""COMPUTED_VALUE"""),"530042")</f>
        <v>530042</v>
      </c>
      <c r="H728" s="211" t="str">
        <f ca="1">IFERROR(__xludf.DUMMYFUNCTION("""COMPUTED_VALUE"""),"ENS FUND PARCIAL")</f>
        <v>ENS FUND PARCIAL</v>
      </c>
      <c r="I728" s="214">
        <f ca="1">IFERROR(__xludf.DUMMYFUNCTION("""COMPUTED_VALUE"""),1820)</f>
        <v>1820</v>
      </c>
      <c r="J728" s="209"/>
      <c r="K728" s="209"/>
      <c r="L728" s="209"/>
      <c r="M728" s="209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  <c r="Z728" s="209"/>
    </row>
    <row r="729" spans="1:26" ht="18.75" customHeight="1">
      <c r="A729" s="210" t="str">
        <f ca="1">IFERROR(__xludf.DUMMYFUNCTION("""COMPUTED_VALUE"""),"Palmas")</f>
        <v>Palmas</v>
      </c>
      <c r="B729" s="210" t="str">
        <f ca="1">IFERROR(__xludf.DUMMYFUNCTION("""COMPUTED_VALUE"""),"Rio Sono")</f>
        <v>Rio Sono</v>
      </c>
      <c r="C729" s="211" t="str">
        <f ca="1">IFERROR(__xludf.DUMMYFUNCTION("""COMPUTED_VALUE"""),"A. DE PAIS E MESTRES DO COL. EST.RIO SONO")</f>
        <v>A. DE PAIS E MESTRES DO COL. EST.RIO SONO</v>
      </c>
      <c r="D729" s="212" t="str">
        <f ca="1">IFERROR(__xludf.DUMMYFUNCTION("""COMPUTED_VALUE"""),"01184376000166")</f>
        <v>01184376000166</v>
      </c>
      <c r="E729" s="212" t="str">
        <f ca="1">IFERROR(__xludf.DUMMYFUNCTION("""COMPUTED_VALUE"""),"001")</f>
        <v>001</v>
      </c>
      <c r="F729" s="212" t="str">
        <f ca="1">IFERROR(__xludf.DUMMYFUNCTION("""COMPUTED_VALUE"""),"1505")</f>
        <v>1505</v>
      </c>
      <c r="G729" s="213" t="str">
        <f ca="1">IFERROR(__xludf.DUMMYFUNCTION("""COMPUTED_VALUE"""),"530042")</f>
        <v>530042</v>
      </c>
      <c r="H729" s="211" t="str">
        <f ca="1">IFERROR(__xludf.DUMMYFUNCTION("""COMPUTED_VALUE"""),"AEE")</f>
        <v>AEE</v>
      </c>
      <c r="I729" s="214">
        <f ca="1">IFERROR(__xludf.DUMMYFUNCTION("""COMPUTED_VALUE"""),856.8)</f>
        <v>856.8</v>
      </c>
      <c r="J729" s="209"/>
      <c r="K729" s="209"/>
      <c r="L729" s="209"/>
      <c r="M729" s="209"/>
      <c r="N729" s="209"/>
      <c r="O729" s="209"/>
      <c r="P729" s="209"/>
      <c r="Q729" s="209"/>
      <c r="R729" s="209"/>
      <c r="S729" s="209"/>
      <c r="T729" s="209"/>
      <c r="U729" s="209"/>
      <c r="V729" s="209"/>
      <c r="W729" s="209"/>
      <c r="X729" s="209"/>
      <c r="Y729" s="209"/>
      <c r="Z729" s="209"/>
    </row>
    <row r="730" spans="1:26" ht="18.75" customHeight="1">
      <c r="A730" s="210" t="str">
        <f ca="1">IFERROR(__xludf.DUMMYFUNCTION("""COMPUTED_VALUE"""),"Palmas")</f>
        <v>Palmas</v>
      </c>
      <c r="B730" s="210" t="str">
        <f ca="1">IFERROR(__xludf.DUMMYFUNCTION("""COMPUTED_VALUE"""),"Rio Sono")</f>
        <v>Rio Sono</v>
      </c>
      <c r="C730" s="211" t="str">
        <f ca="1">IFERROR(__xludf.DUMMYFUNCTION("""COMPUTED_VALUE"""),"A. DE PAIS E MESTRES DO COL. EST.RIO SONO")</f>
        <v>A. DE PAIS E MESTRES DO COL. EST.RIO SONO</v>
      </c>
      <c r="D730" s="212" t="str">
        <f ca="1">IFERROR(__xludf.DUMMYFUNCTION("""COMPUTED_VALUE"""),"01184376000166")</f>
        <v>01184376000166</v>
      </c>
      <c r="E730" s="212" t="str">
        <f ca="1">IFERROR(__xludf.DUMMYFUNCTION("""COMPUTED_VALUE"""),"001")</f>
        <v>001</v>
      </c>
      <c r="F730" s="212" t="str">
        <f ca="1">IFERROR(__xludf.DUMMYFUNCTION("""COMPUTED_VALUE"""),"1505")</f>
        <v>1505</v>
      </c>
      <c r="G730" s="213" t="str">
        <f ca="1">IFERROR(__xludf.DUMMYFUNCTION("""COMPUTED_VALUE"""),"530042")</f>
        <v>530042</v>
      </c>
      <c r="H730" s="211" t="str">
        <f ca="1">IFERROR(__xludf.DUMMYFUNCTION("""COMPUTED_VALUE"""),"ENSINO MEDIO PARCIAL")</f>
        <v>ENSINO MEDIO PARCIAL</v>
      </c>
      <c r="I730" s="214">
        <f ca="1">IFERROR(__xludf.DUMMYFUNCTION("""COMPUTED_VALUE"""),1810)</f>
        <v>1810</v>
      </c>
      <c r="J730" s="209"/>
      <c r="K730" s="209"/>
      <c r="L730" s="209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9"/>
      <c r="Y730" s="209"/>
      <c r="Z730" s="209"/>
    </row>
    <row r="731" spans="1:26" ht="18.75" customHeight="1">
      <c r="A731" s="210" t="str">
        <f ca="1">IFERROR(__xludf.DUMMYFUNCTION("""COMPUTED_VALUE"""),"Palmas")</f>
        <v>Palmas</v>
      </c>
      <c r="B731" s="210" t="str">
        <f ca="1">IFERROR(__xludf.DUMMYFUNCTION("""COMPUTED_VALUE"""),"Rio Sono")</f>
        <v>Rio Sono</v>
      </c>
      <c r="C731" s="211" t="str">
        <f ca="1">IFERROR(__xludf.DUMMYFUNCTION("""COMPUTED_VALUE"""),"A.A.  ESCOLA EST. IMACULADA CONCEICAO")</f>
        <v>A.A.  ESCOLA EST. IMACULADA CONCEICAO</v>
      </c>
      <c r="D731" s="212" t="str">
        <f ca="1">IFERROR(__xludf.DUMMYFUNCTION("""COMPUTED_VALUE"""),"01197175000101")</f>
        <v>01197175000101</v>
      </c>
      <c r="E731" s="212" t="str">
        <f ca="1">IFERROR(__xludf.DUMMYFUNCTION("""COMPUTED_VALUE"""),"001")</f>
        <v>001</v>
      </c>
      <c r="F731" s="212" t="str">
        <f ca="1">IFERROR(__xludf.DUMMYFUNCTION("""COMPUTED_VALUE"""),"0862")</f>
        <v>0862</v>
      </c>
      <c r="G731" s="213" t="str">
        <f ca="1">IFERROR(__xludf.DUMMYFUNCTION("""COMPUTED_VALUE"""),"161497")</f>
        <v>161497</v>
      </c>
      <c r="H731" s="211" t="str">
        <f ca="1">IFERROR(__xludf.DUMMYFUNCTION("""COMPUTED_VALUE"""),"ENS FUND PARCIAL")</f>
        <v>ENS FUND PARCIAL</v>
      </c>
      <c r="I731" s="214">
        <f ca="1">IFERROR(__xludf.DUMMYFUNCTION("""COMPUTED_VALUE"""),590)</f>
        <v>590</v>
      </c>
      <c r="J731" s="209"/>
      <c r="K731" s="209"/>
      <c r="L731" s="209"/>
      <c r="M731" s="209"/>
      <c r="N731" s="209"/>
      <c r="O731" s="209"/>
      <c r="P731" s="209"/>
      <c r="Q731" s="209"/>
      <c r="R731" s="209"/>
      <c r="S731" s="209"/>
      <c r="T731" s="209"/>
      <c r="U731" s="209"/>
      <c r="V731" s="209"/>
      <c r="W731" s="209"/>
      <c r="X731" s="209"/>
      <c r="Y731" s="209"/>
      <c r="Z731" s="209"/>
    </row>
    <row r="732" spans="1:26" ht="18.75" customHeight="1">
      <c r="A732" s="210" t="str">
        <f ca="1">IFERROR(__xludf.DUMMYFUNCTION("""COMPUTED_VALUE"""),"Palmas")</f>
        <v>Palmas</v>
      </c>
      <c r="B732" s="210" t="str">
        <f ca="1">IFERROR(__xludf.DUMMYFUNCTION("""COMPUTED_VALUE"""),"Rio Sono")</f>
        <v>Rio Sono</v>
      </c>
      <c r="C732" s="211" t="str">
        <f ca="1">IFERROR(__xludf.DUMMYFUNCTION("""COMPUTED_VALUE"""),"A.A.  ESCOLA EST. IMACULADA CONCEICAO")</f>
        <v>A.A.  ESCOLA EST. IMACULADA CONCEICAO</v>
      </c>
      <c r="D732" s="212" t="str">
        <f ca="1">IFERROR(__xludf.DUMMYFUNCTION("""COMPUTED_VALUE"""),"01197175000101")</f>
        <v>01197175000101</v>
      </c>
      <c r="E732" s="212" t="str">
        <f ca="1">IFERROR(__xludf.DUMMYFUNCTION("""COMPUTED_VALUE"""),"001")</f>
        <v>001</v>
      </c>
      <c r="F732" s="212" t="str">
        <f ca="1">IFERROR(__xludf.DUMMYFUNCTION("""COMPUTED_VALUE"""),"0862")</f>
        <v>0862</v>
      </c>
      <c r="G732" s="213" t="str">
        <f ca="1">IFERROR(__xludf.DUMMYFUNCTION("""COMPUTED_VALUE"""),"161497")</f>
        <v>161497</v>
      </c>
      <c r="H732" s="211" t="str">
        <f ca="1">IFERROR(__xludf.DUMMYFUNCTION("""COMPUTED_VALUE"""),"ENSINO MEDIO PARCIAL")</f>
        <v>ENSINO MEDIO PARCIAL</v>
      </c>
      <c r="I732" s="214">
        <f ca="1">IFERROR(__xludf.DUMMYFUNCTION("""COMPUTED_VALUE"""),490)</f>
        <v>490</v>
      </c>
      <c r="J732" s="209"/>
      <c r="K732" s="209"/>
      <c r="L732" s="209"/>
      <c r="M732" s="209"/>
      <c r="N732" s="209"/>
      <c r="O732" s="209"/>
      <c r="P732" s="209"/>
      <c r="Q732" s="209"/>
      <c r="R732" s="209"/>
      <c r="S732" s="209"/>
      <c r="T732" s="209"/>
      <c r="U732" s="209"/>
      <c r="V732" s="209"/>
      <c r="W732" s="209"/>
      <c r="X732" s="209"/>
      <c r="Y732" s="209"/>
      <c r="Z732" s="209"/>
    </row>
    <row r="733" spans="1:26" ht="18.75" customHeight="1">
      <c r="A733" s="210" t="str">
        <f ca="1">IFERROR(__xludf.DUMMYFUNCTION("""COMPUTED_VALUE"""),"Palmas")</f>
        <v>Palmas</v>
      </c>
      <c r="B733" s="210" t="str">
        <f ca="1">IFERROR(__xludf.DUMMYFUNCTION("""COMPUTED_VALUE"""),"Santa Tereza do Tocantins")</f>
        <v>Santa Tereza do Tocantins</v>
      </c>
      <c r="C733" s="211" t="str">
        <f ca="1">IFERROR(__xludf.DUMMYFUNCTION("""COMPUTED_VALUE"""),"A.A. C.EST. MANOEL S.DOURADO")</f>
        <v>A.A. C.EST. MANOEL S.DOURADO</v>
      </c>
      <c r="D733" s="212" t="str">
        <f ca="1">IFERROR(__xludf.DUMMYFUNCTION("""COMPUTED_VALUE"""),"01136013000155")</f>
        <v>01136013000155</v>
      </c>
      <c r="E733" s="212" t="str">
        <f ca="1">IFERROR(__xludf.DUMMYFUNCTION("""COMPUTED_VALUE"""),"001")</f>
        <v>001</v>
      </c>
      <c r="F733" s="212" t="str">
        <f ca="1">IFERROR(__xludf.DUMMYFUNCTION("""COMPUTED_VALUE"""),"1117")</f>
        <v>1117</v>
      </c>
      <c r="G733" s="213" t="str">
        <f ca="1">IFERROR(__xludf.DUMMYFUNCTION("""COMPUTED_VALUE"""),"313033")</f>
        <v>313033</v>
      </c>
      <c r="H733" s="211" t="str">
        <f ca="1">IFERROR(__xludf.DUMMYFUNCTION("""COMPUTED_VALUE"""),"ENS FUND PARCIAL")</f>
        <v>ENS FUND PARCIAL</v>
      </c>
      <c r="I733" s="214">
        <f ca="1">IFERROR(__xludf.DUMMYFUNCTION("""COMPUTED_VALUE"""),1000)</f>
        <v>1000</v>
      </c>
      <c r="J733" s="209"/>
      <c r="K733" s="209"/>
      <c r="L733" s="209"/>
      <c r="M733" s="209"/>
      <c r="N733" s="209"/>
      <c r="O733" s="209"/>
      <c r="P733" s="209"/>
      <c r="Q733" s="209"/>
      <c r="R733" s="209"/>
      <c r="S733" s="209"/>
      <c r="T733" s="209"/>
      <c r="U733" s="209"/>
      <c r="V733" s="209"/>
      <c r="W733" s="209"/>
      <c r="X733" s="209"/>
      <c r="Y733" s="209"/>
      <c r="Z733" s="209"/>
    </row>
    <row r="734" spans="1:26" ht="18.75" customHeight="1">
      <c r="A734" s="210" t="str">
        <f ca="1">IFERROR(__xludf.DUMMYFUNCTION("""COMPUTED_VALUE"""),"Palmas")</f>
        <v>Palmas</v>
      </c>
      <c r="B734" s="210" t="str">
        <f ca="1">IFERROR(__xludf.DUMMYFUNCTION("""COMPUTED_VALUE"""),"Santa Tereza do Tocantins")</f>
        <v>Santa Tereza do Tocantins</v>
      </c>
      <c r="C734" s="211" t="str">
        <f ca="1">IFERROR(__xludf.DUMMYFUNCTION("""COMPUTED_VALUE"""),"A.A. C.EST. MANOEL S.DOURADO")</f>
        <v>A.A. C.EST. MANOEL S.DOURADO</v>
      </c>
      <c r="D734" s="212" t="str">
        <f ca="1">IFERROR(__xludf.DUMMYFUNCTION("""COMPUTED_VALUE"""),"01136013000155")</f>
        <v>01136013000155</v>
      </c>
      <c r="E734" s="212" t="str">
        <f ca="1">IFERROR(__xludf.DUMMYFUNCTION("""COMPUTED_VALUE"""),"001")</f>
        <v>001</v>
      </c>
      <c r="F734" s="212" t="str">
        <f ca="1">IFERROR(__xludf.DUMMYFUNCTION("""COMPUTED_VALUE"""),"1117")</f>
        <v>1117</v>
      </c>
      <c r="G734" s="213" t="str">
        <f ca="1">IFERROR(__xludf.DUMMYFUNCTION("""COMPUTED_VALUE"""),"313033")</f>
        <v>313033</v>
      </c>
      <c r="H734" s="211" t="str">
        <f ca="1">IFERROR(__xludf.DUMMYFUNCTION("""COMPUTED_VALUE"""),"AEE")</f>
        <v>AEE</v>
      </c>
      <c r="I734" s="214">
        <f ca="1">IFERROR(__xludf.DUMMYFUNCTION("""COMPUTED_VALUE"""),163.2)</f>
        <v>163.19999999999999</v>
      </c>
      <c r="J734" s="209"/>
      <c r="K734" s="209"/>
      <c r="L734" s="209"/>
      <c r="M734" s="209"/>
      <c r="N734" s="209"/>
      <c r="O734" s="209"/>
      <c r="P734" s="209"/>
      <c r="Q734" s="209"/>
      <c r="R734" s="209"/>
      <c r="S734" s="209"/>
      <c r="T734" s="209"/>
      <c r="U734" s="209"/>
      <c r="V734" s="209"/>
      <c r="W734" s="209"/>
      <c r="X734" s="209"/>
      <c r="Y734" s="209"/>
      <c r="Z734" s="209"/>
    </row>
    <row r="735" spans="1:26" ht="18.75" customHeight="1">
      <c r="A735" s="210" t="str">
        <f ca="1">IFERROR(__xludf.DUMMYFUNCTION("""COMPUTED_VALUE"""),"Palmas")</f>
        <v>Palmas</v>
      </c>
      <c r="B735" s="210" t="str">
        <f ca="1">IFERROR(__xludf.DUMMYFUNCTION("""COMPUTED_VALUE"""),"Santa Tereza do Tocantins")</f>
        <v>Santa Tereza do Tocantins</v>
      </c>
      <c r="C735" s="211" t="str">
        <f ca="1">IFERROR(__xludf.DUMMYFUNCTION("""COMPUTED_VALUE"""),"A.A. C.EST. MANOEL S.DOURADO")</f>
        <v>A.A. C.EST. MANOEL S.DOURADO</v>
      </c>
      <c r="D735" s="212" t="str">
        <f ca="1">IFERROR(__xludf.DUMMYFUNCTION("""COMPUTED_VALUE"""),"01136013000155")</f>
        <v>01136013000155</v>
      </c>
      <c r="E735" s="212" t="str">
        <f ca="1">IFERROR(__xludf.DUMMYFUNCTION("""COMPUTED_VALUE"""),"001")</f>
        <v>001</v>
      </c>
      <c r="F735" s="212" t="str">
        <f ca="1">IFERROR(__xludf.DUMMYFUNCTION("""COMPUTED_VALUE"""),"1117")</f>
        <v>1117</v>
      </c>
      <c r="G735" s="213" t="str">
        <f ca="1">IFERROR(__xludf.DUMMYFUNCTION("""COMPUTED_VALUE"""),"313033")</f>
        <v>313033</v>
      </c>
      <c r="H735" s="211" t="str">
        <f ca="1">IFERROR(__xludf.DUMMYFUNCTION("""COMPUTED_VALUE"""),"ENSINO MEDIO PARCIAL")</f>
        <v>ENSINO MEDIO PARCIAL</v>
      </c>
      <c r="I735" s="214">
        <f ca="1">IFERROR(__xludf.DUMMYFUNCTION("""COMPUTED_VALUE"""),1300)</f>
        <v>1300</v>
      </c>
      <c r="J735" s="209"/>
      <c r="K735" s="209"/>
      <c r="L735" s="209"/>
      <c r="M735" s="209"/>
      <c r="N735" s="209"/>
      <c r="O735" s="209"/>
      <c r="P735" s="209"/>
      <c r="Q735" s="209"/>
      <c r="R735" s="209"/>
      <c r="S735" s="209"/>
      <c r="T735" s="209"/>
      <c r="U735" s="209"/>
      <c r="V735" s="209"/>
      <c r="W735" s="209"/>
      <c r="X735" s="209"/>
      <c r="Y735" s="209"/>
      <c r="Z735" s="209"/>
    </row>
    <row r="736" spans="1:26" ht="18.75" customHeight="1">
      <c r="A736" s="210" t="str">
        <f ca="1">IFERROR(__xludf.DUMMYFUNCTION("""COMPUTED_VALUE"""),"Palmas")</f>
        <v>Palmas</v>
      </c>
      <c r="B736" s="210" t="str">
        <f ca="1">IFERROR(__xludf.DUMMYFUNCTION("""COMPUTED_VALUE"""),"Sao Felix do Tocantins")</f>
        <v>Sao Felix do Tocantins</v>
      </c>
      <c r="C736" s="211" t="str">
        <f ca="1">IFERROR(__xludf.DUMMYFUNCTION("""COMPUTED_VALUE"""),"A. DE AP.ESC. EST. SAGRADO CORACAO DE JESUS")</f>
        <v>A. DE AP.ESC. EST. SAGRADO CORACAO DE JESUS</v>
      </c>
      <c r="D736" s="212" t="str">
        <f ca="1">IFERROR(__xludf.DUMMYFUNCTION("""COMPUTED_VALUE"""),"01656550000126")</f>
        <v>01656550000126</v>
      </c>
      <c r="E736" s="212" t="str">
        <f ca="1">IFERROR(__xludf.DUMMYFUNCTION("""COMPUTED_VALUE"""),"001")</f>
        <v>001</v>
      </c>
      <c r="F736" s="212" t="str">
        <f ca="1">IFERROR(__xludf.DUMMYFUNCTION("""COMPUTED_VALUE"""),"3962")</f>
        <v>3962</v>
      </c>
      <c r="G736" s="213" t="str">
        <f ca="1">IFERROR(__xludf.DUMMYFUNCTION("""COMPUTED_VALUE"""),"147605")</f>
        <v>147605</v>
      </c>
      <c r="H736" s="211" t="str">
        <f ca="1">IFERROR(__xludf.DUMMYFUNCTION("""COMPUTED_VALUE"""),"ENS FUND PARCIAL")</f>
        <v>ENS FUND PARCIAL</v>
      </c>
      <c r="I736" s="214">
        <f ca="1">IFERROR(__xludf.DUMMYFUNCTION("""COMPUTED_VALUE"""),2110)</f>
        <v>2110</v>
      </c>
      <c r="J736" s="209"/>
      <c r="K736" s="209"/>
      <c r="L736" s="209"/>
      <c r="M736" s="209"/>
      <c r="N736" s="209"/>
      <c r="O736" s="209"/>
      <c r="P736" s="209"/>
      <c r="Q736" s="209"/>
      <c r="R736" s="209"/>
      <c r="S736" s="209"/>
      <c r="T736" s="209"/>
      <c r="U736" s="209"/>
      <c r="V736" s="209"/>
      <c r="W736" s="209"/>
      <c r="X736" s="209"/>
      <c r="Y736" s="209"/>
      <c r="Z736" s="209"/>
    </row>
    <row r="737" spans="1:26" ht="18.75" customHeight="1">
      <c r="A737" s="210" t="str">
        <f ca="1">IFERROR(__xludf.DUMMYFUNCTION("""COMPUTED_VALUE"""),"Palmas")</f>
        <v>Palmas</v>
      </c>
      <c r="B737" s="210" t="str">
        <f ca="1">IFERROR(__xludf.DUMMYFUNCTION("""COMPUTED_VALUE"""),"Sao Felix do Tocantins")</f>
        <v>Sao Felix do Tocantins</v>
      </c>
      <c r="C737" s="211" t="str">
        <f ca="1">IFERROR(__xludf.DUMMYFUNCTION("""COMPUTED_VALUE"""),"A. DE AP.ESC. EST. SAGRADO CORACAO DE JESUS")</f>
        <v>A. DE AP.ESC. EST. SAGRADO CORACAO DE JESUS</v>
      </c>
      <c r="D737" s="212" t="str">
        <f ca="1">IFERROR(__xludf.DUMMYFUNCTION("""COMPUTED_VALUE"""),"01656550000126")</f>
        <v>01656550000126</v>
      </c>
      <c r="E737" s="212" t="str">
        <f ca="1">IFERROR(__xludf.DUMMYFUNCTION("""COMPUTED_VALUE"""),"001")</f>
        <v>001</v>
      </c>
      <c r="F737" s="212" t="str">
        <f ca="1">IFERROR(__xludf.DUMMYFUNCTION("""COMPUTED_VALUE"""),"3962")</f>
        <v>3962</v>
      </c>
      <c r="G737" s="213" t="str">
        <f ca="1">IFERROR(__xludf.DUMMYFUNCTION("""COMPUTED_VALUE"""),"147605")</f>
        <v>147605</v>
      </c>
      <c r="H737" s="211" t="str">
        <f ca="1">IFERROR(__xludf.DUMMYFUNCTION("""COMPUTED_VALUE"""),"ENSINO MEDIO PARCIAL")</f>
        <v>ENSINO MEDIO PARCIAL</v>
      </c>
      <c r="I737" s="214">
        <f ca="1">IFERROR(__xludf.DUMMYFUNCTION("""COMPUTED_VALUE"""),1090)</f>
        <v>1090</v>
      </c>
      <c r="J737" s="209"/>
      <c r="K737" s="209"/>
      <c r="L737" s="209"/>
      <c r="M737" s="209"/>
      <c r="N737" s="209"/>
      <c r="O737" s="209"/>
      <c r="P737" s="209"/>
      <c r="Q737" s="209"/>
      <c r="R737" s="209"/>
      <c r="S737" s="209"/>
      <c r="T737" s="209"/>
      <c r="U737" s="209"/>
      <c r="V737" s="209"/>
      <c r="W737" s="209"/>
      <c r="X737" s="209"/>
      <c r="Y737" s="209"/>
      <c r="Z737" s="209"/>
    </row>
    <row r="738" spans="1:26" ht="18.75" customHeight="1">
      <c r="A738" s="210" t="str">
        <f ca="1">IFERROR(__xludf.DUMMYFUNCTION("""COMPUTED_VALUE"""),"Paraíso")</f>
        <v>Paraíso</v>
      </c>
      <c r="B738" s="210" t="str">
        <f ca="1">IFERROR(__xludf.DUMMYFUNCTION("""COMPUTED_VALUE"""),"Abreulandia")</f>
        <v>Abreulandia</v>
      </c>
      <c r="C738" s="211" t="str">
        <f ca="1">IFERROR(__xludf.DUMMYFUNCTION("""COMPUTED_VALUE"""),"ASS. DE APOIO DA ESCOLA EST. SAO PEDRO")</f>
        <v>ASS. DE APOIO DA ESCOLA EST. SAO PEDRO</v>
      </c>
      <c r="D738" s="212" t="str">
        <f ca="1">IFERROR(__xludf.DUMMYFUNCTION("""COMPUTED_VALUE"""),"01071408000117")</f>
        <v>01071408000117</v>
      </c>
      <c r="E738" s="212" t="str">
        <f ca="1">IFERROR(__xludf.DUMMYFUNCTION("""COMPUTED_VALUE"""),"001")</f>
        <v>001</v>
      </c>
      <c r="F738" s="212" t="str">
        <f ca="1">IFERROR(__xludf.DUMMYFUNCTION("""COMPUTED_VALUE"""),"0804")</f>
        <v>0804</v>
      </c>
      <c r="G738" s="213" t="str">
        <f ca="1">IFERROR(__xludf.DUMMYFUNCTION("""COMPUTED_VALUE"""),"286893")</f>
        <v>286893</v>
      </c>
      <c r="H738" s="211" t="str">
        <f ca="1">IFERROR(__xludf.DUMMYFUNCTION("""COMPUTED_VALUE"""),"ENS FUND PARCIAL")</f>
        <v>ENS FUND PARCIAL</v>
      </c>
      <c r="I738" s="214">
        <f ca="1">IFERROR(__xludf.DUMMYFUNCTION("""COMPUTED_VALUE"""),1070)</f>
        <v>1070</v>
      </c>
      <c r="J738" s="209"/>
      <c r="K738" s="209"/>
      <c r="L738" s="209"/>
      <c r="M738" s="209"/>
      <c r="N738" s="209"/>
      <c r="O738" s="209"/>
      <c r="P738" s="209"/>
      <c r="Q738" s="209"/>
      <c r="R738" s="209"/>
      <c r="S738" s="209"/>
      <c r="T738" s="209"/>
      <c r="U738" s="209"/>
      <c r="V738" s="209"/>
      <c r="W738" s="209"/>
      <c r="X738" s="209"/>
      <c r="Y738" s="209"/>
      <c r="Z738" s="209"/>
    </row>
    <row r="739" spans="1:26" ht="18.75" customHeight="1">
      <c r="A739" s="210" t="str">
        <f ca="1">IFERROR(__xludf.DUMMYFUNCTION("""COMPUTED_VALUE"""),"Paraíso")</f>
        <v>Paraíso</v>
      </c>
      <c r="B739" s="210" t="str">
        <f ca="1">IFERROR(__xludf.DUMMYFUNCTION("""COMPUTED_VALUE"""),"Abreulandia")</f>
        <v>Abreulandia</v>
      </c>
      <c r="C739" s="211" t="str">
        <f ca="1">IFERROR(__xludf.DUMMYFUNCTION("""COMPUTED_VALUE"""),"ASS. DE APOIO DA ESCOLA EST. SAO PEDRO")</f>
        <v>ASS. DE APOIO DA ESCOLA EST. SAO PEDRO</v>
      </c>
      <c r="D739" s="212" t="str">
        <f ca="1">IFERROR(__xludf.DUMMYFUNCTION("""COMPUTED_VALUE"""),"01071408000117")</f>
        <v>01071408000117</v>
      </c>
      <c r="E739" s="212" t="str">
        <f ca="1">IFERROR(__xludf.DUMMYFUNCTION("""COMPUTED_VALUE"""),"001")</f>
        <v>001</v>
      </c>
      <c r="F739" s="212" t="str">
        <f ca="1">IFERROR(__xludf.DUMMYFUNCTION("""COMPUTED_VALUE"""),"0804")</f>
        <v>0804</v>
      </c>
      <c r="G739" s="213" t="str">
        <f ca="1">IFERROR(__xludf.DUMMYFUNCTION("""COMPUTED_VALUE"""),"286893")</f>
        <v>286893</v>
      </c>
      <c r="H739" s="211" t="str">
        <f ca="1">IFERROR(__xludf.DUMMYFUNCTION("""COMPUTED_VALUE"""),"ENSINO MEDIO PARCIAL")</f>
        <v>ENSINO MEDIO PARCIAL</v>
      </c>
      <c r="I739" s="214">
        <f ca="1">IFERROR(__xludf.DUMMYFUNCTION("""COMPUTED_VALUE"""),1250)</f>
        <v>1250</v>
      </c>
      <c r="J739" s="209"/>
      <c r="K739" s="209"/>
      <c r="L739" s="209"/>
      <c r="M739" s="209"/>
      <c r="N739" s="209"/>
      <c r="O739" s="209"/>
      <c r="P739" s="209"/>
      <c r="Q739" s="209"/>
      <c r="R739" s="209"/>
      <c r="S739" s="209"/>
      <c r="T739" s="209"/>
      <c r="U739" s="209"/>
      <c r="V739" s="209"/>
      <c r="W739" s="209"/>
      <c r="X739" s="209"/>
      <c r="Y739" s="209"/>
      <c r="Z739" s="209"/>
    </row>
    <row r="740" spans="1:26" ht="18.75" customHeight="1">
      <c r="A740" s="210" t="str">
        <f ca="1">IFERROR(__xludf.DUMMYFUNCTION("""COMPUTED_VALUE"""),"Paraíso")</f>
        <v>Paraíso</v>
      </c>
      <c r="B740" s="210" t="str">
        <f ca="1">IFERROR(__xludf.DUMMYFUNCTION("""COMPUTED_VALUE"""),"Abreulandia")</f>
        <v>Abreulandia</v>
      </c>
      <c r="C740" s="211" t="str">
        <f ca="1">IFERROR(__xludf.DUMMYFUNCTION("""COMPUTED_VALUE"""),"ASS. DE APOIO DA ESCOLA EST. SAO PEDRO")</f>
        <v>ASS. DE APOIO DA ESCOLA EST. SAO PEDRO</v>
      </c>
      <c r="D740" s="212" t="str">
        <f ca="1">IFERROR(__xludf.DUMMYFUNCTION("""COMPUTED_VALUE"""),"01071408000117")</f>
        <v>01071408000117</v>
      </c>
      <c r="E740" s="212" t="str">
        <f ca="1">IFERROR(__xludf.DUMMYFUNCTION("""COMPUTED_VALUE"""),"001")</f>
        <v>001</v>
      </c>
      <c r="F740" s="212" t="str">
        <f ca="1">IFERROR(__xludf.DUMMYFUNCTION("""COMPUTED_VALUE"""),"0804")</f>
        <v>0804</v>
      </c>
      <c r="G740" s="213" t="str">
        <f ca="1">IFERROR(__xludf.DUMMYFUNCTION("""COMPUTED_VALUE"""),"286893")</f>
        <v>286893</v>
      </c>
      <c r="H740" s="211" t="str">
        <f ca="1">IFERROR(__xludf.DUMMYFUNCTION("""COMPUTED_VALUE"""),"EJA")</f>
        <v>EJA</v>
      </c>
      <c r="I740" s="214">
        <f ca="1">IFERROR(__xludf.DUMMYFUNCTION("""COMPUTED_VALUE"""),237.799999999999)</f>
        <v>237.79999999999899</v>
      </c>
      <c r="J740" s="209"/>
      <c r="K740" s="209"/>
      <c r="L740" s="209"/>
      <c r="M740" s="209"/>
      <c r="N740" s="209"/>
      <c r="O740" s="209"/>
      <c r="P740" s="209"/>
      <c r="Q740" s="209"/>
      <c r="R740" s="209"/>
      <c r="S740" s="209"/>
      <c r="T740" s="209"/>
      <c r="U740" s="209"/>
      <c r="V740" s="209"/>
      <c r="W740" s="209"/>
      <c r="X740" s="209"/>
      <c r="Y740" s="209"/>
      <c r="Z740" s="209"/>
    </row>
    <row r="741" spans="1:26" ht="18.75" customHeight="1">
      <c r="A741" s="210" t="str">
        <f ca="1">IFERROR(__xludf.DUMMYFUNCTION("""COMPUTED_VALUE"""),"Paraíso")</f>
        <v>Paraíso</v>
      </c>
      <c r="B741" s="210" t="str">
        <f ca="1">IFERROR(__xludf.DUMMYFUNCTION("""COMPUTED_VALUE"""),"Araguacema")</f>
        <v>Araguacema</v>
      </c>
      <c r="C741" s="211" t="str">
        <f ca="1">IFERROR(__xludf.DUMMYFUNCTION("""COMPUTED_VALUE"""),"ASSOC. DE APOIO COLEGIO MENNO SIMONS")</f>
        <v>ASSOC. DE APOIO COLEGIO MENNO SIMONS</v>
      </c>
      <c r="D741" s="212" t="str">
        <f ca="1">IFERROR(__xludf.DUMMYFUNCTION("""COMPUTED_VALUE"""),"01138321000110")</f>
        <v>01138321000110</v>
      </c>
      <c r="E741" s="212" t="str">
        <f ca="1">IFERROR(__xludf.DUMMYFUNCTION("""COMPUTED_VALUE"""),"001")</f>
        <v>001</v>
      </c>
      <c r="F741" s="212" t="str">
        <f ca="1">IFERROR(__xludf.DUMMYFUNCTION("""COMPUTED_VALUE"""),"0804")</f>
        <v>0804</v>
      </c>
      <c r="G741" s="213" t="str">
        <f ca="1">IFERROR(__xludf.DUMMYFUNCTION("""COMPUTED_VALUE"""),"300764")</f>
        <v>300764</v>
      </c>
      <c r="H741" s="211" t="str">
        <f ca="1">IFERROR(__xludf.DUMMYFUNCTION("""COMPUTED_VALUE"""),"ENS FUND PARCIAL")</f>
        <v>ENS FUND PARCIAL</v>
      </c>
      <c r="I741" s="214">
        <f ca="1">IFERROR(__xludf.DUMMYFUNCTION("""COMPUTED_VALUE"""),1850)</f>
        <v>1850</v>
      </c>
      <c r="J741" s="209"/>
      <c r="K741" s="209"/>
      <c r="L741" s="209"/>
      <c r="M741" s="209"/>
      <c r="N741" s="209"/>
      <c r="O741" s="209"/>
      <c r="P741" s="209"/>
      <c r="Q741" s="209"/>
      <c r="R741" s="209"/>
      <c r="S741" s="209"/>
      <c r="T741" s="209"/>
      <c r="U741" s="209"/>
      <c r="V741" s="209"/>
      <c r="W741" s="209"/>
      <c r="X741" s="209"/>
      <c r="Y741" s="209"/>
      <c r="Z741" s="209"/>
    </row>
    <row r="742" spans="1:26" ht="18.75" customHeight="1">
      <c r="A742" s="210" t="str">
        <f ca="1">IFERROR(__xludf.DUMMYFUNCTION("""COMPUTED_VALUE"""),"Paraíso")</f>
        <v>Paraíso</v>
      </c>
      <c r="B742" s="210" t="str">
        <f ca="1">IFERROR(__xludf.DUMMYFUNCTION("""COMPUTED_VALUE"""),"Araguacema")</f>
        <v>Araguacema</v>
      </c>
      <c r="C742" s="211" t="str">
        <f ca="1">IFERROR(__xludf.DUMMYFUNCTION("""COMPUTED_VALUE"""),"ASSOC. DE APOIO AO COL. EST. DE ARAGUACEMA")</f>
        <v>ASSOC. DE APOIO AO COL. EST. DE ARAGUACEMA</v>
      </c>
      <c r="D742" s="212" t="str">
        <f ca="1">IFERROR(__xludf.DUMMYFUNCTION("""COMPUTED_VALUE"""),"01187107000153")</f>
        <v>01187107000153</v>
      </c>
      <c r="E742" s="212" t="str">
        <f ca="1">IFERROR(__xludf.DUMMYFUNCTION("""COMPUTED_VALUE"""),"001")</f>
        <v>001</v>
      </c>
      <c r="F742" s="212" t="str">
        <f ca="1">IFERROR(__xludf.DUMMYFUNCTION("""COMPUTED_VALUE"""),"0804")</f>
        <v>0804</v>
      </c>
      <c r="G742" s="213" t="str">
        <f ca="1">IFERROR(__xludf.DUMMYFUNCTION("""COMPUTED_VALUE"""),"286532")</f>
        <v>286532</v>
      </c>
      <c r="H742" s="211" t="str">
        <f ca="1">IFERROR(__xludf.DUMMYFUNCTION("""COMPUTED_VALUE"""),"ENS FUND PARCIAL")</f>
        <v>ENS FUND PARCIAL</v>
      </c>
      <c r="I742" s="214">
        <f ca="1">IFERROR(__xludf.DUMMYFUNCTION("""COMPUTED_VALUE"""),950)</f>
        <v>950</v>
      </c>
      <c r="J742" s="209"/>
      <c r="K742" s="209"/>
      <c r="L742" s="209"/>
      <c r="M742" s="209"/>
      <c r="N742" s="209"/>
      <c r="O742" s="209"/>
      <c r="P742" s="209"/>
      <c r="Q742" s="209"/>
      <c r="R742" s="209"/>
      <c r="S742" s="209"/>
      <c r="T742" s="209"/>
      <c r="U742" s="209"/>
      <c r="V742" s="209"/>
      <c r="W742" s="209"/>
      <c r="X742" s="209"/>
      <c r="Y742" s="209"/>
      <c r="Z742" s="209"/>
    </row>
    <row r="743" spans="1:26" ht="18.75" customHeight="1">
      <c r="A743" s="210" t="str">
        <f ca="1">IFERROR(__xludf.DUMMYFUNCTION("""COMPUTED_VALUE"""),"Paraíso")</f>
        <v>Paraíso</v>
      </c>
      <c r="B743" s="210" t="str">
        <f ca="1">IFERROR(__xludf.DUMMYFUNCTION("""COMPUTED_VALUE"""),"Araguacema")</f>
        <v>Araguacema</v>
      </c>
      <c r="C743" s="211" t="str">
        <f ca="1">IFERROR(__xludf.DUMMYFUNCTION("""COMPUTED_VALUE"""),"ASSOC. DE APOIO AO COL. EST. DE ARAGUACEMA")</f>
        <v>ASSOC. DE APOIO AO COL. EST. DE ARAGUACEMA</v>
      </c>
      <c r="D743" s="212" t="str">
        <f ca="1">IFERROR(__xludf.DUMMYFUNCTION("""COMPUTED_VALUE"""),"01187107000153")</f>
        <v>01187107000153</v>
      </c>
      <c r="E743" s="212" t="str">
        <f ca="1">IFERROR(__xludf.DUMMYFUNCTION("""COMPUTED_VALUE"""),"001")</f>
        <v>001</v>
      </c>
      <c r="F743" s="212" t="str">
        <f ca="1">IFERROR(__xludf.DUMMYFUNCTION("""COMPUTED_VALUE"""),"0804")</f>
        <v>0804</v>
      </c>
      <c r="G743" s="213" t="str">
        <f ca="1">IFERROR(__xludf.DUMMYFUNCTION("""COMPUTED_VALUE"""),"286532")</f>
        <v>286532</v>
      </c>
      <c r="H743" s="211" t="str">
        <f ca="1">IFERROR(__xludf.DUMMYFUNCTION("""COMPUTED_VALUE"""),"ENSINO MEDIO PARCIAL")</f>
        <v>ENSINO MEDIO PARCIAL</v>
      </c>
      <c r="I743" s="214">
        <f ca="1">IFERROR(__xludf.DUMMYFUNCTION("""COMPUTED_VALUE"""),3060)</f>
        <v>3060</v>
      </c>
      <c r="J743" s="209"/>
      <c r="K743" s="209"/>
      <c r="L743" s="209"/>
      <c r="M743" s="209"/>
      <c r="N743" s="209"/>
      <c r="O743" s="209"/>
      <c r="P743" s="209"/>
      <c r="Q743" s="209"/>
      <c r="R743" s="209"/>
      <c r="S743" s="209"/>
      <c r="T743" s="209"/>
      <c r="U743" s="209"/>
      <c r="V743" s="209"/>
      <c r="W743" s="209"/>
      <c r="X743" s="209"/>
      <c r="Y743" s="209"/>
      <c r="Z743" s="209"/>
    </row>
    <row r="744" spans="1:26" ht="18.75" customHeight="1">
      <c r="A744" s="210" t="str">
        <f ca="1">IFERROR(__xludf.DUMMYFUNCTION("""COMPUTED_VALUE"""),"Paraíso")</f>
        <v>Paraíso</v>
      </c>
      <c r="B744" s="210" t="str">
        <f ca="1">IFERROR(__xludf.DUMMYFUNCTION("""COMPUTED_VALUE"""),"Barrolandia")</f>
        <v>Barrolandia</v>
      </c>
      <c r="C744" s="211" t="str">
        <f ca="1">IFERROR(__xludf.DUMMYFUNCTION("""COMPUTED_VALUE"""),"ASS. APOIO DA ESC EST PAULINA CAMARA")</f>
        <v>ASS. APOIO DA ESC EST PAULINA CAMARA</v>
      </c>
      <c r="D744" s="212" t="str">
        <f ca="1">IFERROR(__xludf.DUMMYFUNCTION("""COMPUTED_VALUE"""),"01071402000140")</f>
        <v>01071402000140</v>
      </c>
      <c r="E744" s="212" t="str">
        <f ca="1">IFERROR(__xludf.DUMMYFUNCTION("""COMPUTED_VALUE"""),"001")</f>
        <v>001</v>
      </c>
      <c r="F744" s="212" t="str">
        <f ca="1">IFERROR(__xludf.DUMMYFUNCTION("""COMPUTED_VALUE"""),"0862")</f>
        <v>0862</v>
      </c>
      <c r="G744" s="213" t="str">
        <f ca="1">IFERROR(__xludf.DUMMYFUNCTION("""COMPUTED_VALUE"""),"68926")</f>
        <v>68926</v>
      </c>
      <c r="H744" s="211" t="str">
        <f ca="1">IFERROR(__xludf.DUMMYFUNCTION("""COMPUTED_VALUE"""),"ENS FUND PARCIAL")</f>
        <v>ENS FUND PARCIAL</v>
      </c>
      <c r="I744" s="214">
        <f ca="1">IFERROR(__xludf.DUMMYFUNCTION("""COMPUTED_VALUE"""),2540)</f>
        <v>2540</v>
      </c>
      <c r="J744" s="209"/>
      <c r="K744" s="209"/>
      <c r="L744" s="209"/>
      <c r="M744" s="209"/>
      <c r="N744" s="209"/>
      <c r="O744" s="209"/>
      <c r="P744" s="209"/>
      <c r="Q744" s="209"/>
      <c r="R744" s="209"/>
      <c r="S744" s="209"/>
      <c r="T744" s="209"/>
      <c r="U744" s="209"/>
      <c r="V744" s="209"/>
      <c r="W744" s="209"/>
      <c r="X744" s="209"/>
      <c r="Y744" s="209"/>
      <c r="Z744" s="209"/>
    </row>
    <row r="745" spans="1:26" ht="18.75" customHeight="1">
      <c r="A745" s="210" t="str">
        <f ca="1">IFERROR(__xludf.DUMMYFUNCTION("""COMPUTED_VALUE"""),"Paraíso")</f>
        <v>Paraíso</v>
      </c>
      <c r="B745" s="210" t="str">
        <f ca="1">IFERROR(__xludf.DUMMYFUNCTION("""COMPUTED_VALUE"""),"Barrolandia")</f>
        <v>Barrolandia</v>
      </c>
      <c r="C745" s="211" t="str">
        <f ca="1">IFERROR(__xludf.DUMMYFUNCTION("""COMPUTED_VALUE"""),"ASS. APOIO DA ESC EST PAULINA CAMARA")</f>
        <v>ASS. APOIO DA ESC EST PAULINA CAMARA</v>
      </c>
      <c r="D745" s="212" t="str">
        <f ca="1">IFERROR(__xludf.DUMMYFUNCTION("""COMPUTED_VALUE"""),"01071402000140")</f>
        <v>01071402000140</v>
      </c>
      <c r="E745" s="212" t="str">
        <f ca="1">IFERROR(__xludf.DUMMYFUNCTION("""COMPUTED_VALUE"""),"001")</f>
        <v>001</v>
      </c>
      <c r="F745" s="212" t="str">
        <f ca="1">IFERROR(__xludf.DUMMYFUNCTION("""COMPUTED_VALUE"""),"0862")</f>
        <v>0862</v>
      </c>
      <c r="G745" s="213" t="str">
        <f ca="1">IFERROR(__xludf.DUMMYFUNCTION("""COMPUTED_VALUE"""),"68926")</f>
        <v>68926</v>
      </c>
      <c r="H745" s="211" t="str">
        <f ca="1">IFERROR(__xludf.DUMMYFUNCTION("""COMPUTED_VALUE"""),"AEE")</f>
        <v>AEE</v>
      </c>
      <c r="I745" s="214">
        <f ca="1">IFERROR(__xludf.DUMMYFUNCTION("""COMPUTED_VALUE"""),163.2)</f>
        <v>163.19999999999999</v>
      </c>
      <c r="J745" s="209"/>
      <c r="K745" s="209"/>
      <c r="L745" s="209"/>
      <c r="M745" s="209"/>
      <c r="N745" s="209"/>
      <c r="O745" s="209"/>
      <c r="P745" s="209"/>
      <c r="Q745" s="209"/>
      <c r="R745" s="209"/>
      <c r="S745" s="209"/>
      <c r="T745" s="209"/>
      <c r="U745" s="209"/>
      <c r="V745" s="209"/>
      <c r="W745" s="209"/>
      <c r="X745" s="209"/>
      <c r="Y745" s="209"/>
      <c r="Z745" s="209"/>
    </row>
    <row r="746" spans="1:26" ht="18.75" customHeight="1">
      <c r="A746" s="210" t="str">
        <f ca="1">IFERROR(__xludf.DUMMYFUNCTION("""COMPUTED_VALUE"""),"Paraíso")</f>
        <v>Paraíso</v>
      </c>
      <c r="B746" s="210" t="str">
        <f ca="1">IFERROR(__xludf.DUMMYFUNCTION("""COMPUTED_VALUE"""),"Barrolandia")</f>
        <v>Barrolandia</v>
      </c>
      <c r="C746" s="211" t="str">
        <f ca="1">IFERROR(__xludf.DUMMYFUNCTION("""COMPUTED_VALUE"""),"ASSOC. DE A. DO COL. EST. PRES. TANCREDO NEVES")</f>
        <v>ASSOC. DE A. DO COL. EST. PRES. TANCREDO NEVES</v>
      </c>
      <c r="D746" s="212" t="str">
        <f ca="1">IFERROR(__xludf.DUMMYFUNCTION("""COMPUTED_VALUE"""),"01086975000147")</f>
        <v>01086975000147</v>
      </c>
      <c r="E746" s="212" t="str">
        <f ca="1">IFERROR(__xludf.DUMMYFUNCTION("""COMPUTED_VALUE"""),"001")</f>
        <v>001</v>
      </c>
      <c r="F746" s="212" t="str">
        <f ca="1">IFERROR(__xludf.DUMMYFUNCTION("""COMPUTED_VALUE"""),"0862")</f>
        <v>0862</v>
      </c>
      <c r="G746" s="213" t="str">
        <f ca="1">IFERROR(__xludf.DUMMYFUNCTION("""COMPUTED_VALUE"""),"244155")</f>
        <v>244155</v>
      </c>
      <c r="H746" s="211" t="str">
        <f ca="1">IFERROR(__xludf.DUMMYFUNCTION("""COMPUTED_VALUE"""),"JOVEM AÇÃO")</f>
        <v>JOVEM AÇÃO</v>
      </c>
      <c r="I746" s="214">
        <f ca="1">IFERROR(__xludf.DUMMYFUNCTION("""COMPUTED_VALUE"""),5324.8)</f>
        <v>5324.8</v>
      </c>
      <c r="J746" s="209"/>
      <c r="K746" s="209"/>
      <c r="L746" s="209"/>
      <c r="M746" s="209"/>
      <c r="N746" s="209"/>
      <c r="O746" s="209"/>
      <c r="P746" s="209"/>
      <c r="Q746" s="209"/>
      <c r="R746" s="209"/>
      <c r="S746" s="209"/>
      <c r="T746" s="209"/>
      <c r="U746" s="209"/>
      <c r="V746" s="209"/>
      <c r="W746" s="209"/>
      <c r="X746" s="209"/>
      <c r="Y746" s="209"/>
      <c r="Z746" s="209"/>
    </row>
    <row r="747" spans="1:26" ht="18.75" customHeight="1">
      <c r="A747" s="210" t="str">
        <f ca="1">IFERROR(__xludf.DUMMYFUNCTION("""COMPUTED_VALUE"""),"Paraíso")</f>
        <v>Paraíso</v>
      </c>
      <c r="B747" s="210" t="str">
        <f ca="1">IFERROR(__xludf.DUMMYFUNCTION("""COMPUTED_VALUE"""),"Barrolandia")</f>
        <v>Barrolandia</v>
      </c>
      <c r="C747" s="211" t="str">
        <f ca="1">IFERROR(__xludf.DUMMYFUNCTION("""COMPUTED_VALUE"""),"A.A. COLEGIO ESTADUAL COSTA E SILVA")</f>
        <v>A.A. COLEGIO ESTADUAL COSTA E SILVA</v>
      </c>
      <c r="D747" s="212" t="str">
        <f ca="1">IFERROR(__xludf.DUMMYFUNCTION("""COMPUTED_VALUE"""),"01100434000126")</f>
        <v>01100434000126</v>
      </c>
      <c r="E747" s="212" t="str">
        <f ca="1">IFERROR(__xludf.DUMMYFUNCTION("""COMPUTED_VALUE"""),"001")</f>
        <v>001</v>
      </c>
      <c r="F747" s="212" t="str">
        <f ca="1">IFERROR(__xludf.DUMMYFUNCTION("""COMPUTED_VALUE"""),"0862")</f>
        <v>0862</v>
      </c>
      <c r="G747" s="213" t="str">
        <f ca="1">IFERROR(__xludf.DUMMYFUNCTION("""COMPUTED_VALUE"""),"68942")</f>
        <v>68942</v>
      </c>
      <c r="H747" s="211" t="str">
        <f ca="1">IFERROR(__xludf.DUMMYFUNCTION("""COMPUTED_VALUE"""),"ENS FUND PARCIAL")</f>
        <v>ENS FUND PARCIAL</v>
      </c>
      <c r="I747" s="214">
        <f ca="1">IFERROR(__xludf.DUMMYFUNCTION("""COMPUTED_VALUE"""),1100)</f>
        <v>1100</v>
      </c>
      <c r="J747" s="209"/>
      <c r="K747" s="209"/>
      <c r="L747" s="209"/>
      <c r="M747" s="209"/>
      <c r="N747" s="209"/>
      <c r="O747" s="209"/>
      <c r="P747" s="209"/>
      <c r="Q747" s="209"/>
      <c r="R747" s="209"/>
      <c r="S747" s="209"/>
      <c r="T747" s="209"/>
      <c r="U747" s="209"/>
      <c r="V747" s="209"/>
      <c r="W747" s="209"/>
      <c r="X747" s="209"/>
      <c r="Y747" s="209"/>
      <c r="Z747" s="209"/>
    </row>
    <row r="748" spans="1:26" ht="18.75" customHeight="1">
      <c r="A748" s="210" t="str">
        <f ca="1">IFERROR(__xludf.DUMMYFUNCTION("""COMPUTED_VALUE"""),"Paraíso")</f>
        <v>Paraíso</v>
      </c>
      <c r="B748" s="210" t="str">
        <f ca="1">IFERROR(__xludf.DUMMYFUNCTION("""COMPUTED_VALUE"""),"Barrolandia")</f>
        <v>Barrolandia</v>
      </c>
      <c r="C748" s="211" t="str">
        <f ca="1">IFERROR(__xludf.DUMMYFUNCTION("""COMPUTED_VALUE"""),"A.A. COLEGIO ESTADUAL COSTA E SILVA")</f>
        <v>A.A. COLEGIO ESTADUAL COSTA E SILVA</v>
      </c>
      <c r="D748" s="212" t="str">
        <f ca="1">IFERROR(__xludf.DUMMYFUNCTION("""COMPUTED_VALUE"""),"01100434000126")</f>
        <v>01100434000126</v>
      </c>
      <c r="E748" s="212" t="str">
        <f ca="1">IFERROR(__xludf.DUMMYFUNCTION("""COMPUTED_VALUE"""),"001")</f>
        <v>001</v>
      </c>
      <c r="F748" s="212" t="str">
        <f ca="1">IFERROR(__xludf.DUMMYFUNCTION("""COMPUTED_VALUE"""),"0862")</f>
        <v>0862</v>
      </c>
      <c r="G748" s="213" t="str">
        <f ca="1">IFERROR(__xludf.DUMMYFUNCTION("""COMPUTED_VALUE"""),"68942")</f>
        <v>68942</v>
      </c>
      <c r="H748" s="211" t="str">
        <f ca="1">IFERROR(__xludf.DUMMYFUNCTION("""COMPUTED_VALUE"""),"ENSINO MEDIO PARCIAL")</f>
        <v>ENSINO MEDIO PARCIAL</v>
      </c>
      <c r="I748" s="214">
        <f ca="1">IFERROR(__xludf.DUMMYFUNCTION("""COMPUTED_VALUE"""),1070)</f>
        <v>1070</v>
      </c>
      <c r="J748" s="209"/>
      <c r="K748" s="209"/>
      <c r="L748" s="209"/>
      <c r="M748" s="209"/>
      <c r="N748" s="209"/>
      <c r="O748" s="209"/>
      <c r="P748" s="209"/>
      <c r="Q748" s="209"/>
      <c r="R748" s="209"/>
      <c r="S748" s="209"/>
      <c r="T748" s="209"/>
      <c r="U748" s="209"/>
      <c r="V748" s="209"/>
      <c r="W748" s="209"/>
      <c r="X748" s="209"/>
      <c r="Y748" s="209"/>
      <c r="Z748" s="209"/>
    </row>
    <row r="749" spans="1:26" ht="18.75" customHeight="1">
      <c r="A749" s="210" t="str">
        <f ca="1">IFERROR(__xludf.DUMMYFUNCTION("""COMPUTED_VALUE"""),"Paraíso")</f>
        <v>Paraíso</v>
      </c>
      <c r="B749" s="210" t="str">
        <f ca="1">IFERROR(__xludf.DUMMYFUNCTION("""COMPUTED_VALUE"""),"Barrolandia")</f>
        <v>Barrolandia</v>
      </c>
      <c r="C749" s="211" t="str">
        <f ca="1">IFERROR(__xludf.DUMMYFUNCTION("""COMPUTED_VALUE"""),"A..A. ESC. ESPECIAL AMOR DE DEUS")</f>
        <v>A..A. ESC. ESPECIAL AMOR DE DEUS</v>
      </c>
      <c r="D749" s="212" t="str">
        <f ca="1">IFERROR(__xludf.DUMMYFUNCTION("""COMPUTED_VALUE"""),"07935641000187")</f>
        <v>07935641000187</v>
      </c>
      <c r="E749" s="212" t="str">
        <f ca="1">IFERROR(__xludf.DUMMYFUNCTION("""COMPUTED_VALUE"""),"001")</f>
        <v>001</v>
      </c>
      <c r="F749" s="212" t="str">
        <f ca="1">IFERROR(__xludf.DUMMYFUNCTION("""COMPUTED_VALUE"""),"0804")</f>
        <v>0804</v>
      </c>
      <c r="G749" s="213" t="str">
        <f ca="1">IFERROR(__xludf.DUMMYFUNCTION("""COMPUTED_VALUE"""),"279501")</f>
        <v>279501</v>
      </c>
      <c r="H749" s="211" t="str">
        <f ca="1">IFERROR(__xludf.DUMMYFUNCTION("""COMPUTED_VALUE"""),"PRÉ-ESCOLA")</f>
        <v>PRÉ-ESCOLA</v>
      </c>
      <c r="I749" s="214">
        <f ca="1">IFERROR(__xludf.DUMMYFUNCTION("""COMPUTED_VALUE"""),187.2)</f>
        <v>187.2</v>
      </c>
      <c r="J749" s="209"/>
      <c r="K749" s="209"/>
      <c r="L749" s="209"/>
      <c r="M749" s="209"/>
      <c r="N749" s="209"/>
      <c r="O749" s="209"/>
      <c r="P749" s="209"/>
      <c r="Q749" s="209"/>
      <c r="R749" s="209"/>
      <c r="S749" s="209"/>
      <c r="T749" s="209"/>
      <c r="U749" s="209"/>
      <c r="V749" s="209"/>
      <c r="W749" s="209"/>
      <c r="X749" s="209"/>
      <c r="Y749" s="209"/>
      <c r="Z749" s="209"/>
    </row>
    <row r="750" spans="1:26" ht="18.75" customHeight="1">
      <c r="A750" s="210" t="str">
        <f ca="1">IFERROR(__xludf.DUMMYFUNCTION("""COMPUTED_VALUE"""),"Paraíso")</f>
        <v>Paraíso</v>
      </c>
      <c r="B750" s="210" t="str">
        <f ca="1">IFERROR(__xludf.DUMMYFUNCTION("""COMPUTED_VALUE"""),"Barrolandia")</f>
        <v>Barrolandia</v>
      </c>
      <c r="C750" s="211" t="str">
        <f ca="1">IFERROR(__xludf.DUMMYFUNCTION("""COMPUTED_VALUE"""),"A..A. ESC. ESPECIAL AMOR DE DEUS")</f>
        <v>A..A. ESC. ESPECIAL AMOR DE DEUS</v>
      </c>
      <c r="D750" s="212" t="str">
        <f ca="1">IFERROR(__xludf.DUMMYFUNCTION("""COMPUTED_VALUE"""),"07935641000187")</f>
        <v>07935641000187</v>
      </c>
      <c r="E750" s="212" t="str">
        <f ca="1">IFERROR(__xludf.DUMMYFUNCTION("""COMPUTED_VALUE"""),"001")</f>
        <v>001</v>
      </c>
      <c r="F750" s="212" t="str">
        <f ca="1">IFERROR(__xludf.DUMMYFUNCTION("""COMPUTED_VALUE"""),"0804")</f>
        <v>0804</v>
      </c>
      <c r="G750" s="213" t="str">
        <f ca="1">IFERROR(__xludf.DUMMYFUNCTION("""COMPUTED_VALUE"""),"279501")</f>
        <v>279501</v>
      </c>
      <c r="H750" s="211" t="str">
        <f ca="1">IFERROR(__xludf.DUMMYFUNCTION("""COMPUTED_VALUE"""),"ENS FUND PARCIAL")</f>
        <v>ENS FUND PARCIAL</v>
      </c>
      <c r="I750" s="214">
        <f ca="1">IFERROR(__xludf.DUMMYFUNCTION("""COMPUTED_VALUE"""),100)</f>
        <v>100</v>
      </c>
      <c r="J750" s="209"/>
      <c r="K750" s="209"/>
      <c r="L750" s="209"/>
      <c r="M750" s="209"/>
      <c r="N750" s="209"/>
      <c r="O750" s="209"/>
      <c r="P750" s="209"/>
      <c r="Q750" s="209"/>
      <c r="R750" s="209"/>
      <c r="S750" s="209"/>
      <c r="T750" s="209"/>
      <c r="U750" s="209"/>
      <c r="V750" s="209"/>
      <c r="W750" s="209"/>
      <c r="X750" s="209"/>
      <c r="Y750" s="209"/>
      <c r="Z750" s="209"/>
    </row>
    <row r="751" spans="1:26" ht="18.75" customHeight="1">
      <c r="A751" s="210" t="str">
        <f ca="1">IFERROR(__xludf.DUMMYFUNCTION("""COMPUTED_VALUE"""),"Paraíso")</f>
        <v>Paraíso</v>
      </c>
      <c r="B751" s="210" t="str">
        <f ca="1">IFERROR(__xludf.DUMMYFUNCTION("""COMPUTED_VALUE"""),"Barrolandia")</f>
        <v>Barrolandia</v>
      </c>
      <c r="C751" s="211" t="str">
        <f ca="1">IFERROR(__xludf.DUMMYFUNCTION("""COMPUTED_VALUE"""),"A..A. ESC. ESPECIAL AMOR DE DEUS")</f>
        <v>A..A. ESC. ESPECIAL AMOR DE DEUS</v>
      </c>
      <c r="D751" s="212" t="str">
        <f ca="1">IFERROR(__xludf.DUMMYFUNCTION("""COMPUTED_VALUE"""),"07935641000187")</f>
        <v>07935641000187</v>
      </c>
      <c r="E751" s="212" t="str">
        <f ca="1">IFERROR(__xludf.DUMMYFUNCTION("""COMPUTED_VALUE"""),"001")</f>
        <v>001</v>
      </c>
      <c r="F751" s="212" t="str">
        <f ca="1">IFERROR(__xludf.DUMMYFUNCTION("""COMPUTED_VALUE"""),"0804")</f>
        <v>0804</v>
      </c>
      <c r="G751" s="213" t="str">
        <f ca="1">IFERROR(__xludf.DUMMYFUNCTION("""COMPUTED_VALUE"""),"279501")</f>
        <v>279501</v>
      </c>
      <c r="H751" s="211" t="str">
        <f ca="1">IFERROR(__xludf.DUMMYFUNCTION("""COMPUTED_VALUE"""),"AEE")</f>
        <v>AEE</v>
      </c>
      <c r="I751" s="214">
        <f ca="1">IFERROR(__xludf.DUMMYFUNCTION("""COMPUTED_VALUE"""),163.2)</f>
        <v>163.19999999999999</v>
      </c>
      <c r="J751" s="209"/>
      <c r="K751" s="209"/>
      <c r="L751" s="209"/>
      <c r="M751" s="209"/>
      <c r="N751" s="209"/>
      <c r="O751" s="209"/>
      <c r="P751" s="209"/>
      <c r="Q751" s="209"/>
      <c r="R751" s="209"/>
      <c r="S751" s="209"/>
      <c r="T751" s="209"/>
      <c r="U751" s="209"/>
      <c r="V751" s="209"/>
      <c r="W751" s="209"/>
      <c r="X751" s="209"/>
      <c r="Y751" s="209"/>
      <c r="Z751" s="209"/>
    </row>
    <row r="752" spans="1:26" ht="18.75" customHeight="1">
      <c r="A752" s="210" t="str">
        <f ca="1">IFERROR(__xludf.DUMMYFUNCTION("""COMPUTED_VALUE"""),"Paraíso")</f>
        <v>Paraíso</v>
      </c>
      <c r="B752" s="210" t="str">
        <f ca="1">IFERROR(__xludf.DUMMYFUNCTION("""COMPUTED_VALUE"""),"Barrolandia")</f>
        <v>Barrolandia</v>
      </c>
      <c r="C752" s="211" t="str">
        <f ca="1">IFERROR(__xludf.DUMMYFUNCTION("""COMPUTED_VALUE"""),"A..A. ESC. ESPECIAL AMOR DE DEUS")</f>
        <v>A..A. ESC. ESPECIAL AMOR DE DEUS</v>
      </c>
      <c r="D752" s="212" t="str">
        <f ca="1">IFERROR(__xludf.DUMMYFUNCTION("""COMPUTED_VALUE"""),"07935641000187")</f>
        <v>07935641000187</v>
      </c>
      <c r="E752" s="212" t="str">
        <f ca="1">IFERROR(__xludf.DUMMYFUNCTION("""COMPUTED_VALUE"""),"001")</f>
        <v>001</v>
      </c>
      <c r="F752" s="212" t="str">
        <f ca="1">IFERROR(__xludf.DUMMYFUNCTION("""COMPUTED_VALUE"""),"0804")</f>
        <v>0804</v>
      </c>
      <c r="G752" s="213" t="str">
        <f ca="1">IFERROR(__xludf.DUMMYFUNCTION("""COMPUTED_VALUE"""),"279501")</f>
        <v>279501</v>
      </c>
      <c r="H752" s="211" t="str">
        <f ca="1">IFERROR(__xludf.DUMMYFUNCTION("""COMPUTED_VALUE"""),"EJA")</f>
        <v>EJA</v>
      </c>
      <c r="I752" s="214">
        <f ca="1">IFERROR(__xludf.DUMMYFUNCTION("""COMPUTED_VALUE"""),229.599999999999)</f>
        <v>229.599999999999</v>
      </c>
      <c r="J752" s="209"/>
      <c r="K752" s="209"/>
      <c r="L752" s="209"/>
      <c r="M752" s="209"/>
      <c r="N752" s="209"/>
      <c r="O752" s="209"/>
      <c r="P752" s="209"/>
      <c r="Q752" s="209"/>
      <c r="R752" s="209"/>
      <c r="S752" s="209"/>
      <c r="T752" s="209"/>
      <c r="U752" s="209"/>
      <c r="V752" s="209"/>
      <c r="W752" s="209"/>
      <c r="X752" s="209"/>
      <c r="Y752" s="209"/>
      <c r="Z752" s="209"/>
    </row>
    <row r="753" spans="1:26" ht="18.75" customHeight="1">
      <c r="A753" s="210" t="str">
        <f ca="1">IFERROR(__xludf.DUMMYFUNCTION("""COMPUTED_VALUE"""),"Paraíso")</f>
        <v>Paraíso</v>
      </c>
      <c r="B753" s="210" t="str">
        <f ca="1">IFERROR(__xludf.DUMMYFUNCTION("""COMPUTED_VALUE"""),"Caseara")</f>
        <v>Caseara</v>
      </c>
      <c r="C753" s="211" t="str">
        <f ca="1">IFERROR(__xludf.DUMMYFUNCTION("""COMPUTED_VALUE"""),"A.A. AO COLEGIO EST. TRAJANO DE ALMEIDA")</f>
        <v>A.A. AO COLEGIO EST. TRAJANO DE ALMEIDA</v>
      </c>
      <c r="D753" s="212" t="str">
        <f ca="1">IFERROR(__xludf.DUMMYFUNCTION("""COMPUTED_VALUE"""),"01136037000104")</f>
        <v>01136037000104</v>
      </c>
      <c r="E753" s="212" t="str">
        <f ca="1">IFERROR(__xludf.DUMMYFUNCTION("""COMPUTED_VALUE"""),"001")</f>
        <v>001</v>
      </c>
      <c r="F753" s="212" t="str">
        <f ca="1">IFERROR(__xludf.DUMMYFUNCTION("""COMPUTED_VALUE"""),"0804")</f>
        <v>0804</v>
      </c>
      <c r="G753" s="213" t="str">
        <f ca="1">IFERROR(__xludf.DUMMYFUNCTION("""COMPUTED_VALUE"""),"110558")</f>
        <v>110558</v>
      </c>
      <c r="H753" s="211" t="str">
        <f ca="1">IFERROR(__xludf.DUMMYFUNCTION("""COMPUTED_VALUE"""),"ENSINO MEDIO PARCIAL")</f>
        <v>ENSINO MEDIO PARCIAL</v>
      </c>
      <c r="I753" s="214">
        <f ca="1">IFERROR(__xludf.DUMMYFUNCTION("""COMPUTED_VALUE"""),2040)</f>
        <v>2040</v>
      </c>
      <c r="J753" s="209"/>
      <c r="K753" s="209"/>
      <c r="L753" s="209"/>
      <c r="M753" s="209"/>
      <c r="N753" s="209"/>
      <c r="O753" s="209"/>
      <c r="P753" s="209"/>
      <c r="Q753" s="209"/>
      <c r="R753" s="209"/>
      <c r="S753" s="209"/>
      <c r="T753" s="209"/>
      <c r="U753" s="209"/>
      <c r="V753" s="209"/>
      <c r="W753" s="209"/>
      <c r="X753" s="209"/>
      <c r="Y753" s="209"/>
      <c r="Z753" s="209"/>
    </row>
    <row r="754" spans="1:26" ht="18.75" customHeight="1">
      <c r="A754" s="210" t="str">
        <f ca="1">IFERROR(__xludf.DUMMYFUNCTION("""COMPUTED_VALUE"""),"Paraíso")</f>
        <v>Paraíso</v>
      </c>
      <c r="B754" s="210" t="str">
        <f ca="1">IFERROR(__xludf.DUMMYFUNCTION("""COMPUTED_VALUE"""),"Caseara")</f>
        <v>Caseara</v>
      </c>
      <c r="C754" s="211" t="str">
        <f ca="1">IFERROR(__xludf.DUMMYFUNCTION("""COMPUTED_VALUE"""),"A. DE APOIO A ESC. EST. JOSE ALVES DE ASSIS")</f>
        <v>A. DE APOIO A ESC. EST. JOSE ALVES DE ASSIS</v>
      </c>
      <c r="D754" s="212" t="str">
        <f ca="1">IFERROR(__xludf.DUMMYFUNCTION("""COMPUTED_VALUE"""),"01138318000104")</f>
        <v>01138318000104</v>
      </c>
      <c r="E754" s="212" t="str">
        <f ca="1">IFERROR(__xludf.DUMMYFUNCTION("""COMPUTED_VALUE"""),"104")</f>
        <v>104</v>
      </c>
      <c r="F754" s="212" t="str">
        <f ca="1">IFERROR(__xludf.DUMMYFUNCTION("""COMPUTED_VALUE"""),"1141")</f>
        <v>1141</v>
      </c>
      <c r="G754" s="213" t="str">
        <f ca="1">IFERROR(__xludf.DUMMYFUNCTION("""COMPUTED_VALUE"""),"307968")</f>
        <v>307968</v>
      </c>
      <c r="H754" s="211" t="str">
        <f ca="1">IFERROR(__xludf.DUMMYFUNCTION("""COMPUTED_VALUE"""),"ENS FUND PARCIAL")</f>
        <v>ENS FUND PARCIAL</v>
      </c>
      <c r="I754" s="214">
        <f ca="1">IFERROR(__xludf.DUMMYFUNCTION("""COMPUTED_VALUE"""),3450)</f>
        <v>3450</v>
      </c>
      <c r="J754" s="209"/>
      <c r="K754" s="209"/>
      <c r="L754" s="209"/>
      <c r="M754" s="209"/>
      <c r="N754" s="209"/>
      <c r="O754" s="209"/>
      <c r="P754" s="209"/>
      <c r="Q754" s="209"/>
      <c r="R754" s="209"/>
      <c r="S754" s="209"/>
      <c r="T754" s="209"/>
      <c r="U754" s="209"/>
      <c r="V754" s="209"/>
      <c r="W754" s="209"/>
      <c r="X754" s="209"/>
      <c r="Y754" s="209"/>
      <c r="Z754" s="209"/>
    </row>
    <row r="755" spans="1:26" ht="18.75" customHeight="1">
      <c r="A755" s="210" t="str">
        <f ca="1">IFERROR(__xludf.DUMMYFUNCTION("""COMPUTED_VALUE"""),"Paraíso")</f>
        <v>Paraíso</v>
      </c>
      <c r="B755" s="210" t="str">
        <f ca="1">IFERROR(__xludf.DUMMYFUNCTION("""COMPUTED_VALUE"""),"Cristalandia")</f>
        <v>Cristalandia</v>
      </c>
      <c r="C755" s="211" t="str">
        <f ca="1">IFERROR(__xludf.DUMMYFUNCTION("""COMPUTED_VALUE"""),"A.A. ESCOLA MUL.OTACILIO MARQUES ROSAL")</f>
        <v>A.A. ESCOLA MUL.OTACILIO MARQUES ROSAL</v>
      </c>
      <c r="D755" s="212" t="str">
        <f ca="1">IFERROR(__xludf.DUMMYFUNCTION("""COMPUTED_VALUE"""),"01071438000123")</f>
        <v>01071438000123</v>
      </c>
      <c r="E755" s="212" t="str">
        <f ca="1">IFERROR(__xludf.DUMMYFUNCTION("""COMPUTED_VALUE"""),"001")</f>
        <v>001</v>
      </c>
      <c r="F755" s="212" t="str">
        <f ca="1">IFERROR(__xludf.DUMMYFUNCTION("""COMPUTED_VALUE"""),"3638")</f>
        <v>3638</v>
      </c>
      <c r="G755" s="213" t="str">
        <f ca="1">IFERROR(__xludf.DUMMYFUNCTION("""COMPUTED_VALUE"""),"7120X")</f>
        <v>7120X</v>
      </c>
      <c r="H755" s="211" t="str">
        <f ca="1">IFERROR(__xludf.DUMMYFUNCTION("""COMPUTED_VALUE"""),"ENS FUND PARCIAL")</f>
        <v>ENS FUND PARCIAL</v>
      </c>
      <c r="I755" s="214">
        <f ca="1">IFERROR(__xludf.DUMMYFUNCTION("""COMPUTED_VALUE"""),2760)</f>
        <v>2760</v>
      </c>
      <c r="J755" s="209"/>
      <c r="K755" s="209"/>
      <c r="L755" s="209"/>
      <c r="M755" s="209"/>
      <c r="N755" s="209"/>
      <c r="O755" s="209"/>
      <c r="P755" s="209"/>
      <c r="Q755" s="209"/>
      <c r="R755" s="209"/>
      <c r="S755" s="209"/>
      <c r="T755" s="209"/>
      <c r="U755" s="209"/>
      <c r="V755" s="209"/>
      <c r="W755" s="209"/>
      <c r="X755" s="209"/>
      <c r="Y755" s="209"/>
      <c r="Z755" s="209"/>
    </row>
    <row r="756" spans="1:26" ht="18.75" customHeight="1">
      <c r="A756" s="210" t="str">
        <f ca="1">IFERROR(__xludf.DUMMYFUNCTION("""COMPUTED_VALUE"""),"Paraíso")</f>
        <v>Paraíso</v>
      </c>
      <c r="B756" s="210" t="str">
        <f ca="1">IFERROR(__xludf.DUMMYFUNCTION("""COMPUTED_VALUE"""),"Cristalandia")</f>
        <v>Cristalandia</v>
      </c>
      <c r="C756" s="211" t="str">
        <f ca="1">IFERROR(__xludf.DUMMYFUNCTION("""COMPUTED_VALUE"""),"A.A. ESCOLA MUL.OTACILIO MARQUES ROSAL")</f>
        <v>A.A. ESCOLA MUL.OTACILIO MARQUES ROSAL</v>
      </c>
      <c r="D756" s="212" t="str">
        <f ca="1">IFERROR(__xludf.DUMMYFUNCTION("""COMPUTED_VALUE"""),"01071438000123")</f>
        <v>01071438000123</v>
      </c>
      <c r="E756" s="212" t="str">
        <f ca="1">IFERROR(__xludf.DUMMYFUNCTION("""COMPUTED_VALUE"""),"001")</f>
        <v>001</v>
      </c>
      <c r="F756" s="212" t="str">
        <f ca="1">IFERROR(__xludf.DUMMYFUNCTION("""COMPUTED_VALUE"""),"3638")</f>
        <v>3638</v>
      </c>
      <c r="G756" s="213" t="str">
        <f ca="1">IFERROR(__xludf.DUMMYFUNCTION("""COMPUTED_VALUE"""),"7120X")</f>
        <v>7120X</v>
      </c>
      <c r="H756" s="211" t="str">
        <f ca="1">IFERROR(__xludf.DUMMYFUNCTION("""COMPUTED_VALUE"""),"AEE")</f>
        <v>AEE</v>
      </c>
      <c r="I756" s="214">
        <f ca="1">IFERROR(__xludf.DUMMYFUNCTION("""COMPUTED_VALUE"""),136)</f>
        <v>136</v>
      </c>
      <c r="J756" s="209"/>
      <c r="K756" s="209"/>
      <c r="L756" s="209"/>
      <c r="M756" s="209"/>
      <c r="N756" s="209"/>
      <c r="O756" s="209"/>
      <c r="P756" s="209"/>
      <c r="Q756" s="209"/>
      <c r="R756" s="209"/>
      <c r="S756" s="209"/>
      <c r="T756" s="209"/>
      <c r="U756" s="209"/>
      <c r="V756" s="209"/>
      <c r="W756" s="209"/>
      <c r="X756" s="209"/>
      <c r="Y756" s="209"/>
      <c r="Z756" s="209"/>
    </row>
    <row r="757" spans="1:26" ht="18.75" customHeight="1">
      <c r="A757" s="210" t="str">
        <f ca="1">IFERROR(__xludf.DUMMYFUNCTION("""COMPUTED_VALUE"""),"Paraíso")</f>
        <v>Paraíso</v>
      </c>
      <c r="B757" s="210" t="str">
        <f ca="1">IFERROR(__xludf.DUMMYFUNCTION("""COMPUTED_VALUE"""),"Cristalandia")</f>
        <v>Cristalandia</v>
      </c>
      <c r="C757" s="211" t="str">
        <f ca="1">IFERROR(__xludf.DUMMYFUNCTION("""COMPUTED_VALUE"""),"A.A. ESCOLA MUL.OTACILIO MARQUES ROSAL")</f>
        <v>A.A. ESCOLA MUL.OTACILIO MARQUES ROSAL</v>
      </c>
      <c r="D757" s="212" t="str">
        <f ca="1">IFERROR(__xludf.DUMMYFUNCTION("""COMPUTED_VALUE"""),"01071438000123")</f>
        <v>01071438000123</v>
      </c>
      <c r="E757" s="212" t="str">
        <f ca="1">IFERROR(__xludf.DUMMYFUNCTION("""COMPUTED_VALUE"""),"001")</f>
        <v>001</v>
      </c>
      <c r="F757" s="212" t="str">
        <f ca="1">IFERROR(__xludf.DUMMYFUNCTION("""COMPUTED_VALUE"""),"3638")</f>
        <v>3638</v>
      </c>
      <c r="G757" s="213" t="str">
        <f ca="1">IFERROR(__xludf.DUMMYFUNCTION("""COMPUTED_VALUE"""),"7120X")</f>
        <v>7120X</v>
      </c>
      <c r="H757" s="211" t="str">
        <f ca="1">IFERROR(__xludf.DUMMYFUNCTION("""COMPUTED_VALUE"""),"ENSINO MEDIO PARCIAL")</f>
        <v>ENSINO MEDIO PARCIAL</v>
      </c>
      <c r="I757" s="214">
        <f ca="1">IFERROR(__xludf.DUMMYFUNCTION("""COMPUTED_VALUE"""),1490)</f>
        <v>1490</v>
      </c>
      <c r="J757" s="209"/>
      <c r="K757" s="209"/>
      <c r="L757" s="209"/>
      <c r="M757" s="209"/>
      <c r="N757" s="209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  <c r="Z757" s="209"/>
    </row>
    <row r="758" spans="1:26" ht="18.75" customHeight="1">
      <c r="A758" s="210" t="str">
        <f ca="1">IFERROR(__xludf.DUMMYFUNCTION("""COMPUTED_VALUE"""),"Paraíso")</f>
        <v>Paraíso</v>
      </c>
      <c r="B758" s="210" t="str">
        <f ca="1">IFERROR(__xludf.DUMMYFUNCTION("""COMPUTED_VALUE"""),"Cristalandia")</f>
        <v>Cristalandia</v>
      </c>
      <c r="C758" s="211" t="str">
        <f ca="1">IFERROR(__xludf.DUMMYFUNCTION("""COMPUTED_VALUE"""),"ASS. APOIO DO COL. EST. DE CRISTALANDIA")</f>
        <v>ASS. APOIO DO COL. EST. DE CRISTALANDIA</v>
      </c>
      <c r="D758" s="212" t="str">
        <f ca="1">IFERROR(__xludf.DUMMYFUNCTION("""COMPUTED_VALUE"""),"01186467000130")</f>
        <v>01186467000130</v>
      </c>
      <c r="E758" s="212" t="str">
        <f ca="1">IFERROR(__xludf.DUMMYFUNCTION("""COMPUTED_VALUE"""),"001")</f>
        <v>001</v>
      </c>
      <c r="F758" s="212" t="str">
        <f ca="1">IFERROR(__xludf.DUMMYFUNCTION("""COMPUTED_VALUE"""),"3638")</f>
        <v>3638</v>
      </c>
      <c r="G758" s="213" t="str">
        <f ca="1">IFERROR(__xludf.DUMMYFUNCTION("""COMPUTED_VALUE"""),"17469")</f>
        <v>17469</v>
      </c>
      <c r="H758" s="211" t="str">
        <f ca="1">IFERROR(__xludf.DUMMYFUNCTION("""COMPUTED_VALUE"""),"ENS FUND PARCIAL")</f>
        <v>ENS FUND PARCIAL</v>
      </c>
      <c r="I758" s="214">
        <f ca="1">IFERROR(__xludf.DUMMYFUNCTION("""COMPUTED_VALUE"""),1990)</f>
        <v>1990</v>
      </c>
      <c r="J758" s="209"/>
      <c r="K758" s="209"/>
      <c r="L758" s="209"/>
      <c r="M758" s="209"/>
      <c r="N758" s="209"/>
      <c r="O758" s="209"/>
      <c r="P758" s="209"/>
      <c r="Q758" s="209"/>
      <c r="R758" s="209"/>
      <c r="S758" s="209"/>
      <c r="T758" s="209"/>
      <c r="U758" s="209"/>
      <c r="V758" s="209"/>
      <c r="W758" s="209"/>
      <c r="X758" s="209"/>
      <c r="Y758" s="209"/>
      <c r="Z758" s="209"/>
    </row>
    <row r="759" spans="1:26" ht="18.75" customHeight="1">
      <c r="A759" s="210" t="str">
        <f ca="1">IFERROR(__xludf.DUMMYFUNCTION("""COMPUTED_VALUE"""),"Paraíso")</f>
        <v>Paraíso</v>
      </c>
      <c r="B759" s="210" t="str">
        <f ca="1">IFERROR(__xludf.DUMMYFUNCTION("""COMPUTED_VALUE"""),"Cristalandia")</f>
        <v>Cristalandia</v>
      </c>
      <c r="C759" s="211" t="str">
        <f ca="1">IFERROR(__xludf.DUMMYFUNCTION("""COMPUTED_VALUE"""),"ASS. APOIO DO COL. EST. DE CRISTALANDIA")</f>
        <v>ASS. APOIO DO COL. EST. DE CRISTALANDIA</v>
      </c>
      <c r="D759" s="212" t="str">
        <f ca="1">IFERROR(__xludf.DUMMYFUNCTION("""COMPUTED_VALUE"""),"01186467000130")</f>
        <v>01186467000130</v>
      </c>
      <c r="E759" s="212" t="str">
        <f ca="1">IFERROR(__xludf.DUMMYFUNCTION("""COMPUTED_VALUE"""),"001")</f>
        <v>001</v>
      </c>
      <c r="F759" s="212" t="str">
        <f ca="1">IFERROR(__xludf.DUMMYFUNCTION("""COMPUTED_VALUE"""),"3638")</f>
        <v>3638</v>
      </c>
      <c r="G759" s="213" t="str">
        <f ca="1">IFERROR(__xludf.DUMMYFUNCTION("""COMPUTED_VALUE"""),"17469")</f>
        <v>17469</v>
      </c>
      <c r="H759" s="211" t="str">
        <f ca="1">IFERROR(__xludf.DUMMYFUNCTION("""COMPUTED_VALUE"""),"ENSINO MEDIO PARCIAL")</f>
        <v>ENSINO MEDIO PARCIAL</v>
      </c>
      <c r="I759" s="214">
        <f ca="1">IFERROR(__xludf.DUMMYFUNCTION("""COMPUTED_VALUE"""),1820)</f>
        <v>1820</v>
      </c>
      <c r="J759" s="209"/>
      <c r="K759" s="209"/>
      <c r="L759" s="209"/>
      <c r="M759" s="209"/>
      <c r="N759" s="209"/>
      <c r="O759" s="209"/>
      <c r="P759" s="209"/>
      <c r="Q759" s="209"/>
      <c r="R759" s="209"/>
      <c r="S759" s="209"/>
      <c r="T759" s="209"/>
      <c r="U759" s="209"/>
      <c r="V759" s="209"/>
      <c r="W759" s="209"/>
      <c r="X759" s="209"/>
      <c r="Y759" s="209"/>
      <c r="Z759" s="209"/>
    </row>
    <row r="760" spans="1:26" ht="18.75" customHeight="1">
      <c r="A760" s="210" t="str">
        <f ca="1">IFERROR(__xludf.DUMMYFUNCTION("""COMPUTED_VALUE"""),"Paraíso")</f>
        <v>Paraíso</v>
      </c>
      <c r="B760" s="210" t="str">
        <f ca="1">IFERROR(__xludf.DUMMYFUNCTION("""COMPUTED_VALUE"""),"Cristalandia")</f>
        <v>Cristalandia</v>
      </c>
      <c r="C760" s="211" t="str">
        <f ca="1">IFERROR(__xludf.DUMMYFUNCTION("""COMPUTED_VALUE"""),"APAE DE CRISTALÂNDIA")</f>
        <v>APAE DE CRISTALÂNDIA</v>
      </c>
      <c r="D760" s="212" t="str">
        <f ca="1">IFERROR(__xludf.DUMMYFUNCTION("""COMPUTED_VALUE"""),"01995319000167")</f>
        <v>01995319000167</v>
      </c>
      <c r="E760" s="212" t="str">
        <f ca="1">IFERROR(__xludf.DUMMYFUNCTION("""COMPUTED_VALUE"""),"001")</f>
        <v>001</v>
      </c>
      <c r="F760" s="212" t="str">
        <f ca="1">IFERROR(__xludf.DUMMYFUNCTION("""COMPUTED_VALUE"""),"3638")</f>
        <v>3638</v>
      </c>
      <c r="G760" s="213" t="str">
        <f ca="1">IFERROR(__xludf.DUMMYFUNCTION("""COMPUTED_VALUE"""),"71315")</f>
        <v>71315</v>
      </c>
      <c r="H760" s="211" t="str">
        <f ca="1">IFERROR(__xludf.DUMMYFUNCTION("""COMPUTED_VALUE"""),"PRÉ-ESCOLA")</f>
        <v>PRÉ-ESCOLA</v>
      </c>
      <c r="I760" s="214">
        <f ca="1">IFERROR(__xludf.DUMMYFUNCTION("""COMPUTED_VALUE"""),72)</f>
        <v>72</v>
      </c>
      <c r="J760" s="209"/>
      <c r="K760" s="209"/>
      <c r="L760" s="209"/>
      <c r="M760" s="209"/>
      <c r="N760" s="209"/>
      <c r="O760" s="209"/>
      <c r="P760" s="209"/>
      <c r="Q760" s="209"/>
      <c r="R760" s="209"/>
      <c r="S760" s="209"/>
      <c r="T760" s="209"/>
      <c r="U760" s="209"/>
      <c r="V760" s="209"/>
      <c r="W760" s="209"/>
      <c r="X760" s="209"/>
      <c r="Y760" s="209"/>
      <c r="Z760" s="209"/>
    </row>
    <row r="761" spans="1:26" ht="18.75" customHeight="1">
      <c r="A761" s="210" t="str">
        <f ca="1">IFERROR(__xludf.DUMMYFUNCTION("""COMPUTED_VALUE"""),"Paraíso")</f>
        <v>Paraíso</v>
      </c>
      <c r="B761" s="210" t="str">
        <f ca="1">IFERROR(__xludf.DUMMYFUNCTION("""COMPUTED_VALUE"""),"Cristalandia")</f>
        <v>Cristalandia</v>
      </c>
      <c r="C761" s="211" t="str">
        <f ca="1">IFERROR(__xludf.DUMMYFUNCTION("""COMPUTED_VALUE"""),"APAE DE CRISTALÂNDIA")</f>
        <v>APAE DE CRISTALÂNDIA</v>
      </c>
      <c r="D761" s="212" t="str">
        <f ca="1">IFERROR(__xludf.DUMMYFUNCTION("""COMPUTED_VALUE"""),"01995319000167")</f>
        <v>01995319000167</v>
      </c>
      <c r="E761" s="212" t="str">
        <f ca="1">IFERROR(__xludf.DUMMYFUNCTION("""COMPUTED_VALUE"""),"001")</f>
        <v>001</v>
      </c>
      <c r="F761" s="212" t="str">
        <f ca="1">IFERROR(__xludf.DUMMYFUNCTION("""COMPUTED_VALUE"""),"3638")</f>
        <v>3638</v>
      </c>
      <c r="G761" s="213" t="str">
        <f ca="1">IFERROR(__xludf.DUMMYFUNCTION("""COMPUTED_VALUE"""),"71315")</f>
        <v>71315</v>
      </c>
      <c r="H761" s="211" t="str">
        <f ca="1">IFERROR(__xludf.DUMMYFUNCTION("""COMPUTED_VALUE"""),"ENS FUND PARCIAL")</f>
        <v>ENS FUND PARCIAL</v>
      </c>
      <c r="I761" s="214">
        <f ca="1">IFERROR(__xludf.DUMMYFUNCTION("""COMPUTED_VALUE"""),30)</f>
        <v>30</v>
      </c>
      <c r="J761" s="209"/>
      <c r="K761" s="209"/>
      <c r="L761" s="209"/>
      <c r="M761" s="209"/>
      <c r="N761" s="209"/>
      <c r="O761" s="209"/>
      <c r="P761" s="209"/>
      <c r="Q761" s="209"/>
      <c r="R761" s="209"/>
      <c r="S761" s="209"/>
      <c r="T761" s="209"/>
      <c r="U761" s="209"/>
      <c r="V761" s="209"/>
      <c r="W761" s="209"/>
      <c r="X761" s="209"/>
      <c r="Y761" s="209"/>
      <c r="Z761" s="209"/>
    </row>
    <row r="762" spans="1:26" ht="18.75" customHeight="1">
      <c r="A762" s="210" t="str">
        <f ca="1">IFERROR(__xludf.DUMMYFUNCTION("""COMPUTED_VALUE"""),"Paraíso")</f>
        <v>Paraíso</v>
      </c>
      <c r="B762" s="210" t="str">
        <f ca="1">IFERROR(__xludf.DUMMYFUNCTION("""COMPUTED_VALUE"""),"Cristalandia")</f>
        <v>Cristalandia</v>
      </c>
      <c r="C762" s="211" t="str">
        <f ca="1">IFERROR(__xludf.DUMMYFUNCTION("""COMPUTED_VALUE"""),"APAE DE CRISTALÂNDIA")</f>
        <v>APAE DE CRISTALÂNDIA</v>
      </c>
      <c r="D762" s="212" t="str">
        <f ca="1">IFERROR(__xludf.DUMMYFUNCTION("""COMPUTED_VALUE"""),"01995319000167")</f>
        <v>01995319000167</v>
      </c>
      <c r="E762" s="212" t="str">
        <f ca="1">IFERROR(__xludf.DUMMYFUNCTION("""COMPUTED_VALUE"""),"001")</f>
        <v>001</v>
      </c>
      <c r="F762" s="212" t="str">
        <f ca="1">IFERROR(__xludf.DUMMYFUNCTION("""COMPUTED_VALUE"""),"3638")</f>
        <v>3638</v>
      </c>
      <c r="G762" s="213" t="str">
        <f ca="1">IFERROR(__xludf.DUMMYFUNCTION("""COMPUTED_VALUE"""),"71315")</f>
        <v>71315</v>
      </c>
      <c r="H762" s="211" t="str">
        <f ca="1">IFERROR(__xludf.DUMMYFUNCTION("""COMPUTED_VALUE"""),"AEE")</f>
        <v>AEE</v>
      </c>
      <c r="I762" s="214">
        <f ca="1">IFERROR(__xludf.DUMMYFUNCTION("""COMPUTED_VALUE"""),258.4)</f>
        <v>258.39999999999998</v>
      </c>
      <c r="J762" s="209"/>
      <c r="K762" s="209"/>
      <c r="L762" s="209"/>
      <c r="M762" s="209"/>
      <c r="N762" s="209"/>
      <c r="O762" s="209"/>
      <c r="P762" s="209"/>
      <c r="Q762" s="209"/>
      <c r="R762" s="209"/>
      <c r="S762" s="209"/>
      <c r="T762" s="209"/>
      <c r="U762" s="209"/>
      <c r="V762" s="209"/>
      <c r="W762" s="209"/>
      <c r="X762" s="209"/>
      <c r="Y762" s="209"/>
      <c r="Z762" s="209"/>
    </row>
    <row r="763" spans="1:26" ht="18.75" customHeight="1">
      <c r="A763" s="210" t="str">
        <f ca="1">IFERROR(__xludf.DUMMYFUNCTION("""COMPUTED_VALUE"""),"Paraíso")</f>
        <v>Paraíso</v>
      </c>
      <c r="B763" s="210" t="str">
        <f ca="1">IFERROR(__xludf.DUMMYFUNCTION("""COMPUTED_VALUE"""),"Cristalandia")</f>
        <v>Cristalandia</v>
      </c>
      <c r="C763" s="211" t="str">
        <f ca="1">IFERROR(__xludf.DUMMYFUNCTION("""COMPUTED_VALUE"""),"APAE DE CRISTALÂNDIA")</f>
        <v>APAE DE CRISTALÂNDIA</v>
      </c>
      <c r="D763" s="212" t="str">
        <f ca="1">IFERROR(__xludf.DUMMYFUNCTION("""COMPUTED_VALUE"""),"01995319000167")</f>
        <v>01995319000167</v>
      </c>
      <c r="E763" s="212" t="str">
        <f ca="1">IFERROR(__xludf.DUMMYFUNCTION("""COMPUTED_VALUE"""),"001")</f>
        <v>001</v>
      </c>
      <c r="F763" s="212" t="str">
        <f ca="1">IFERROR(__xludf.DUMMYFUNCTION("""COMPUTED_VALUE"""),"3638")</f>
        <v>3638</v>
      </c>
      <c r="G763" s="213" t="str">
        <f ca="1">IFERROR(__xludf.DUMMYFUNCTION("""COMPUTED_VALUE"""),"71315")</f>
        <v>71315</v>
      </c>
      <c r="H763" s="211" t="str">
        <f ca="1">IFERROR(__xludf.DUMMYFUNCTION("""COMPUTED_VALUE"""),"EJA")</f>
        <v>EJA</v>
      </c>
      <c r="I763" s="214">
        <f ca="1">IFERROR(__xludf.DUMMYFUNCTION("""COMPUTED_VALUE"""),254.2)</f>
        <v>254.2</v>
      </c>
      <c r="J763" s="209"/>
      <c r="K763" s="209"/>
      <c r="L763" s="209"/>
      <c r="M763" s="209"/>
      <c r="N763" s="209"/>
      <c r="O763" s="209"/>
      <c r="P763" s="209"/>
      <c r="Q763" s="209"/>
      <c r="R763" s="209"/>
      <c r="S763" s="209"/>
      <c r="T763" s="209"/>
      <c r="U763" s="209"/>
      <c r="V763" s="209"/>
      <c r="W763" s="209"/>
      <c r="X763" s="209"/>
      <c r="Y763" s="209"/>
      <c r="Z763" s="209"/>
    </row>
    <row r="764" spans="1:26" ht="18.75" customHeight="1">
      <c r="A764" s="210" t="str">
        <f ca="1">IFERROR(__xludf.DUMMYFUNCTION("""COMPUTED_VALUE"""),"Paraíso")</f>
        <v>Paraíso</v>
      </c>
      <c r="B764" s="210" t="str">
        <f ca="1">IFERROR(__xludf.DUMMYFUNCTION("""COMPUTED_VALUE"""),"Divinopolis do Tocantins")</f>
        <v>Divinopolis do Tocantins</v>
      </c>
      <c r="C764" s="211" t="str">
        <f ca="1">IFERROR(__xludf.DUMMYFUNCTION("""COMPUTED_VALUE"""),"A.A. DO COLEGIO MUL. JOAO DIAS SOBRINHO")</f>
        <v>A.A. DO COLEGIO MUL. JOAO DIAS SOBRINHO</v>
      </c>
      <c r="D764" s="212" t="str">
        <f ca="1">IFERROR(__xludf.DUMMYFUNCTION("""COMPUTED_VALUE"""),"01184383000168")</f>
        <v>01184383000168</v>
      </c>
      <c r="E764" s="212" t="str">
        <f ca="1">IFERROR(__xludf.DUMMYFUNCTION("""COMPUTED_VALUE"""),"001")</f>
        <v>001</v>
      </c>
      <c r="F764" s="212" t="str">
        <f ca="1">IFERROR(__xludf.DUMMYFUNCTION("""COMPUTED_VALUE"""),"3812")</f>
        <v>3812</v>
      </c>
      <c r="G764" s="213" t="str">
        <f ca="1">IFERROR(__xludf.DUMMYFUNCTION("""COMPUTED_VALUE"""),"275069")</f>
        <v>275069</v>
      </c>
      <c r="H764" s="211" t="str">
        <f ca="1">IFERROR(__xludf.DUMMYFUNCTION("""COMPUTED_VALUE"""),"ENS FUND PARCIAL")</f>
        <v>ENS FUND PARCIAL</v>
      </c>
      <c r="I764" s="214">
        <f ca="1">IFERROR(__xludf.DUMMYFUNCTION("""COMPUTED_VALUE"""),2740)</f>
        <v>2740</v>
      </c>
      <c r="J764" s="209"/>
      <c r="K764" s="209"/>
      <c r="L764" s="209"/>
      <c r="M764" s="209"/>
      <c r="N764" s="209"/>
      <c r="O764" s="209"/>
      <c r="P764" s="209"/>
      <c r="Q764" s="209"/>
      <c r="R764" s="209"/>
      <c r="S764" s="209"/>
      <c r="T764" s="209"/>
      <c r="U764" s="209"/>
      <c r="V764" s="209"/>
      <c r="W764" s="209"/>
      <c r="X764" s="209"/>
      <c r="Y764" s="209"/>
      <c r="Z764" s="209"/>
    </row>
    <row r="765" spans="1:26" ht="18.75" customHeight="1">
      <c r="A765" s="210" t="str">
        <f ca="1">IFERROR(__xludf.DUMMYFUNCTION("""COMPUTED_VALUE"""),"Paraíso")</f>
        <v>Paraíso</v>
      </c>
      <c r="B765" s="210" t="str">
        <f ca="1">IFERROR(__xludf.DUMMYFUNCTION("""COMPUTED_VALUE"""),"Divinopolis do Tocantins")</f>
        <v>Divinopolis do Tocantins</v>
      </c>
      <c r="C765" s="211" t="str">
        <f ca="1">IFERROR(__xludf.DUMMYFUNCTION("""COMPUTED_VALUE"""),"A.A. DO COLEGIO MUL. JOAO DIAS SOBRINHO")</f>
        <v>A.A. DO COLEGIO MUL. JOAO DIAS SOBRINHO</v>
      </c>
      <c r="D765" s="212" t="str">
        <f ca="1">IFERROR(__xludf.DUMMYFUNCTION("""COMPUTED_VALUE"""),"01184383000168")</f>
        <v>01184383000168</v>
      </c>
      <c r="E765" s="212" t="str">
        <f ca="1">IFERROR(__xludf.DUMMYFUNCTION("""COMPUTED_VALUE"""),"001")</f>
        <v>001</v>
      </c>
      <c r="F765" s="212" t="str">
        <f ca="1">IFERROR(__xludf.DUMMYFUNCTION("""COMPUTED_VALUE"""),"3812")</f>
        <v>3812</v>
      </c>
      <c r="G765" s="213" t="str">
        <f ca="1">IFERROR(__xludf.DUMMYFUNCTION("""COMPUTED_VALUE"""),"275069")</f>
        <v>275069</v>
      </c>
      <c r="H765" s="211" t="str">
        <f ca="1">IFERROR(__xludf.DUMMYFUNCTION("""COMPUTED_VALUE"""),"ENSINO MEDIO PARCIAL")</f>
        <v>ENSINO MEDIO PARCIAL</v>
      </c>
      <c r="I765" s="214">
        <f ca="1">IFERROR(__xludf.DUMMYFUNCTION("""COMPUTED_VALUE"""),2350)</f>
        <v>2350</v>
      </c>
      <c r="J765" s="209"/>
      <c r="K765" s="209"/>
      <c r="L765" s="209"/>
      <c r="M765" s="209"/>
      <c r="N765" s="209"/>
      <c r="O765" s="209"/>
      <c r="P765" s="209"/>
      <c r="Q765" s="209"/>
      <c r="R765" s="209"/>
      <c r="S765" s="209"/>
      <c r="T765" s="209"/>
      <c r="U765" s="209"/>
      <c r="V765" s="209"/>
      <c r="W765" s="209"/>
      <c r="X765" s="209"/>
      <c r="Y765" s="209"/>
      <c r="Z765" s="209"/>
    </row>
    <row r="766" spans="1:26" ht="18.75" customHeight="1">
      <c r="A766" s="210" t="str">
        <f ca="1">IFERROR(__xludf.DUMMYFUNCTION("""COMPUTED_VALUE"""),"Paraíso")</f>
        <v>Paraíso</v>
      </c>
      <c r="B766" s="210" t="str">
        <f ca="1">IFERROR(__xludf.DUMMYFUNCTION("""COMPUTED_VALUE"""),"Divinopolis do Tocantins")</f>
        <v>Divinopolis do Tocantins</v>
      </c>
      <c r="C766" s="211" t="str">
        <f ca="1">IFERROR(__xludf.DUMMYFUNCTION("""COMPUTED_VALUE"""),"A.A. DO COLEGIO MUL. JOAO DIAS SOBRINHO")</f>
        <v>A.A. DO COLEGIO MUL. JOAO DIAS SOBRINHO</v>
      </c>
      <c r="D766" s="212" t="str">
        <f ca="1">IFERROR(__xludf.DUMMYFUNCTION("""COMPUTED_VALUE"""),"01184383000168")</f>
        <v>01184383000168</v>
      </c>
      <c r="E766" s="212" t="str">
        <f ca="1">IFERROR(__xludf.DUMMYFUNCTION("""COMPUTED_VALUE"""),"001")</f>
        <v>001</v>
      </c>
      <c r="F766" s="212" t="str">
        <f ca="1">IFERROR(__xludf.DUMMYFUNCTION("""COMPUTED_VALUE"""),"3812")</f>
        <v>3812</v>
      </c>
      <c r="G766" s="213" t="str">
        <f ca="1">IFERROR(__xludf.DUMMYFUNCTION("""COMPUTED_VALUE"""),"275069")</f>
        <v>275069</v>
      </c>
      <c r="H766" s="211" t="str">
        <f ca="1">IFERROR(__xludf.DUMMYFUNCTION("""COMPUTED_VALUE"""),"EJA")</f>
        <v>EJA</v>
      </c>
      <c r="I766" s="214">
        <f ca="1">IFERROR(__xludf.DUMMYFUNCTION("""COMPUTED_VALUE"""),122.999999999999)</f>
        <v>122.99999999999901</v>
      </c>
      <c r="J766" s="209"/>
      <c r="K766" s="209"/>
      <c r="L766" s="209"/>
      <c r="M766" s="209"/>
      <c r="N766" s="209"/>
      <c r="O766" s="209"/>
      <c r="P766" s="209"/>
      <c r="Q766" s="209"/>
      <c r="R766" s="209"/>
      <c r="S766" s="209"/>
      <c r="T766" s="209"/>
      <c r="U766" s="209"/>
      <c r="V766" s="209"/>
      <c r="W766" s="209"/>
      <c r="X766" s="209"/>
      <c r="Y766" s="209"/>
      <c r="Z766" s="209"/>
    </row>
    <row r="767" spans="1:26" ht="18.75" customHeight="1">
      <c r="A767" s="210" t="str">
        <f ca="1">IFERROR(__xludf.DUMMYFUNCTION("""COMPUTED_VALUE"""),"Paraíso")</f>
        <v>Paraíso</v>
      </c>
      <c r="B767" s="210" t="str">
        <f ca="1">IFERROR(__xludf.DUMMYFUNCTION("""COMPUTED_VALUE"""),"Divinopolis do Tocantins")</f>
        <v>Divinopolis do Tocantins</v>
      </c>
      <c r="C767" s="211" t="str">
        <f ca="1">IFERROR(__xludf.DUMMYFUNCTION("""COMPUTED_VALUE"""),"ASS. APOIO ESC. EST. D. CANDIDA DE FREITAS")</f>
        <v>ASS. APOIO ESC. EST. D. CANDIDA DE FREITAS</v>
      </c>
      <c r="D767" s="212" t="str">
        <f ca="1">IFERROR(__xludf.DUMMYFUNCTION("""COMPUTED_VALUE"""),"01296363000189")</f>
        <v>01296363000189</v>
      </c>
      <c r="E767" s="212" t="str">
        <f ca="1">IFERROR(__xludf.DUMMYFUNCTION("""COMPUTED_VALUE"""),"001")</f>
        <v>001</v>
      </c>
      <c r="F767" s="212" t="str">
        <f ca="1">IFERROR(__xludf.DUMMYFUNCTION("""COMPUTED_VALUE"""),"3812")</f>
        <v>3812</v>
      </c>
      <c r="G767" s="213" t="str">
        <f ca="1">IFERROR(__xludf.DUMMYFUNCTION("""COMPUTED_VALUE"""),"70629")</f>
        <v>70629</v>
      </c>
      <c r="H767" s="211" t="str">
        <f ca="1">IFERROR(__xludf.DUMMYFUNCTION("""COMPUTED_VALUE"""),"ENS FUND PARCIAL")</f>
        <v>ENS FUND PARCIAL</v>
      </c>
      <c r="I767" s="214">
        <f ca="1">IFERROR(__xludf.DUMMYFUNCTION("""COMPUTED_VALUE"""),2030)</f>
        <v>2030</v>
      </c>
      <c r="J767" s="209"/>
      <c r="K767" s="209"/>
      <c r="L767" s="209"/>
      <c r="M767" s="209"/>
      <c r="N767" s="209"/>
      <c r="O767" s="209"/>
      <c r="P767" s="209"/>
      <c r="Q767" s="209"/>
      <c r="R767" s="209"/>
      <c r="S767" s="209"/>
      <c r="T767" s="209"/>
      <c r="U767" s="209"/>
      <c r="V767" s="209"/>
      <c r="W767" s="209"/>
      <c r="X767" s="209"/>
      <c r="Y767" s="209"/>
      <c r="Z767" s="209"/>
    </row>
    <row r="768" spans="1:26" ht="18.75" customHeight="1">
      <c r="A768" s="210" t="str">
        <f ca="1">IFERROR(__xludf.DUMMYFUNCTION("""COMPUTED_VALUE"""),"Paraíso")</f>
        <v>Paraíso</v>
      </c>
      <c r="B768" s="210" t="str">
        <f ca="1">IFERROR(__xludf.DUMMYFUNCTION("""COMPUTED_VALUE"""),"Divinopolis do Tocantins")</f>
        <v>Divinopolis do Tocantins</v>
      </c>
      <c r="C768" s="211" t="str">
        <f ca="1">IFERROR(__xludf.DUMMYFUNCTION("""COMPUTED_VALUE"""),"ASS. APOIO ESC. EST. D. CANDIDA DE FREITAS")</f>
        <v>ASS. APOIO ESC. EST. D. CANDIDA DE FREITAS</v>
      </c>
      <c r="D768" s="212" t="str">
        <f ca="1">IFERROR(__xludf.DUMMYFUNCTION("""COMPUTED_VALUE"""),"01296363000189")</f>
        <v>01296363000189</v>
      </c>
      <c r="E768" s="212" t="str">
        <f ca="1">IFERROR(__xludf.DUMMYFUNCTION("""COMPUTED_VALUE"""),"001")</f>
        <v>001</v>
      </c>
      <c r="F768" s="212" t="str">
        <f ca="1">IFERROR(__xludf.DUMMYFUNCTION("""COMPUTED_VALUE"""),"3812")</f>
        <v>3812</v>
      </c>
      <c r="G768" s="213" t="str">
        <f ca="1">IFERROR(__xludf.DUMMYFUNCTION("""COMPUTED_VALUE"""),"70629")</f>
        <v>70629</v>
      </c>
      <c r="H768" s="211" t="str">
        <f ca="1">IFERROR(__xludf.DUMMYFUNCTION("""COMPUTED_VALUE"""),"EJA")</f>
        <v>EJA</v>
      </c>
      <c r="I768" s="214">
        <f ca="1">IFERROR(__xludf.DUMMYFUNCTION("""COMPUTED_VALUE"""),106.6)</f>
        <v>106.6</v>
      </c>
      <c r="J768" s="209"/>
      <c r="K768" s="209"/>
      <c r="L768" s="209"/>
      <c r="M768" s="209"/>
      <c r="N768" s="209"/>
      <c r="O768" s="209"/>
      <c r="P768" s="209"/>
      <c r="Q768" s="209"/>
      <c r="R768" s="209"/>
      <c r="S768" s="209"/>
      <c r="T768" s="209"/>
      <c r="U768" s="209"/>
      <c r="V768" s="209"/>
      <c r="W768" s="209"/>
      <c r="X768" s="209"/>
      <c r="Y768" s="209"/>
      <c r="Z768" s="209"/>
    </row>
    <row r="769" spans="1:26" ht="18.75" customHeight="1">
      <c r="A769" s="210" t="str">
        <f ca="1">IFERROR(__xludf.DUMMYFUNCTION("""COMPUTED_VALUE"""),"Paraíso")</f>
        <v>Paraíso</v>
      </c>
      <c r="B769" s="210" t="str">
        <f ca="1">IFERROR(__xludf.DUMMYFUNCTION("""COMPUTED_VALUE"""),"Lagoa da Confusao")</f>
        <v>Lagoa da Confusao</v>
      </c>
      <c r="C769" s="211" t="str">
        <f ca="1">IFERROR(__xludf.DUMMYFUNCTION("""COMPUTED_VALUE"""),"A.A.  ESTUD COL. EST. LAGOA DA CONFUSAO")</f>
        <v>A.A.  ESTUD COL. EST. LAGOA DA CONFUSAO</v>
      </c>
      <c r="D769" s="212" t="str">
        <f ca="1">IFERROR(__xludf.DUMMYFUNCTION("""COMPUTED_VALUE"""),"01179116000100")</f>
        <v>01179116000100</v>
      </c>
      <c r="E769" s="212" t="str">
        <f ca="1">IFERROR(__xludf.DUMMYFUNCTION("""COMPUTED_VALUE"""),"001")</f>
        <v>001</v>
      </c>
      <c r="F769" s="212" t="str">
        <f ca="1">IFERROR(__xludf.DUMMYFUNCTION("""COMPUTED_VALUE"""),"3983")</f>
        <v>3983</v>
      </c>
      <c r="G769" s="213" t="str">
        <f ca="1">IFERROR(__xludf.DUMMYFUNCTION("""COMPUTED_VALUE"""),"84735")</f>
        <v>84735</v>
      </c>
      <c r="H769" s="211" t="str">
        <f ca="1">IFERROR(__xludf.DUMMYFUNCTION("""COMPUTED_VALUE"""),"ENS FUND PARCIAL")</f>
        <v>ENS FUND PARCIAL</v>
      </c>
      <c r="I769" s="214">
        <f ca="1">IFERROR(__xludf.DUMMYFUNCTION("""COMPUTED_VALUE"""),860)</f>
        <v>860</v>
      </c>
      <c r="J769" s="209"/>
      <c r="K769" s="209"/>
      <c r="L769" s="209"/>
      <c r="M769" s="209"/>
      <c r="N769" s="209"/>
      <c r="O769" s="209"/>
      <c r="P769" s="209"/>
      <c r="Q769" s="209"/>
      <c r="R769" s="209"/>
      <c r="S769" s="209"/>
      <c r="T769" s="209"/>
      <c r="U769" s="209"/>
      <c r="V769" s="209"/>
      <c r="W769" s="209"/>
      <c r="X769" s="209"/>
      <c r="Y769" s="209"/>
      <c r="Z769" s="209"/>
    </row>
    <row r="770" spans="1:26" ht="18.75" customHeight="1">
      <c r="A770" s="210" t="str">
        <f ca="1">IFERROR(__xludf.DUMMYFUNCTION("""COMPUTED_VALUE"""),"Paraíso")</f>
        <v>Paraíso</v>
      </c>
      <c r="B770" s="210" t="str">
        <f ca="1">IFERROR(__xludf.DUMMYFUNCTION("""COMPUTED_VALUE"""),"Lagoa da Confusao")</f>
        <v>Lagoa da Confusao</v>
      </c>
      <c r="C770" s="211" t="str">
        <f ca="1">IFERROR(__xludf.DUMMYFUNCTION("""COMPUTED_VALUE"""),"A.A.  ESTUD COL. EST. LAGOA DA CONFUSAO")</f>
        <v>A.A.  ESTUD COL. EST. LAGOA DA CONFUSAO</v>
      </c>
      <c r="D770" s="212" t="str">
        <f ca="1">IFERROR(__xludf.DUMMYFUNCTION("""COMPUTED_VALUE"""),"01179116000100")</f>
        <v>01179116000100</v>
      </c>
      <c r="E770" s="212" t="str">
        <f ca="1">IFERROR(__xludf.DUMMYFUNCTION("""COMPUTED_VALUE"""),"001")</f>
        <v>001</v>
      </c>
      <c r="F770" s="212" t="str">
        <f ca="1">IFERROR(__xludf.DUMMYFUNCTION("""COMPUTED_VALUE"""),"3983")</f>
        <v>3983</v>
      </c>
      <c r="G770" s="213" t="str">
        <f ca="1">IFERROR(__xludf.DUMMYFUNCTION("""COMPUTED_VALUE"""),"84735")</f>
        <v>84735</v>
      </c>
      <c r="H770" s="211" t="str">
        <f ca="1">IFERROR(__xludf.DUMMYFUNCTION("""COMPUTED_VALUE"""),"AEE")</f>
        <v>AEE</v>
      </c>
      <c r="I770" s="214">
        <f ca="1">IFERROR(__xludf.DUMMYFUNCTION("""COMPUTED_VALUE"""),68)</f>
        <v>68</v>
      </c>
      <c r="J770" s="209"/>
      <c r="K770" s="209"/>
      <c r="L770" s="209"/>
      <c r="M770" s="209"/>
      <c r="N770" s="209"/>
      <c r="O770" s="209"/>
      <c r="P770" s="209"/>
      <c r="Q770" s="209"/>
      <c r="R770" s="209"/>
      <c r="S770" s="209"/>
      <c r="T770" s="209"/>
      <c r="U770" s="209"/>
      <c r="V770" s="209"/>
      <c r="W770" s="209"/>
      <c r="X770" s="209"/>
      <c r="Y770" s="209"/>
      <c r="Z770" s="209"/>
    </row>
    <row r="771" spans="1:26" ht="18.75" customHeight="1">
      <c r="A771" s="210" t="str">
        <f ca="1">IFERROR(__xludf.DUMMYFUNCTION("""COMPUTED_VALUE"""),"Paraíso")</f>
        <v>Paraíso</v>
      </c>
      <c r="B771" s="210" t="str">
        <f ca="1">IFERROR(__xludf.DUMMYFUNCTION("""COMPUTED_VALUE"""),"Lagoa da Confusao")</f>
        <v>Lagoa da Confusao</v>
      </c>
      <c r="C771" s="211" t="str">
        <f ca="1">IFERROR(__xludf.DUMMYFUNCTION("""COMPUTED_VALUE"""),"A.A.  ESTUD COL. EST. LAGOA DA CONFUSAO")</f>
        <v>A.A.  ESTUD COL. EST. LAGOA DA CONFUSAO</v>
      </c>
      <c r="D771" s="212" t="str">
        <f ca="1">IFERROR(__xludf.DUMMYFUNCTION("""COMPUTED_VALUE"""),"01179116000100")</f>
        <v>01179116000100</v>
      </c>
      <c r="E771" s="212" t="str">
        <f ca="1">IFERROR(__xludf.DUMMYFUNCTION("""COMPUTED_VALUE"""),"001")</f>
        <v>001</v>
      </c>
      <c r="F771" s="212" t="str">
        <f ca="1">IFERROR(__xludf.DUMMYFUNCTION("""COMPUTED_VALUE"""),"3983")</f>
        <v>3983</v>
      </c>
      <c r="G771" s="213" t="str">
        <f ca="1">IFERROR(__xludf.DUMMYFUNCTION("""COMPUTED_VALUE"""),"84735")</f>
        <v>84735</v>
      </c>
      <c r="H771" s="211" t="str">
        <f ca="1">IFERROR(__xludf.DUMMYFUNCTION("""COMPUTED_VALUE"""),"ENSINO MEDIO PARCIAL")</f>
        <v>ENSINO MEDIO PARCIAL</v>
      </c>
      <c r="I771" s="214">
        <f ca="1">IFERROR(__xludf.DUMMYFUNCTION("""COMPUTED_VALUE"""),4940)</f>
        <v>4940</v>
      </c>
      <c r="J771" s="209"/>
      <c r="K771" s="209"/>
      <c r="L771" s="209"/>
      <c r="M771" s="209"/>
      <c r="N771" s="209"/>
      <c r="O771" s="209"/>
      <c r="P771" s="209"/>
      <c r="Q771" s="209"/>
      <c r="R771" s="209"/>
      <c r="S771" s="209"/>
      <c r="T771" s="209"/>
      <c r="U771" s="209"/>
      <c r="V771" s="209"/>
      <c r="W771" s="209"/>
      <c r="X771" s="209"/>
      <c r="Y771" s="209"/>
      <c r="Z771" s="209"/>
    </row>
    <row r="772" spans="1:26" ht="18.75" customHeight="1">
      <c r="A772" s="210" t="str">
        <f ca="1">IFERROR(__xludf.DUMMYFUNCTION("""COMPUTED_VALUE"""),"Paraíso")</f>
        <v>Paraíso</v>
      </c>
      <c r="B772" s="210" t="str">
        <f ca="1">IFERROR(__xludf.DUMMYFUNCTION("""COMPUTED_VALUE"""),"Lagoa da Confusao")</f>
        <v>Lagoa da Confusao</v>
      </c>
      <c r="C772" s="211" t="str">
        <f ca="1">IFERROR(__xludf.DUMMYFUNCTION("""COMPUTED_VALUE"""),"A.A.  ESTUD COL. EST. LAGOA DA CONFUSAO")</f>
        <v>A.A.  ESTUD COL. EST. LAGOA DA CONFUSAO</v>
      </c>
      <c r="D772" s="212" t="str">
        <f ca="1">IFERROR(__xludf.DUMMYFUNCTION("""COMPUTED_VALUE"""),"01179116000100")</f>
        <v>01179116000100</v>
      </c>
      <c r="E772" s="212" t="str">
        <f ca="1">IFERROR(__xludf.DUMMYFUNCTION("""COMPUTED_VALUE"""),"001")</f>
        <v>001</v>
      </c>
      <c r="F772" s="212" t="str">
        <f ca="1">IFERROR(__xludf.DUMMYFUNCTION("""COMPUTED_VALUE"""),"3983")</f>
        <v>3983</v>
      </c>
      <c r="G772" s="213" t="str">
        <f ca="1">IFERROR(__xludf.DUMMYFUNCTION("""COMPUTED_VALUE"""),"84735")</f>
        <v>84735</v>
      </c>
      <c r="H772" s="211" t="str">
        <f ca="1">IFERROR(__xludf.DUMMYFUNCTION("""COMPUTED_VALUE"""),"EJA")</f>
        <v>EJA</v>
      </c>
      <c r="I772" s="214">
        <f ca="1">IFERROR(__xludf.DUMMYFUNCTION("""COMPUTED_VALUE"""),65.6)</f>
        <v>65.599999999999994</v>
      </c>
      <c r="J772" s="209"/>
      <c r="K772" s="209"/>
      <c r="L772" s="209"/>
      <c r="M772" s="209"/>
      <c r="N772" s="209"/>
      <c r="O772" s="209"/>
      <c r="P772" s="209"/>
      <c r="Q772" s="209"/>
      <c r="R772" s="209"/>
      <c r="S772" s="209"/>
      <c r="T772" s="209"/>
      <c r="U772" s="209"/>
      <c r="V772" s="209"/>
      <c r="W772" s="209"/>
      <c r="X772" s="209"/>
      <c r="Y772" s="209"/>
      <c r="Z772" s="209"/>
    </row>
    <row r="773" spans="1:26" ht="18.75" customHeight="1">
      <c r="A773" s="210" t="str">
        <f ca="1">IFERROR(__xludf.DUMMYFUNCTION("""COMPUTED_VALUE"""),"Paraíso")</f>
        <v>Paraíso</v>
      </c>
      <c r="B773" s="210" t="str">
        <f ca="1">IFERROR(__xludf.DUMMYFUNCTION("""COMPUTED_VALUE"""),"Lagoa da Confusao")</f>
        <v>Lagoa da Confusao</v>
      </c>
      <c r="C773" s="211" t="str">
        <f ca="1">IFERROR(__xludf.DUMMYFUNCTION("""COMPUTED_VALUE"""),"ASSOCIAÇÃO DA ESCOLA ESPECIAL LAGOA DA CONFUSÃO")</f>
        <v>ASSOCIAÇÃO DA ESCOLA ESPECIAL LAGOA DA CONFUSÃO</v>
      </c>
      <c r="D773" s="212" t="str">
        <f ca="1">IFERROR(__xludf.DUMMYFUNCTION("""COMPUTED_VALUE"""),"08755554000100")</f>
        <v>08755554000100</v>
      </c>
      <c r="E773" s="212" t="str">
        <f ca="1">IFERROR(__xludf.DUMMYFUNCTION("""COMPUTED_VALUE"""),"001")</f>
        <v>001</v>
      </c>
      <c r="F773" s="212" t="str">
        <f ca="1">IFERROR(__xludf.DUMMYFUNCTION("""COMPUTED_VALUE"""),"3983")</f>
        <v>3983</v>
      </c>
      <c r="G773" s="213" t="str">
        <f ca="1">IFERROR(__xludf.DUMMYFUNCTION("""COMPUTED_VALUE"""),"83712")</f>
        <v>83712</v>
      </c>
      <c r="H773" s="211" t="str">
        <f ca="1">IFERROR(__xludf.DUMMYFUNCTION("""COMPUTED_VALUE"""),"PRÉ-ESCOLA")</f>
        <v>PRÉ-ESCOLA</v>
      </c>
      <c r="I773" s="214">
        <f ca="1">IFERROR(__xludf.DUMMYFUNCTION("""COMPUTED_VALUE"""),115.2)</f>
        <v>115.2</v>
      </c>
      <c r="J773" s="209"/>
      <c r="K773" s="209"/>
      <c r="L773" s="209"/>
      <c r="M773" s="209"/>
      <c r="N773" s="209"/>
      <c r="O773" s="209"/>
      <c r="P773" s="209"/>
      <c r="Q773" s="209"/>
      <c r="R773" s="209"/>
      <c r="S773" s="209"/>
      <c r="T773" s="209"/>
      <c r="U773" s="209"/>
      <c r="V773" s="209"/>
      <c r="W773" s="209"/>
      <c r="X773" s="209"/>
      <c r="Y773" s="209"/>
      <c r="Z773" s="209"/>
    </row>
    <row r="774" spans="1:26" ht="18.75" customHeight="1">
      <c r="A774" s="210" t="str">
        <f ca="1">IFERROR(__xludf.DUMMYFUNCTION("""COMPUTED_VALUE"""),"Paraíso")</f>
        <v>Paraíso</v>
      </c>
      <c r="B774" s="210" t="str">
        <f ca="1">IFERROR(__xludf.DUMMYFUNCTION("""COMPUTED_VALUE"""),"Lagoa da Confusao")</f>
        <v>Lagoa da Confusao</v>
      </c>
      <c r="C774" s="211" t="str">
        <f ca="1">IFERROR(__xludf.DUMMYFUNCTION("""COMPUTED_VALUE"""),"ASSOCIAÇÃO DA ESCOLA ESPECIAL LAGOA DA CONFUSÃO")</f>
        <v>ASSOCIAÇÃO DA ESCOLA ESPECIAL LAGOA DA CONFUSÃO</v>
      </c>
      <c r="D774" s="212" t="str">
        <f ca="1">IFERROR(__xludf.DUMMYFUNCTION("""COMPUTED_VALUE"""),"08755554000100")</f>
        <v>08755554000100</v>
      </c>
      <c r="E774" s="212" t="str">
        <f ca="1">IFERROR(__xludf.DUMMYFUNCTION("""COMPUTED_VALUE"""),"001")</f>
        <v>001</v>
      </c>
      <c r="F774" s="212" t="str">
        <f ca="1">IFERROR(__xludf.DUMMYFUNCTION("""COMPUTED_VALUE"""),"3983")</f>
        <v>3983</v>
      </c>
      <c r="G774" s="213" t="str">
        <f ca="1">IFERROR(__xludf.DUMMYFUNCTION("""COMPUTED_VALUE"""),"83712")</f>
        <v>83712</v>
      </c>
      <c r="H774" s="211" t="str">
        <f ca="1">IFERROR(__xludf.DUMMYFUNCTION("""COMPUTED_VALUE"""),"ENS FUND PARCIAL")</f>
        <v>ENS FUND PARCIAL</v>
      </c>
      <c r="I774" s="214">
        <f ca="1">IFERROR(__xludf.DUMMYFUNCTION("""COMPUTED_VALUE"""),100)</f>
        <v>100</v>
      </c>
      <c r="J774" s="209"/>
      <c r="K774" s="209"/>
      <c r="L774" s="209"/>
      <c r="M774" s="209"/>
      <c r="N774" s="209"/>
      <c r="O774" s="209"/>
      <c r="P774" s="209"/>
      <c r="Q774" s="209"/>
      <c r="R774" s="209"/>
      <c r="S774" s="209"/>
      <c r="T774" s="209"/>
      <c r="U774" s="209"/>
      <c r="V774" s="209"/>
      <c r="W774" s="209"/>
      <c r="X774" s="209"/>
      <c r="Y774" s="209"/>
      <c r="Z774" s="209"/>
    </row>
    <row r="775" spans="1:26" ht="18.75" customHeight="1">
      <c r="A775" s="210" t="str">
        <f ca="1">IFERROR(__xludf.DUMMYFUNCTION("""COMPUTED_VALUE"""),"Paraíso")</f>
        <v>Paraíso</v>
      </c>
      <c r="B775" s="210" t="str">
        <f ca="1">IFERROR(__xludf.DUMMYFUNCTION("""COMPUTED_VALUE"""),"Lagoa da Confusao")</f>
        <v>Lagoa da Confusao</v>
      </c>
      <c r="C775" s="211" t="str">
        <f ca="1">IFERROR(__xludf.DUMMYFUNCTION("""COMPUTED_VALUE"""),"ASSOCIAÇÃO DA ESCOLA ESPECIAL LAGOA DA CONFUSÃO")</f>
        <v>ASSOCIAÇÃO DA ESCOLA ESPECIAL LAGOA DA CONFUSÃO</v>
      </c>
      <c r="D775" s="212" t="str">
        <f ca="1">IFERROR(__xludf.DUMMYFUNCTION("""COMPUTED_VALUE"""),"08755554000100")</f>
        <v>08755554000100</v>
      </c>
      <c r="E775" s="212" t="str">
        <f ca="1">IFERROR(__xludf.DUMMYFUNCTION("""COMPUTED_VALUE"""),"001")</f>
        <v>001</v>
      </c>
      <c r="F775" s="212" t="str">
        <f ca="1">IFERROR(__xludf.DUMMYFUNCTION("""COMPUTED_VALUE"""),"3983")</f>
        <v>3983</v>
      </c>
      <c r="G775" s="213" t="str">
        <f ca="1">IFERROR(__xludf.DUMMYFUNCTION("""COMPUTED_VALUE"""),"83712")</f>
        <v>83712</v>
      </c>
      <c r="H775" s="211" t="str">
        <f ca="1">IFERROR(__xludf.DUMMYFUNCTION("""COMPUTED_VALUE"""),"AEE")</f>
        <v>AEE</v>
      </c>
      <c r="I775" s="214">
        <f ca="1">IFERROR(__xludf.DUMMYFUNCTION("""COMPUTED_VALUE"""),244.799999999999)</f>
        <v>244.79999999999899</v>
      </c>
      <c r="J775" s="209"/>
      <c r="K775" s="209"/>
      <c r="L775" s="209"/>
      <c r="M775" s="209"/>
      <c r="N775" s="209"/>
      <c r="O775" s="209"/>
      <c r="P775" s="209"/>
      <c r="Q775" s="209"/>
      <c r="R775" s="209"/>
      <c r="S775" s="209"/>
      <c r="T775" s="209"/>
      <c r="U775" s="209"/>
      <c r="V775" s="209"/>
      <c r="W775" s="209"/>
      <c r="X775" s="209"/>
      <c r="Y775" s="209"/>
      <c r="Z775" s="209"/>
    </row>
    <row r="776" spans="1:26" ht="18.75" customHeight="1">
      <c r="A776" s="210" t="str">
        <f ca="1">IFERROR(__xludf.DUMMYFUNCTION("""COMPUTED_VALUE"""),"Paraíso")</f>
        <v>Paraíso</v>
      </c>
      <c r="B776" s="210" t="str">
        <f ca="1">IFERROR(__xludf.DUMMYFUNCTION("""COMPUTED_VALUE"""),"Lagoa da Confusao")</f>
        <v>Lagoa da Confusao</v>
      </c>
      <c r="C776" s="211" t="str">
        <f ca="1">IFERROR(__xludf.DUMMYFUNCTION("""COMPUTED_VALUE"""),"ASSOCIAÇÃO DA ESCOLA ESPECIAL LAGOA DA CONFUSÃO")</f>
        <v>ASSOCIAÇÃO DA ESCOLA ESPECIAL LAGOA DA CONFUSÃO</v>
      </c>
      <c r="D776" s="212" t="str">
        <f ca="1">IFERROR(__xludf.DUMMYFUNCTION("""COMPUTED_VALUE"""),"08755554000100")</f>
        <v>08755554000100</v>
      </c>
      <c r="E776" s="212" t="str">
        <f ca="1">IFERROR(__xludf.DUMMYFUNCTION("""COMPUTED_VALUE"""),"001")</f>
        <v>001</v>
      </c>
      <c r="F776" s="212" t="str">
        <f ca="1">IFERROR(__xludf.DUMMYFUNCTION("""COMPUTED_VALUE"""),"3983")</f>
        <v>3983</v>
      </c>
      <c r="G776" s="213" t="str">
        <f ca="1">IFERROR(__xludf.DUMMYFUNCTION("""COMPUTED_VALUE"""),"83712")</f>
        <v>83712</v>
      </c>
      <c r="H776" s="211" t="str">
        <f ca="1">IFERROR(__xludf.DUMMYFUNCTION("""COMPUTED_VALUE"""),"EJA")</f>
        <v>EJA</v>
      </c>
      <c r="I776" s="214">
        <f ca="1">IFERROR(__xludf.DUMMYFUNCTION("""COMPUTED_VALUE"""),122.999999999999)</f>
        <v>122.99999999999901</v>
      </c>
      <c r="J776" s="209"/>
      <c r="K776" s="209"/>
      <c r="L776" s="209"/>
      <c r="M776" s="209"/>
      <c r="N776" s="209"/>
      <c r="O776" s="209"/>
      <c r="P776" s="209"/>
      <c r="Q776" s="209"/>
      <c r="R776" s="209"/>
      <c r="S776" s="209"/>
      <c r="T776" s="209"/>
      <c r="U776" s="209"/>
      <c r="V776" s="209"/>
      <c r="W776" s="209"/>
      <c r="X776" s="209"/>
      <c r="Y776" s="209"/>
      <c r="Z776" s="209"/>
    </row>
    <row r="777" spans="1:26" ht="18.75" customHeight="1">
      <c r="A777" s="210" t="str">
        <f ca="1">IFERROR(__xludf.DUMMYFUNCTION("""COMPUTED_VALUE"""),"Paraíso")</f>
        <v>Paraíso</v>
      </c>
      <c r="B777" s="210" t="str">
        <f ca="1">IFERROR(__xludf.DUMMYFUNCTION("""COMPUTED_VALUE"""),"Marianopolis do Tocantins")</f>
        <v>Marianopolis do Tocantins</v>
      </c>
      <c r="C777" s="211" t="str">
        <f ca="1">IFERROR(__xludf.DUMMYFUNCTION("""COMPUTED_VALUE"""),"A.A. DO COL. EST. DAVID BARBOSA ROLINS")</f>
        <v>A.A. DO COL. EST. DAVID BARBOSA ROLINS</v>
      </c>
      <c r="D777" s="212" t="str">
        <f ca="1">IFERROR(__xludf.DUMMYFUNCTION("""COMPUTED_VALUE"""),"01980050000145")</f>
        <v>01980050000145</v>
      </c>
      <c r="E777" s="212" t="str">
        <f ca="1">IFERROR(__xludf.DUMMYFUNCTION("""COMPUTED_VALUE"""),"001")</f>
        <v>001</v>
      </c>
      <c r="F777" s="212" t="str">
        <f ca="1">IFERROR(__xludf.DUMMYFUNCTION("""COMPUTED_VALUE"""),"0804")</f>
        <v>0804</v>
      </c>
      <c r="G777" s="213" t="str">
        <f ca="1">IFERROR(__xludf.DUMMYFUNCTION("""COMPUTED_VALUE"""),"219045")</f>
        <v>219045</v>
      </c>
      <c r="H777" s="211" t="str">
        <f ca="1">IFERROR(__xludf.DUMMYFUNCTION("""COMPUTED_VALUE"""),"ENS FUND PARCIAL")</f>
        <v>ENS FUND PARCIAL</v>
      </c>
      <c r="I777" s="214">
        <f ca="1">IFERROR(__xludf.DUMMYFUNCTION("""COMPUTED_VALUE"""),1120)</f>
        <v>1120</v>
      </c>
      <c r="J777" s="209"/>
      <c r="K777" s="209"/>
      <c r="L777" s="209"/>
      <c r="M777" s="209"/>
      <c r="N777" s="209"/>
      <c r="O777" s="209"/>
      <c r="P777" s="209"/>
      <c r="Q777" s="209"/>
      <c r="R777" s="209"/>
      <c r="S777" s="209"/>
      <c r="T777" s="209"/>
      <c r="U777" s="209"/>
      <c r="V777" s="209"/>
      <c r="W777" s="209"/>
      <c r="X777" s="209"/>
      <c r="Y777" s="209"/>
      <c r="Z777" s="209"/>
    </row>
    <row r="778" spans="1:26" ht="18.75" customHeight="1">
      <c r="A778" s="210" t="str">
        <f ca="1">IFERROR(__xludf.DUMMYFUNCTION("""COMPUTED_VALUE"""),"Paraíso")</f>
        <v>Paraíso</v>
      </c>
      <c r="B778" s="210" t="str">
        <f ca="1">IFERROR(__xludf.DUMMYFUNCTION("""COMPUTED_VALUE"""),"Marianopolis do Tocantins")</f>
        <v>Marianopolis do Tocantins</v>
      </c>
      <c r="C778" s="211" t="str">
        <f ca="1">IFERROR(__xludf.DUMMYFUNCTION("""COMPUTED_VALUE"""),"A.A. DO COL. EST. DAVID BARBOSA ROLINS")</f>
        <v>A.A. DO COL. EST. DAVID BARBOSA ROLINS</v>
      </c>
      <c r="D778" s="212" t="str">
        <f ca="1">IFERROR(__xludf.DUMMYFUNCTION("""COMPUTED_VALUE"""),"01980050000145")</f>
        <v>01980050000145</v>
      </c>
      <c r="E778" s="212" t="str">
        <f ca="1">IFERROR(__xludf.DUMMYFUNCTION("""COMPUTED_VALUE"""),"001")</f>
        <v>001</v>
      </c>
      <c r="F778" s="212" t="str">
        <f ca="1">IFERROR(__xludf.DUMMYFUNCTION("""COMPUTED_VALUE"""),"0804")</f>
        <v>0804</v>
      </c>
      <c r="G778" s="213" t="str">
        <f ca="1">IFERROR(__xludf.DUMMYFUNCTION("""COMPUTED_VALUE"""),"219045")</f>
        <v>219045</v>
      </c>
      <c r="H778" s="211" t="str">
        <f ca="1">IFERROR(__xludf.DUMMYFUNCTION("""COMPUTED_VALUE"""),"ENSINO MEDIO PARCIAL")</f>
        <v>ENSINO MEDIO PARCIAL</v>
      </c>
      <c r="I778" s="214">
        <f ca="1">IFERROR(__xludf.DUMMYFUNCTION("""COMPUTED_VALUE"""),1910)</f>
        <v>1910</v>
      </c>
      <c r="J778" s="209"/>
      <c r="K778" s="209"/>
      <c r="L778" s="209"/>
      <c r="M778" s="209"/>
      <c r="N778" s="209"/>
      <c r="O778" s="209"/>
      <c r="P778" s="209"/>
      <c r="Q778" s="209"/>
      <c r="R778" s="209"/>
      <c r="S778" s="209"/>
      <c r="T778" s="209"/>
      <c r="U778" s="209"/>
      <c r="V778" s="209"/>
      <c r="W778" s="209"/>
      <c r="X778" s="209"/>
      <c r="Y778" s="209"/>
      <c r="Z778" s="209"/>
    </row>
    <row r="779" spans="1:26" ht="18.75" customHeight="1">
      <c r="A779" s="210" t="str">
        <f ca="1">IFERROR(__xludf.DUMMYFUNCTION("""COMPUTED_VALUE"""),"Paraíso")</f>
        <v>Paraíso</v>
      </c>
      <c r="B779" s="210" t="str">
        <f ca="1">IFERROR(__xludf.DUMMYFUNCTION("""COMPUTED_VALUE"""),"Nova Rosalandia")</f>
        <v>Nova Rosalandia</v>
      </c>
      <c r="C779" s="211" t="str">
        <f ca="1">IFERROR(__xludf.DUMMYFUNCTION("""COMPUTED_VALUE"""),"A. ESC. COM. ESC. EST.PEDRO XAVIER TEIXEIRA")</f>
        <v>A. ESC. COM. ESC. EST.PEDRO XAVIER TEIXEIRA</v>
      </c>
      <c r="D779" s="212" t="str">
        <f ca="1">IFERROR(__xludf.DUMMYFUNCTION("""COMPUTED_VALUE"""),"01068367000100")</f>
        <v>01068367000100</v>
      </c>
      <c r="E779" s="212" t="str">
        <f ca="1">IFERROR(__xludf.DUMMYFUNCTION("""COMPUTED_VALUE"""),"001")</f>
        <v>001</v>
      </c>
      <c r="F779" s="212" t="str">
        <f ca="1">IFERROR(__xludf.DUMMYFUNCTION("""COMPUTED_VALUE"""),"0804")</f>
        <v>0804</v>
      </c>
      <c r="G779" s="213" t="str">
        <f ca="1">IFERROR(__xludf.DUMMYFUNCTION("""COMPUTED_VALUE"""),"234265")</f>
        <v>234265</v>
      </c>
      <c r="H779" s="211" t="str">
        <f ca="1">IFERROR(__xludf.DUMMYFUNCTION("""COMPUTED_VALUE"""),"ENS FUND PARCIAL")</f>
        <v>ENS FUND PARCIAL</v>
      </c>
      <c r="I779" s="214">
        <f ca="1">IFERROR(__xludf.DUMMYFUNCTION("""COMPUTED_VALUE"""),820)</f>
        <v>820</v>
      </c>
      <c r="J779" s="209"/>
      <c r="K779" s="209"/>
      <c r="L779" s="209"/>
      <c r="M779" s="209"/>
      <c r="N779" s="209"/>
      <c r="O779" s="209"/>
      <c r="P779" s="209"/>
      <c r="Q779" s="209"/>
      <c r="R779" s="209"/>
      <c r="S779" s="209"/>
      <c r="T779" s="209"/>
      <c r="U779" s="209"/>
      <c r="V779" s="209"/>
      <c r="W779" s="209"/>
      <c r="X779" s="209"/>
      <c r="Y779" s="209"/>
      <c r="Z779" s="209"/>
    </row>
    <row r="780" spans="1:26" ht="18.75" customHeight="1">
      <c r="A780" s="210" t="str">
        <f ca="1">IFERROR(__xludf.DUMMYFUNCTION("""COMPUTED_VALUE"""),"Paraíso")</f>
        <v>Paraíso</v>
      </c>
      <c r="B780" s="210" t="str">
        <f ca="1">IFERROR(__xludf.DUMMYFUNCTION("""COMPUTED_VALUE"""),"Nova Rosalandia")</f>
        <v>Nova Rosalandia</v>
      </c>
      <c r="C780" s="211" t="str">
        <f ca="1">IFERROR(__xludf.DUMMYFUNCTION("""COMPUTED_VALUE"""),"A. ESC. COM. ESC. EST.PEDRO XAVIER TEIXEIRA")</f>
        <v>A. ESC. COM. ESC. EST.PEDRO XAVIER TEIXEIRA</v>
      </c>
      <c r="D780" s="212" t="str">
        <f ca="1">IFERROR(__xludf.DUMMYFUNCTION("""COMPUTED_VALUE"""),"01068367000100")</f>
        <v>01068367000100</v>
      </c>
      <c r="E780" s="212" t="str">
        <f ca="1">IFERROR(__xludf.DUMMYFUNCTION("""COMPUTED_VALUE"""),"001")</f>
        <v>001</v>
      </c>
      <c r="F780" s="212" t="str">
        <f ca="1">IFERROR(__xludf.DUMMYFUNCTION("""COMPUTED_VALUE"""),"0804")</f>
        <v>0804</v>
      </c>
      <c r="G780" s="213" t="str">
        <f ca="1">IFERROR(__xludf.DUMMYFUNCTION("""COMPUTED_VALUE"""),"234265")</f>
        <v>234265</v>
      </c>
      <c r="H780" s="211" t="str">
        <f ca="1">IFERROR(__xludf.DUMMYFUNCTION("""COMPUTED_VALUE"""),"ENSINO MEDIO PARCIAL")</f>
        <v>ENSINO MEDIO PARCIAL</v>
      </c>
      <c r="I780" s="214">
        <f ca="1">IFERROR(__xludf.DUMMYFUNCTION("""COMPUTED_VALUE"""),940)</f>
        <v>940</v>
      </c>
      <c r="J780" s="209"/>
      <c r="K780" s="209"/>
      <c r="L780" s="209"/>
      <c r="M780" s="209"/>
      <c r="N780" s="209"/>
      <c r="O780" s="209"/>
      <c r="P780" s="209"/>
      <c r="Q780" s="209"/>
      <c r="R780" s="209"/>
      <c r="S780" s="209"/>
      <c r="T780" s="209"/>
      <c r="U780" s="209"/>
      <c r="V780" s="209"/>
      <c r="W780" s="209"/>
      <c r="X780" s="209"/>
      <c r="Y780" s="209"/>
      <c r="Z780" s="209"/>
    </row>
    <row r="781" spans="1:26" ht="18.75" customHeight="1">
      <c r="A781" s="210" t="str">
        <f ca="1">IFERROR(__xludf.DUMMYFUNCTION("""COMPUTED_VALUE"""),"Paraíso")</f>
        <v>Paraíso</v>
      </c>
      <c r="B781" s="210" t="str">
        <f ca="1">IFERROR(__xludf.DUMMYFUNCTION("""COMPUTED_VALUE"""),"Nova Rosalandia")</f>
        <v>Nova Rosalandia</v>
      </c>
      <c r="C781" s="211" t="str">
        <f ca="1">IFERROR(__xludf.DUMMYFUNCTION("""COMPUTED_VALUE"""),"A. ESC. COM. ESC. EST.PEDRO XAVIER TEIXEIRA")</f>
        <v>A. ESC. COM. ESC. EST.PEDRO XAVIER TEIXEIRA</v>
      </c>
      <c r="D781" s="212" t="str">
        <f ca="1">IFERROR(__xludf.DUMMYFUNCTION("""COMPUTED_VALUE"""),"01068367000100")</f>
        <v>01068367000100</v>
      </c>
      <c r="E781" s="212" t="str">
        <f ca="1">IFERROR(__xludf.DUMMYFUNCTION("""COMPUTED_VALUE"""),"001")</f>
        <v>001</v>
      </c>
      <c r="F781" s="212" t="str">
        <f ca="1">IFERROR(__xludf.DUMMYFUNCTION("""COMPUTED_VALUE"""),"0804")</f>
        <v>0804</v>
      </c>
      <c r="G781" s="213" t="str">
        <f ca="1">IFERROR(__xludf.DUMMYFUNCTION("""COMPUTED_VALUE"""),"234265")</f>
        <v>234265</v>
      </c>
      <c r="H781" s="211" t="str">
        <f ca="1">IFERROR(__xludf.DUMMYFUNCTION("""COMPUTED_VALUE"""),"EJA")</f>
        <v>EJA</v>
      </c>
      <c r="I781" s="214">
        <f ca="1">IFERROR(__xludf.DUMMYFUNCTION("""COMPUTED_VALUE"""),106.6)</f>
        <v>106.6</v>
      </c>
      <c r="J781" s="209"/>
      <c r="K781" s="209"/>
      <c r="L781" s="209"/>
      <c r="M781" s="209"/>
      <c r="N781" s="209"/>
      <c r="O781" s="209"/>
      <c r="P781" s="209"/>
      <c r="Q781" s="209"/>
      <c r="R781" s="209"/>
      <c r="S781" s="209"/>
      <c r="T781" s="209"/>
      <c r="U781" s="209"/>
      <c r="V781" s="209"/>
      <c r="W781" s="209"/>
      <c r="X781" s="209"/>
      <c r="Y781" s="209"/>
      <c r="Z781" s="209"/>
    </row>
    <row r="782" spans="1:26" ht="18.75" customHeight="1">
      <c r="A782" s="210" t="str">
        <f ca="1">IFERROR(__xludf.DUMMYFUNCTION("""COMPUTED_VALUE"""),"Paraíso")</f>
        <v>Paraíso</v>
      </c>
      <c r="B782" s="210" t="str">
        <f ca="1">IFERROR(__xludf.DUMMYFUNCTION("""COMPUTED_VALUE"""),"Nova Rosalandia")</f>
        <v>Nova Rosalandia</v>
      </c>
      <c r="C782" s="211" t="str">
        <f ca="1">IFERROR(__xludf.DUMMYFUNCTION("""COMPUTED_VALUE"""),"A.A. A ESCOLA ESTADUAL CAMPO MAIOR")</f>
        <v>A.A. A ESCOLA ESTADUAL CAMPO MAIOR</v>
      </c>
      <c r="D782" s="212" t="str">
        <f ca="1">IFERROR(__xludf.DUMMYFUNCTION("""COMPUTED_VALUE"""),"01068373000167")</f>
        <v>01068373000167</v>
      </c>
      <c r="E782" s="212" t="str">
        <f ca="1">IFERROR(__xludf.DUMMYFUNCTION("""COMPUTED_VALUE"""),"001")</f>
        <v>001</v>
      </c>
      <c r="F782" s="212" t="str">
        <f ca="1">IFERROR(__xludf.DUMMYFUNCTION("""COMPUTED_VALUE"""),"0804")</f>
        <v>0804</v>
      </c>
      <c r="G782" s="213" t="str">
        <f ca="1">IFERROR(__xludf.DUMMYFUNCTION("""COMPUTED_VALUE"""),"341290")</f>
        <v>341290</v>
      </c>
      <c r="H782" s="211" t="str">
        <f ca="1">IFERROR(__xludf.DUMMYFUNCTION("""COMPUTED_VALUE"""),"ENS FUND PARCIAL")</f>
        <v>ENS FUND PARCIAL</v>
      </c>
      <c r="I782" s="214">
        <f ca="1">IFERROR(__xludf.DUMMYFUNCTION("""COMPUTED_VALUE"""),340)</f>
        <v>340</v>
      </c>
      <c r="J782" s="209"/>
      <c r="K782" s="209"/>
      <c r="L782" s="209"/>
      <c r="M782" s="209"/>
      <c r="N782" s="209"/>
      <c r="O782" s="209"/>
      <c r="P782" s="209"/>
      <c r="Q782" s="209"/>
      <c r="R782" s="209"/>
      <c r="S782" s="209"/>
      <c r="T782" s="209"/>
      <c r="U782" s="209"/>
      <c r="V782" s="209"/>
      <c r="W782" s="209"/>
      <c r="X782" s="209"/>
      <c r="Y782" s="209"/>
      <c r="Z782" s="209"/>
    </row>
    <row r="783" spans="1:26" ht="18.75" customHeight="1">
      <c r="A783" s="210" t="str">
        <f ca="1">IFERROR(__xludf.DUMMYFUNCTION("""COMPUTED_VALUE"""),"Paraíso")</f>
        <v>Paraíso</v>
      </c>
      <c r="B783" s="210" t="str">
        <f ca="1">IFERROR(__xludf.DUMMYFUNCTION("""COMPUTED_VALUE"""),"Nova Rosalandia")</f>
        <v>Nova Rosalandia</v>
      </c>
      <c r="C783" s="211" t="str">
        <f ca="1">IFERROR(__xludf.DUMMYFUNCTION("""COMPUTED_VALUE"""),"ASSOC.COM. ESC EST.REGINA SIQUEIRA CAMPOS")</f>
        <v>ASSOC.COM. ESC EST.REGINA SIQUEIRA CAMPOS</v>
      </c>
      <c r="D783" s="212" t="str">
        <f ca="1">IFERROR(__xludf.DUMMYFUNCTION("""COMPUTED_VALUE"""),"01181170000182")</f>
        <v>01181170000182</v>
      </c>
      <c r="E783" s="212" t="str">
        <f ca="1">IFERROR(__xludf.DUMMYFUNCTION("""COMPUTED_VALUE"""),"001")</f>
        <v>001</v>
      </c>
      <c r="F783" s="212" t="str">
        <f ca="1">IFERROR(__xludf.DUMMYFUNCTION("""COMPUTED_VALUE"""),"0804")</f>
        <v>0804</v>
      </c>
      <c r="G783" s="213" t="str">
        <f ca="1">IFERROR(__xludf.DUMMYFUNCTION("""COMPUTED_VALUE"""),"16383X")</f>
        <v>16383X</v>
      </c>
      <c r="H783" s="211" t="str">
        <f ca="1">IFERROR(__xludf.DUMMYFUNCTION("""COMPUTED_VALUE"""),"ENS FUND INTEGRAL")</f>
        <v>ENS FUND INTEGRAL</v>
      </c>
      <c r="I783" s="214">
        <f ca="1">IFERROR(__xludf.DUMMYFUNCTION("""COMPUTED_VALUE"""),3781.2)</f>
        <v>3781.2</v>
      </c>
      <c r="J783" s="209"/>
      <c r="K783" s="209"/>
      <c r="L783" s="209"/>
      <c r="M783" s="209"/>
      <c r="N783" s="209"/>
      <c r="O783" s="209"/>
      <c r="P783" s="209"/>
      <c r="Q783" s="209"/>
      <c r="R783" s="209"/>
      <c r="S783" s="209"/>
      <c r="T783" s="209"/>
      <c r="U783" s="209"/>
      <c r="V783" s="209"/>
      <c r="W783" s="209"/>
      <c r="X783" s="209"/>
      <c r="Y783" s="209"/>
      <c r="Z783" s="209"/>
    </row>
    <row r="784" spans="1:26" ht="18.75" customHeight="1">
      <c r="A784" s="210" t="str">
        <f ca="1">IFERROR(__xludf.DUMMYFUNCTION("""COMPUTED_VALUE"""),"Paraíso")</f>
        <v>Paraíso</v>
      </c>
      <c r="B784" s="210" t="str">
        <f ca="1">IFERROR(__xludf.DUMMYFUNCTION("""COMPUTED_VALUE"""),"Nova Rosalandia")</f>
        <v>Nova Rosalandia</v>
      </c>
      <c r="C784" s="211" t="str">
        <f ca="1">IFERROR(__xludf.DUMMYFUNCTION("""COMPUTED_VALUE"""),"ASSOC.COM. ESC EST.REGINA SIQUEIRA CAMPOS")</f>
        <v>ASSOC.COM. ESC EST.REGINA SIQUEIRA CAMPOS</v>
      </c>
      <c r="D784" s="212" t="str">
        <f ca="1">IFERROR(__xludf.DUMMYFUNCTION("""COMPUTED_VALUE"""),"01181170000182")</f>
        <v>01181170000182</v>
      </c>
      <c r="E784" s="212" t="str">
        <f ca="1">IFERROR(__xludf.DUMMYFUNCTION("""COMPUTED_VALUE"""),"001")</f>
        <v>001</v>
      </c>
      <c r="F784" s="212" t="str">
        <f ca="1">IFERROR(__xludf.DUMMYFUNCTION("""COMPUTED_VALUE"""),"0804")</f>
        <v>0804</v>
      </c>
      <c r="G784" s="213" t="str">
        <f ca="1">IFERROR(__xludf.DUMMYFUNCTION("""COMPUTED_VALUE"""),"16383X")</f>
        <v>16383X</v>
      </c>
      <c r="H784" s="211" t="str">
        <f ca="1">IFERROR(__xludf.DUMMYFUNCTION("""COMPUTED_VALUE"""),"ENSINO MEDIO INTEGRAL")</f>
        <v>ENSINO MEDIO INTEGRAL</v>
      </c>
      <c r="I784" s="214">
        <f ca="1">IFERROR(__xludf.DUMMYFUNCTION("""COMPUTED_VALUE"""),575.4)</f>
        <v>575.4</v>
      </c>
      <c r="J784" s="209"/>
      <c r="K784" s="209"/>
      <c r="L784" s="209"/>
      <c r="M784" s="209"/>
      <c r="N784" s="209"/>
      <c r="O784" s="209"/>
      <c r="P784" s="209"/>
      <c r="Q784" s="209"/>
      <c r="R784" s="209"/>
      <c r="S784" s="209"/>
      <c r="T784" s="209"/>
      <c r="U784" s="209"/>
      <c r="V784" s="209"/>
      <c r="W784" s="209"/>
      <c r="X784" s="209"/>
      <c r="Y784" s="209"/>
      <c r="Z784" s="209"/>
    </row>
    <row r="785" spans="1:26" ht="18.75" customHeight="1">
      <c r="A785" s="210" t="str">
        <f ca="1">IFERROR(__xludf.DUMMYFUNCTION("""COMPUTED_VALUE"""),"Paraíso")</f>
        <v>Paraíso</v>
      </c>
      <c r="B785" s="210" t="str">
        <f ca="1">IFERROR(__xludf.DUMMYFUNCTION("""COMPUTED_VALUE"""),"Paraiso do Tocantins")</f>
        <v>Paraiso do Tocantins</v>
      </c>
      <c r="C785" s="211" t="str">
        <f ca="1">IFERROR(__xludf.DUMMYFUNCTION("""COMPUTED_VALUE"""),"A. ESC COM. DA ESC EST J.K. DE OLIVEIRA")</f>
        <v>A. ESC COM. DA ESC EST J.K. DE OLIVEIRA</v>
      </c>
      <c r="D785" s="212" t="str">
        <f ca="1">IFERROR(__xludf.DUMMYFUNCTION("""COMPUTED_VALUE"""),"00921537000194")</f>
        <v>00921537000194</v>
      </c>
      <c r="E785" s="212" t="str">
        <f ca="1">IFERROR(__xludf.DUMMYFUNCTION("""COMPUTED_VALUE"""),"001")</f>
        <v>001</v>
      </c>
      <c r="F785" s="212" t="str">
        <f ca="1">IFERROR(__xludf.DUMMYFUNCTION("""COMPUTED_VALUE"""),"0804")</f>
        <v>0804</v>
      </c>
      <c r="G785" s="213" t="str">
        <f ca="1">IFERROR(__xludf.DUMMYFUNCTION("""COMPUTED_VALUE"""),"163821")</f>
        <v>163821</v>
      </c>
      <c r="H785" s="211" t="str">
        <f ca="1">IFERROR(__xludf.DUMMYFUNCTION("""COMPUTED_VALUE"""),"ENS FUND PARCIAL")</f>
        <v>ENS FUND PARCIAL</v>
      </c>
      <c r="I785" s="214">
        <f ca="1">IFERROR(__xludf.DUMMYFUNCTION("""COMPUTED_VALUE"""),2660)</f>
        <v>2660</v>
      </c>
      <c r="J785" s="209"/>
      <c r="K785" s="209"/>
      <c r="L785" s="209"/>
      <c r="M785" s="209"/>
      <c r="N785" s="209"/>
      <c r="O785" s="209"/>
      <c r="P785" s="209"/>
      <c r="Q785" s="209"/>
      <c r="R785" s="209"/>
      <c r="S785" s="209"/>
      <c r="T785" s="209"/>
      <c r="U785" s="209"/>
      <c r="V785" s="209"/>
      <c r="W785" s="209"/>
      <c r="X785" s="209"/>
      <c r="Y785" s="209"/>
      <c r="Z785" s="209"/>
    </row>
    <row r="786" spans="1:26" ht="18.75" customHeight="1">
      <c r="A786" s="210" t="str">
        <f ca="1">IFERROR(__xludf.DUMMYFUNCTION("""COMPUTED_VALUE"""),"Paraíso")</f>
        <v>Paraíso</v>
      </c>
      <c r="B786" s="210" t="str">
        <f ca="1">IFERROR(__xludf.DUMMYFUNCTION("""COMPUTED_VALUE"""),"Paraiso do Tocantins")</f>
        <v>Paraiso do Tocantins</v>
      </c>
      <c r="C786" s="211" t="str">
        <f ca="1">IFERROR(__xludf.DUMMYFUNCTION("""COMPUTED_VALUE"""),"A. ESC COM. DA ESC EST J.K. DE OLIVEIRA")</f>
        <v>A. ESC COM. DA ESC EST J.K. DE OLIVEIRA</v>
      </c>
      <c r="D786" s="212" t="str">
        <f ca="1">IFERROR(__xludf.DUMMYFUNCTION("""COMPUTED_VALUE"""),"00921537000194")</f>
        <v>00921537000194</v>
      </c>
      <c r="E786" s="212" t="str">
        <f ca="1">IFERROR(__xludf.DUMMYFUNCTION("""COMPUTED_VALUE"""),"001")</f>
        <v>001</v>
      </c>
      <c r="F786" s="212" t="str">
        <f ca="1">IFERROR(__xludf.DUMMYFUNCTION("""COMPUTED_VALUE"""),"0804")</f>
        <v>0804</v>
      </c>
      <c r="G786" s="213" t="str">
        <f ca="1">IFERROR(__xludf.DUMMYFUNCTION("""COMPUTED_VALUE"""),"163821")</f>
        <v>163821</v>
      </c>
      <c r="H786" s="211" t="str">
        <f ca="1">IFERROR(__xludf.DUMMYFUNCTION("""COMPUTED_VALUE"""),"ENSINO MEDIO PARCIAL")</f>
        <v>ENSINO MEDIO PARCIAL</v>
      </c>
      <c r="I786" s="214">
        <f ca="1">IFERROR(__xludf.DUMMYFUNCTION("""COMPUTED_VALUE"""),210)</f>
        <v>210</v>
      </c>
      <c r="J786" s="209"/>
      <c r="K786" s="209"/>
      <c r="L786" s="209"/>
      <c r="M786" s="209"/>
      <c r="N786" s="209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9"/>
      <c r="Z786" s="209"/>
    </row>
    <row r="787" spans="1:26" ht="18.75" customHeight="1">
      <c r="A787" s="210" t="str">
        <f ca="1">IFERROR(__xludf.DUMMYFUNCTION("""COMPUTED_VALUE"""),"Paraíso")</f>
        <v>Paraíso</v>
      </c>
      <c r="B787" s="210" t="str">
        <f ca="1">IFERROR(__xludf.DUMMYFUNCTION("""COMPUTED_VALUE"""),"Paraiso do Tocantins")</f>
        <v>Paraiso do Tocantins</v>
      </c>
      <c r="C787" s="211" t="str">
        <f ca="1">IFERROR(__xludf.DUMMYFUNCTION("""COMPUTED_VALUE"""),"ASSOC. DE APOIO ESC. EST.IDALINA DE PAULA")</f>
        <v>ASSOC. DE APOIO ESC. EST.IDALINA DE PAULA</v>
      </c>
      <c r="D787" s="212" t="str">
        <f ca="1">IFERROR(__xludf.DUMMYFUNCTION("""COMPUTED_VALUE"""),"01066419000109")</f>
        <v>01066419000109</v>
      </c>
      <c r="E787" s="212" t="str">
        <f ca="1">IFERROR(__xludf.DUMMYFUNCTION("""COMPUTED_VALUE"""),"001")</f>
        <v>001</v>
      </c>
      <c r="F787" s="212" t="str">
        <f ca="1">IFERROR(__xludf.DUMMYFUNCTION("""COMPUTED_VALUE"""),"0804")</f>
        <v>0804</v>
      </c>
      <c r="G787" s="213" t="str">
        <f ca="1">IFERROR(__xludf.DUMMYFUNCTION("""COMPUTED_VALUE"""),"115797")</f>
        <v>115797</v>
      </c>
      <c r="H787" s="211" t="str">
        <f ca="1">IFERROR(__xludf.DUMMYFUNCTION("""COMPUTED_VALUE"""),"ENS FUND PARCIAL")</f>
        <v>ENS FUND PARCIAL</v>
      </c>
      <c r="I787" s="214">
        <f ca="1">IFERROR(__xludf.DUMMYFUNCTION("""COMPUTED_VALUE"""),3390)</f>
        <v>3390</v>
      </c>
      <c r="J787" s="209"/>
      <c r="K787" s="209"/>
      <c r="L787" s="209"/>
      <c r="M787" s="209"/>
      <c r="N787" s="209"/>
      <c r="O787" s="209"/>
      <c r="P787" s="209"/>
      <c r="Q787" s="209"/>
      <c r="R787" s="209"/>
      <c r="S787" s="209"/>
      <c r="T787" s="209"/>
      <c r="U787" s="209"/>
      <c r="V787" s="209"/>
      <c r="W787" s="209"/>
      <c r="X787" s="209"/>
      <c r="Y787" s="209"/>
      <c r="Z787" s="209"/>
    </row>
    <row r="788" spans="1:26" ht="18.75" customHeight="1">
      <c r="A788" s="210" t="str">
        <f ca="1">IFERROR(__xludf.DUMMYFUNCTION("""COMPUTED_VALUE"""),"Paraíso")</f>
        <v>Paraíso</v>
      </c>
      <c r="B788" s="210" t="str">
        <f ca="1">IFERROR(__xludf.DUMMYFUNCTION("""COMPUTED_VALUE"""),"Paraiso do Tocantins")</f>
        <v>Paraiso do Tocantins</v>
      </c>
      <c r="C788" s="211" t="str">
        <f ca="1">IFERROR(__xludf.DUMMYFUNCTION("""COMPUTED_VALUE"""),"ASSOC. DE APOIO ESC. EST.IDALINA DE PAULA")</f>
        <v>ASSOC. DE APOIO ESC. EST.IDALINA DE PAULA</v>
      </c>
      <c r="D788" s="212" t="str">
        <f ca="1">IFERROR(__xludf.DUMMYFUNCTION("""COMPUTED_VALUE"""),"01066419000109")</f>
        <v>01066419000109</v>
      </c>
      <c r="E788" s="212" t="str">
        <f ca="1">IFERROR(__xludf.DUMMYFUNCTION("""COMPUTED_VALUE"""),"001")</f>
        <v>001</v>
      </c>
      <c r="F788" s="212" t="str">
        <f ca="1">IFERROR(__xludf.DUMMYFUNCTION("""COMPUTED_VALUE"""),"0804")</f>
        <v>0804</v>
      </c>
      <c r="G788" s="213" t="str">
        <f ca="1">IFERROR(__xludf.DUMMYFUNCTION("""COMPUTED_VALUE"""),"115797")</f>
        <v>115797</v>
      </c>
      <c r="H788" s="211" t="str">
        <f ca="1">IFERROR(__xludf.DUMMYFUNCTION("""COMPUTED_VALUE"""),"ENSINO MEDIO PARCIAL")</f>
        <v>ENSINO MEDIO PARCIAL</v>
      </c>
      <c r="I788" s="214">
        <f ca="1">IFERROR(__xludf.DUMMYFUNCTION("""COMPUTED_VALUE"""),1860)</f>
        <v>1860</v>
      </c>
      <c r="J788" s="209"/>
      <c r="K788" s="209"/>
      <c r="L788" s="209"/>
      <c r="M788" s="209"/>
      <c r="N788" s="209"/>
      <c r="O788" s="209"/>
      <c r="P788" s="209"/>
      <c r="Q788" s="209"/>
      <c r="R788" s="209"/>
      <c r="S788" s="209"/>
      <c r="T788" s="209"/>
      <c r="U788" s="209"/>
      <c r="V788" s="209"/>
      <c r="W788" s="209"/>
      <c r="X788" s="209"/>
      <c r="Y788" s="209"/>
      <c r="Z788" s="209"/>
    </row>
    <row r="789" spans="1:26" ht="18.75" customHeight="1">
      <c r="A789" s="210" t="str">
        <f ca="1">IFERROR(__xludf.DUMMYFUNCTION("""COMPUTED_VALUE"""),"Paraíso")</f>
        <v>Paraíso</v>
      </c>
      <c r="B789" s="210" t="str">
        <f ca="1">IFERROR(__xludf.DUMMYFUNCTION("""COMPUTED_VALUE"""),"Paraiso do Tocantins")</f>
        <v>Paraiso do Tocantins</v>
      </c>
      <c r="C789" s="211" t="str">
        <f ca="1">IFERROR(__xludf.DUMMYFUNCTION("""COMPUTED_VALUE"""),"A.A. ESCOLA ESTADUAL DEUSA DE MORAES")</f>
        <v>A.A. ESCOLA ESTADUAL DEUSA DE MORAES</v>
      </c>
      <c r="D789" s="212" t="str">
        <f ca="1">IFERROR(__xludf.DUMMYFUNCTION("""COMPUTED_VALUE"""),"01068362000187")</f>
        <v>01068362000187</v>
      </c>
      <c r="E789" s="212" t="str">
        <f ca="1">IFERROR(__xludf.DUMMYFUNCTION("""COMPUTED_VALUE"""),"001")</f>
        <v>001</v>
      </c>
      <c r="F789" s="212" t="str">
        <f ca="1">IFERROR(__xludf.DUMMYFUNCTION("""COMPUTED_VALUE"""),"0804")</f>
        <v>0804</v>
      </c>
      <c r="G789" s="213" t="str">
        <f ca="1">IFERROR(__xludf.DUMMYFUNCTION("""COMPUTED_VALUE"""),"304549")</f>
        <v>304549</v>
      </c>
      <c r="H789" s="211" t="str">
        <f ca="1">IFERROR(__xludf.DUMMYFUNCTION("""COMPUTED_VALUE"""),"ENS FUND PARCIAL")</f>
        <v>ENS FUND PARCIAL</v>
      </c>
      <c r="I789" s="214">
        <f ca="1">IFERROR(__xludf.DUMMYFUNCTION("""COMPUTED_VALUE"""),3660)</f>
        <v>3660</v>
      </c>
      <c r="J789" s="209"/>
      <c r="K789" s="209"/>
      <c r="L789" s="209"/>
      <c r="M789" s="209"/>
      <c r="N789" s="209"/>
      <c r="O789" s="209"/>
      <c r="P789" s="209"/>
      <c r="Q789" s="209"/>
      <c r="R789" s="209"/>
      <c r="S789" s="209"/>
      <c r="T789" s="209"/>
      <c r="U789" s="209"/>
      <c r="V789" s="209"/>
      <c r="W789" s="209"/>
      <c r="X789" s="209"/>
      <c r="Y789" s="209"/>
      <c r="Z789" s="209"/>
    </row>
    <row r="790" spans="1:26" ht="18.75" customHeight="1">
      <c r="A790" s="210" t="str">
        <f ca="1">IFERROR(__xludf.DUMMYFUNCTION("""COMPUTED_VALUE"""),"Paraíso")</f>
        <v>Paraíso</v>
      </c>
      <c r="B790" s="210" t="str">
        <f ca="1">IFERROR(__xludf.DUMMYFUNCTION("""COMPUTED_VALUE"""),"Paraiso do Tocantins")</f>
        <v>Paraiso do Tocantins</v>
      </c>
      <c r="C790" s="211" t="str">
        <f ca="1">IFERROR(__xludf.DUMMYFUNCTION("""COMPUTED_VALUE"""),"ASS. DE APOIO ESC. EST. AMANCIO DE MORAES")</f>
        <v>ASS. DE APOIO ESC. EST. AMANCIO DE MORAES</v>
      </c>
      <c r="D790" s="212" t="str">
        <f ca="1">IFERROR(__xludf.DUMMYFUNCTION("""COMPUTED_VALUE"""),"01068375000156")</f>
        <v>01068375000156</v>
      </c>
      <c r="E790" s="212" t="str">
        <f ca="1">IFERROR(__xludf.DUMMYFUNCTION("""COMPUTED_VALUE"""),"104")</f>
        <v>104</v>
      </c>
      <c r="F790" s="212" t="str">
        <f ca="1">IFERROR(__xludf.DUMMYFUNCTION("""COMPUTED_VALUE"""),"1141")</f>
        <v>1141</v>
      </c>
      <c r="G790" s="213" t="str">
        <f ca="1">IFERROR(__xludf.DUMMYFUNCTION("""COMPUTED_VALUE"""),"308140")</f>
        <v>308140</v>
      </c>
      <c r="H790" s="211" t="str">
        <f ca="1">IFERROR(__xludf.DUMMYFUNCTION("""COMPUTED_VALUE"""),"ENS FUND PARCIAL")</f>
        <v>ENS FUND PARCIAL</v>
      </c>
      <c r="I790" s="214">
        <f ca="1">IFERROR(__xludf.DUMMYFUNCTION("""COMPUTED_VALUE"""),2500)</f>
        <v>2500</v>
      </c>
      <c r="J790" s="209"/>
      <c r="K790" s="209"/>
      <c r="L790" s="209"/>
      <c r="M790" s="209"/>
      <c r="N790" s="209"/>
      <c r="O790" s="209"/>
      <c r="P790" s="209"/>
      <c r="Q790" s="209"/>
      <c r="R790" s="209"/>
      <c r="S790" s="209"/>
      <c r="T790" s="209"/>
      <c r="U790" s="209"/>
      <c r="V790" s="209"/>
      <c r="W790" s="209"/>
      <c r="X790" s="209"/>
      <c r="Y790" s="209"/>
      <c r="Z790" s="209"/>
    </row>
    <row r="791" spans="1:26" ht="18.75" customHeight="1">
      <c r="A791" s="210" t="str">
        <f ca="1">IFERROR(__xludf.DUMMYFUNCTION("""COMPUTED_VALUE"""),"Paraíso")</f>
        <v>Paraíso</v>
      </c>
      <c r="B791" s="210" t="str">
        <f ca="1">IFERROR(__xludf.DUMMYFUNCTION("""COMPUTED_VALUE"""),"Paraiso do Tocantins")</f>
        <v>Paraiso do Tocantins</v>
      </c>
      <c r="C791" s="211" t="str">
        <f ca="1">IFERROR(__xludf.DUMMYFUNCTION("""COMPUTED_VALUE"""),"ASS. DE APOIO ESC. EST. AMANCIO DE MORAES")</f>
        <v>ASS. DE APOIO ESC. EST. AMANCIO DE MORAES</v>
      </c>
      <c r="D791" s="212" t="str">
        <f ca="1">IFERROR(__xludf.DUMMYFUNCTION("""COMPUTED_VALUE"""),"01068375000156")</f>
        <v>01068375000156</v>
      </c>
      <c r="E791" s="212" t="str">
        <f ca="1">IFERROR(__xludf.DUMMYFUNCTION("""COMPUTED_VALUE"""),"104")</f>
        <v>104</v>
      </c>
      <c r="F791" s="212" t="str">
        <f ca="1">IFERROR(__xludf.DUMMYFUNCTION("""COMPUTED_VALUE"""),"1141")</f>
        <v>1141</v>
      </c>
      <c r="G791" s="213" t="str">
        <f ca="1">IFERROR(__xludf.DUMMYFUNCTION("""COMPUTED_VALUE"""),"308140")</f>
        <v>308140</v>
      </c>
      <c r="H791" s="211" t="str">
        <f ca="1">IFERROR(__xludf.DUMMYFUNCTION("""COMPUTED_VALUE"""),"AEE")</f>
        <v>AEE</v>
      </c>
      <c r="I791" s="214">
        <f ca="1">IFERROR(__xludf.DUMMYFUNCTION("""COMPUTED_VALUE"""),176.799999999999)</f>
        <v>176.79999999999899</v>
      </c>
      <c r="J791" s="209"/>
      <c r="K791" s="209"/>
      <c r="L791" s="209"/>
      <c r="M791" s="209"/>
      <c r="N791" s="209"/>
      <c r="O791" s="209"/>
      <c r="P791" s="209"/>
      <c r="Q791" s="209"/>
      <c r="R791" s="209"/>
      <c r="S791" s="209"/>
      <c r="T791" s="209"/>
      <c r="U791" s="209"/>
      <c r="V791" s="209"/>
      <c r="W791" s="209"/>
      <c r="X791" s="209"/>
      <c r="Y791" s="209"/>
      <c r="Z791" s="209"/>
    </row>
    <row r="792" spans="1:26" ht="18.75" customHeight="1">
      <c r="A792" s="210" t="str">
        <f ca="1">IFERROR(__xludf.DUMMYFUNCTION("""COMPUTED_VALUE"""),"Paraíso")</f>
        <v>Paraíso</v>
      </c>
      <c r="B792" s="210" t="str">
        <f ca="1">IFERROR(__xludf.DUMMYFUNCTION("""COMPUTED_VALUE"""),"Paraiso do Tocantins")</f>
        <v>Paraiso do Tocantins</v>
      </c>
      <c r="C792" s="211" t="str">
        <f ca="1">IFERROR(__xludf.DUMMYFUNCTION("""COMPUTED_VALUE"""),"A.A. DO COL. PRESB. VALE DO TOCANTINS")</f>
        <v>A.A. DO COL. PRESB. VALE DO TOCANTINS</v>
      </c>
      <c r="D792" s="212" t="str">
        <f ca="1">IFERROR(__xludf.DUMMYFUNCTION("""COMPUTED_VALUE"""),"01071426000107")</f>
        <v>01071426000107</v>
      </c>
      <c r="E792" s="212" t="str">
        <f ca="1">IFERROR(__xludf.DUMMYFUNCTION("""COMPUTED_VALUE"""),"001")</f>
        <v>001</v>
      </c>
      <c r="F792" s="212" t="str">
        <f ca="1">IFERROR(__xludf.DUMMYFUNCTION("""COMPUTED_VALUE"""),"0804")</f>
        <v>0804</v>
      </c>
      <c r="G792" s="213" t="str">
        <f ca="1">IFERROR(__xludf.DUMMYFUNCTION("""COMPUTED_VALUE"""),"311618")</f>
        <v>311618</v>
      </c>
      <c r="H792" s="211" t="str">
        <f ca="1">IFERROR(__xludf.DUMMYFUNCTION("""COMPUTED_VALUE"""),"ENS FUND PARCIAL")</f>
        <v>ENS FUND PARCIAL</v>
      </c>
      <c r="I792" s="214">
        <f ca="1">IFERROR(__xludf.DUMMYFUNCTION("""COMPUTED_VALUE"""),4930)</f>
        <v>4930</v>
      </c>
      <c r="J792" s="209"/>
      <c r="K792" s="209"/>
      <c r="L792" s="209"/>
      <c r="M792" s="209"/>
      <c r="N792" s="209"/>
      <c r="O792" s="209"/>
      <c r="P792" s="209"/>
      <c r="Q792" s="209"/>
      <c r="R792" s="209"/>
      <c r="S792" s="209"/>
      <c r="T792" s="209"/>
      <c r="U792" s="209"/>
      <c r="V792" s="209"/>
      <c r="W792" s="209"/>
      <c r="X792" s="209"/>
      <c r="Y792" s="209"/>
      <c r="Z792" s="209"/>
    </row>
    <row r="793" spans="1:26" ht="18.75" customHeight="1">
      <c r="A793" s="210" t="str">
        <f ca="1">IFERROR(__xludf.DUMMYFUNCTION("""COMPUTED_VALUE"""),"Paraíso")</f>
        <v>Paraíso</v>
      </c>
      <c r="B793" s="210" t="str">
        <f ca="1">IFERROR(__xludf.DUMMYFUNCTION("""COMPUTED_VALUE"""),"Paraiso do Tocantins")</f>
        <v>Paraiso do Tocantins</v>
      </c>
      <c r="C793" s="211" t="str">
        <f ca="1">IFERROR(__xludf.DUMMYFUNCTION("""COMPUTED_VALUE"""),"A.A. DO COL. PRESB. VALE DO TOCANTINS")</f>
        <v>A.A. DO COL. PRESB. VALE DO TOCANTINS</v>
      </c>
      <c r="D793" s="212" t="str">
        <f ca="1">IFERROR(__xludf.DUMMYFUNCTION("""COMPUTED_VALUE"""),"01071426000107")</f>
        <v>01071426000107</v>
      </c>
      <c r="E793" s="212" t="str">
        <f ca="1">IFERROR(__xludf.DUMMYFUNCTION("""COMPUTED_VALUE"""),"001")</f>
        <v>001</v>
      </c>
      <c r="F793" s="212" t="str">
        <f ca="1">IFERROR(__xludf.DUMMYFUNCTION("""COMPUTED_VALUE"""),"0804")</f>
        <v>0804</v>
      </c>
      <c r="G793" s="213" t="str">
        <f ca="1">IFERROR(__xludf.DUMMYFUNCTION("""COMPUTED_VALUE"""),"311618")</f>
        <v>311618</v>
      </c>
      <c r="H793" s="211" t="str">
        <f ca="1">IFERROR(__xludf.DUMMYFUNCTION("""COMPUTED_VALUE"""),"ENSINO MEDIO PARCIAL")</f>
        <v>ENSINO MEDIO PARCIAL</v>
      </c>
      <c r="I793" s="214">
        <f ca="1">IFERROR(__xludf.DUMMYFUNCTION("""COMPUTED_VALUE"""),3780)</f>
        <v>3780</v>
      </c>
      <c r="J793" s="209"/>
      <c r="K793" s="209"/>
      <c r="L793" s="209"/>
      <c r="M793" s="209"/>
      <c r="N793" s="209"/>
      <c r="O793" s="209"/>
      <c r="P793" s="209"/>
      <c r="Q793" s="209"/>
      <c r="R793" s="209"/>
      <c r="S793" s="209"/>
      <c r="T793" s="209"/>
      <c r="U793" s="209"/>
      <c r="V793" s="209"/>
      <c r="W793" s="209"/>
      <c r="X793" s="209"/>
      <c r="Y793" s="209"/>
      <c r="Z793" s="209"/>
    </row>
    <row r="794" spans="1:26" ht="18.75" customHeight="1">
      <c r="A794" s="210" t="str">
        <f ca="1">IFERROR(__xludf.DUMMYFUNCTION("""COMPUTED_VALUE"""),"Paraíso")</f>
        <v>Paraíso</v>
      </c>
      <c r="B794" s="210" t="str">
        <f ca="1">IFERROR(__xludf.DUMMYFUNCTION("""COMPUTED_VALUE"""),"Paraiso do Tocantins")</f>
        <v>Paraiso do Tocantins</v>
      </c>
      <c r="C794" s="211" t="str">
        <f ca="1">IFERROR(__xludf.DUMMYFUNCTION("""COMPUTED_VALUE"""),"ASSOC. APOIO AO CEM JOSE ALVES DE ASSIS")</f>
        <v>ASSOC. APOIO AO CEM JOSE ALVES DE ASSIS</v>
      </c>
      <c r="D794" s="212" t="str">
        <f ca="1">IFERROR(__xludf.DUMMYFUNCTION("""COMPUTED_VALUE"""),"01181169000158")</f>
        <v>01181169000158</v>
      </c>
      <c r="E794" s="212" t="str">
        <f ca="1">IFERROR(__xludf.DUMMYFUNCTION("""COMPUTED_VALUE"""),"001")</f>
        <v>001</v>
      </c>
      <c r="F794" s="212" t="str">
        <f ca="1">IFERROR(__xludf.DUMMYFUNCTION("""COMPUTED_VALUE"""),"0804")</f>
        <v>0804</v>
      </c>
      <c r="G794" s="213" t="str">
        <f ca="1">IFERROR(__xludf.DUMMYFUNCTION("""COMPUTED_VALUE"""),"286257")</f>
        <v>286257</v>
      </c>
      <c r="H794" s="211" t="str">
        <f ca="1">IFERROR(__xludf.DUMMYFUNCTION("""COMPUTED_VALUE"""),"AEE")</f>
        <v>AEE</v>
      </c>
      <c r="I794" s="214">
        <f ca="1">IFERROR(__xludf.DUMMYFUNCTION("""COMPUTED_VALUE"""),176.799999999999)</f>
        <v>176.79999999999899</v>
      </c>
      <c r="J794" s="209"/>
      <c r="K794" s="209"/>
      <c r="L794" s="209"/>
      <c r="M794" s="209"/>
      <c r="N794" s="209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  <c r="Z794" s="209"/>
    </row>
    <row r="795" spans="1:26" ht="18.75" customHeight="1">
      <c r="A795" s="210" t="str">
        <f ca="1">IFERROR(__xludf.DUMMYFUNCTION("""COMPUTED_VALUE"""),"Paraíso")</f>
        <v>Paraíso</v>
      </c>
      <c r="B795" s="210" t="str">
        <f ca="1">IFERROR(__xludf.DUMMYFUNCTION("""COMPUTED_VALUE"""),"Paraiso do Tocantins")</f>
        <v>Paraiso do Tocantins</v>
      </c>
      <c r="C795" s="211" t="str">
        <f ca="1">IFERROR(__xludf.DUMMYFUNCTION("""COMPUTED_VALUE"""),"ASSOC. APOIO AO CEM JOSE ALVES DE ASSIS")</f>
        <v>ASSOC. APOIO AO CEM JOSE ALVES DE ASSIS</v>
      </c>
      <c r="D795" s="212" t="str">
        <f ca="1">IFERROR(__xludf.DUMMYFUNCTION("""COMPUTED_VALUE"""),"01181169000158")</f>
        <v>01181169000158</v>
      </c>
      <c r="E795" s="212" t="str">
        <f ca="1">IFERROR(__xludf.DUMMYFUNCTION("""COMPUTED_VALUE"""),"001")</f>
        <v>001</v>
      </c>
      <c r="F795" s="212" t="str">
        <f ca="1">IFERROR(__xludf.DUMMYFUNCTION("""COMPUTED_VALUE"""),"0804")</f>
        <v>0804</v>
      </c>
      <c r="G795" s="213" t="str">
        <f ca="1">IFERROR(__xludf.DUMMYFUNCTION("""COMPUTED_VALUE"""),"286257")</f>
        <v>286257</v>
      </c>
      <c r="H795" s="211" t="str">
        <f ca="1">IFERROR(__xludf.DUMMYFUNCTION("""COMPUTED_VALUE"""),"ENSINO MEDIO PARCIAL")</f>
        <v>ENSINO MEDIO PARCIAL</v>
      </c>
      <c r="I795" s="214">
        <f ca="1">IFERROR(__xludf.DUMMYFUNCTION("""COMPUTED_VALUE"""),5250)</f>
        <v>5250</v>
      </c>
      <c r="J795" s="209"/>
      <c r="K795" s="209"/>
      <c r="L795" s="209"/>
      <c r="M795" s="209"/>
      <c r="N795" s="209"/>
      <c r="O795" s="209"/>
      <c r="P795" s="209"/>
      <c r="Q795" s="209"/>
      <c r="R795" s="209"/>
      <c r="S795" s="209"/>
      <c r="T795" s="209"/>
      <c r="U795" s="209"/>
      <c r="V795" s="209"/>
      <c r="W795" s="209"/>
      <c r="X795" s="209"/>
      <c r="Y795" s="209"/>
      <c r="Z795" s="209"/>
    </row>
    <row r="796" spans="1:26" ht="18.75" customHeight="1">
      <c r="A796" s="210" t="str">
        <f ca="1">IFERROR(__xludf.DUMMYFUNCTION("""COMPUTED_VALUE"""),"Paraíso")</f>
        <v>Paraíso</v>
      </c>
      <c r="B796" s="210" t="str">
        <f ca="1">IFERROR(__xludf.DUMMYFUNCTION("""COMPUTED_VALUE"""),"Paraiso do Tocantins")</f>
        <v>Paraiso do Tocantins</v>
      </c>
      <c r="C796" s="211" t="str">
        <f ca="1">IFERROR(__xludf.DUMMYFUNCTION("""COMPUTED_VALUE"""),"ASSOC. APOIO AO CEM JOSE ALVES DE ASSIS")</f>
        <v>ASSOC. APOIO AO CEM JOSE ALVES DE ASSIS</v>
      </c>
      <c r="D796" s="212" t="str">
        <f ca="1">IFERROR(__xludf.DUMMYFUNCTION("""COMPUTED_VALUE"""),"01181169000158")</f>
        <v>01181169000158</v>
      </c>
      <c r="E796" s="212" t="str">
        <f ca="1">IFERROR(__xludf.DUMMYFUNCTION("""COMPUTED_VALUE"""),"001")</f>
        <v>001</v>
      </c>
      <c r="F796" s="212" t="str">
        <f ca="1">IFERROR(__xludf.DUMMYFUNCTION("""COMPUTED_VALUE"""),"0804")</f>
        <v>0804</v>
      </c>
      <c r="G796" s="213" t="str">
        <f ca="1">IFERROR(__xludf.DUMMYFUNCTION("""COMPUTED_VALUE"""),"286257")</f>
        <v>286257</v>
      </c>
      <c r="H796" s="211" t="str">
        <f ca="1">IFERROR(__xludf.DUMMYFUNCTION("""COMPUTED_VALUE"""),"EJA")</f>
        <v>EJA</v>
      </c>
      <c r="I796" s="214">
        <f ca="1">IFERROR(__xludf.DUMMYFUNCTION("""COMPUTED_VALUE"""),639.599999999999)</f>
        <v>639.599999999999</v>
      </c>
      <c r="J796" s="209"/>
      <c r="K796" s="209"/>
      <c r="L796" s="209"/>
      <c r="M796" s="209"/>
      <c r="N796" s="209"/>
      <c r="O796" s="209"/>
      <c r="P796" s="209"/>
      <c r="Q796" s="209"/>
      <c r="R796" s="209"/>
      <c r="S796" s="209"/>
      <c r="T796" s="209"/>
      <c r="U796" s="209"/>
      <c r="V796" s="209"/>
      <c r="W796" s="209"/>
      <c r="X796" s="209"/>
      <c r="Y796" s="209"/>
      <c r="Z796" s="209"/>
    </row>
    <row r="797" spans="1:26" ht="18.75" customHeight="1">
      <c r="A797" s="210" t="str">
        <f ca="1">IFERROR(__xludf.DUMMYFUNCTION("""COMPUTED_VALUE"""),"Paraíso")</f>
        <v>Paraíso</v>
      </c>
      <c r="B797" s="210" t="str">
        <f ca="1">IFERROR(__xludf.DUMMYFUNCTION("""COMPUTED_VALUE"""),"Paraiso do Tocantins")</f>
        <v>Paraiso do Tocantins</v>
      </c>
      <c r="C797" s="211" t="str">
        <f ca="1">IFERROR(__xludf.DUMMYFUNCTION("""COMPUTED_VALUE"""),"A.A.  ESCOLA EST. SAO JOSE OPERARIO")</f>
        <v>A.A.  ESCOLA EST. SAO JOSE OPERARIO</v>
      </c>
      <c r="D797" s="212" t="str">
        <f ca="1">IFERROR(__xludf.DUMMYFUNCTION("""COMPUTED_VALUE"""),"01186454000161")</f>
        <v>01186454000161</v>
      </c>
      <c r="E797" s="212" t="str">
        <f ca="1">IFERROR(__xludf.DUMMYFUNCTION("""COMPUTED_VALUE"""),"001")</f>
        <v>001</v>
      </c>
      <c r="F797" s="212" t="str">
        <f ca="1">IFERROR(__xludf.DUMMYFUNCTION("""COMPUTED_VALUE"""),"0804")</f>
        <v>0804</v>
      </c>
      <c r="G797" s="213" t="str">
        <f ca="1">IFERROR(__xludf.DUMMYFUNCTION("""COMPUTED_VALUE"""),"285986")</f>
        <v>285986</v>
      </c>
      <c r="H797" s="211" t="str">
        <f ca="1">IFERROR(__xludf.DUMMYFUNCTION("""COMPUTED_VALUE"""),"ENS FUND PARCIAL")</f>
        <v>ENS FUND PARCIAL</v>
      </c>
      <c r="I797" s="214">
        <f ca="1">IFERROR(__xludf.DUMMYFUNCTION("""COMPUTED_VALUE"""),4270)</f>
        <v>4270</v>
      </c>
      <c r="J797" s="209"/>
      <c r="K797" s="209"/>
      <c r="L797" s="209"/>
      <c r="M797" s="209"/>
      <c r="N797" s="209"/>
      <c r="O797" s="209"/>
      <c r="P797" s="209"/>
      <c r="Q797" s="209"/>
      <c r="R797" s="209"/>
      <c r="S797" s="209"/>
      <c r="T797" s="209"/>
      <c r="U797" s="209"/>
      <c r="V797" s="209"/>
      <c r="W797" s="209"/>
      <c r="X797" s="209"/>
      <c r="Y797" s="209"/>
      <c r="Z797" s="209"/>
    </row>
    <row r="798" spans="1:26" ht="18.75" customHeight="1">
      <c r="A798" s="210" t="str">
        <f ca="1">IFERROR(__xludf.DUMMYFUNCTION("""COMPUTED_VALUE"""),"Paraíso")</f>
        <v>Paraíso</v>
      </c>
      <c r="B798" s="210" t="str">
        <f ca="1">IFERROR(__xludf.DUMMYFUNCTION("""COMPUTED_VALUE"""),"Paraiso do Tocantins")</f>
        <v>Paraiso do Tocantins</v>
      </c>
      <c r="C798" s="211" t="str">
        <f ca="1">IFERROR(__xludf.DUMMYFUNCTION("""COMPUTED_VALUE"""),"A.A.  ESCOLA EST. SAO JOSE OPERARIO")</f>
        <v>A.A.  ESCOLA EST. SAO JOSE OPERARIO</v>
      </c>
      <c r="D798" s="212" t="str">
        <f ca="1">IFERROR(__xludf.DUMMYFUNCTION("""COMPUTED_VALUE"""),"01186454000161")</f>
        <v>01186454000161</v>
      </c>
      <c r="E798" s="212" t="str">
        <f ca="1">IFERROR(__xludf.DUMMYFUNCTION("""COMPUTED_VALUE"""),"001")</f>
        <v>001</v>
      </c>
      <c r="F798" s="212" t="str">
        <f ca="1">IFERROR(__xludf.DUMMYFUNCTION("""COMPUTED_VALUE"""),"0804")</f>
        <v>0804</v>
      </c>
      <c r="G798" s="213" t="str">
        <f ca="1">IFERROR(__xludf.DUMMYFUNCTION("""COMPUTED_VALUE"""),"285986")</f>
        <v>285986</v>
      </c>
      <c r="H798" s="211" t="str">
        <f ca="1">IFERROR(__xludf.DUMMYFUNCTION("""COMPUTED_VALUE"""),"ENSINO MEDIO PARCIAL")</f>
        <v>ENSINO MEDIO PARCIAL</v>
      </c>
      <c r="I798" s="214">
        <f ca="1">IFERROR(__xludf.DUMMYFUNCTION("""COMPUTED_VALUE"""),1080)</f>
        <v>1080</v>
      </c>
      <c r="J798" s="209"/>
      <c r="K798" s="209"/>
      <c r="L798" s="209"/>
      <c r="M798" s="209"/>
      <c r="N798" s="209"/>
      <c r="O798" s="209"/>
      <c r="P798" s="209"/>
      <c r="Q798" s="209"/>
      <c r="R798" s="209"/>
      <c r="S798" s="209"/>
      <c r="T798" s="209"/>
      <c r="U798" s="209"/>
      <c r="V798" s="209"/>
      <c r="W798" s="209"/>
      <c r="X798" s="209"/>
      <c r="Y798" s="209"/>
      <c r="Z798" s="209"/>
    </row>
    <row r="799" spans="1:26" ht="18.75" customHeight="1">
      <c r="A799" s="210" t="str">
        <f ca="1">IFERROR(__xludf.DUMMYFUNCTION("""COMPUTED_VALUE"""),"Paraíso")</f>
        <v>Paraíso</v>
      </c>
      <c r="B799" s="210" t="str">
        <f ca="1">IFERROR(__xludf.DUMMYFUNCTION("""COMPUTED_VALUE"""),"Paraiso do Tocantins")</f>
        <v>Paraiso do Tocantins</v>
      </c>
      <c r="C799" s="211" t="str">
        <f ca="1">IFERROR(__xludf.DUMMYFUNCTION("""COMPUTED_VALUE"""),"ASS. APOIO ESC. EST.PROF. JOSE NEZIO RAMOS")</f>
        <v>ASS. APOIO ESC. EST.PROF. JOSE NEZIO RAMOS</v>
      </c>
      <c r="D799" s="212" t="str">
        <f ca="1">IFERROR(__xludf.DUMMYFUNCTION("""COMPUTED_VALUE"""),"01233716000100")</f>
        <v>01233716000100</v>
      </c>
      <c r="E799" s="212" t="str">
        <f ca="1">IFERROR(__xludf.DUMMYFUNCTION("""COMPUTED_VALUE"""),"001")</f>
        <v>001</v>
      </c>
      <c r="F799" s="212" t="str">
        <f ca="1">IFERROR(__xludf.DUMMYFUNCTION("""COMPUTED_VALUE"""),"0804")</f>
        <v>0804</v>
      </c>
      <c r="G799" s="213" t="str">
        <f ca="1">IFERROR(__xludf.DUMMYFUNCTION("""COMPUTED_VALUE"""),"0263656")</f>
        <v>0263656</v>
      </c>
      <c r="H799" s="211" t="str">
        <f ca="1">IFERROR(__xludf.DUMMYFUNCTION("""COMPUTED_VALUE"""),"ENSINO MEDIO PARCIAL")</f>
        <v>ENSINO MEDIO PARCIAL</v>
      </c>
      <c r="I799" s="214">
        <f ca="1">IFERROR(__xludf.DUMMYFUNCTION("""COMPUTED_VALUE"""),3370)</f>
        <v>3370</v>
      </c>
      <c r="J799" s="209"/>
      <c r="K799" s="209"/>
      <c r="L799" s="209"/>
      <c r="M799" s="209"/>
      <c r="N799" s="209"/>
      <c r="O799" s="209"/>
      <c r="P799" s="209"/>
      <c r="Q799" s="209"/>
      <c r="R799" s="209"/>
      <c r="S799" s="209"/>
      <c r="T799" s="209"/>
      <c r="U799" s="209"/>
      <c r="V799" s="209"/>
      <c r="W799" s="209"/>
      <c r="X799" s="209"/>
      <c r="Y799" s="209"/>
      <c r="Z799" s="209"/>
    </row>
    <row r="800" spans="1:26" ht="18.75" customHeight="1">
      <c r="A800" s="210" t="str">
        <f ca="1">IFERROR(__xludf.DUMMYFUNCTION("""COMPUTED_VALUE"""),"Paraíso")</f>
        <v>Paraíso</v>
      </c>
      <c r="B800" s="210" t="str">
        <f ca="1">IFERROR(__xludf.DUMMYFUNCTION("""COMPUTED_VALUE"""),"Paraiso do Tocantins")</f>
        <v>Paraiso do Tocantins</v>
      </c>
      <c r="C800" s="211" t="str">
        <f ca="1">IFERROR(__xludf.DUMMYFUNCTION("""COMPUTED_VALUE"""),"A.A. ESC. EST.ISOL.INDIG REG PARAISO DO TO")</f>
        <v>A.A. ESC. EST.ISOL.INDIG REG PARAISO DO TO</v>
      </c>
      <c r="D800" s="212" t="str">
        <f ca="1">IFERROR(__xludf.DUMMYFUNCTION("""COMPUTED_VALUE"""),"05099542000187")</f>
        <v>05099542000187</v>
      </c>
      <c r="E800" s="212" t="str">
        <f ca="1">IFERROR(__xludf.DUMMYFUNCTION("""COMPUTED_VALUE"""),"001")</f>
        <v>001</v>
      </c>
      <c r="F800" s="212" t="str">
        <f ca="1">IFERROR(__xludf.DUMMYFUNCTION("""COMPUTED_VALUE"""),"0804")</f>
        <v>0804</v>
      </c>
      <c r="G800" s="213" t="str">
        <f ca="1">IFERROR(__xludf.DUMMYFUNCTION("""COMPUTED_VALUE"""),"111678")</f>
        <v>111678</v>
      </c>
      <c r="H800" s="211" t="str">
        <f ca="1">IFERROR(__xludf.DUMMYFUNCTION("""COMPUTED_VALUE"""),"INDIGENA")</f>
        <v>INDIGENA</v>
      </c>
      <c r="I800" s="214">
        <f ca="1">IFERROR(__xludf.DUMMYFUNCTION("""COMPUTED_VALUE"""),17767.6)</f>
        <v>17767.599999999999</v>
      </c>
      <c r="J800" s="209"/>
      <c r="K800" s="209"/>
      <c r="L800" s="209"/>
      <c r="M800" s="209"/>
      <c r="N800" s="209"/>
      <c r="O800" s="209"/>
      <c r="P800" s="209"/>
      <c r="Q800" s="209"/>
      <c r="R800" s="209"/>
      <c r="S800" s="209"/>
      <c r="T800" s="209"/>
      <c r="U800" s="209"/>
      <c r="V800" s="209"/>
      <c r="W800" s="209"/>
      <c r="X800" s="209"/>
      <c r="Y800" s="209"/>
      <c r="Z800" s="209"/>
    </row>
    <row r="801" spans="1:26" ht="18.75" customHeight="1">
      <c r="A801" s="210" t="str">
        <f ca="1">IFERROR(__xludf.DUMMYFUNCTION("""COMPUTED_VALUE"""),"Paraíso")</f>
        <v>Paraíso</v>
      </c>
      <c r="B801" s="210" t="str">
        <f ca="1">IFERROR(__xludf.DUMMYFUNCTION("""COMPUTED_VALUE"""),"Paraiso do Tocantins")</f>
        <v>Paraiso do Tocantins</v>
      </c>
      <c r="C801" s="211" t="str">
        <f ca="1">IFERROR(__xludf.DUMMYFUNCTION("""COMPUTED_VALUE"""),"AAE. ESPECIAL LUZ DA VIDA")</f>
        <v>AAE. ESPECIAL LUZ DA VIDA</v>
      </c>
      <c r="D801" s="212" t="str">
        <f ca="1">IFERROR(__xludf.DUMMYFUNCTION("""COMPUTED_VALUE"""),"07905330000175")</f>
        <v>07905330000175</v>
      </c>
      <c r="E801" s="212" t="str">
        <f ca="1">IFERROR(__xludf.DUMMYFUNCTION("""COMPUTED_VALUE"""),"001")</f>
        <v>001</v>
      </c>
      <c r="F801" s="212" t="str">
        <f ca="1">IFERROR(__xludf.DUMMYFUNCTION("""COMPUTED_VALUE"""),"0804")</f>
        <v>0804</v>
      </c>
      <c r="G801" s="213" t="str">
        <f ca="1">IFERROR(__xludf.DUMMYFUNCTION("""COMPUTED_VALUE"""),"331724")</f>
        <v>331724</v>
      </c>
      <c r="H801" s="211" t="str">
        <f ca="1">IFERROR(__xludf.DUMMYFUNCTION("""COMPUTED_VALUE"""),"PRÉ-ESCOLA")</f>
        <v>PRÉ-ESCOLA</v>
      </c>
      <c r="I801" s="214">
        <f ca="1">IFERROR(__xludf.DUMMYFUNCTION("""COMPUTED_VALUE"""),288)</f>
        <v>288</v>
      </c>
      <c r="J801" s="209"/>
      <c r="K801" s="209"/>
      <c r="L801" s="209"/>
      <c r="M801" s="209"/>
      <c r="N801" s="209"/>
      <c r="O801" s="209"/>
      <c r="P801" s="209"/>
      <c r="Q801" s="209"/>
      <c r="R801" s="209"/>
      <c r="S801" s="209"/>
      <c r="T801" s="209"/>
      <c r="U801" s="209"/>
      <c r="V801" s="209"/>
      <c r="W801" s="209"/>
      <c r="X801" s="209"/>
      <c r="Y801" s="209"/>
      <c r="Z801" s="209"/>
    </row>
    <row r="802" spans="1:26" ht="18.75" customHeight="1">
      <c r="A802" s="210" t="str">
        <f ca="1">IFERROR(__xludf.DUMMYFUNCTION("""COMPUTED_VALUE"""),"Paraíso")</f>
        <v>Paraíso</v>
      </c>
      <c r="B802" s="210" t="str">
        <f ca="1">IFERROR(__xludf.DUMMYFUNCTION("""COMPUTED_VALUE"""),"Paraiso do Tocantins")</f>
        <v>Paraiso do Tocantins</v>
      </c>
      <c r="C802" s="211" t="str">
        <f ca="1">IFERROR(__xludf.DUMMYFUNCTION("""COMPUTED_VALUE"""),"AAE. ESPECIAL LUZ DA VIDA")</f>
        <v>AAE. ESPECIAL LUZ DA VIDA</v>
      </c>
      <c r="D802" s="212" t="str">
        <f ca="1">IFERROR(__xludf.DUMMYFUNCTION("""COMPUTED_VALUE"""),"07905330000175")</f>
        <v>07905330000175</v>
      </c>
      <c r="E802" s="212" t="str">
        <f ca="1">IFERROR(__xludf.DUMMYFUNCTION("""COMPUTED_VALUE"""),"001")</f>
        <v>001</v>
      </c>
      <c r="F802" s="212" t="str">
        <f ca="1">IFERROR(__xludf.DUMMYFUNCTION("""COMPUTED_VALUE"""),"0804")</f>
        <v>0804</v>
      </c>
      <c r="G802" s="213" t="str">
        <f ca="1">IFERROR(__xludf.DUMMYFUNCTION("""COMPUTED_VALUE"""),"331724")</f>
        <v>331724</v>
      </c>
      <c r="H802" s="211" t="str">
        <f ca="1">IFERROR(__xludf.DUMMYFUNCTION("""COMPUTED_VALUE"""),"ENS FUND PARCIAL")</f>
        <v>ENS FUND PARCIAL</v>
      </c>
      <c r="I802" s="214">
        <f ca="1">IFERROR(__xludf.DUMMYFUNCTION("""COMPUTED_VALUE"""),250)</f>
        <v>250</v>
      </c>
      <c r="J802" s="209"/>
      <c r="K802" s="209"/>
      <c r="L802" s="209"/>
      <c r="M802" s="209"/>
      <c r="N802" s="209"/>
      <c r="O802" s="209"/>
      <c r="P802" s="209"/>
      <c r="Q802" s="209"/>
      <c r="R802" s="209"/>
      <c r="S802" s="209"/>
      <c r="T802" s="209"/>
      <c r="U802" s="209"/>
      <c r="V802" s="209"/>
      <c r="W802" s="209"/>
      <c r="X802" s="209"/>
      <c r="Y802" s="209"/>
      <c r="Z802" s="209"/>
    </row>
    <row r="803" spans="1:26" ht="18.75" customHeight="1">
      <c r="A803" s="210" t="str">
        <f ca="1">IFERROR(__xludf.DUMMYFUNCTION("""COMPUTED_VALUE"""),"Paraíso")</f>
        <v>Paraíso</v>
      </c>
      <c r="B803" s="210" t="str">
        <f ca="1">IFERROR(__xludf.DUMMYFUNCTION("""COMPUTED_VALUE"""),"Paraiso do Tocantins")</f>
        <v>Paraiso do Tocantins</v>
      </c>
      <c r="C803" s="211" t="str">
        <f ca="1">IFERROR(__xludf.DUMMYFUNCTION("""COMPUTED_VALUE"""),"AAE. ESPECIAL LUZ DA VIDA")</f>
        <v>AAE. ESPECIAL LUZ DA VIDA</v>
      </c>
      <c r="D803" s="212" t="str">
        <f ca="1">IFERROR(__xludf.DUMMYFUNCTION("""COMPUTED_VALUE"""),"07905330000175")</f>
        <v>07905330000175</v>
      </c>
      <c r="E803" s="212" t="str">
        <f ca="1">IFERROR(__xludf.DUMMYFUNCTION("""COMPUTED_VALUE"""),"001")</f>
        <v>001</v>
      </c>
      <c r="F803" s="212" t="str">
        <f ca="1">IFERROR(__xludf.DUMMYFUNCTION("""COMPUTED_VALUE"""),"0804")</f>
        <v>0804</v>
      </c>
      <c r="G803" s="213" t="str">
        <f ca="1">IFERROR(__xludf.DUMMYFUNCTION("""COMPUTED_VALUE"""),"331724")</f>
        <v>331724</v>
      </c>
      <c r="H803" s="211" t="str">
        <f ca="1">IFERROR(__xludf.DUMMYFUNCTION("""COMPUTED_VALUE"""),"AEE")</f>
        <v>AEE</v>
      </c>
      <c r="I803" s="214">
        <f ca="1">IFERROR(__xludf.DUMMYFUNCTION("""COMPUTED_VALUE"""),340)</f>
        <v>340</v>
      </c>
      <c r="J803" s="209"/>
      <c r="K803" s="209"/>
      <c r="L803" s="209"/>
      <c r="M803" s="209"/>
      <c r="N803" s="209"/>
      <c r="O803" s="209"/>
      <c r="P803" s="209"/>
      <c r="Q803" s="209"/>
      <c r="R803" s="209"/>
      <c r="S803" s="209"/>
      <c r="T803" s="209"/>
      <c r="U803" s="209"/>
      <c r="V803" s="209"/>
      <c r="W803" s="209"/>
      <c r="X803" s="209"/>
      <c r="Y803" s="209"/>
      <c r="Z803" s="209"/>
    </row>
    <row r="804" spans="1:26" ht="18.75" customHeight="1">
      <c r="A804" s="210" t="str">
        <f ca="1">IFERROR(__xludf.DUMMYFUNCTION("""COMPUTED_VALUE"""),"Paraíso")</f>
        <v>Paraíso</v>
      </c>
      <c r="B804" s="210" t="str">
        <f ca="1">IFERROR(__xludf.DUMMYFUNCTION("""COMPUTED_VALUE"""),"Paraiso do Tocantins")</f>
        <v>Paraiso do Tocantins</v>
      </c>
      <c r="C804" s="211" t="str">
        <f ca="1">IFERROR(__xludf.DUMMYFUNCTION("""COMPUTED_VALUE"""),"AAE. ESPECIAL LUZ DA VIDA")</f>
        <v>AAE. ESPECIAL LUZ DA VIDA</v>
      </c>
      <c r="D804" s="212" t="str">
        <f ca="1">IFERROR(__xludf.DUMMYFUNCTION("""COMPUTED_VALUE"""),"07905330000175")</f>
        <v>07905330000175</v>
      </c>
      <c r="E804" s="212" t="str">
        <f ca="1">IFERROR(__xludf.DUMMYFUNCTION("""COMPUTED_VALUE"""),"001")</f>
        <v>001</v>
      </c>
      <c r="F804" s="212" t="str">
        <f ca="1">IFERROR(__xludf.DUMMYFUNCTION("""COMPUTED_VALUE"""),"0804")</f>
        <v>0804</v>
      </c>
      <c r="G804" s="213" t="str">
        <f ca="1">IFERROR(__xludf.DUMMYFUNCTION("""COMPUTED_VALUE"""),"331724")</f>
        <v>331724</v>
      </c>
      <c r="H804" s="211" t="str">
        <f ca="1">IFERROR(__xludf.DUMMYFUNCTION("""COMPUTED_VALUE"""),"EJA")</f>
        <v>EJA</v>
      </c>
      <c r="I804" s="214">
        <f ca="1">IFERROR(__xludf.DUMMYFUNCTION("""COMPUTED_VALUE"""),549.4)</f>
        <v>549.4</v>
      </c>
      <c r="J804" s="209"/>
      <c r="K804" s="209"/>
      <c r="L804" s="209"/>
      <c r="M804" s="209"/>
      <c r="N804" s="209"/>
      <c r="O804" s="209"/>
      <c r="P804" s="209"/>
      <c r="Q804" s="209"/>
      <c r="R804" s="209"/>
      <c r="S804" s="209"/>
      <c r="T804" s="209"/>
      <c r="U804" s="209"/>
      <c r="V804" s="209"/>
      <c r="W804" s="209"/>
      <c r="X804" s="209"/>
      <c r="Y804" s="209"/>
      <c r="Z804" s="209"/>
    </row>
    <row r="805" spans="1:26" ht="18.75" customHeight="1">
      <c r="A805" s="210" t="str">
        <f ca="1">IFERROR(__xludf.DUMMYFUNCTION("""COMPUTED_VALUE"""),"Paraíso")</f>
        <v>Paraíso</v>
      </c>
      <c r="B805" s="210" t="str">
        <f ca="1">IFERROR(__xludf.DUMMYFUNCTION("""COMPUTED_VALUE"""),"Paraiso do Tocantins")</f>
        <v>Paraiso do Tocantins</v>
      </c>
      <c r="C805" s="211" t="str">
        <f ca="1">IFERROR(__xludf.DUMMYFUNCTION("""COMPUTED_VALUE"""),"A.A. COLÉGIO MILITAR DIACONÍZIO BEZERRA DA SILVA")</f>
        <v>A.A. COLÉGIO MILITAR DIACONÍZIO BEZERRA DA SILVA</v>
      </c>
      <c r="D805" s="212" t="str">
        <f ca="1">IFERROR(__xludf.DUMMYFUNCTION("""COMPUTED_VALUE"""),"11675300000197")</f>
        <v>11675300000197</v>
      </c>
      <c r="E805" s="212" t="str">
        <f ca="1">IFERROR(__xludf.DUMMYFUNCTION("""COMPUTED_VALUE"""),"001")</f>
        <v>001</v>
      </c>
      <c r="F805" s="212" t="str">
        <f ca="1">IFERROR(__xludf.DUMMYFUNCTION("""COMPUTED_VALUE"""),"0804")</f>
        <v>0804</v>
      </c>
      <c r="G805" s="213" t="str">
        <f ca="1">IFERROR(__xludf.DUMMYFUNCTION("""COMPUTED_VALUE"""),"320781")</f>
        <v>320781</v>
      </c>
      <c r="H805" s="211" t="str">
        <f ca="1">IFERROR(__xludf.DUMMYFUNCTION("""COMPUTED_VALUE"""),"ENS FUND PARCIAL")</f>
        <v>ENS FUND PARCIAL</v>
      </c>
      <c r="I805" s="214">
        <f ca="1">IFERROR(__xludf.DUMMYFUNCTION("""COMPUTED_VALUE"""),5960)</f>
        <v>5960</v>
      </c>
      <c r="J805" s="209"/>
      <c r="K805" s="209"/>
      <c r="L805" s="209"/>
      <c r="M805" s="209"/>
      <c r="N805" s="209"/>
      <c r="O805" s="209"/>
      <c r="P805" s="209"/>
      <c r="Q805" s="209"/>
      <c r="R805" s="209"/>
      <c r="S805" s="209"/>
      <c r="T805" s="209"/>
      <c r="U805" s="209"/>
      <c r="V805" s="209"/>
      <c r="W805" s="209"/>
      <c r="X805" s="209"/>
      <c r="Y805" s="209"/>
      <c r="Z805" s="209"/>
    </row>
    <row r="806" spans="1:26" ht="18.75" customHeight="1">
      <c r="A806" s="210" t="str">
        <f ca="1">IFERROR(__xludf.DUMMYFUNCTION("""COMPUTED_VALUE"""),"Paraíso")</f>
        <v>Paraíso</v>
      </c>
      <c r="B806" s="210" t="str">
        <f ca="1">IFERROR(__xludf.DUMMYFUNCTION("""COMPUTED_VALUE"""),"Paraiso do Tocantins")</f>
        <v>Paraiso do Tocantins</v>
      </c>
      <c r="C806" s="211" t="str">
        <f ca="1">IFERROR(__xludf.DUMMYFUNCTION("""COMPUTED_VALUE"""),"A.A. COLÉGIO MILITAR DIACONÍZIO BEZERRA DA SILVA")</f>
        <v>A.A. COLÉGIO MILITAR DIACONÍZIO BEZERRA DA SILVA</v>
      </c>
      <c r="D806" s="212" t="str">
        <f ca="1">IFERROR(__xludf.DUMMYFUNCTION("""COMPUTED_VALUE"""),"11675300000197")</f>
        <v>11675300000197</v>
      </c>
      <c r="E806" s="212" t="str">
        <f ca="1">IFERROR(__xludf.DUMMYFUNCTION("""COMPUTED_VALUE"""),"001")</f>
        <v>001</v>
      </c>
      <c r="F806" s="212" t="str">
        <f ca="1">IFERROR(__xludf.DUMMYFUNCTION("""COMPUTED_VALUE"""),"0804")</f>
        <v>0804</v>
      </c>
      <c r="G806" s="213" t="str">
        <f ca="1">IFERROR(__xludf.DUMMYFUNCTION("""COMPUTED_VALUE"""),"320781")</f>
        <v>320781</v>
      </c>
      <c r="H806" s="211" t="str">
        <f ca="1">IFERROR(__xludf.DUMMYFUNCTION("""COMPUTED_VALUE"""),"ENSINO MEDIO PARCIAL")</f>
        <v>ENSINO MEDIO PARCIAL</v>
      </c>
      <c r="I806" s="214">
        <f ca="1">IFERROR(__xludf.DUMMYFUNCTION("""COMPUTED_VALUE"""),3080)</f>
        <v>3080</v>
      </c>
      <c r="J806" s="209"/>
      <c r="K806" s="209"/>
      <c r="L806" s="209"/>
      <c r="M806" s="209"/>
      <c r="N806" s="209"/>
      <c r="O806" s="209"/>
      <c r="P806" s="209"/>
      <c r="Q806" s="209"/>
      <c r="R806" s="209"/>
      <c r="S806" s="209"/>
      <c r="T806" s="209"/>
      <c r="U806" s="209"/>
      <c r="V806" s="209"/>
      <c r="W806" s="209"/>
      <c r="X806" s="209"/>
      <c r="Y806" s="209"/>
      <c r="Z806" s="209"/>
    </row>
    <row r="807" spans="1:26" ht="18.75" customHeight="1">
      <c r="A807" s="210" t="str">
        <f ca="1">IFERROR(__xludf.DUMMYFUNCTION("""COMPUTED_VALUE"""),"Paraíso")</f>
        <v>Paraíso</v>
      </c>
      <c r="B807" s="210" t="str">
        <f ca="1">IFERROR(__xludf.DUMMYFUNCTION("""COMPUTED_VALUE"""),"Paraiso do Tocantins")</f>
        <v>Paraiso do Tocantins</v>
      </c>
      <c r="C807" s="211" t="str">
        <f ca="1">IFERROR(__xludf.DUMMYFUNCTION("""COMPUTED_VALUE"""),"ASS. A. ESCOLA EST. DE TEMPO INTEGRAL PROFESSORA RITA ANDRADE SANTOS")</f>
        <v>ASS. A. ESCOLA EST. DE TEMPO INTEGRAL PROFESSORA RITA ANDRADE SANTOS</v>
      </c>
      <c r="D807" s="212" t="str">
        <f ca="1">IFERROR(__xludf.DUMMYFUNCTION("""COMPUTED_VALUE"""),"48740961000169")</f>
        <v>48740961000169</v>
      </c>
      <c r="E807" s="212" t="str">
        <f ca="1">IFERROR(__xludf.DUMMYFUNCTION("""COMPUTED_VALUE"""),"001")</f>
        <v>001</v>
      </c>
      <c r="F807" s="212" t="str">
        <f ca="1">IFERROR(__xludf.DUMMYFUNCTION("""COMPUTED_VALUE"""),"0804")</f>
        <v>0804</v>
      </c>
      <c r="G807" s="213" t="str">
        <f ca="1">IFERROR(__xludf.DUMMYFUNCTION("""COMPUTED_VALUE"""),"58858X")</f>
        <v>58858X</v>
      </c>
      <c r="H807" s="211" t="str">
        <f ca="1">IFERROR(__xludf.DUMMYFUNCTION("""COMPUTED_VALUE"""),"ENS FUND INTEGRAL")</f>
        <v>ENS FUND INTEGRAL</v>
      </c>
      <c r="I807" s="214">
        <f ca="1">IFERROR(__xludf.DUMMYFUNCTION("""COMPUTED_VALUE"""),13398.5999999999)</f>
        <v>13398.5999999999</v>
      </c>
      <c r="J807" s="209"/>
      <c r="K807" s="209"/>
      <c r="L807" s="209"/>
      <c r="M807" s="209"/>
      <c r="N807" s="209"/>
      <c r="O807" s="209"/>
      <c r="P807" s="209"/>
      <c r="Q807" s="209"/>
      <c r="R807" s="209"/>
      <c r="S807" s="209"/>
      <c r="T807" s="209"/>
      <c r="U807" s="209"/>
      <c r="V807" s="209"/>
      <c r="W807" s="209"/>
      <c r="X807" s="209"/>
      <c r="Y807" s="209"/>
      <c r="Z807" s="209"/>
    </row>
    <row r="808" spans="1:26" ht="18.75" customHeight="1">
      <c r="A808" s="210" t="str">
        <f ca="1">IFERROR(__xludf.DUMMYFUNCTION("""COMPUTED_VALUE"""),"Paraíso")</f>
        <v>Paraíso</v>
      </c>
      <c r="B808" s="210" t="str">
        <f ca="1">IFERROR(__xludf.DUMMYFUNCTION("""COMPUTED_VALUE"""),"Paraiso do Tocantins")</f>
        <v>Paraiso do Tocantins</v>
      </c>
      <c r="C808" s="211" t="str">
        <f ca="1">IFERROR(__xludf.DUMMYFUNCTION("""COMPUTED_VALUE"""),"ASS. A. ESCOLA EST. DE TEMPO INTEGRAL PROFESSORA RITA ANDRADE SANTOS")</f>
        <v>ASS. A. ESCOLA EST. DE TEMPO INTEGRAL PROFESSORA RITA ANDRADE SANTOS</v>
      </c>
      <c r="D808" s="212" t="str">
        <f ca="1">IFERROR(__xludf.DUMMYFUNCTION("""COMPUTED_VALUE"""),"48740961000169")</f>
        <v>48740961000169</v>
      </c>
      <c r="E808" s="212" t="str">
        <f ca="1">IFERROR(__xludf.DUMMYFUNCTION("""COMPUTED_VALUE"""),"001")</f>
        <v>001</v>
      </c>
      <c r="F808" s="212" t="str">
        <f ca="1">IFERROR(__xludf.DUMMYFUNCTION("""COMPUTED_VALUE"""),"0804")</f>
        <v>0804</v>
      </c>
      <c r="G808" s="213" t="str">
        <f ca="1">IFERROR(__xludf.DUMMYFUNCTION("""COMPUTED_VALUE"""),"58858X")</f>
        <v>58858X</v>
      </c>
      <c r="H808" s="211" t="str">
        <f ca="1">IFERROR(__xludf.DUMMYFUNCTION("""COMPUTED_VALUE"""),"ENSINO MEDIO INTEGRAL")</f>
        <v>ENSINO MEDIO INTEGRAL</v>
      </c>
      <c r="I808" s="214">
        <f ca="1">IFERROR(__xludf.DUMMYFUNCTION("""COMPUTED_VALUE"""),767.199999999999)</f>
        <v>767.19999999999902</v>
      </c>
      <c r="J808" s="209"/>
      <c r="K808" s="209"/>
      <c r="L808" s="209"/>
      <c r="M808" s="209"/>
      <c r="N808" s="209"/>
      <c r="O808" s="209"/>
      <c r="P808" s="209"/>
      <c r="Q808" s="209"/>
      <c r="R808" s="209"/>
      <c r="S808" s="209"/>
      <c r="T808" s="209"/>
      <c r="U808" s="209"/>
      <c r="V808" s="209"/>
      <c r="W808" s="209"/>
      <c r="X808" s="209"/>
      <c r="Y808" s="209"/>
      <c r="Z808" s="209"/>
    </row>
    <row r="809" spans="1:26" ht="18.75" customHeight="1">
      <c r="A809" s="210" t="str">
        <f ca="1">IFERROR(__xludf.DUMMYFUNCTION("""COMPUTED_VALUE"""),"Paraíso")</f>
        <v>Paraíso</v>
      </c>
      <c r="B809" s="210" t="str">
        <f ca="1">IFERROR(__xludf.DUMMYFUNCTION("""COMPUTED_VALUE"""),"Pium")</f>
        <v>Pium</v>
      </c>
      <c r="C809" s="211" t="str">
        <f ca="1">IFERROR(__xludf.DUMMYFUNCTION("""COMPUTED_VALUE"""),"A.A. COLEGIO ESTADUAL BARTOLOMEU BUENO")</f>
        <v>A.A. COLEGIO ESTADUAL BARTOLOMEU BUENO</v>
      </c>
      <c r="D809" s="212" t="str">
        <f ca="1">IFERROR(__xludf.DUMMYFUNCTION("""COMPUTED_VALUE"""),"01071436000134")</f>
        <v>01071436000134</v>
      </c>
      <c r="E809" s="212" t="str">
        <f ca="1">IFERROR(__xludf.DUMMYFUNCTION("""COMPUTED_VALUE"""),"001")</f>
        <v>001</v>
      </c>
      <c r="F809" s="212" t="str">
        <f ca="1">IFERROR(__xludf.DUMMYFUNCTION("""COMPUTED_VALUE"""),"0804")</f>
        <v>0804</v>
      </c>
      <c r="G809" s="213" t="str">
        <f ca="1">IFERROR(__xludf.DUMMYFUNCTION("""COMPUTED_VALUE"""),"286206")</f>
        <v>286206</v>
      </c>
      <c r="H809" s="211" t="str">
        <f ca="1">IFERROR(__xludf.DUMMYFUNCTION("""COMPUTED_VALUE"""),"ENS FUND PARCIAL")</f>
        <v>ENS FUND PARCIAL</v>
      </c>
      <c r="I809" s="214">
        <f ca="1">IFERROR(__xludf.DUMMYFUNCTION("""COMPUTED_VALUE"""),590)</f>
        <v>590</v>
      </c>
      <c r="J809" s="209"/>
      <c r="K809" s="209"/>
      <c r="L809" s="209"/>
      <c r="M809" s="209"/>
      <c r="N809" s="209"/>
      <c r="O809" s="209"/>
      <c r="P809" s="209"/>
      <c r="Q809" s="209"/>
      <c r="R809" s="209"/>
      <c r="S809" s="209"/>
      <c r="T809" s="209"/>
      <c r="U809" s="209"/>
      <c r="V809" s="209"/>
      <c r="W809" s="209"/>
      <c r="X809" s="209"/>
      <c r="Y809" s="209"/>
      <c r="Z809" s="209"/>
    </row>
    <row r="810" spans="1:26" ht="18.75" customHeight="1">
      <c r="A810" s="210" t="str">
        <f ca="1">IFERROR(__xludf.DUMMYFUNCTION("""COMPUTED_VALUE"""),"Paraíso")</f>
        <v>Paraíso</v>
      </c>
      <c r="B810" s="210" t="str">
        <f ca="1">IFERROR(__xludf.DUMMYFUNCTION("""COMPUTED_VALUE"""),"Pium")</f>
        <v>Pium</v>
      </c>
      <c r="C810" s="211" t="str">
        <f ca="1">IFERROR(__xludf.DUMMYFUNCTION("""COMPUTED_VALUE"""),"A.A. COLEGIO ESTADUAL BARTOLOMEU BUENO")</f>
        <v>A.A. COLEGIO ESTADUAL BARTOLOMEU BUENO</v>
      </c>
      <c r="D810" s="212" t="str">
        <f ca="1">IFERROR(__xludf.DUMMYFUNCTION("""COMPUTED_VALUE"""),"01071436000134")</f>
        <v>01071436000134</v>
      </c>
      <c r="E810" s="212" t="str">
        <f ca="1">IFERROR(__xludf.DUMMYFUNCTION("""COMPUTED_VALUE"""),"001")</f>
        <v>001</v>
      </c>
      <c r="F810" s="212" t="str">
        <f ca="1">IFERROR(__xludf.DUMMYFUNCTION("""COMPUTED_VALUE"""),"0804")</f>
        <v>0804</v>
      </c>
      <c r="G810" s="213" t="str">
        <f ca="1">IFERROR(__xludf.DUMMYFUNCTION("""COMPUTED_VALUE"""),"286206")</f>
        <v>286206</v>
      </c>
      <c r="H810" s="211" t="str">
        <f ca="1">IFERROR(__xludf.DUMMYFUNCTION("""COMPUTED_VALUE"""),"AEE")</f>
        <v>AEE</v>
      </c>
      <c r="I810" s="214">
        <f ca="1">IFERROR(__xludf.DUMMYFUNCTION("""COMPUTED_VALUE"""),163.2)</f>
        <v>163.19999999999999</v>
      </c>
      <c r="J810" s="209"/>
      <c r="K810" s="209"/>
      <c r="L810" s="209"/>
      <c r="M810" s="209"/>
      <c r="N810" s="209"/>
      <c r="O810" s="209"/>
      <c r="P810" s="209"/>
      <c r="Q810" s="209"/>
      <c r="R810" s="209"/>
      <c r="S810" s="209"/>
      <c r="T810" s="209"/>
      <c r="U810" s="209"/>
      <c r="V810" s="209"/>
      <c r="W810" s="209"/>
      <c r="X810" s="209"/>
      <c r="Y810" s="209"/>
      <c r="Z810" s="209"/>
    </row>
    <row r="811" spans="1:26" ht="18.75" customHeight="1">
      <c r="A811" s="210" t="str">
        <f ca="1">IFERROR(__xludf.DUMMYFUNCTION("""COMPUTED_VALUE"""),"Paraíso")</f>
        <v>Paraíso</v>
      </c>
      <c r="B811" s="210" t="str">
        <f ca="1">IFERROR(__xludf.DUMMYFUNCTION("""COMPUTED_VALUE"""),"Pium")</f>
        <v>Pium</v>
      </c>
      <c r="C811" s="211" t="str">
        <f ca="1">IFERROR(__xludf.DUMMYFUNCTION("""COMPUTED_VALUE"""),"A.A. COLEGIO ESTADUAL BARTOLOMEU BUENO")</f>
        <v>A.A. COLEGIO ESTADUAL BARTOLOMEU BUENO</v>
      </c>
      <c r="D811" s="212" t="str">
        <f ca="1">IFERROR(__xludf.DUMMYFUNCTION("""COMPUTED_VALUE"""),"01071436000134")</f>
        <v>01071436000134</v>
      </c>
      <c r="E811" s="212" t="str">
        <f ca="1">IFERROR(__xludf.DUMMYFUNCTION("""COMPUTED_VALUE"""),"001")</f>
        <v>001</v>
      </c>
      <c r="F811" s="212" t="str">
        <f ca="1">IFERROR(__xludf.DUMMYFUNCTION("""COMPUTED_VALUE"""),"0804")</f>
        <v>0804</v>
      </c>
      <c r="G811" s="213" t="str">
        <f ca="1">IFERROR(__xludf.DUMMYFUNCTION("""COMPUTED_VALUE"""),"286206")</f>
        <v>286206</v>
      </c>
      <c r="H811" s="211" t="str">
        <f ca="1">IFERROR(__xludf.DUMMYFUNCTION("""COMPUTED_VALUE"""),"ENSINO MEDIO PARCIAL")</f>
        <v>ENSINO MEDIO PARCIAL</v>
      </c>
      <c r="I811" s="214">
        <f ca="1">IFERROR(__xludf.DUMMYFUNCTION("""COMPUTED_VALUE"""),2890)</f>
        <v>2890</v>
      </c>
      <c r="J811" s="209"/>
      <c r="K811" s="209"/>
      <c r="L811" s="209"/>
      <c r="M811" s="209"/>
      <c r="N811" s="209"/>
      <c r="O811" s="209"/>
      <c r="P811" s="209"/>
      <c r="Q811" s="209"/>
      <c r="R811" s="209"/>
      <c r="S811" s="209"/>
      <c r="T811" s="209"/>
      <c r="U811" s="209"/>
      <c r="V811" s="209"/>
      <c r="W811" s="209"/>
      <c r="X811" s="209"/>
      <c r="Y811" s="209"/>
      <c r="Z811" s="209"/>
    </row>
    <row r="812" spans="1:26" ht="18.75" customHeight="1">
      <c r="A812" s="210" t="str">
        <f ca="1">IFERROR(__xludf.DUMMYFUNCTION("""COMPUTED_VALUE"""),"Paraíso")</f>
        <v>Paraíso</v>
      </c>
      <c r="B812" s="210" t="str">
        <f ca="1">IFERROR(__xludf.DUMMYFUNCTION("""COMPUTED_VALUE"""),"Pugmil")</f>
        <v>Pugmil</v>
      </c>
      <c r="C812" s="211" t="str">
        <f ca="1">IFERROR(__xludf.DUMMYFUNCTION("""COMPUTED_VALUE"""),"A.A. DA ESC. EST. DARCY RIBEIRO")</f>
        <v>A.A. DA ESC. EST. DARCY RIBEIRO</v>
      </c>
      <c r="D812" s="212" t="str">
        <f ca="1">IFERROR(__xludf.DUMMYFUNCTION("""COMPUTED_VALUE"""),"02382845000114")</f>
        <v>02382845000114</v>
      </c>
      <c r="E812" s="212" t="str">
        <f ca="1">IFERROR(__xludf.DUMMYFUNCTION("""COMPUTED_VALUE"""),"001")</f>
        <v>001</v>
      </c>
      <c r="F812" s="212" t="str">
        <f ca="1">IFERROR(__xludf.DUMMYFUNCTION("""COMPUTED_VALUE"""),"0804")</f>
        <v>0804</v>
      </c>
      <c r="G812" s="213" t="str">
        <f ca="1">IFERROR(__xludf.DUMMYFUNCTION("""COMPUTED_VALUE"""),"286648")</f>
        <v>286648</v>
      </c>
      <c r="H812" s="211" t="str">
        <f ca="1">IFERROR(__xludf.DUMMYFUNCTION("""COMPUTED_VALUE"""),"ENS FUND PARCIAL")</f>
        <v>ENS FUND PARCIAL</v>
      </c>
      <c r="I812" s="214">
        <f ca="1">IFERROR(__xludf.DUMMYFUNCTION("""COMPUTED_VALUE"""),610)</f>
        <v>610</v>
      </c>
      <c r="J812" s="209"/>
      <c r="K812" s="209"/>
      <c r="L812" s="209"/>
      <c r="M812" s="209"/>
      <c r="N812" s="209"/>
      <c r="O812" s="209"/>
      <c r="P812" s="209"/>
      <c r="Q812" s="209"/>
      <c r="R812" s="209"/>
      <c r="S812" s="209"/>
      <c r="T812" s="209"/>
      <c r="U812" s="209"/>
      <c r="V812" s="209"/>
      <c r="W812" s="209"/>
      <c r="X812" s="209"/>
      <c r="Y812" s="209"/>
      <c r="Z812" s="209"/>
    </row>
    <row r="813" spans="1:26" ht="18.75" customHeight="1">
      <c r="A813" s="215" t="str">
        <f ca="1">IFERROR(__xludf.DUMMYFUNCTION("""COMPUTED_VALUE"""),"Paraíso")</f>
        <v>Paraíso</v>
      </c>
      <c r="B813" s="215" t="str">
        <f ca="1">IFERROR(__xludf.DUMMYFUNCTION("""COMPUTED_VALUE"""),"Pugmil")</f>
        <v>Pugmil</v>
      </c>
      <c r="C813" s="216" t="str">
        <f ca="1">IFERROR(__xludf.DUMMYFUNCTION("""COMPUTED_VALUE"""),"A.A. DA ESC. EST. DARCY RIBEIRO")</f>
        <v>A.A. DA ESC. EST. DARCY RIBEIRO</v>
      </c>
      <c r="D813" s="217" t="str">
        <f ca="1">IFERROR(__xludf.DUMMYFUNCTION("""COMPUTED_VALUE"""),"02382845000114")</f>
        <v>02382845000114</v>
      </c>
      <c r="E813" s="217" t="str">
        <f ca="1">IFERROR(__xludf.DUMMYFUNCTION("""COMPUTED_VALUE"""),"001")</f>
        <v>001</v>
      </c>
      <c r="F813" s="217" t="str">
        <f ca="1">IFERROR(__xludf.DUMMYFUNCTION("""COMPUTED_VALUE"""),"0804")</f>
        <v>0804</v>
      </c>
      <c r="G813" s="218" t="str">
        <f ca="1">IFERROR(__xludf.DUMMYFUNCTION("""COMPUTED_VALUE"""),"286648")</f>
        <v>286648</v>
      </c>
      <c r="H813" s="216" t="str">
        <f ca="1">IFERROR(__xludf.DUMMYFUNCTION("""COMPUTED_VALUE"""),"ENSINO MEDIO PARCIAL")</f>
        <v>ENSINO MEDIO PARCIAL</v>
      </c>
      <c r="I813" s="219">
        <f ca="1">IFERROR(__xludf.DUMMYFUNCTION("""COMPUTED_VALUE"""),900)</f>
        <v>900</v>
      </c>
    </row>
    <row r="814" spans="1:26" ht="18.75" customHeight="1">
      <c r="A814" s="215" t="str">
        <f ca="1">IFERROR(__xludf.DUMMYFUNCTION("""COMPUTED_VALUE"""),"Paraíso")</f>
        <v>Paraíso</v>
      </c>
      <c r="B814" s="215" t="str">
        <f ca="1">IFERROR(__xludf.DUMMYFUNCTION("""COMPUTED_VALUE"""),"Pugmil")</f>
        <v>Pugmil</v>
      </c>
      <c r="C814" s="216" t="str">
        <f ca="1">IFERROR(__xludf.DUMMYFUNCTION("""COMPUTED_VALUE"""),"A.A. DA ESC. EST. DARCY RIBEIRO")</f>
        <v>A.A. DA ESC. EST. DARCY RIBEIRO</v>
      </c>
      <c r="D814" s="217" t="str">
        <f ca="1">IFERROR(__xludf.DUMMYFUNCTION("""COMPUTED_VALUE"""),"02382845000114")</f>
        <v>02382845000114</v>
      </c>
      <c r="E814" s="217" t="str">
        <f ca="1">IFERROR(__xludf.DUMMYFUNCTION("""COMPUTED_VALUE"""),"001")</f>
        <v>001</v>
      </c>
      <c r="F814" s="217" t="str">
        <f ca="1">IFERROR(__xludf.DUMMYFUNCTION("""COMPUTED_VALUE"""),"0804")</f>
        <v>0804</v>
      </c>
      <c r="G814" s="218" t="str">
        <f ca="1">IFERROR(__xludf.DUMMYFUNCTION("""COMPUTED_VALUE"""),"286648")</f>
        <v>286648</v>
      </c>
      <c r="H814" s="216" t="str">
        <f ca="1">IFERROR(__xludf.DUMMYFUNCTION("""COMPUTED_VALUE"""),"EJA")</f>
        <v>EJA</v>
      </c>
      <c r="I814" s="219">
        <f ca="1">IFERROR(__xludf.DUMMYFUNCTION("""COMPUTED_VALUE"""),106.6)</f>
        <v>106.6</v>
      </c>
    </row>
    <row r="815" spans="1:26" ht="18.75" customHeight="1">
      <c r="A815" s="215" t="str">
        <f ca="1">IFERROR(__xludf.DUMMYFUNCTION("""COMPUTED_VALUE"""),"Pedro Afonso")</f>
        <v>Pedro Afonso</v>
      </c>
      <c r="B815" s="215" t="str">
        <f ca="1">IFERROR(__xludf.DUMMYFUNCTION("""COMPUTED_VALUE"""),"Bom Jesus do Tocantins")</f>
        <v>Bom Jesus do Tocantins</v>
      </c>
      <c r="C815" s="216" t="str">
        <f ca="1">IFERROR(__xludf.DUMMYFUNCTION("""COMPUTED_VALUE"""),"ASSOC. DE AP.A ESC. EST. ALFREDO NASSER")</f>
        <v>ASSOC. DE AP.A ESC. EST. ALFREDO NASSER</v>
      </c>
      <c r="D815" s="217" t="str">
        <f ca="1">IFERROR(__xludf.DUMMYFUNCTION("""COMPUTED_VALUE"""),"01138329000186")</f>
        <v>01138329000186</v>
      </c>
      <c r="E815" s="217" t="str">
        <f ca="1">IFERROR(__xludf.DUMMYFUNCTION("""COMPUTED_VALUE"""),"001")</f>
        <v>001</v>
      </c>
      <c r="F815" s="217" t="str">
        <f ca="1">IFERROR(__xludf.DUMMYFUNCTION("""COMPUTED_VALUE"""),"1595")</f>
        <v>1595</v>
      </c>
      <c r="G815" s="218" t="str">
        <f ca="1">IFERROR(__xludf.DUMMYFUNCTION("""COMPUTED_VALUE"""),"59277")</f>
        <v>59277</v>
      </c>
      <c r="H815" s="216" t="str">
        <f ca="1">IFERROR(__xludf.DUMMYFUNCTION("""COMPUTED_VALUE"""),"ENS FUND PARCIAL")</f>
        <v>ENS FUND PARCIAL</v>
      </c>
      <c r="I815" s="219">
        <f ca="1">IFERROR(__xludf.DUMMYFUNCTION("""COMPUTED_VALUE"""),2600)</f>
        <v>2600</v>
      </c>
    </row>
    <row r="816" spans="1:26" ht="18.75" customHeight="1">
      <c r="A816" s="215" t="str">
        <f ca="1">IFERROR(__xludf.DUMMYFUNCTION("""COMPUTED_VALUE"""),"Pedro Afonso")</f>
        <v>Pedro Afonso</v>
      </c>
      <c r="B816" s="215" t="str">
        <f ca="1">IFERROR(__xludf.DUMMYFUNCTION("""COMPUTED_VALUE"""),"Bom Jesus do Tocantins")</f>
        <v>Bom Jesus do Tocantins</v>
      </c>
      <c r="C816" s="216" t="str">
        <f ca="1">IFERROR(__xludf.DUMMYFUNCTION("""COMPUTED_VALUE"""),"ASSOC. DE AP.A ESC. EST. ALFREDO NASSER")</f>
        <v>ASSOC. DE AP.A ESC. EST. ALFREDO NASSER</v>
      </c>
      <c r="D816" s="217" t="str">
        <f ca="1">IFERROR(__xludf.DUMMYFUNCTION("""COMPUTED_VALUE"""),"01138329000186")</f>
        <v>01138329000186</v>
      </c>
      <c r="E816" s="217" t="str">
        <f ca="1">IFERROR(__xludf.DUMMYFUNCTION("""COMPUTED_VALUE"""),"001")</f>
        <v>001</v>
      </c>
      <c r="F816" s="217" t="str">
        <f ca="1">IFERROR(__xludf.DUMMYFUNCTION("""COMPUTED_VALUE"""),"1595")</f>
        <v>1595</v>
      </c>
      <c r="G816" s="218" t="str">
        <f ca="1">IFERROR(__xludf.DUMMYFUNCTION("""COMPUTED_VALUE"""),"59277")</f>
        <v>59277</v>
      </c>
      <c r="H816" s="216" t="str">
        <f ca="1">IFERROR(__xludf.DUMMYFUNCTION("""COMPUTED_VALUE"""),"ENSINO MEDIO PARCIAL")</f>
        <v>ENSINO MEDIO PARCIAL</v>
      </c>
      <c r="I816" s="219">
        <f ca="1">IFERROR(__xludf.DUMMYFUNCTION("""COMPUTED_VALUE"""),2010)</f>
        <v>2010</v>
      </c>
    </row>
    <row r="817" spans="1:9" ht="18.75" customHeight="1">
      <c r="A817" s="215" t="str">
        <f ca="1">IFERROR(__xludf.DUMMYFUNCTION("""COMPUTED_VALUE"""),"Pedro Afonso")</f>
        <v>Pedro Afonso</v>
      </c>
      <c r="B817" s="215" t="str">
        <f ca="1">IFERROR(__xludf.DUMMYFUNCTION("""COMPUTED_VALUE"""),"Centenario")</f>
        <v>Centenario</v>
      </c>
      <c r="C817" s="216" t="str">
        <f ca="1">IFERROR(__xludf.DUMMYFUNCTION("""COMPUTED_VALUE"""),"A. ESC. COM. DO COL. EST. OTONIEL C.DE JESUS")</f>
        <v>A. ESC. COM. DO COL. EST. OTONIEL C.DE JESUS</v>
      </c>
      <c r="D817" s="217" t="str">
        <f ca="1">IFERROR(__xludf.DUMMYFUNCTION("""COMPUTED_VALUE"""),"02008180000183")</f>
        <v>02008180000183</v>
      </c>
      <c r="E817" s="217" t="str">
        <f ca="1">IFERROR(__xludf.DUMMYFUNCTION("""COMPUTED_VALUE"""),"001")</f>
        <v>001</v>
      </c>
      <c r="F817" s="217" t="str">
        <f ca="1">IFERROR(__xludf.DUMMYFUNCTION("""COMPUTED_VALUE"""),"1595")</f>
        <v>1595</v>
      </c>
      <c r="G817" s="218" t="str">
        <f ca="1">IFERROR(__xludf.DUMMYFUNCTION("""COMPUTED_VALUE"""),"10081")</f>
        <v>10081</v>
      </c>
      <c r="H817" s="216" t="str">
        <f ca="1">IFERROR(__xludf.DUMMYFUNCTION("""COMPUTED_VALUE"""),"ENS FUND PARCIAL")</f>
        <v>ENS FUND PARCIAL</v>
      </c>
      <c r="I817" s="219">
        <f ca="1">IFERROR(__xludf.DUMMYFUNCTION("""COMPUTED_VALUE"""),320)</f>
        <v>320</v>
      </c>
    </row>
    <row r="818" spans="1:9" ht="18.75" customHeight="1">
      <c r="A818" s="215" t="str">
        <f ca="1">IFERROR(__xludf.DUMMYFUNCTION("""COMPUTED_VALUE"""),"Pedro Afonso")</f>
        <v>Pedro Afonso</v>
      </c>
      <c r="B818" s="215" t="str">
        <f ca="1">IFERROR(__xludf.DUMMYFUNCTION("""COMPUTED_VALUE"""),"Centenario")</f>
        <v>Centenario</v>
      </c>
      <c r="C818" s="216" t="str">
        <f ca="1">IFERROR(__xludf.DUMMYFUNCTION("""COMPUTED_VALUE"""),"A. ESC. COM. DO COL. EST. OTONIEL C.DE JESUS")</f>
        <v>A. ESC. COM. DO COL. EST. OTONIEL C.DE JESUS</v>
      </c>
      <c r="D818" s="217" t="str">
        <f ca="1">IFERROR(__xludf.DUMMYFUNCTION("""COMPUTED_VALUE"""),"02008180000183")</f>
        <v>02008180000183</v>
      </c>
      <c r="E818" s="217" t="str">
        <f ca="1">IFERROR(__xludf.DUMMYFUNCTION("""COMPUTED_VALUE"""),"001")</f>
        <v>001</v>
      </c>
      <c r="F818" s="217" t="str">
        <f ca="1">IFERROR(__xludf.DUMMYFUNCTION("""COMPUTED_VALUE"""),"1595")</f>
        <v>1595</v>
      </c>
      <c r="G818" s="218" t="str">
        <f ca="1">IFERROR(__xludf.DUMMYFUNCTION("""COMPUTED_VALUE"""),"10081")</f>
        <v>10081</v>
      </c>
      <c r="H818" s="216" t="str">
        <f ca="1">IFERROR(__xludf.DUMMYFUNCTION("""COMPUTED_VALUE"""),"ENSINO MEDIO PARCIAL")</f>
        <v>ENSINO MEDIO PARCIAL</v>
      </c>
      <c r="I818" s="219">
        <f ca="1">IFERROR(__xludf.DUMMYFUNCTION("""COMPUTED_VALUE"""),1100)</f>
        <v>1100</v>
      </c>
    </row>
    <row r="819" spans="1:9" ht="18.75" customHeight="1">
      <c r="A819" s="215" t="str">
        <f ca="1">IFERROR(__xludf.DUMMYFUNCTION("""COMPUTED_VALUE"""),"Pedro Afonso")</f>
        <v>Pedro Afonso</v>
      </c>
      <c r="B819" s="215" t="str">
        <f ca="1">IFERROR(__xludf.DUMMYFUNCTION("""COMPUTED_VALUE"""),"Itacaja")</f>
        <v>Itacaja</v>
      </c>
      <c r="C819" s="216" t="str">
        <f ca="1">IFERROR(__xludf.DUMMYFUNCTION("""COMPUTED_VALUE"""),"ASSOC. APOIO ESC. EST. ALMEIDA SARDINHA")</f>
        <v>ASSOC. APOIO ESC. EST. ALMEIDA SARDINHA</v>
      </c>
      <c r="D819" s="217" t="str">
        <f ca="1">IFERROR(__xludf.DUMMYFUNCTION("""COMPUTED_VALUE"""),"01138335000133")</f>
        <v>01138335000133</v>
      </c>
      <c r="E819" s="217" t="str">
        <f ca="1">IFERROR(__xludf.DUMMYFUNCTION("""COMPUTED_VALUE"""),"001")</f>
        <v>001</v>
      </c>
      <c r="F819" s="217" t="str">
        <f ca="1">IFERROR(__xludf.DUMMYFUNCTION("""COMPUTED_VALUE"""),"2094")</f>
        <v>2094</v>
      </c>
      <c r="G819" s="218" t="str">
        <f ca="1">IFERROR(__xludf.DUMMYFUNCTION("""COMPUTED_VALUE"""),"466484")</f>
        <v>466484</v>
      </c>
      <c r="H819" s="216" t="str">
        <f ca="1">IFERROR(__xludf.DUMMYFUNCTION("""COMPUTED_VALUE"""),"ENS FUND PARCIAL")</f>
        <v>ENS FUND PARCIAL</v>
      </c>
      <c r="I819" s="219">
        <f ca="1">IFERROR(__xludf.DUMMYFUNCTION("""COMPUTED_VALUE"""),920)</f>
        <v>920</v>
      </c>
    </row>
    <row r="820" spans="1:9" ht="18.75" customHeight="1">
      <c r="A820" s="215" t="str">
        <f ca="1">IFERROR(__xludf.DUMMYFUNCTION("""COMPUTED_VALUE"""),"Pedro Afonso")</f>
        <v>Pedro Afonso</v>
      </c>
      <c r="B820" s="215" t="str">
        <f ca="1">IFERROR(__xludf.DUMMYFUNCTION("""COMPUTED_VALUE"""),"Itacaja")</f>
        <v>Itacaja</v>
      </c>
      <c r="C820" s="216" t="str">
        <f ca="1">IFERROR(__xludf.DUMMYFUNCTION("""COMPUTED_VALUE"""),"ASSOC. APOIO ESC. EST. ALMEIDA SARDINHA")</f>
        <v>ASSOC. APOIO ESC. EST. ALMEIDA SARDINHA</v>
      </c>
      <c r="D820" s="217" t="str">
        <f ca="1">IFERROR(__xludf.DUMMYFUNCTION("""COMPUTED_VALUE"""),"01138335000133")</f>
        <v>01138335000133</v>
      </c>
      <c r="E820" s="217" t="str">
        <f ca="1">IFERROR(__xludf.DUMMYFUNCTION("""COMPUTED_VALUE"""),"001")</f>
        <v>001</v>
      </c>
      <c r="F820" s="217" t="str">
        <f ca="1">IFERROR(__xludf.DUMMYFUNCTION("""COMPUTED_VALUE"""),"2094")</f>
        <v>2094</v>
      </c>
      <c r="G820" s="218" t="str">
        <f ca="1">IFERROR(__xludf.DUMMYFUNCTION("""COMPUTED_VALUE"""),"466484")</f>
        <v>466484</v>
      </c>
      <c r="H820" s="216" t="str">
        <f ca="1">IFERROR(__xludf.DUMMYFUNCTION("""COMPUTED_VALUE"""),"AEE")</f>
        <v>AEE</v>
      </c>
      <c r="I820" s="219">
        <f ca="1">IFERROR(__xludf.DUMMYFUNCTION("""COMPUTED_VALUE"""),108.8)</f>
        <v>108.8</v>
      </c>
    </row>
    <row r="821" spans="1:9" ht="18.75" customHeight="1">
      <c r="A821" s="215" t="str">
        <f ca="1">IFERROR(__xludf.DUMMYFUNCTION("""COMPUTED_VALUE"""),"Pedro Afonso")</f>
        <v>Pedro Afonso</v>
      </c>
      <c r="B821" s="215" t="str">
        <f ca="1">IFERROR(__xludf.DUMMYFUNCTION("""COMPUTED_VALUE"""),"Itacaja")</f>
        <v>Itacaja</v>
      </c>
      <c r="C821" s="216" t="str">
        <f ca="1">IFERROR(__xludf.DUMMYFUNCTION("""COMPUTED_VALUE"""),"ASSOC. APOIO ESC. EST. ALMEIDA SARDINHA")</f>
        <v>ASSOC. APOIO ESC. EST. ALMEIDA SARDINHA</v>
      </c>
      <c r="D821" s="217" t="str">
        <f ca="1">IFERROR(__xludf.DUMMYFUNCTION("""COMPUTED_VALUE"""),"01138335000133")</f>
        <v>01138335000133</v>
      </c>
      <c r="E821" s="217" t="str">
        <f ca="1">IFERROR(__xludf.DUMMYFUNCTION("""COMPUTED_VALUE"""),"001")</f>
        <v>001</v>
      </c>
      <c r="F821" s="217" t="str">
        <f ca="1">IFERROR(__xludf.DUMMYFUNCTION("""COMPUTED_VALUE"""),"2094")</f>
        <v>2094</v>
      </c>
      <c r="G821" s="218" t="str">
        <f ca="1">IFERROR(__xludf.DUMMYFUNCTION("""COMPUTED_VALUE"""),"466484")</f>
        <v>466484</v>
      </c>
      <c r="H821" s="216" t="str">
        <f ca="1">IFERROR(__xludf.DUMMYFUNCTION("""COMPUTED_VALUE"""),"ENSINO MEDIO PARCIAL")</f>
        <v>ENSINO MEDIO PARCIAL</v>
      </c>
      <c r="I821" s="219">
        <f ca="1">IFERROR(__xludf.DUMMYFUNCTION("""COMPUTED_VALUE"""),500)</f>
        <v>500</v>
      </c>
    </row>
    <row r="822" spans="1:9" ht="18.75" customHeight="1">
      <c r="A822" s="215" t="str">
        <f ca="1">IFERROR(__xludf.DUMMYFUNCTION("""COMPUTED_VALUE"""),"Pedro Afonso")</f>
        <v>Pedro Afonso</v>
      </c>
      <c r="B822" s="215" t="str">
        <f ca="1">IFERROR(__xludf.DUMMYFUNCTION("""COMPUTED_VALUE"""),"Itacaja")</f>
        <v>Itacaja</v>
      </c>
      <c r="C822" s="216" t="str">
        <f ca="1">IFERROR(__xludf.DUMMYFUNCTION("""COMPUTED_VALUE"""),"ASSOC. APOIO ESC. EST. ALMEIDA SARDINHA")</f>
        <v>ASSOC. APOIO ESC. EST. ALMEIDA SARDINHA</v>
      </c>
      <c r="D822" s="217" t="str">
        <f ca="1">IFERROR(__xludf.DUMMYFUNCTION("""COMPUTED_VALUE"""),"01138335000133")</f>
        <v>01138335000133</v>
      </c>
      <c r="E822" s="217" t="str">
        <f ca="1">IFERROR(__xludf.DUMMYFUNCTION("""COMPUTED_VALUE"""),"001")</f>
        <v>001</v>
      </c>
      <c r="F822" s="217" t="str">
        <f ca="1">IFERROR(__xludf.DUMMYFUNCTION("""COMPUTED_VALUE"""),"2094")</f>
        <v>2094</v>
      </c>
      <c r="G822" s="218" t="str">
        <f ca="1">IFERROR(__xludf.DUMMYFUNCTION("""COMPUTED_VALUE"""),"466484")</f>
        <v>466484</v>
      </c>
      <c r="H822" s="216" t="str">
        <f ca="1">IFERROR(__xludf.DUMMYFUNCTION("""COMPUTED_VALUE"""),"EJA")</f>
        <v>EJA</v>
      </c>
      <c r="I822" s="219">
        <f ca="1">IFERROR(__xludf.DUMMYFUNCTION("""COMPUTED_VALUE"""),328)</f>
        <v>328</v>
      </c>
    </row>
    <row r="823" spans="1:9" ht="18.75" customHeight="1">
      <c r="A823" s="215" t="str">
        <f ca="1">IFERROR(__xludf.DUMMYFUNCTION("""COMPUTED_VALUE"""),"Pedro Afonso")</f>
        <v>Pedro Afonso</v>
      </c>
      <c r="B823" s="215" t="str">
        <f ca="1">IFERROR(__xludf.DUMMYFUNCTION("""COMPUTED_VALUE"""),"Itacaja")</f>
        <v>Itacaja</v>
      </c>
      <c r="C823" s="216" t="str">
        <f ca="1">IFERROR(__xludf.DUMMYFUNCTION("""COMPUTED_VALUE"""),"A.A. COLEGIO ESTADUAL DE ITACAJA")</f>
        <v>A.A. COLEGIO ESTADUAL DE ITACAJA</v>
      </c>
      <c r="D823" s="217" t="str">
        <f ca="1">IFERROR(__xludf.DUMMYFUNCTION("""COMPUTED_VALUE"""),"01138428000168")</f>
        <v>01138428000168</v>
      </c>
      <c r="E823" s="217" t="str">
        <f ca="1">IFERROR(__xludf.DUMMYFUNCTION("""COMPUTED_VALUE"""),"001")</f>
        <v>001</v>
      </c>
      <c r="F823" s="217" t="str">
        <f ca="1">IFERROR(__xludf.DUMMYFUNCTION("""COMPUTED_VALUE"""),"1595")</f>
        <v>1595</v>
      </c>
      <c r="G823" s="218" t="str">
        <f ca="1">IFERROR(__xludf.DUMMYFUNCTION("""COMPUTED_VALUE"""),"59773")</f>
        <v>59773</v>
      </c>
      <c r="H823" s="216" t="str">
        <f ca="1">IFERROR(__xludf.DUMMYFUNCTION("""COMPUTED_VALUE"""),"ENS FUND PARCIAL")</f>
        <v>ENS FUND PARCIAL</v>
      </c>
      <c r="I823" s="219">
        <f ca="1">IFERROR(__xludf.DUMMYFUNCTION("""COMPUTED_VALUE"""),3080)</f>
        <v>3080</v>
      </c>
    </row>
    <row r="824" spans="1:9" ht="18.75" customHeight="1">
      <c r="A824" s="215" t="str">
        <f ca="1">IFERROR(__xludf.DUMMYFUNCTION("""COMPUTED_VALUE"""),"Pedro Afonso")</f>
        <v>Pedro Afonso</v>
      </c>
      <c r="B824" s="215" t="str">
        <f ca="1">IFERROR(__xludf.DUMMYFUNCTION("""COMPUTED_VALUE"""),"Itacaja")</f>
        <v>Itacaja</v>
      </c>
      <c r="C824" s="216" t="str">
        <f ca="1">IFERROR(__xludf.DUMMYFUNCTION("""COMPUTED_VALUE"""),"A.A. COLEGIO ESTADUAL DE ITACAJA")</f>
        <v>A.A. COLEGIO ESTADUAL DE ITACAJA</v>
      </c>
      <c r="D824" s="217" t="str">
        <f ca="1">IFERROR(__xludf.DUMMYFUNCTION("""COMPUTED_VALUE"""),"01138428000168")</f>
        <v>01138428000168</v>
      </c>
      <c r="E824" s="217" t="str">
        <f ca="1">IFERROR(__xludf.DUMMYFUNCTION("""COMPUTED_VALUE"""),"001")</f>
        <v>001</v>
      </c>
      <c r="F824" s="217" t="str">
        <f ca="1">IFERROR(__xludf.DUMMYFUNCTION("""COMPUTED_VALUE"""),"1595")</f>
        <v>1595</v>
      </c>
      <c r="G824" s="218" t="str">
        <f ca="1">IFERROR(__xludf.DUMMYFUNCTION("""COMPUTED_VALUE"""),"59773")</f>
        <v>59773</v>
      </c>
      <c r="H824" s="216" t="str">
        <f ca="1">IFERROR(__xludf.DUMMYFUNCTION("""COMPUTED_VALUE"""),"ENSINO MEDIO PARCIAL")</f>
        <v>ENSINO MEDIO PARCIAL</v>
      </c>
      <c r="I824" s="219">
        <f ca="1">IFERROR(__xludf.DUMMYFUNCTION("""COMPUTED_VALUE"""),2130)</f>
        <v>2130</v>
      </c>
    </row>
    <row r="825" spans="1:9" ht="18.75" customHeight="1">
      <c r="A825" s="215" t="str">
        <f ca="1">IFERROR(__xludf.DUMMYFUNCTION("""COMPUTED_VALUE"""),"Pedro Afonso")</f>
        <v>Pedro Afonso</v>
      </c>
      <c r="B825" s="215" t="str">
        <f ca="1">IFERROR(__xludf.DUMMYFUNCTION("""COMPUTED_VALUE"""),"Itacajá")</f>
        <v>Itacajá</v>
      </c>
      <c r="C825" s="216" t="str">
        <f ca="1">IFERROR(__xludf.DUMMYFUNCTION("""COMPUTED_VALUE"""),"A.A. ESCOLAS ESTADUAIS INDIGENAS DE ITACAJA II")</f>
        <v>A.A. ESCOLAS ESTADUAIS INDIGENAS DE ITACAJA II</v>
      </c>
      <c r="D825" s="217" t="str">
        <f ca="1">IFERROR(__xludf.DUMMYFUNCTION("""COMPUTED_VALUE"""),"43551682000133")</f>
        <v>43551682000133</v>
      </c>
      <c r="E825" s="217" t="str">
        <f ca="1">IFERROR(__xludf.DUMMYFUNCTION("""COMPUTED_VALUE"""),"001")</f>
        <v>001</v>
      </c>
      <c r="F825" s="217" t="str">
        <f ca="1">IFERROR(__xludf.DUMMYFUNCTION("""COMPUTED_VALUE"""),"1595")</f>
        <v>1595</v>
      </c>
      <c r="G825" s="218" t="str">
        <f ca="1">IFERROR(__xludf.DUMMYFUNCTION("""COMPUTED_VALUE"""),"327905")</f>
        <v>327905</v>
      </c>
      <c r="H825" s="216" t="str">
        <f ca="1">IFERROR(__xludf.DUMMYFUNCTION("""COMPUTED_VALUE"""),"INDIGENA")</f>
        <v>INDIGENA</v>
      </c>
      <c r="I825" s="219">
        <f ca="1">IFERROR(__xludf.DUMMYFUNCTION("""COMPUTED_VALUE"""),2803.6)</f>
        <v>2803.6</v>
      </c>
    </row>
    <row r="826" spans="1:9" ht="18.75" customHeight="1">
      <c r="A826" s="215" t="str">
        <f ca="1">IFERROR(__xludf.DUMMYFUNCTION("""COMPUTED_VALUE"""),"Pedro Afonso")</f>
        <v>Pedro Afonso</v>
      </c>
      <c r="B826" s="215" t="str">
        <f ca="1">IFERROR(__xludf.DUMMYFUNCTION("""COMPUTED_VALUE"""),"Pedro Afonso")</f>
        <v>Pedro Afonso</v>
      </c>
      <c r="C826" s="216" t="str">
        <f ca="1">IFERROR(__xludf.DUMMYFUNCTION("""COMPUTED_VALUE"""),"A. DE PAIS E MEST. DA ESC. EST. ANA AMORIM")</f>
        <v>A. DE PAIS E MEST. DA ESC. EST. ANA AMORIM</v>
      </c>
      <c r="D826" s="217" t="str">
        <f ca="1">IFERROR(__xludf.DUMMYFUNCTION("""COMPUTED_VALUE"""),"01990364000129")</f>
        <v>01990364000129</v>
      </c>
      <c r="E826" s="217" t="str">
        <f ca="1">IFERROR(__xludf.DUMMYFUNCTION("""COMPUTED_VALUE"""),"001")</f>
        <v>001</v>
      </c>
      <c r="F826" s="217" t="str">
        <f ca="1">IFERROR(__xludf.DUMMYFUNCTION("""COMPUTED_VALUE"""),"1595")</f>
        <v>1595</v>
      </c>
      <c r="G826" s="218" t="str">
        <f ca="1">IFERROR(__xludf.DUMMYFUNCTION("""COMPUTED_VALUE"""),"59722")</f>
        <v>59722</v>
      </c>
      <c r="H826" s="216" t="str">
        <f ca="1">IFERROR(__xludf.DUMMYFUNCTION("""COMPUTED_VALUE"""),"ENS FUND PARCIAL")</f>
        <v>ENS FUND PARCIAL</v>
      </c>
      <c r="I826" s="219">
        <f ca="1">IFERROR(__xludf.DUMMYFUNCTION("""COMPUTED_VALUE"""),4920)</f>
        <v>4920</v>
      </c>
    </row>
    <row r="827" spans="1:9" ht="18.75" customHeight="1">
      <c r="A827" s="215" t="str">
        <f ca="1">IFERROR(__xludf.DUMMYFUNCTION("""COMPUTED_VALUE"""),"Pedro Afonso")</f>
        <v>Pedro Afonso</v>
      </c>
      <c r="B827" s="215" t="str">
        <f ca="1">IFERROR(__xludf.DUMMYFUNCTION("""COMPUTED_VALUE"""),"Pedro Afonso")</f>
        <v>Pedro Afonso</v>
      </c>
      <c r="C827" s="216" t="str">
        <f ca="1">IFERROR(__xludf.DUMMYFUNCTION("""COMPUTED_VALUE"""),"A. DE PAIS E MEST. DA ESC. EST. ANA AMORIM")</f>
        <v>A. DE PAIS E MEST. DA ESC. EST. ANA AMORIM</v>
      </c>
      <c r="D827" s="217" t="str">
        <f ca="1">IFERROR(__xludf.DUMMYFUNCTION("""COMPUTED_VALUE"""),"01990364000129")</f>
        <v>01990364000129</v>
      </c>
      <c r="E827" s="217" t="str">
        <f ca="1">IFERROR(__xludf.DUMMYFUNCTION("""COMPUTED_VALUE"""),"001")</f>
        <v>001</v>
      </c>
      <c r="F827" s="217" t="str">
        <f ca="1">IFERROR(__xludf.DUMMYFUNCTION("""COMPUTED_VALUE"""),"1595")</f>
        <v>1595</v>
      </c>
      <c r="G827" s="218" t="str">
        <f ca="1">IFERROR(__xludf.DUMMYFUNCTION("""COMPUTED_VALUE"""),"59722")</f>
        <v>59722</v>
      </c>
      <c r="H827" s="216" t="str">
        <f ca="1">IFERROR(__xludf.DUMMYFUNCTION("""COMPUTED_VALUE"""),"AEE")</f>
        <v>AEE</v>
      </c>
      <c r="I827" s="219">
        <f ca="1">IFERROR(__xludf.DUMMYFUNCTION("""COMPUTED_VALUE"""),190.4)</f>
        <v>190.4</v>
      </c>
    </row>
    <row r="828" spans="1:9" ht="18.75" customHeight="1">
      <c r="A828" s="215" t="str">
        <f ca="1">IFERROR(__xludf.DUMMYFUNCTION("""COMPUTED_VALUE"""),"Pedro Afonso")</f>
        <v>Pedro Afonso</v>
      </c>
      <c r="B828" s="215" t="str">
        <f ca="1">IFERROR(__xludf.DUMMYFUNCTION("""COMPUTED_VALUE"""),"Pedro Afonso")</f>
        <v>Pedro Afonso</v>
      </c>
      <c r="C828" s="216" t="str">
        <f ca="1">IFERROR(__xludf.DUMMYFUNCTION("""COMPUTED_VALUE"""),"A. DE PAIS E MEST. DA ESC. EST. ANA AMORIM")</f>
        <v>A. DE PAIS E MEST. DA ESC. EST. ANA AMORIM</v>
      </c>
      <c r="D828" s="217" t="str">
        <f ca="1">IFERROR(__xludf.DUMMYFUNCTION("""COMPUTED_VALUE"""),"01990364000129")</f>
        <v>01990364000129</v>
      </c>
      <c r="E828" s="217" t="str">
        <f ca="1">IFERROR(__xludf.DUMMYFUNCTION("""COMPUTED_VALUE"""),"001")</f>
        <v>001</v>
      </c>
      <c r="F828" s="217" t="str">
        <f ca="1">IFERROR(__xludf.DUMMYFUNCTION("""COMPUTED_VALUE"""),"1595")</f>
        <v>1595</v>
      </c>
      <c r="G828" s="218" t="str">
        <f ca="1">IFERROR(__xludf.DUMMYFUNCTION("""COMPUTED_VALUE"""),"59722")</f>
        <v>59722</v>
      </c>
      <c r="H828" s="216" t="str">
        <f ca="1">IFERROR(__xludf.DUMMYFUNCTION("""COMPUTED_VALUE"""),"EJA")</f>
        <v>EJA</v>
      </c>
      <c r="I828" s="219">
        <f ca="1">IFERROR(__xludf.DUMMYFUNCTION("""COMPUTED_VALUE"""),754.4)</f>
        <v>754.4</v>
      </c>
    </row>
    <row r="829" spans="1:9" ht="18.75" customHeight="1">
      <c r="A829" s="215" t="str">
        <f ca="1">IFERROR(__xludf.DUMMYFUNCTION("""COMPUTED_VALUE"""),"Pedro Afonso")</f>
        <v>Pedro Afonso</v>
      </c>
      <c r="B829" s="215" t="str">
        <f ca="1">IFERROR(__xludf.DUMMYFUNCTION("""COMPUTED_VALUE"""),"Pedro Afonso")</f>
        <v>Pedro Afonso</v>
      </c>
      <c r="C829" s="216" t="str">
        <f ca="1">IFERROR(__xludf.DUMMYFUNCTION("""COMPUTED_VALUE"""),"A.A. ESCOLAR DO COLEGIO EST.CRISTO REI")</f>
        <v>A.A. ESCOLAR DO COLEGIO EST.CRISTO REI</v>
      </c>
      <c r="D829" s="217" t="str">
        <f ca="1">IFERROR(__xludf.DUMMYFUNCTION("""COMPUTED_VALUE"""),"02250658000187")</f>
        <v>02250658000187</v>
      </c>
      <c r="E829" s="217" t="str">
        <f ca="1">IFERROR(__xludf.DUMMYFUNCTION("""COMPUTED_VALUE"""),"001")</f>
        <v>001</v>
      </c>
      <c r="F829" s="217" t="str">
        <f ca="1">IFERROR(__xludf.DUMMYFUNCTION("""COMPUTED_VALUE"""),"1595")</f>
        <v>1595</v>
      </c>
      <c r="G829" s="218" t="str">
        <f ca="1">IFERROR(__xludf.DUMMYFUNCTION("""COMPUTED_VALUE"""),"66141")</f>
        <v>66141</v>
      </c>
      <c r="H829" s="216" t="str">
        <f ca="1">IFERROR(__xludf.DUMMYFUNCTION("""COMPUTED_VALUE"""),"AEE")</f>
        <v>AEE</v>
      </c>
      <c r="I829" s="219">
        <f ca="1">IFERROR(__xludf.DUMMYFUNCTION("""COMPUTED_VALUE"""),136)</f>
        <v>136</v>
      </c>
    </row>
    <row r="830" spans="1:9" ht="18.75" customHeight="1">
      <c r="A830" s="215" t="str">
        <f ca="1">IFERROR(__xludf.DUMMYFUNCTION("""COMPUTED_VALUE"""),"Pedro Afonso")</f>
        <v>Pedro Afonso</v>
      </c>
      <c r="B830" s="215" t="str">
        <f ca="1">IFERROR(__xludf.DUMMYFUNCTION("""COMPUTED_VALUE"""),"Pedro Afonso")</f>
        <v>Pedro Afonso</v>
      </c>
      <c r="C830" s="216" t="str">
        <f ca="1">IFERROR(__xludf.DUMMYFUNCTION("""COMPUTED_VALUE"""),"A.A. ESCOLAR DO COLEGIO EST.CRISTO REI")</f>
        <v>A.A. ESCOLAR DO COLEGIO EST.CRISTO REI</v>
      </c>
      <c r="D830" s="217" t="str">
        <f ca="1">IFERROR(__xludf.DUMMYFUNCTION("""COMPUTED_VALUE"""),"02250658000187")</f>
        <v>02250658000187</v>
      </c>
      <c r="E830" s="217" t="str">
        <f ca="1">IFERROR(__xludf.DUMMYFUNCTION("""COMPUTED_VALUE"""),"001")</f>
        <v>001</v>
      </c>
      <c r="F830" s="217" t="str">
        <f ca="1">IFERROR(__xludf.DUMMYFUNCTION("""COMPUTED_VALUE"""),"1595")</f>
        <v>1595</v>
      </c>
      <c r="G830" s="218" t="str">
        <f ca="1">IFERROR(__xludf.DUMMYFUNCTION("""COMPUTED_VALUE"""),"66141")</f>
        <v>66141</v>
      </c>
      <c r="H830" s="216" t="str">
        <f ca="1">IFERROR(__xludf.DUMMYFUNCTION("""COMPUTED_VALUE"""),"ENSINO MEDIO PARCIAL")</f>
        <v>ENSINO MEDIO PARCIAL</v>
      </c>
      <c r="I830" s="219">
        <f ca="1">IFERROR(__xludf.DUMMYFUNCTION("""COMPUTED_VALUE"""),5320)</f>
        <v>5320</v>
      </c>
    </row>
    <row r="831" spans="1:9" ht="18.75" customHeight="1">
      <c r="A831" s="215" t="str">
        <f ca="1">IFERROR(__xludf.DUMMYFUNCTION("""COMPUTED_VALUE"""),"Pedro Afonso")</f>
        <v>Pedro Afonso</v>
      </c>
      <c r="B831" s="215" t="str">
        <f ca="1">IFERROR(__xludf.DUMMYFUNCTION("""COMPUTED_VALUE"""),"Pedro Afonso")</f>
        <v>Pedro Afonso</v>
      </c>
      <c r="C831" s="216" t="str">
        <f ca="1">IFERROR(__xludf.DUMMYFUNCTION("""COMPUTED_VALUE"""),"A.A. E. EST.IS.DA REG.DE ENS.DE GUARAI")</f>
        <v>A.A. E. EST.IS.DA REG.DE ENS.DE GUARAI</v>
      </c>
      <c r="D831" s="217" t="str">
        <f ca="1">IFERROR(__xludf.DUMMYFUNCTION("""COMPUTED_VALUE"""),"02508361000179")</f>
        <v>02508361000179</v>
      </c>
      <c r="E831" s="217" t="str">
        <f ca="1">IFERROR(__xludf.DUMMYFUNCTION("""COMPUTED_VALUE"""),"001")</f>
        <v>001</v>
      </c>
      <c r="F831" s="217" t="str">
        <f ca="1">IFERROR(__xludf.DUMMYFUNCTION("""COMPUTED_VALUE"""),"1595")</f>
        <v>1595</v>
      </c>
      <c r="G831" s="218" t="str">
        <f ca="1">IFERROR(__xludf.DUMMYFUNCTION("""COMPUTED_VALUE"""),"110663")</f>
        <v>110663</v>
      </c>
      <c r="H831" s="216" t="str">
        <f ca="1">IFERROR(__xludf.DUMMYFUNCTION("""COMPUTED_VALUE"""),"ENS FUND PARCIAL")</f>
        <v>ENS FUND PARCIAL</v>
      </c>
      <c r="I831" s="219">
        <f ca="1">IFERROR(__xludf.DUMMYFUNCTION("""COMPUTED_VALUE"""),720)</f>
        <v>720</v>
      </c>
    </row>
    <row r="832" spans="1:9" ht="18.75" customHeight="1">
      <c r="A832" s="215" t="str">
        <f ca="1">IFERROR(__xludf.DUMMYFUNCTION("""COMPUTED_VALUE"""),"Pedro Afonso")</f>
        <v>Pedro Afonso</v>
      </c>
      <c r="B832" s="215" t="str">
        <f ca="1">IFERROR(__xludf.DUMMYFUNCTION("""COMPUTED_VALUE"""),"Pedro Afonso")</f>
        <v>Pedro Afonso</v>
      </c>
      <c r="C832" s="216" t="str">
        <f ca="1">IFERROR(__xludf.DUMMYFUNCTION("""COMPUTED_VALUE"""),"A.A. E. EST.IS.DA REG.DE ENS.DE GUARAI")</f>
        <v>A.A. E. EST.IS.DA REG.DE ENS.DE GUARAI</v>
      </c>
      <c r="D832" s="217" t="str">
        <f ca="1">IFERROR(__xludf.DUMMYFUNCTION("""COMPUTED_VALUE"""),"02508361000179")</f>
        <v>02508361000179</v>
      </c>
      <c r="E832" s="217" t="str">
        <f ca="1">IFERROR(__xludf.DUMMYFUNCTION("""COMPUTED_VALUE"""),"001")</f>
        <v>001</v>
      </c>
      <c r="F832" s="217" t="str">
        <f ca="1">IFERROR(__xludf.DUMMYFUNCTION("""COMPUTED_VALUE"""),"1595")</f>
        <v>1595</v>
      </c>
      <c r="G832" s="218" t="str">
        <f ca="1">IFERROR(__xludf.DUMMYFUNCTION("""COMPUTED_VALUE"""),"110663")</f>
        <v>110663</v>
      </c>
      <c r="H832" s="216" t="str">
        <f ca="1">IFERROR(__xludf.DUMMYFUNCTION("""COMPUTED_VALUE"""),"AEE")</f>
        <v>AEE</v>
      </c>
      <c r="I832" s="219">
        <f ca="1">IFERROR(__xludf.DUMMYFUNCTION("""COMPUTED_VALUE"""),40.8)</f>
        <v>40.799999999999997</v>
      </c>
    </row>
    <row r="833" spans="1:9" ht="18.75" customHeight="1">
      <c r="A833" s="215" t="str">
        <f ca="1">IFERROR(__xludf.DUMMYFUNCTION("""COMPUTED_VALUE"""),"Pedro Afonso")</f>
        <v>Pedro Afonso</v>
      </c>
      <c r="B833" s="215" t="str">
        <f ca="1">IFERROR(__xludf.DUMMYFUNCTION("""COMPUTED_VALUE"""),"Pedro Afonso")</f>
        <v>Pedro Afonso</v>
      </c>
      <c r="C833" s="216" t="str">
        <f ca="1">IFERROR(__xludf.DUMMYFUNCTION("""COMPUTED_VALUE"""),"A.A. E. EST.IS.DA REG.DE ENS.DE GUARAI")</f>
        <v>A.A. E. EST.IS.DA REG.DE ENS.DE GUARAI</v>
      </c>
      <c r="D833" s="217" t="str">
        <f ca="1">IFERROR(__xludf.DUMMYFUNCTION("""COMPUTED_VALUE"""),"02508361000179")</f>
        <v>02508361000179</v>
      </c>
      <c r="E833" s="217" t="str">
        <f ca="1">IFERROR(__xludf.DUMMYFUNCTION("""COMPUTED_VALUE"""),"001")</f>
        <v>001</v>
      </c>
      <c r="F833" s="217" t="str">
        <f ca="1">IFERROR(__xludf.DUMMYFUNCTION("""COMPUTED_VALUE"""),"1595")</f>
        <v>1595</v>
      </c>
      <c r="G833" s="218" t="str">
        <f ca="1">IFERROR(__xludf.DUMMYFUNCTION("""COMPUTED_VALUE"""),"110663")</f>
        <v>110663</v>
      </c>
      <c r="H833" s="216" t="str">
        <f ca="1">IFERROR(__xludf.DUMMYFUNCTION("""COMPUTED_VALUE"""),"ENSINO MEDIO PARCIAL")</f>
        <v>ENSINO MEDIO PARCIAL</v>
      </c>
      <c r="I833" s="219">
        <f ca="1">IFERROR(__xludf.DUMMYFUNCTION("""COMPUTED_VALUE"""),350)</f>
        <v>350</v>
      </c>
    </row>
    <row r="834" spans="1:9" ht="18.75" customHeight="1">
      <c r="A834" s="215" t="str">
        <f ca="1">IFERROR(__xludf.DUMMYFUNCTION("""COMPUTED_VALUE"""),"Pedro Afonso")</f>
        <v>Pedro Afonso</v>
      </c>
      <c r="B834" s="215" t="str">
        <f ca="1">IFERROR(__xludf.DUMMYFUNCTION("""COMPUTED_VALUE"""),"Pedro Afonso")</f>
        <v>Pedro Afonso</v>
      </c>
      <c r="C834" s="216" t="str">
        <f ca="1">IFERROR(__xludf.DUMMYFUNCTION("""COMPUTED_VALUE"""),"ASSOCIAÇÃO DE PAIS E AMIGOS DOS EXCEPCIONAIS DE PEDRO AFONSO")</f>
        <v>ASSOCIAÇÃO DE PAIS E AMIGOS DOS EXCEPCIONAIS DE PEDRO AFONSO</v>
      </c>
      <c r="D834" s="217" t="str">
        <f ca="1">IFERROR(__xludf.DUMMYFUNCTION("""COMPUTED_VALUE"""),"04406588000139")</f>
        <v>04406588000139</v>
      </c>
      <c r="E834" s="217" t="str">
        <f ca="1">IFERROR(__xludf.DUMMYFUNCTION("""COMPUTED_VALUE"""),"001")</f>
        <v>001</v>
      </c>
      <c r="F834" s="217" t="str">
        <f ca="1">IFERROR(__xludf.DUMMYFUNCTION("""COMPUTED_VALUE"""),"1595")</f>
        <v>1595</v>
      </c>
      <c r="G834" s="218" t="str">
        <f ca="1">IFERROR(__xludf.DUMMYFUNCTION("""COMPUTED_VALUE"""),"119105")</f>
        <v>119105</v>
      </c>
      <c r="H834" s="216" t="str">
        <f ca="1">IFERROR(__xludf.DUMMYFUNCTION("""COMPUTED_VALUE"""),"ENS FUND PARCIAL")</f>
        <v>ENS FUND PARCIAL</v>
      </c>
      <c r="I834" s="219">
        <f ca="1">IFERROR(__xludf.DUMMYFUNCTION("""COMPUTED_VALUE"""),50)</f>
        <v>50</v>
      </c>
    </row>
    <row r="835" spans="1:9" ht="18.75" customHeight="1">
      <c r="A835" s="215" t="str">
        <f ca="1">IFERROR(__xludf.DUMMYFUNCTION("""COMPUTED_VALUE"""),"Pedro Afonso")</f>
        <v>Pedro Afonso</v>
      </c>
      <c r="B835" s="215" t="str">
        <f ca="1">IFERROR(__xludf.DUMMYFUNCTION("""COMPUTED_VALUE"""),"Pedro Afonso")</f>
        <v>Pedro Afonso</v>
      </c>
      <c r="C835" s="216" t="str">
        <f ca="1">IFERROR(__xludf.DUMMYFUNCTION("""COMPUTED_VALUE"""),"ASSOCIAÇÃO DE PAIS E AMIGOS DOS EXCEPCIONAIS DE PEDRO AFONSO")</f>
        <v>ASSOCIAÇÃO DE PAIS E AMIGOS DOS EXCEPCIONAIS DE PEDRO AFONSO</v>
      </c>
      <c r="D835" s="217" t="str">
        <f ca="1">IFERROR(__xludf.DUMMYFUNCTION("""COMPUTED_VALUE"""),"04406588000139")</f>
        <v>04406588000139</v>
      </c>
      <c r="E835" s="217" t="str">
        <f ca="1">IFERROR(__xludf.DUMMYFUNCTION("""COMPUTED_VALUE"""),"001")</f>
        <v>001</v>
      </c>
      <c r="F835" s="217" t="str">
        <f ca="1">IFERROR(__xludf.DUMMYFUNCTION("""COMPUTED_VALUE"""),"1595")</f>
        <v>1595</v>
      </c>
      <c r="G835" s="218" t="str">
        <f ca="1">IFERROR(__xludf.DUMMYFUNCTION("""COMPUTED_VALUE"""),"119105")</f>
        <v>119105</v>
      </c>
      <c r="H835" s="216" t="str">
        <f ca="1">IFERROR(__xludf.DUMMYFUNCTION("""COMPUTED_VALUE"""),"AEE")</f>
        <v>AEE</v>
      </c>
      <c r="I835" s="219">
        <f ca="1">IFERROR(__xludf.DUMMYFUNCTION("""COMPUTED_VALUE"""),312.8)</f>
        <v>312.8</v>
      </c>
    </row>
    <row r="836" spans="1:9" ht="18.75" customHeight="1">
      <c r="A836" s="215" t="str">
        <f ca="1">IFERROR(__xludf.DUMMYFUNCTION("""COMPUTED_VALUE"""),"Pedro Afonso")</f>
        <v>Pedro Afonso</v>
      </c>
      <c r="B836" s="215" t="str">
        <f ca="1">IFERROR(__xludf.DUMMYFUNCTION("""COMPUTED_VALUE"""),"Pedro Afonso")</f>
        <v>Pedro Afonso</v>
      </c>
      <c r="C836" s="216" t="str">
        <f ca="1">IFERROR(__xludf.DUMMYFUNCTION("""COMPUTED_VALUE"""),"ASSOCIAÇÃO DE PAIS E AMIGOS DOS EXCEPCIONAIS DE PEDRO AFONSO")</f>
        <v>ASSOCIAÇÃO DE PAIS E AMIGOS DOS EXCEPCIONAIS DE PEDRO AFONSO</v>
      </c>
      <c r="D836" s="217" t="str">
        <f ca="1">IFERROR(__xludf.DUMMYFUNCTION("""COMPUTED_VALUE"""),"04406588000139")</f>
        <v>04406588000139</v>
      </c>
      <c r="E836" s="217" t="str">
        <f ca="1">IFERROR(__xludf.DUMMYFUNCTION("""COMPUTED_VALUE"""),"001")</f>
        <v>001</v>
      </c>
      <c r="F836" s="217" t="str">
        <f ca="1">IFERROR(__xludf.DUMMYFUNCTION("""COMPUTED_VALUE"""),"1595")</f>
        <v>1595</v>
      </c>
      <c r="G836" s="218" t="str">
        <f ca="1">IFERROR(__xludf.DUMMYFUNCTION("""COMPUTED_VALUE"""),"119105")</f>
        <v>119105</v>
      </c>
      <c r="H836" s="216" t="str">
        <f ca="1">IFERROR(__xludf.DUMMYFUNCTION("""COMPUTED_VALUE"""),"EJA")</f>
        <v>EJA</v>
      </c>
      <c r="I836" s="219">
        <f ca="1">IFERROR(__xludf.DUMMYFUNCTION("""COMPUTED_VALUE"""),885.599999999999)</f>
        <v>885.599999999999</v>
      </c>
    </row>
    <row r="837" spans="1:9" ht="18.75" customHeight="1">
      <c r="A837" s="215" t="str">
        <f ca="1">IFERROR(__xludf.DUMMYFUNCTION("""COMPUTED_VALUE"""),"Pedro Afonso")</f>
        <v>Pedro Afonso</v>
      </c>
      <c r="B837" s="215" t="str">
        <f ca="1">IFERROR(__xludf.DUMMYFUNCTION("""COMPUTED_VALUE"""),"Pedro Afonso")</f>
        <v>Pedro Afonso</v>
      </c>
      <c r="C837" s="216" t="str">
        <f ca="1">IFERROR(__xludf.DUMMYFUNCTION("""COMPUTED_VALUE"""),"A.A. EC.INDIGENAS")</f>
        <v>A.A. EC.INDIGENAS</v>
      </c>
      <c r="D837" s="217" t="str">
        <f ca="1">IFERROR(__xludf.DUMMYFUNCTION("""COMPUTED_VALUE"""),"06135108000178")</f>
        <v>06135108000178</v>
      </c>
      <c r="E837" s="217" t="str">
        <f ca="1">IFERROR(__xludf.DUMMYFUNCTION("""COMPUTED_VALUE"""),"001")</f>
        <v>001</v>
      </c>
      <c r="F837" s="217" t="str">
        <f ca="1">IFERROR(__xludf.DUMMYFUNCTION("""COMPUTED_VALUE"""),"1595")</f>
        <v>1595</v>
      </c>
      <c r="G837" s="218" t="str">
        <f ca="1">IFERROR(__xludf.DUMMYFUNCTION("""COMPUTED_VALUE"""),"114499")</f>
        <v>114499</v>
      </c>
      <c r="H837" s="216" t="str">
        <f ca="1">IFERROR(__xludf.DUMMYFUNCTION("""COMPUTED_VALUE"""),"INDIGENA")</f>
        <v>INDIGENA</v>
      </c>
      <c r="I837" s="219">
        <f ca="1">IFERROR(__xludf.DUMMYFUNCTION("""COMPUTED_VALUE"""),18868.3999999999)</f>
        <v>18868.3999999999</v>
      </c>
    </row>
    <row r="838" spans="1:9" ht="18.75" customHeight="1">
      <c r="A838" s="215" t="str">
        <f ca="1">IFERROR(__xludf.DUMMYFUNCTION("""COMPUTED_VALUE"""),"Pedro Afonso")</f>
        <v>Pedro Afonso</v>
      </c>
      <c r="B838" s="215" t="str">
        <f ca="1">IFERROR(__xludf.DUMMYFUNCTION("""COMPUTED_VALUE"""),"Pedro Afonso")</f>
        <v>Pedro Afonso</v>
      </c>
      <c r="C838" s="216" t="str">
        <f ca="1">IFERROR(__xludf.DUMMYFUNCTION("""COMPUTED_VALUE"""),"ASS. DE APOIO A ESCOLA ESTADUAL BOM TEMPO")</f>
        <v>ASS. DE APOIO A ESCOLA ESTADUAL BOM TEMPO</v>
      </c>
      <c r="D838" s="217" t="str">
        <f ca="1">IFERROR(__xludf.DUMMYFUNCTION("""COMPUTED_VALUE"""),"44776099000193")</f>
        <v>44776099000193</v>
      </c>
      <c r="E838" s="217" t="str">
        <f ca="1">IFERROR(__xludf.DUMMYFUNCTION("""COMPUTED_VALUE"""),"001")</f>
        <v>001</v>
      </c>
      <c r="F838" s="217" t="str">
        <f ca="1">IFERROR(__xludf.DUMMYFUNCTION("""COMPUTED_VALUE"""),"1595")</f>
        <v>1595</v>
      </c>
      <c r="G838" s="218" t="str">
        <f ca="1">IFERROR(__xludf.DUMMYFUNCTION("""COMPUTED_VALUE"""),"324981")</f>
        <v>324981</v>
      </c>
      <c r="H838" s="216" t="str">
        <f ca="1">IFERROR(__xludf.DUMMYFUNCTION("""COMPUTED_VALUE"""),"ENS FUND PARCIAL")</f>
        <v>ENS FUND PARCIAL</v>
      </c>
      <c r="I838" s="219">
        <f ca="1">IFERROR(__xludf.DUMMYFUNCTION("""COMPUTED_VALUE"""),410)</f>
        <v>410</v>
      </c>
    </row>
    <row r="839" spans="1:9" ht="18.75" customHeight="1">
      <c r="A839" s="215" t="str">
        <f ca="1">IFERROR(__xludf.DUMMYFUNCTION("""COMPUTED_VALUE"""),"Pedro Afonso")</f>
        <v>Pedro Afonso</v>
      </c>
      <c r="B839" s="215" t="str">
        <f ca="1">IFERROR(__xludf.DUMMYFUNCTION("""COMPUTED_VALUE"""),"Pedro Afonso")</f>
        <v>Pedro Afonso</v>
      </c>
      <c r="C839" s="216" t="str">
        <f ca="1">IFERROR(__xludf.DUMMYFUNCTION("""COMPUTED_VALUE"""),"ASS. DE APOIO A ESCOLA ESTADUAL BOM TEMPO")</f>
        <v>ASS. DE APOIO A ESCOLA ESTADUAL BOM TEMPO</v>
      </c>
      <c r="D839" s="217" t="str">
        <f ca="1">IFERROR(__xludf.DUMMYFUNCTION("""COMPUTED_VALUE"""),"44776099000193")</f>
        <v>44776099000193</v>
      </c>
      <c r="E839" s="217" t="str">
        <f ca="1">IFERROR(__xludf.DUMMYFUNCTION("""COMPUTED_VALUE"""),"001")</f>
        <v>001</v>
      </c>
      <c r="F839" s="217" t="str">
        <f ca="1">IFERROR(__xludf.DUMMYFUNCTION("""COMPUTED_VALUE"""),"1595")</f>
        <v>1595</v>
      </c>
      <c r="G839" s="218" t="str">
        <f ca="1">IFERROR(__xludf.DUMMYFUNCTION("""COMPUTED_VALUE"""),"324981")</f>
        <v>324981</v>
      </c>
      <c r="H839" s="216" t="str">
        <f ca="1">IFERROR(__xludf.DUMMYFUNCTION("""COMPUTED_VALUE"""),"ENSINO MEDIO PARCIAL")</f>
        <v>ENSINO MEDIO PARCIAL</v>
      </c>
      <c r="I839" s="219">
        <f ca="1">IFERROR(__xludf.DUMMYFUNCTION("""COMPUTED_VALUE"""),90)</f>
        <v>90</v>
      </c>
    </row>
    <row r="840" spans="1:9" ht="18.75" customHeight="1">
      <c r="A840" s="215" t="str">
        <f ca="1">IFERROR(__xludf.DUMMYFUNCTION("""COMPUTED_VALUE"""),"Pedro Afonso")</f>
        <v>Pedro Afonso</v>
      </c>
      <c r="B840" s="215" t="str">
        <f ca="1">IFERROR(__xludf.DUMMYFUNCTION("""COMPUTED_VALUE"""),"Pedro Afonso")</f>
        <v>Pedro Afonso</v>
      </c>
      <c r="C840" s="216" t="str">
        <f ca="1">IFERROR(__xludf.DUMMYFUNCTION("""COMPUTED_VALUE"""),"ASS. DE APOIO A ESCOLA ESTADUAL BOM TEMPO")</f>
        <v>ASS. DE APOIO A ESCOLA ESTADUAL BOM TEMPO</v>
      </c>
      <c r="D840" s="217" t="str">
        <f ca="1">IFERROR(__xludf.DUMMYFUNCTION("""COMPUTED_VALUE"""),"44776099000193")</f>
        <v>44776099000193</v>
      </c>
      <c r="E840" s="217" t="str">
        <f ca="1">IFERROR(__xludf.DUMMYFUNCTION("""COMPUTED_VALUE"""),"001")</f>
        <v>001</v>
      </c>
      <c r="F840" s="217" t="str">
        <f ca="1">IFERROR(__xludf.DUMMYFUNCTION("""COMPUTED_VALUE"""),"1595")</f>
        <v>1595</v>
      </c>
      <c r="G840" s="218" t="str">
        <f ca="1">IFERROR(__xludf.DUMMYFUNCTION("""COMPUTED_VALUE"""),"324981")</f>
        <v>324981</v>
      </c>
      <c r="H840" s="216" t="str">
        <f ca="1">IFERROR(__xludf.DUMMYFUNCTION("""COMPUTED_VALUE"""),"EJA")</f>
        <v>EJA</v>
      </c>
      <c r="I840" s="219">
        <f ca="1">IFERROR(__xludf.DUMMYFUNCTION("""COMPUTED_VALUE"""),106.6)</f>
        <v>106.6</v>
      </c>
    </row>
    <row r="841" spans="1:9" ht="18.75" customHeight="1">
      <c r="A841" s="215" t="str">
        <f ca="1">IFERROR(__xludf.DUMMYFUNCTION("""COMPUTED_VALUE"""),"Pedro Afonso")</f>
        <v>Pedro Afonso</v>
      </c>
      <c r="B841" s="215" t="str">
        <f ca="1">IFERROR(__xludf.DUMMYFUNCTION("""COMPUTED_VALUE"""),"Pedro Afonso")</f>
        <v>Pedro Afonso</v>
      </c>
      <c r="C841" s="216" t="str">
        <f ca="1">IFERROR(__xludf.DUMMYFUNCTION("""COMPUTED_VALUE"""),"A.A. AO COLÉGIO DE TEMPO INTEGRAL PROFESSOR ANTONIO BELARMINO FILHO")</f>
        <v>A.A. AO COLÉGIO DE TEMPO INTEGRAL PROFESSOR ANTONIO BELARMINO FILHO</v>
      </c>
      <c r="D841" s="217" t="str">
        <f ca="1">IFERROR(__xludf.DUMMYFUNCTION("""COMPUTED_VALUE"""),"47823286000179")</f>
        <v>47823286000179</v>
      </c>
      <c r="E841" s="217" t="str">
        <f ca="1">IFERROR(__xludf.DUMMYFUNCTION("""COMPUTED_VALUE"""),"001")</f>
        <v>001</v>
      </c>
      <c r="F841" s="217" t="str">
        <f ca="1">IFERROR(__xludf.DUMMYFUNCTION("""COMPUTED_VALUE"""),"1595")</f>
        <v>1595</v>
      </c>
      <c r="G841" s="218" t="str">
        <f ca="1">IFERROR(__xludf.DUMMYFUNCTION("""COMPUTED_VALUE"""),"334804")</f>
        <v>334804</v>
      </c>
      <c r="H841" s="216" t="str">
        <f ca="1">IFERROR(__xludf.DUMMYFUNCTION("""COMPUTED_VALUE"""),"ENS FUND INTEGRAL")</f>
        <v>ENS FUND INTEGRAL</v>
      </c>
      <c r="I841" s="219">
        <f ca="1">IFERROR(__xludf.DUMMYFUNCTION("""COMPUTED_VALUE"""),11014.8)</f>
        <v>11014.8</v>
      </c>
    </row>
    <row r="842" spans="1:9" ht="18.75" customHeight="1">
      <c r="A842" s="215" t="str">
        <f ca="1">IFERROR(__xludf.DUMMYFUNCTION("""COMPUTED_VALUE"""),"Pedro Afonso")</f>
        <v>Pedro Afonso</v>
      </c>
      <c r="B842" s="215" t="str">
        <f ca="1">IFERROR(__xludf.DUMMYFUNCTION("""COMPUTED_VALUE"""),"Pedro Afonso")</f>
        <v>Pedro Afonso</v>
      </c>
      <c r="C842" s="216" t="str">
        <f ca="1">IFERROR(__xludf.DUMMYFUNCTION("""COMPUTED_VALUE"""),"A.A. AO COLÉGIO DE TEMPO INTEGRAL PROFESSOR ANTONIO BELARMINO FILHO")</f>
        <v>A.A. AO COLÉGIO DE TEMPO INTEGRAL PROFESSOR ANTONIO BELARMINO FILHO</v>
      </c>
      <c r="D842" s="217" t="str">
        <f ca="1">IFERROR(__xludf.DUMMYFUNCTION("""COMPUTED_VALUE"""),"47823286000179")</f>
        <v>47823286000179</v>
      </c>
      <c r="E842" s="217" t="str">
        <f ca="1">IFERROR(__xludf.DUMMYFUNCTION("""COMPUTED_VALUE"""),"001")</f>
        <v>001</v>
      </c>
      <c r="F842" s="217" t="str">
        <f ca="1">IFERROR(__xludf.DUMMYFUNCTION("""COMPUTED_VALUE"""),"1595")</f>
        <v>1595</v>
      </c>
      <c r="G842" s="218" t="str">
        <f ca="1">IFERROR(__xludf.DUMMYFUNCTION("""COMPUTED_VALUE"""),"334804")</f>
        <v>334804</v>
      </c>
      <c r="H842" s="216" t="str">
        <f ca="1">IFERROR(__xludf.DUMMYFUNCTION("""COMPUTED_VALUE"""),"ENSINO MEDIO INTEGRAL")</f>
        <v>ENSINO MEDIO INTEGRAL</v>
      </c>
      <c r="I842" s="219">
        <f ca="1">IFERROR(__xludf.DUMMYFUNCTION("""COMPUTED_VALUE"""),2767.39999999999)</f>
        <v>2767.3999999999901</v>
      </c>
    </row>
    <row r="843" spans="1:9" ht="18.75" customHeight="1">
      <c r="A843" s="215" t="str">
        <f ca="1">IFERROR(__xludf.DUMMYFUNCTION("""COMPUTED_VALUE"""),"Pedro Afonso")</f>
        <v>Pedro Afonso</v>
      </c>
      <c r="B843" s="215" t="str">
        <f ca="1">IFERROR(__xludf.DUMMYFUNCTION("""COMPUTED_VALUE"""),"Recursolandia")</f>
        <v>Recursolandia</v>
      </c>
      <c r="C843" s="216" t="str">
        <f ca="1">IFERROR(__xludf.DUMMYFUNCTION("""COMPUTED_VALUE"""),"ASS. DE A. A ESCOLA EST. RECURSO I")</f>
        <v>ASS. DE A. A ESCOLA EST. RECURSO I</v>
      </c>
      <c r="D843" s="217" t="str">
        <f ca="1">IFERROR(__xludf.DUMMYFUNCTION("""COMPUTED_VALUE"""),"02021097000144")</f>
        <v>02021097000144</v>
      </c>
      <c r="E843" s="217" t="str">
        <f ca="1">IFERROR(__xludf.DUMMYFUNCTION("""COMPUTED_VALUE"""),"001")</f>
        <v>001</v>
      </c>
      <c r="F843" s="217" t="str">
        <f ca="1">IFERROR(__xludf.DUMMYFUNCTION("""COMPUTED_VALUE"""),"1595")</f>
        <v>1595</v>
      </c>
      <c r="G843" s="218" t="str">
        <f ca="1">IFERROR(__xludf.DUMMYFUNCTION("""COMPUTED_VALUE"""),"11029")</f>
        <v>11029</v>
      </c>
      <c r="H843" s="216" t="str">
        <f ca="1">IFERROR(__xludf.DUMMYFUNCTION("""COMPUTED_VALUE"""),"ENS FUND PARCIAL")</f>
        <v>ENS FUND PARCIAL</v>
      </c>
      <c r="I843" s="219">
        <f ca="1">IFERROR(__xludf.DUMMYFUNCTION("""COMPUTED_VALUE"""),1210)</f>
        <v>1210</v>
      </c>
    </row>
    <row r="844" spans="1:9" ht="18.75" customHeight="1">
      <c r="A844" s="215" t="str">
        <f ca="1">IFERROR(__xludf.DUMMYFUNCTION("""COMPUTED_VALUE"""),"Pedro Afonso")</f>
        <v>Pedro Afonso</v>
      </c>
      <c r="B844" s="215" t="str">
        <f ca="1">IFERROR(__xludf.DUMMYFUNCTION("""COMPUTED_VALUE"""),"Recursolandia")</f>
        <v>Recursolandia</v>
      </c>
      <c r="C844" s="216" t="str">
        <f ca="1">IFERROR(__xludf.DUMMYFUNCTION("""COMPUTED_VALUE"""),"ASS. DE A. A ESCOLA EST. RECURSO I")</f>
        <v>ASS. DE A. A ESCOLA EST. RECURSO I</v>
      </c>
      <c r="D844" s="217" t="str">
        <f ca="1">IFERROR(__xludf.DUMMYFUNCTION("""COMPUTED_VALUE"""),"02021097000144")</f>
        <v>02021097000144</v>
      </c>
      <c r="E844" s="217" t="str">
        <f ca="1">IFERROR(__xludf.DUMMYFUNCTION("""COMPUTED_VALUE"""),"001")</f>
        <v>001</v>
      </c>
      <c r="F844" s="217" t="str">
        <f ca="1">IFERROR(__xludf.DUMMYFUNCTION("""COMPUTED_VALUE"""),"1595")</f>
        <v>1595</v>
      </c>
      <c r="G844" s="218" t="str">
        <f ca="1">IFERROR(__xludf.DUMMYFUNCTION("""COMPUTED_VALUE"""),"11029")</f>
        <v>11029</v>
      </c>
      <c r="H844" s="216" t="str">
        <f ca="1">IFERROR(__xludf.DUMMYFUNCTION("""COMPUTED_VALUE"""),"ENSINO MEDIO PARCIAL")</f>
        <v>ENSINO MEDIO PARCIAL</v>
      </c>
      <c r="I844" s="219">
        <f ca="1">IFERROR(__xludf.DUMMYFUNCTION("""COMPUTED_VALUE"""),1890)</f>
        <v>1890</v>
      </c>
    </row>
    <row r="845" spans="1:9" ht="18.75" customHeight="1">
      <c r="A845" s="215" t="str">
        <f ca="1">IFERROR(__xludf.DUMMYFUNCTION("""COMPUTED_VALUE"""),"Pedro Afonso")</f>
        <v>Pedro Afonso</v>
      </c>
      <c r="B845" s="215" t="str">
        <f ca="1">IFERROR(__xludf.DUMMYFUNCTION("""COMPUTED_VALUE"""),"Santa Maria do Tocantins")</f>
        <v>Santa Maria do Tocantins</v>
      </c>
      <c r="C845" s="216" t="str">
        <f ca="1">IFERROR(__xludf.DUMMYFUNCTION("""COMPUTED_VALUE"""),"A. A.AS ESC.DO COL. EST. SANTA MARIA")</f>
        <v>A. A.AS ESC.DO COL. EST. SANTA MARIA</v>
      </c>
      <c r="D845" s="217" t="str">
        <f ca="1">IFERROR(__xludf.DUMMYFUNCTION("""COMPUTED_VALUE"""),"02087933000193")</f>
        <v>02087933000193</v>
      </c>
      <c r="E845" s="217" t="str">
        <f ca="1">IFERROR(__xludf.DUMMYFUNCTION("""COMPUTED_VALUE"""),"001")</f>
        <v>001</v>
      </c>
      <c r="F845" s="217" t="str">
        <f ca="1">IFERROR(__xludf.DUMMYFUNCTION("""COMPUTED_VALUE"""),"1595")</f>
        <v>1595</v>
      </c>
      <c r="G845" s="218" t="str">
        <f ca="1">IFERROR(__xludf.DUMMYFUNCTION("""COMPUTED_VALUE"""),"83089")</f>
        <v>83089</v>
      </c>
      <c r="H845" s="216" t="str">
        <f ca="1">IFERROR(__xludf.DUMMYFUNCTION("""COMPUTED_VALUE"""),"ENS FUND PARCIAL")</f>
        <v>ENS FUND PARCIAL</v>
      </c>
      <c r="I845" s="219">
        <f ca="1">IFERROR(__xludf.DUMMYFUNCTION("""COMPUTED_VALUE"""),1380)</f>
        <v>1380</v>
      </c>
    </row>
    <row r="846" spans="1:9" ht="18.75" customHeight="1">
      <c r="A846" s="215" t="str">
        <f ca="1">IFERROR(__xludf.DUMMYFUNCTION("""COMPUTED_VALUE"""),"Pedro Afonso")</f>
        <v>Pedro Afonso</v>
      </c>
      <c r="B846" s="215" t="str">
        <f ca="1">IFERROR(__xludf.DUMMYFUNCTION("""COMPUTED_VALUE"""),"Santa Maria do Tocantins")</f>
        <v>Santa Maria do Tocantins</v>
      </c>
      <c r="C846" s="216" t="str">
        <f ca="1">IFERROR(__xludf.DUMMYFUNCTION("""COMPUTED_VALUE"""),"A. A.AS ESC.DO COL. EST. SANTA MARIA")</f>
        <v>A. A.AS ESC.DO COL. EST. SANTA MARIA</v>
      </c>
      <c r="D846" s="217" t="str">
        <f ca="1">IFERROR(__xludf.DUMMYFUNCTION("""COMPUTED_VALUE"""),"02087933000193")</f>
        <v>02087933000193</v>
      </c>
      <c r="E846" s="217" t="str">
        <f ca="1">IFERROR(__xludf.DUMMYFUNCTION("""COMPUTED_VALUE"""),"001")</f>
        <v>001</v>
      </c>
      <c r="F846" s="217" t="str">
        <f ca="1">IFERROR(__xludf.DUMMYFUNCTION("""COMPUTED_VALUE"""),"1595")</f>
        <v>1595</v>
      </c>
      <c r="G846" s="218" t="str">
        <f ca="1">IFERROR(__xludf.DUMMYFUNCTION("""COMPUTED_VALUE"""),"83089")</f>
        <v>83089</v>
      </c>
      <c r="H846" s="216" t="str">
        <f ca="1">IFERROR(__xludf.DUMMYFUNCTION("""COMPUTED_VALUE"""),"ENS FUND INTEGRAL")</f>
        <v>ENS FUND INTEGRAL</v>
      </c>
      <c r="I846" s="219">
        <f ca="1">IFERROR(__xludf.DUMMYFUNCTION("""COMPUTED_VALUE"""),2904.39999999999)</f>
        <v>2904.3999999999901</v>
      </c>
    </row>
    <row r="847" spans="1:9" ht="18.75" customHeight="1">
      <c r="A847" s="215" t="str">
        <f ca="1">IFERROR(__xludf.DUMMYFUNCTION("""COMPUTED_VALUE"""),"Pedro Afonso")</f>
        <v>Pedro Afonso</v>
      </c>
      <c r="B847" s="215" t="str">
        <f ca="1">IFERROR(__xludf.DUMMYFUNCTION("""COMPUTED_VALUE"""),"Santa Maria do Tocantins")</f>
        <v>Santa Maria do Tocantins</v>
      </c>
      <c r="C847" s="216" t="str">
        <f ca="1">IFERROR(__xludf.DUMMYFUNCTION("""COMPUTED_VALUE"""),"A. A.AS ESC.DO COL. EST. SANTA MARIA")</f>
        <v>A. A.AS ESC.DO COL. EST. SANTA MARIA</v>
      </c>
      <c r="D847" s="217" t="str">
        <f ca="1">IFERROR(__xludf.DUMMYFUNCTION("""COMPUTED_VALUE"""),"02087933000193")</f>
        <v>02087933000193</v>
      </c>
      <c r="E847" s="217" t="str">
        <f ca="1">IFERROR(__xludf.DUMMYFUNCTION("""COMPUTED_VALUE"""),"001")</f>
        <v>001</v>
      </c>
      <c r="F847" s="217" t="str">
        <f ca="1">IFERROR(__xludf.DUMMYFUNCTION("""COMPUTED_VALUE"""),"1595")</f>
        <v>1595</v>
      </c>
      <c r="G847" s="218" t="str">
        <f ca="1">IFERROR(__xludf.DUMMYFUNCTION("""COMPUTED_VALUE"""),"83089")</f>
        <v>83089</v>
      </c>
      <c r="H847" s="216" t="str">
        <f ca="1">IFERROR(__xludf.DUMMYFUNCTION("""COMPUTED_VALUE"""),"ENSINO MEDIO PARCIAL")</f>
        <v>ENSINO MEDIO PARCIAL</v>
      </c>
      <c r="I847" s="219">
        <f ca="1">IFERROR(__xludf.DUMMYFUNCTION("""COMPUTED_VALUE"""),1180)</f>
        <v>1180</v>
      </c>
    </row>
    <row r="848" spans="1:9" ht="18.75" customHeight="1">
      <c r="A848" s="215" t="str">
        <f ca="1">IFERROR(__xludf.DUMMYFUNCTION("""COMPUTED_VALUE"""),"Pedro Afonso")</f>
        <v>Pedro Afonso</v>
      </c>
      <c r="B848" s="215" t="str">
        <f ca="1">IFERROR(__xludf.DUMMYFUNCTION("""COMPUTED_VALUE"""),"Tupirama")</f>
        <v>Tupirama</v>
      </c>
      <c r="C848" s="216" t="str">
        <f ca="1">IFERROR(__xludf.DUMMYFUNCTION("""COMPUTED_VALUE"""),"A.A. A ESCOLA EST. MARIA DA GLORIA")</f>
        <v>A.A. A ESCOLA EST. MARIA DA GLORIA</v>
      </c>
      <c r="D848" s="217" t="str">
        <f ca="1">IFERROR(__xludf.DUMMYFUNCTION("""COMPUTED_VALUE"""),"02096555000104")</f>
        <v>02096555000104</v>
      </c>
      <c r="E848" s="217" t="str">
        <f ca="1">IFERROR(__xludf.DUMMYFUNCTION("""COMPUTED_VALUE"""),"001")</f>
        <v>001</v>
      </c>
      <c r="F848" s="217" t="str">
        <f ca="1">IFERROR(__xludf.DUMMYFUNCTION("""COMPUTED_VALUE"""),"2094")</f>
        <v>2094</v>
      </c>
      <c r="G848" s="218" t="str">
        <f ca="1">IFERROR(__xludf.DUMMYFUNCTION("""COMPUTED_VALUE"""),"50482")</f>
        <v>50482</v>
      </c>
      <c r="H848" s="216" t="str">
        <f ca="1">IFERROR(__xludf.DUMMYFUNCTION("""COMPUTED_VALUE"""),"ENS FUND INTEGRAL")</f>
        <v>ENS FUND INTEGRAL</v>
      </c>
      <c r="I848" s="219">
        <f ca="1">IFERROR(__xludf.DUMMYFUNCTION("""COMPUTED_VALUE"""),3671.6)</f>
        <v>3671.6</v>
      </c>
    </row>
    <row r="849" spans="1:9" ht="18.75" customHeight="1">
      <c r="A849" s="215" t="str">
        <f ca="1">IFERROR(__xludf.DUMMYFUNCTION("""COMPUTED_VALUE"""),"Pedro Afonso")</f>
        <v>Pedro Afonso</v>
      </c>
      <c r="B849" s="215" t="str">
        <f ca="1">IFERROR(__xludf.DUMMYFUNCTION("""COMPUTED_VALUE"""),"Tupirama")</f>
        <v>Tupirama</v>
      </c>
      <c r="C849" s="216" t="str">
        <f ca="1">IFERROR(__xludf.DUMMYFUNCTION("""COMPUTED_VALUE"""),"A.A. A ESCOLA EST. MARIA DA GLORIA")</f>
        <v>A.A. A ESCOLA EST. MARIA DA GLORIA</v>
      </c>
      <c r="D849" s="217" t="str">
        <f ca="1">IFERROR(__xludf.DUMMYFUNCTION("""COMPUTED_VALUE"""),"02096555000104")</f>
        <v>02096555000104</v>
      </c>
      <c r="E849" s="217" t="str">
        <f ca="1">IFERROR(__xludf.DUMMYFUNCTION("""COMPUTED_VALUE"""),"001")</f>
        <v>001</v>
      </c>
      <c r="F849" s="217" t="str">
        <f ca="1">IFERROR(__xludf.DUMMYFUNCTION("""COMPUTED_VALUE"""),"2094")</f>
        <v>2094</v>
      </c>
      <c r="G849" s="218" t="str">
        <f ca="1">IFERROR(__xludf.DUMMYFUNCTION("""COMPUTED_VALUE"""),"50482")</f>
        <v>50482</v>
      </c>
      <c r="H849" s="216" t="str">
        <f ca="1">IFERROR(__xludf.DUMMYFUNCTION("""COMPUTED_VALUE"""),"ENSINO MEDIO PARCIAL")</f>
        <v>ENSINO MEDIO PARCIAL</v>
      </c>
      <c r="I849" s="219">
        <f ca="1">IFERROR(__xludf.DUMMYFUNCTION("""COMPUTED_VALUE"""),580)</f>
        <v>580</v>
      </c>
    </row>
    <row r="850" spans="1:9" ht="18.75" customHeight="1">
      <c r="A850" s="215" t="str">
        <f ca="1">IFERROR(__xludf.DUMMYFUNCTION("""COMPUTED_VALUE"""),"Pedro Afonso")</f>
        <v>Pedro Afonso</v>
      </c>
      <c r="B850" s="215" t="str">
        <f ca="1">IFERROR(__xludf.DUMMYFUNCTION("""COMPUTED_VALUE"""),"Tupirama")</f>
        <v>Tupirama</v>
      </c>
      <c r="C850" s="216" t="str">
        <f ca="1">IFERROR(__xludf.DUMMYFUNCTION("""COMPUTED_VALUE"""),"A.A. A ESCOLA EST. MARIA DA GLORIA")</f>
        <v>A.A. A ESCOLA EST. MARIA DA GLORIA</v>
      </c>
      <c r="D850" s="217" t="str">
        <f ca="1">IFERROR(__xludf.DUMMYFUNCTION("""COMPUTED_VALUE"""),"02096555000104")</f>
        <v>02096555000104</v>
      </c>
      <c r="E850" s="217" t="str">
        <f ca="1">IFERROR(__xludf.DUMMYFUNCTION("""COMPUTED_VALUE"""),"001")</f>
        <v>001</v>
      </c>
      <c r="F850" s="217" t="str">
        <f ca="1">IFERROR(__xludf.DUMMYFUNCTION("""COMPUTED_VALUE"""),"2094")</f>
        <v>2094</v>
      </c>
      <c r="G850" s="218" t="str">
        <f ca="1">IFERROR(__xludf.DUMMYFUNCTION("""COMPUTED_VALUE"""),"50482")</f>
        <v>50482</v>
      </c>
      <c r="H850" s="216" t="str">
        <f ca="1">IFERROR(__xludf.DUMMYFUNCTION("""COMPUTED_VALUE"""),"ENSINO MEDIO INTEGRAL")</f>
        <v>ENSINO MEDIO INTEGRAL</v>
      </c>
      <c r="I850" s="219">
        <f ca="1">IFERROR(__xludf.DUMMYFUNCTION("""COMPUTED_VALUE"""),2383.79999999999)</f>
        <v>2383.7999999999902</v>
      </c>
    </row>
    <row r="851" spans="1:9" ht="18.75" customHeight="1">
      <c r="A851" s="215" t="str">
        <f ca="1">IFERROR(__xludf.DUMMYFUNCTION("""COMPUTED_VALUE"""),"Porto Nacional")</f>
        <v>Porto Nacional</v>
      </c>
      <c r="B851" s="215" t="str">
        <f ca="1">IFERROR(__xludf.DUMMYFUNCTION("""COMPUTED_VALUE"""),"Brejinho de Nazare")</f>
        <v>Brejinho de Nazare</v>
      </c>
      <c r="C851" s="216" t="str">
        <f ca="1">IFERROR(__xludf.DUMMYFUNCTION("""COMPUTED_VALUE"""),"AS.DE APOIO A ESC. EST. JONAS PEREIRA LIMA")</f>
        <v>AS.DE APOIO A ESC. EST. JONAS PEREIRA LIMA</v>
      </c>
      <c r="D851" s="217" t="str">
        <f ca="1">IFERROR(__xludf.DUMMYFUNCTION("""COMPUTED_VALUE"""),"01148459000108")</f>
        <v>01148459000108</v>
      </c>
      <c r="E851" s="217" t="str">
        <f ca="1">IFERROR(__xludf.DUMMYFUNCTION("""COMPUTED_VALUE"""),"001")</f>
        <v>001</v>
      </c>
      <c r="F851" s="217" t="str">
        <f ca="1">IFERROR(__xludf.DUMMYFUNCTION("""COMPUTED_VALUE"""),"3976")</f>
        <v>3976</v>
      </c>
      <c r="G851" s="218" t="str">
        <f ca="1">IFERROR(__xludf.DUMMYFUNCTION("""COMPUTED_VALUE"""),"80489")</f>
        <v>80489</v>
      </c>
      <c r="H851" s="216" t="str">
        <f ca="1">IFERROR(__xludf.DUMMYFUNCTION("""COMPUTED_VALUE"""),"ENS FUND INTEGRAL")</f>
        <v>ENS FUND INTEGRAL</v>
      </c>
      <c r="I851" s="219">
        <f ca="1">IFERROR(__xludf.DUMMYFUNCTION("""COMPUTED_VALUE"""),6987)</f>
        <v>6987</v>
      </c>
    </row>
    <row r="852" spans="1:9" ht="18.75" customHeight="1">
      <c r="A852" s="215" t="str">
        <f ca="1">IFERROR(__xludf.DUMMYFUNCTION("""COMPUTED_VALUE"""),"Porto Nacional")</f>
        <v>Porto Nacional</v>
      </c>
      <c r="B852" s="215" t="str">
        <f ca="1">IFERROR(__xludf.DUMMYFUNCTION("""COMPUTED_VALUE"""),"Brejinho de Nazare")</f>
        <v>Brejinho de Nazare</v>
      </c>
      <c r="C852" s="216" t="str">
        <f ca="1">IFERROR(__xludf.DUMMYFUNCTION("""COMPUTED_VALUE"""),"AS.DE APOIO A ESC. EST. JONAS PEREIRA LIMA")</f>
        <v>AS.DE APOIO A ESC. EST. JONAS PEREIRA LIMA</v>
      </c>
      <c r="D852" s="217" t="str">
        <f ca="1">IFERROR(__xludf.DUMMYFUNCTION("""COMPUTED_VALUE"""),"01148459000108")</f>
        <v>01148459000108</v>
      </c>
      <c r="E852" s="217" t="str">
        <f ca="1">IFERROR(__xludf.DUMMYFUNCTION("""COMPUTED_VALUE"""),"001")</f>
        <v>001</v>
      </c>
      <c r="F852" s="217" t="str">
        <f ca="1">IFERROR(__xludf.DUMMYFUNCTION("""COMPUTED_VALUE"""),"3976")</f>
        <v>3976</v>
      </c>
      <c r="G852" s="218" t="str">
        <f ca="1">IFERROR(__xludf.DUMMYFUNCTION("""COMPUTED_VALUE"""),"80489")</f>
        <v>80489</v>
      </c>
      <c r="H852" s="216" t="str">
        <f ca="1">IFERROR(__xludf.DUMMYFUNCTION("""COMPUTED_VALUE"""),"AEE")</f>
        <v>AEE</v>
      </c>
      <c r="I852" s="219">
        <f ca="1">IFERROR(__xludf.DUMMYFUNCTION("""COMPUTED_VALUE"""),217.6)</f>
        <v>217.6</v>
      </c>
    </row>
    <row r="853" spans="1:9" ht="18.75" customHeight="1">
      <c r="A853" s="215" t="str">
        <f ca="1">IFERROR(__xludf.DUMMYFUNCTION("""COMPUTED_VALUE"""),"Porto Nacional")</f>
        <v>Porto Nacional</v>
      </c>
      <c r="B853" s="215" t="str">
        <f ca="1">IFERROR(__xludf.DUMMYFUNCTION("""COMPUTED_VALUE"""),"Brejinho de Nazare")</f>
        <v>Brejinho de Nazare</v>
      </c>
      <c r="C853" s="216" t="str">
        <f ca="1">IFERROR(__xludf.DUMMYFUNCTION("""COMPUTED_VALUE"""),"A.A. DO COLEGIO ESTADUAL PADRAO")</f>
        <v>A.A. DO COLEGIO ESTADUAL PADRAO</v>
      </c>
      <c r="D853" s="217" t="str">
        <f ca="1">IFERROR(__xludf.DUMMYFUNCTION("""COMPUTED_VALUE"""),"01181175000105")</f>
        <v>01181175000105</v>
      </c>
      <c r="E853" s="217" t="str">
        <f ca="1">IFERROR(__xludf.DUMMYFUNCTION("""COMPUTED_VALUE"""),"001")</f>
        <v>001</v>
      </c>
      <c r="F853" s="217" t="str">
        <f ca="1">IFERROR(__xludf.DUMMYFUNCTION("""COMPUTED_VALUE"""),"3976")</f>
        <v>3976</v>
      </c>
      <c r="G853" s="218" t="str">
        <f ca="1">IFERROR(__xludf.DUMMYFUNCTION("""COMPUTED_VALUE"""),"51047")</f>
        <v>51047</v>
      </c>
      <c r="H853" s="216" t="str">
        <f ca="1">IFERROR(__xludf.DUMMYFUNCTION("""COMPUTED_VALUE"""),"JOVEM AÇÃO")</f>
        <v>JOVEM AÇÃO</v>
      </c>
      <c r="I853" s="219">
        <f ca="1">IFERROR(__xludf.DUMMYFUNCTION("""COMPUTED_VALUE"""),8960)</f>
        <v>8960</v>
      </c>
    </row>
    <row r="854" spans="1:9" ht="18.75" customHeight="1">
      <c r="A854" s="215" t="str">
        <f ca="1">IFERROR(__xludf.DUMMYFUNCTION("""COMPUTED_VALUE"""),"Porto Nacional")</f>
        <v>Porto Nacional</v>
      </c>
      <c r="B854" s="215" t="str">
        <f ca="1">IFERROR(__xludf.DUMMYFUNCTION("""COMPUTED_VALUE"""),"Chapada da Natividade")</f>
        <v>Chapada da Natividade</v>
      </c>
      <c r="C854" s="216" t="str">
        <f ca="1">IFERROR(__xludf.DUMMYFUNCTION("""COMPUTED_VALUE"""),"A. APOIO ESCOLA EST. FULGENCIO NUNES")</f>
        <v>A. APOIO ESCOLA EST. FULGENCIO NUNES</v>
      </c>
      <c r="D854" s="217" t="str">
        <f ca="1">IFERROR(__xludf.DUMMYFUNCTION("""COMPUTED_VALUE"""),"01257085000150")</f>
        <v>01257085000150</v>
      </c>
      <c r="E854" s="217" t="str">
        <f ca="1">IFERROR(__xludf.DUMMYFUNCTION("""COMPUTED_VALUE"""),"003")</f>
        <v>003</v>
      </c>
      <c r="F854" s="217" t="str">
        <f ca="1">IFERROR(__xludf.DUMMYFUNCTION("""COMPUTED_VALUE"""),"0037")</f>
        <v>0037</v>
      </c>
      <c r="G854" s="218" t="str">
        <f ca="1">IFERROR(__xludf.DUMMYFUNCTION("""COMPUTED_VALUE"""),"706153")</f>
        <v>706153</v>
      </c>
      <c r="H854" s="216" t="str">
        <f ca="1">IFERROR(__xludf.DUMMYFUNCTION("""COMPUTED_VALUE"""),"QUILOMBOLA")</f>
        <v>QUILOMBOLA</v>
      </c>
      <c r="I854" s="219">
        <f ca="1">IFERROR(__xludf.DUMMYFUNCTION("""COMPUTED_VALUE"""),5624.4)</f>
        <v>5624.4</v>
      </c>
    </row>
    <row r="855" spans="1:9" ht="18.75" customHeight="1">
      <c r="A855" s="215" t="str">
        <f ca="1">IFERROR(__xludf.DUMMYFUNCTION("""COMPUTED_VALUE"""),"Porto Nacional")</f>
        <v>Porto Nacional</v>
      </c>
      <c r="B855" s="215" t="str">
        <f ca="1">IFERROR(__xludf.DUMMYFUNCTION("""COMPUTED_VALUE"""),"Fatima")</f>
        <v>Fatima</v>
      </c>
      <c r="C855" s="216" t="str">
        <f ca="1">IFERROR(__xludf.DUMMYFUNCTION("""COMPUTED_VALUE"""),"A.A. ESCOLA ESTADUAL CONCEICAO BRITO")</f>
        <v>A.A. ESCOLA ESTADUAL CONCEICAO BRITO</v>
      </c>
      <c r="D855" s="217" t="str">
        <f ca="1">IFERROR(__xludf.DUMMYFUNCTION("""COMPUTED_VALUE"""),"01268285000109")</f>
        <v>01268285000109</v>
      </c>
      <c r="E855" s="217" t="str">
        <f ca="1">IFERROR(__xludf.DUMMYFUNCTION("""COMPUTED_VALUE"""),"001")</f>
        <v>001</v>
      </c>
      <c r="F855" s="217" t="str">
        <f ca="1">IFERROR(__xludf.DUMMYFUNCTION("""COMPUTED_VALUE"""),"4107")</f>
        <v>4107</v>
      </c>
      <c r="G855" s="218" t="str">
        <f ca="1">IFERROR(__xludf.DUMMYFUNCTION("""COMPUTED_VALUE"""),"50911")</f>
        <v>50911</v>
      </c>
      <c r="H855" s="216" t="str">
        <f ca="1">IFERROR(__xludf.DUMMYFUNCTION("""COMPUTED_VALUE"""),"ENS FUND PARCIAL")</f>
        <v>ENS FUND PARCIAL</v>
      </c>
      <c r="I855" s="219">
        <f ca="1">IFERROR(__xludf.DUMMYFUNCTION("""COMPUTED_VALUE"""),2690)</f>
        <v>2690</v>
      </c>
    </row>
    <row r="856" spans="1:9" ht="18.75" customHeight="1">
      <c r="A856" s="215" t="str">
        <f ca="1">IFERROR(__xludf.DUMMYFUNCTION("""COMPUTED_VALUE"""),"Porto Nacional")</f>
        <v>Porto Nacional</v>
      </c>
      <c r="B856" s="215" t="str">
        <f ca="1">IFERROR(__xludf.DUMMYFUNCTION("""COMPUTED_VALUE"""),"Fatima")</f>
        <v>Fatima</v>
      </c>
      <c r="C856" s="216" t="str">
        <f ca="1">IFERROR(__xludf.DUMMYFUNCTION("""COMPUTED_VALUE"""),"A.A. ESCOLA ESTADUAL CONCEICAO BRITO")</f>
        <v>A.A. ESCOLA ESTADUAL CONCEICAO BRITO</v>
      </c>
      <c r="D856" s="217" t="str">
        <f ca="1">IFERROR(__xludf.DUMMYFUNCTION("""COMPUTED_VALUE"""),"01268285000109")</f>
        <v>01268285000109</v>
      </c>
      <c r="E856" s="217" t="str">
        <f ca="1">IFERROR(__xludf.DUMMYFUNCTION("""COMPUTED_VALUE"""),"001")</f>
        <v>001</v>
      </c>
      <c r="F856" s="217" t="str">
        <f ca="1">IFERROR(__xludf.DUMMYFUNCTION("""COMPUTED_VALUE"""),"4107")</f>
        <v>4107</v>
      </c>
      <c r="G856" s="218" t="str">
        <f ca="1">IFERROR(__xludf.DUMMYFUNCTION("""COMPUTED_VALUE"""),"50911")</f>
        <v>50911</v>
      </c>
      <c r="H856" s="216" t="str">
        <f ca="1">IFERROR(__xludf.DUMMYFUNCTION("""COMPUTED_VALUE"""),"AEE")</f>
        <v>AEE</v>
      </c>
      <c r="I856" s="219">
        <f ca="1">IFERROR(__xludf.DUMMYFUNCTION("""COMPUTED_VALUE"""),122.399999999999)</f>
        <v>122.399999999999</v>
      </c>
    </row>
    <row r="857" spans="1:9" ht="18.75" customHeight="1">
      <c r="A857" s="215" t="str">
        <f ca="1">IFERROR(__xludf.DUMMYFUNCTION("""COMPUTED_VALUE"""),"Porto Nacional")</f>
        <v>Porto Nacional</v>
      </c>
      <c r="B857" s="215" t="str">
        <f ca="1">IFERROR(__xludf.DUMMYFUNCTION("""COMPUTED_VALUE"""),"Fatima")</f>
        <v>Fatima</v>
      </c>
      <c r="C857" s="216" t="str">
        <f ca="1">IFERROR(__xludf.DUMMYFUNCTION("""COMPUTED_VALUE"""),"A.A. ESCOLA ESTADUAL CONCEICAO BRITO")</f>
        <v>A.A. ESCOLA ESTADUAL CONCEICAO BRITO</v>
      </c>
      <c r="D857" s="217" t="str">
        <f ca="1">IFERROR(__xludf.DUMMYFUNCTION("""COMPUTED_VALUE"""),"01268285000109")</f>
        <v>01268285000109</v>
      </c>
      <c r="E857" s="217" t="str">
        <f ca="1">IFERROR(__xludf.DUMMYFUNCTION("""COMPUTED_VALUE"""),"001")</f>
        <v>001</v>
      </c>
      <c r="F857" s="217" t="str">
        <f ca="1">IFERROR(__xludf.DUMMYFUNCTION("""COMPUTED_VALUE"""),"4107")</f>
        <v>4107</v>
      </c>
      <c r="G857" s="218" t="str">
        <f ca="1">IFERROR(__xludf.DUMMYFUNCTION("""COMPUTED_VALUE"""),"50911")</f>
        <v>50911</v>
      </c>
      <c r="H857" s="216" t="str">
        <f ca="1">IFERROR(__xludf.DUMMYFUNCTION("""COMPUTED_VALUE"""),"ENSINO MEDIO PARCIAL")</f>
        <v>ENSINO MEDIO PARCIAL</v>
      </c>
      <c r="I857" s="219">
        <f ca="1">IFERROR(__xludf.DUMMYFUNCTION("""COMPUTED_VALUE"""),1320)</f>
        <v>1320</v>
      </c>
    </row>
    <row r="858" spans="1:9" ht="18.75" customHeight="1">
      <c r="A858" s="215" t="str">
        <f ca="1">IFERROR(__xludf.DUMMYFUNCTION("""COMPUTED_VALUE"""),"Porto Nacional")</f>
        <v>Porto Nacional</v>
      </c>
      <c r="B858" s="215" t="str">
        <f ca="1">IFERROR(__xludf.DUMMYFUNCTION("""COMPUTED_VALUE"""),"Fatima")</f>
        <v>Fatima</v>
      </c>
      <c r="C858" s="216" t="str">
        <f ca="1">IFERROR(__xludf.DUMMYFUNCTION("""COMPUTED_VALUE"""),"ASSOC. DE APOIO A ESCOLA ESPECIAL RENASCER")</f>
        <v>ASSOC. DE APOIO A ESCOLA ESPECIAL RENASCER</v>
      </c>
      <c r="D858" s="217" t="str">
        <f ca="1">IFERROR(__xludf.DUMMYFUNCTION("""COMPUTED_VALUE"""),"11726757000183")</f>
        <v>11726757000183</v>
      </c>
      <c r="E858" s="217" t="str">
        <f ca="1">IFERROR(__xludf.DUMMYFUNCTION("""COMPUTED_VALUE"""),"001")</f>
        <v>001</v>
      </c>
      <c r="F858" s="217" t="str">
        <f ca="1">IFERROR(__xludf.DUMMYFUNCTION("""COMPUTED_VALUE"""),"4107")</f>
        <v>4107</v>
      </c>
      <c r="G858" s="218" t="str">
        <f ca="1">IFERROR(__xludf.DUMMYFUNCTION("""COMPUTED_VALUE"""),"7991X")</f>
        <v>7991X</v>
      </c>
      <c r="H858" s="216" t="str">
        <f ca="1">IFERROR(__xludf.DUMMYFUNCTION("""COMPUTED_VALUE"""),"AEE")</f>
        <v>AEE</v>
      </c>
      <c r="I858" s="219">
        <f ca="1">IFERROR(__xludf.DUMMYFUNCTION("""COMPUTED_VALUE"""),244.799999999999)</f>
        <v>244.79999999999899</v>
      </c>
    </row>
    <row r="859" spans="1:9" ht="18.75" customHeight="1">
      <c r="A859" s="215" t="str">
        <f ca="1">IFERROR(__xludf.DUMMYFUNCTION("""COMPUTED_VALUE"""),"Porto Nacional")</f>
        <v>Porto Nacional</v>
      </c>
      <c r="B859" s="215" t="str">
        <f ca="1">IFERROR(__xludf.DUMMYFUNCTION("""COMPUTED_VALUE"""),"Fatima")</f>
        <v>Fatima</v>
      </c>
      <c r="C859" s="216" t="str">
        <f ca="1">IFERROR(__xludf.DUMMYFUNCTION("""COMPUTED_VALUE"""),"ASSOC. DE APOIO A ESCOLA ESPECIAL RENASCER")</f>
        <v>ASSOC. DE APOIO A ESCOLA ESPECIAL RENASCER</v>
      </c>
      <c r="D859" s="217" t="str">
        <f ca="1">IFERROR(__xludf.DUMMYFUNCTION("""COMPUTED_VALUE"""),"11726757000183")</f>
        <v>11726757000183</v>
      </c>
      <c r="E859" s="217" t="str">
        <f ca="1">IFERROR(__xludf.DUMMYFUNCTION("""COMPUTED_VALUE"""),"001")</f>
        <v>001</v>
      </c>
      <c r="F859" s="217" t="str">
        <f ca="1">IFERROR(__xludf.DUMMYFUNCTION("""COMPUTED_VALUE"""),"4107")</f>
        <v>4107</v>
      </c>
      <c r="G859" s="218" t="str">
        <f ca="1">IFERROR(__xludf.DUMMYFUNCTION("""COMPUTED_VALUE"""),"7991X")</f>
        <v>7991X</v>
      </c>
      <c r="H859" s="216" t="str">
        <f ca="1">IFERROR(__xludf.DUMMYFUNCTION("""COMPUTED_VALUE"""),"EJA")</f>
        <v>EJA</v>
      </c>
      <c r="I859" s="219">
        <f ca="1">IFERROR(__xludf.DUMMYFUNCTION("""COMPUTED_VALUE"""),270.599999999999)</f>
        <v>270.599999999999</v>
      </c>
    </row>
    <row r="860" spans="1:9" ht="18.75" customHeight="1">
      <c r="A860" s="215" t="str">
        <f ca="1">IFERROR(__xludf.DUMMYFUNCTION("""COMPUTED_VALUE"""),"Porto Nacional")</f>
        <v>Porto Nacional</v>
      </c>
      <c r="B860" s="215" t="str">
        <f ca="1">IFERROR(__xludf.DUMMYFUNCTION("""COMPUTED_VALUE"""),"Ipueiras")</f>
        <v>Ipueiras</v>
      </c>
      <c r="C860" s="216" t="str">
        <f ca="1">IFERROR(__xludf.DUMMYFUNCTION("""COMPUTED_VALUE"""),"ASSOC. DE APOIO DA ESC. EST. FELIX CAMOA")</f>
        <v>ASSOC. DE APOIO DA ESC. EST. FELIX CAMOA</v>
      </c>
      <c r="D860" s="217" t="str">
        <f ca="1">IFERROR(__xludf.DUMMYFUNCTION("""COMPUTED_VALUE"""),"01469443000199")</f>
        <v>01469443000199</v>
      </c>
      <c r="E860" s="217" t="str">
        <f ca="1">IFERROR(__xludf.DUMMYFUNCTION("""COMPUTED_VALUE"""),"001")</f>
        <v>001</v>
      </c>
      <c r="F860" s="217" t="str">
        <f ca="1">IFERROR(__xludf.DUMMYFUNCTION("""COMPUTED_VALUE"""),"1117")</f>
        <v>1117</v>
      </c>
      <c r="G860" s="218" t="str">
        <f ca="1">IFERROR(__xludf.DUMMYFUNCTION("""COMPUTED_VALUE"""),"315052")</f>
        <v>315052</v>
      </c>
      <c r="H860" s="216" t="str">
        <f ca="1">IFERROR(__xludf.DUMMYFUNCTION("""COMPUTED_VALUE"""),"ENS FUND PARCIAL")</f>
        <v>ENS FUND PARCIAL</v>
      </c>
      <c r="I860" s="219">
        <f ca="1">IFERROR(__xludf.DUMMYFUNCTION("""COMPUTED_VALUE"""),200)</f>
        <v>200</v>
      </c>
    </row>
    <row r="861" spans="1:9" ht="18.75" customHeight="1">
      <c r="A861" s="215" t="str">
        <f ca="1">IFERROR(__xludf.DUMMYFUNCTION("""COMPUTED_VALUE"""),"Porto Nacional")</f>
        <v>Porto Nacional</v>
      </c>
      <c r="B861" s="215" t="str">
        <f ca="1">IFERROR(__xludf.DUMMYFUNCTION("""COMPUTED_VALUE"""),"Ipueiras")</f>
        <v>Ipueiras</v>
      </c>
      <c r="C861" s="216" t="str">
        <f ca="1">IFERROR(__xludf.DUMMYFUNCTION("""COMPUTED_VALUE"""),"ASSOC. DE APOIO DA ESC. EST. FELIX CAMOA")</f>
        <v>ASSOC. DE APOIO DA ESC. EST. FELIX CAMOA</v>
      </c>
      <c r="D861" s="217" t="str">
        <f ca="1">IFERROR(__xludf.DUMMYFUNCTION("""COMPUTED_VALUE"""),"01469443000199")</f>
        <v>01469443000199</v>
      </c>
      <c r="E861" s="217" t="str">
        <f ca="1">IFERROR(__xludf.DUMMYFUNCTION("""COMPUTED_VALUE"""),"001")</f>
        <v>001</v>
      </c>
      <c r="F861" s="217" t="str">
        <f ca="1">IFERROR(__xludf.DUMMYFUNCTION("""COMPUTED_VALUE"""),"1117")</f>
        <v>1117</v>
      </c>
      <c r="G861" s="218" t="str">
        <f ca="1">IFERROR(__xludf.DUMMYFUNCTION("""COMPUTED_VALUE"""),"315052")</f>
        <v>315052</v>
      </c>
      <c r="H861" s="216" t="str">
        <f ca="1">IFERROR(__xludf.DUMMYFUNCTION("""COMPUTED_VALUE"""),"AEE")</f>
        <v>AEE</v>
      </c>
      <c r="I861" s="219">
        <f ca="1">IFERROR(__xludf.DUMMYFUNCTION("""COMPUTED_VALUE"""),54.4)</f>
        <v>54.4</v>
      </c>
    </row>
    <row r="862" spans="1:9" ht="18.75" customHeight="1">
      <c r="A862" s="215" t="str">
        <f ca="1">IFERROR(__xludf.DUMMYFUNCTION("""COMPUTED_VALUE"""),"Porto Nacional")</f>
        <v>Porto Nacional</v>
      </c>
      <c r="B862" s="215" t="str">
        <f ca="1">IFERROR(__xludf.DUMMYFUNCTION("""COMPUTED_VALUE"""),"Ipueiras")</f>
        <v>Ipueiras</v>
      </c>
      <c r="C862" s="216" t="str">
        <f ca="1">IFERROR(__xludf.DUMMYFUNCTION("""COMPUTED_VALUE"""),"ASSOC. DE APOIO DA ESC. EST. FELIX CAMOA")</f>
        <v>ASSOC. DE APOIO DA ESC. EST. FELIX CAMOA</v>
      </c>
      <c r="D862" s="217" t="str">
        <f ca="1">IFERROR(__xludf.DUMMYFUNCTION("""COMPUTED_VALUE"""),"01469443000199")</f>
        <v>01469443000199</v>
      </c>
      <c r="E862" s="217" t="str">
        <f ca="1">IFERROR(__xludf.DUMMYFUNCTION("""COMPUTED_VALUE"""),"001")</f>
        <v>001</v>
      </c>
      <c r="F862" s="217" t="str">
        <f ca="1">IFERROR(__xludf.DUMMYFUNCTION("""COMPUTED_VALUE"""),"1117")</f>
        <v>1117</v>
      </c>
      <c r="G862" s="218" t="str">
        <f ca="1">IFERROR(__xludf.DUMMYFUNCTION("""COMPUTED_VALUE"""),"315052")</f>
        <v>315052</v>
      </c>
      <c r="H862" s="216" t="str">
        <f ca="1">IFERROR(__xludf.DUMMYFUNCTION("""COMPUTED_VALUE"""),"ENSINO MEDIO PARCIAL")</f>
        <v>ENSINO MEDIO PARCIAL</v>
      </c>
      <c r="I862" s="219">
        <f ca="1">IFERROR(__xludf.DUMMYFUNCTION("""COMPUTED_VALUE"""),720)</f>
        <v>720</v>
      </c>
    </row>
    <row r="863" spans="1:9" ht="18.75" customHeight="1">
      <c r="A863" s="215" t="str">
        <f ca="1">IFERROR(__xludf.DUMMYFUNCTION("""COMPUTED_VALUE"""),"Porto Nacional")</f>
        <v>Porto Nacional</v>
      </c>
      <c r="B863" s="215" t="str">
        <f ca="1">IFERROR(__xludf.DUMMYFUNCTION("""COMPUTED_VALUE"""),"Ipueiras")</f>
        <v>Ipueiras</v>
      </c>
      <c r="C863" s="216" t="str">
        <f ca="1">IFERROR(__xludf.DUMMYFUNCTION("""COMPUTED_VALUE"""),"ASSOC. DE APOIO DA ESC. EST. FELIX CAMOA")</f>
        <v>ASSOC. DE APOIO DA ESC. EST. FELIX CAMOA</v>
      </c>
      <c r="D863" s="217" t="str">
        <f ca="1">IFERROR(__xludf.DUMMYFUNCTION("""COMPUTED_VALUE"""),"01469443000199")</f>
        <v>01469443000199</v>
      </c>
      <c r="E863" s="217" t="str">
        <f ca="1">IFERROR(__xludf.DUMMYFUNCTION("""COMPUTED_VALUE"""),"001")</f>
        <v>001</v>
      </c>
      <c r="F863" s="217" t="str">
        <f ca="1">IFERROR(__xludf.DUMMYFUNCTION("""COMPUTED_VALUE"""),"1117")</f>
        <v>1117</v>
      </c>
      <c r="G863" s="218" t="str">
        <f ca="1">IFERROR(__xludf.DUMMYFUNCTION("""COMPUTED_VALUE"""),"315052")</f>
        <v>315052</v>
      </c>
      <c r="H863" s="216" t="str">
        <f ca="1">IFERROR(__xludf.DUMMYFUNCTION("""COMPUTED_VALUE"""),"EJA")</f>
        <v>EJA</v>
      </c>
      <c r="I863" s="219">
        <f ca="1">IFERROR(__xludf.DUMMYFUNCTION("""COMPUTED_VALUE"""),122.999999999999)</f>
        <v>122.99999999999901</v>
      </c>
    </row>
    <row r="864" spans="1:9" ht="18.75" customHeight="1">
      <c r="A864" s="215" t="str">
        <f ca="1">IFERROR(__xludf.DUMMYFUNCTION("""COMPUTED_VALUE"""),"Porto Nacional")</f>
        <v>Porto Nacional</v>
      </c>
      <c r="B864" s="215" t="str">
        <f ca="1">IFERROR(__xludf.DUMMYFUNCTION("""COMPUTED_VALUE"""),"Monte do Carmo")</f>
        <v>Monte do Carmo</v>
      </c>
      <c r="C864" s="216" t="str">
        <f ca="1">IFERROR(__xludf.DUMMYFUNCTION("""COMPUTED_VALUE"""),"A.APOIO DA ESCOLA ESTADUAL MESTRA BELA")</f>
        <v>A.APOIO DA ESCOLA ESTADUAL MESTRA BELA</v>
      </c>
      <c r="D864" s="217" t="str">
        <f ca="1">IFERROR(__xludf.DUMMYFUNCTION("""COMPUTED_VALUE"""),"01071442000191")</f>
        <v>01071442000191</v>
      </c>
      <c r="E864" s="217" t="str">
        <f ca="1">IFERROR(__xludf.DUMMYFUNCTION("""COMPUTED_VALUE"""),"001")</f>
        <v>001</v>
      </c>
      <c r="F864" s="217" t="str">
        <f ca="1">IFERROR(__xludf.DUMMYFUNCTION("""COMPUTED_VALUE"""),"1117")</f>
        <v>1117</v>
      </c>
      <c r="G864" s="218" t="str">
        <f ca="1">IFERROR(__xludf.DUMMYFUNCTION("""COMPUTED_VALUE"""),"31286X")</f>
        <v>31286X</v>
      </c>
      <c r="H864" s="216" t="str">
        <f ca="1">IFERROR(__xludf.DUMMYFUNCTION("""COMPUTED_VALUE"""),"ENS FUND INTEGRAL")</f>
        <v>ENS FUND INTEGRAL</v>
      </c>
      <c r="I864" s="219">
        <f ca="1">IFERROR(__xludf.DUMMYFUNCTION("""COMPUTED_VALUE"""),3014)</f>
        <v>3014</v>
      </c>
    </row>
    <row r="865" spans="1:9" ht="18.75" customHeight="1">
      <c r="A865" s="215" t="str">
        <f ca="1">IFERROR(__xludf.DUMMYFUNCTION("""COMPUTED_VALUE"""),"Porto Nacional")</f>
        <v>Porto Nacional</v>
      </c>
      <c r="B865" s="215" t="str">
        <f ca="1">IFERROR(__xludf.DUMMYFUNCTION("""COMPUTED_VALUE"""),"Monte do Carmo")</f>
        <v>Monte do Carmo</v>
      </c>
      <c r="C865" s="216" t="str">
        <f ca="1">IFERROR(__xludf.DUMMYFUNCTION("""COMPUTED_VALUE"""),"A.APOIO DA ESCOLA ESTADUAL MESTRA BELA")</f>
        <v>A.APOIO DA ESCOLA ESTADUAL MESTRA BELA</v>
      </c>
      <c r="D865" s="217" t="str">
        <f ca="1">IFERROR(__xludf.DUMMYFUNCTION("""COMPUTED_VALUE"""),"01071442000191")</f>
        <v>01071442000191</v>
      </c>
      <c r="E865" s="217" t="str">
        <f ca="1">IFERROR(__xludf.DUMMYFUNCTION("""COMPUTED_VALUE"""),"001")</f>
        <v>001</v>
      </c>
      <c r="F865" s="217" t="str">
        <f ca="1">IFERROR(__xludf.DUMMYFUNCTION("""COMPUTED_VALUE"""),"1117")</f>
        <v>1117</v>
      </c>
      <c r="G865" s="218" t="str">
        <f ca="1">IFERROR(__xludf.DUMMYFUNCTION("""COMPUTED_VALUE"""),"31286X")</f>
        <v>31286X</v>
      </c>
      <c r="H865" s="216" t="str">
        <f ca="1">IFERROR(__xludf.DUMMYFUNCTION("""COMPUTED_VALUE"""),"AEE")</f>
        <v>AEE</v>
      </c>
      <c r="I865" s="219">
        <f ca="1">IFERROR(__xludf.DUMMYFUNCTION("""COMPUTED_VALUE"""),136)</f>
        <v>136</v>
      </c>
    </row>
    <row r="866" spans="1:9" ht="18.75" customHeight="1">
      <c r="A866" s="215" t="str">
        <f ca="1">IFERROR(__xludf.DUMMYFUNCTION("""COMPUTED_VALUE"""),"Porto Nacional")</f>
        <v>Porto Nacional</v>
      </c>
      <c r="B866" s="215" t="str">
        <f ca="1">IFERROR(__xludf.DUMMYFUNCTION("""COMPUTED_VALUE"""),"Monte do Carmo")</f>
        <v>Monte do Carmo</v>
      </c>
      <c r="C866" s="216" t="str">
        <f ca="1">IFERROR(__xludf.DUMMYFUNCTION("""COMPUTED_VALUE"""),"A.A.  DO COLEGIO EST. PADRE GAMA")</f>
        <v>A.A.  DO COLEGIO EST. PADRE GAMA</v>
      </c>
      <c r="D866" s="217" t="str">
        <f ca="1">IFERROR(__xludf.DUMMYFUNCTION("""COMPUTED_VALUE"""),"01071443000136")</f>
        <v>01071443000136</v>
      </c>
      <c r="E866" s="217" t="str">
        <f ca="1">IFERROR(__xludf.DUMMYFUNCTION("""COMPUTED_VALUE"""),"001")</f>
        <v>001</v>
      </c>
      <c r="F866" s="217" t="str">
        <f ca="1">IFERROR(__xludf.DUMMYFUNCTION("""COMPUTED_VALUE"""),"1117")</f>
        <v>1117</v>
      </c>
      <c r="G866" s="218" t="str">
        <f ca="1">IFERROR(__xludf.DUMMYFUNCTION("""COMPUTED_VALUE"""),"0312878")</f>
        <v>0312878</v>
      </c>
      <c r="H866" s="216" t="str">
        <f ca="1">IFERROR(__xludf.DUMMYFUNCTION("""COMPUTED_VALUE"""),"ENS FUND PARCIAL")</f>
        <v>ENS FUND PARCIAL</v>
      </c>
      <c r="I866" s="219">
        <f ca="1">IFERROR(__xludf.DUMMYFUNCTION("""COMPUTED_VALUE"""),1430)</f>
        <v>1430</v>
      </c>
    </row>
    <row r="867" spans="1:9" ht="18.75" customHeight="1">
      <c r="A867" s="215" t="str">
        <f ca="1">IFERROR(__xludf.DUMMYFUNCTION("""COMPUTED_VALUE"""),"Porto Nacional")</f>
        <v>Porto Nacional</v>
      </c>
      <c r="B867" s="215" t="str">
        <f ca="1">IFERROR(__xludf.DUMMYFUNCTION("""COMPUTED_VALUE"""),"Monte do Carmo")</f>
        <v>Monte do Carmo</v>
      </c>
      <c r="C867" s="216" t="str">
        <f ca="1">IFERROR(__xludf.DUMMYFUNCTION("""COMPUTED_VALUE"""),"A.A.  DO COLEGIO EST. PADRE GAMA")</f>
        <v>A.A.  DO COLEGIO EST. PADRE GAMA</v>
      </c>
      <c r="D867" s="217" t="str">
        <f ca="1">IFERROR(__xludf.DUMMYFUNCTION("""COMPUTED_VALUE"""),"01071443000136")</f>
        <v>01071443000136</v>
      </c>
      <c r="E867" s="217" t="str">
        <f ca="1">IFERROR(__xludf.DUMMYFUNCTION("""COMPUTED_VALUE"""),"001")</f>
        <v>001</v>
      </c>
      <c r="F867" s="217" t="str">
        <f ca="1">IFERROR(__xludf.DUMMYFUNCTION("""COMPUTED_VALUE"""),"1117")</f>
        <v>1117</v>
      </c>
      <c r="G867" s="218" t="str">
        <f ca="1">IFERROR(__xludf.DUMMYFUNCTION("""COMPUTED_VALUE"""),"0312878")</f>
        <v>0312878</v>
      </c>
      <c r="H867" s="216" t="str">
        <f ca="1">IFERROR(__xludf.DUMMYFUNCTION("""COMPUTED_VALUE"""),"AEE")</f>
        <v>AEE</v>
      </c>
      <c r="I867" s="219">
        <f ca="1">IFERROR(__xludf.DUMMYFUNCTION("""COMPUTED_VALUE"""),149.6)</f>
        <v>149.6</v>
      </c>
    </row>
    <row r="868" spans="1:9" ht="18.75" customHeight="1">
      <c r="A868" s="215" t="str">
        <f ca="1">IFERROR(__xludf.DUMMYFUNCTION("""COMPUTED_VALUE"""),"Porto Nacional")</f>
        <v>Porto Nacional</v>
      </c>
      <c r="B868" s="215" t="str">
        <f ca="1">IFERROR(__xludf.DUMMYFUNCTION("""COMPUTED_VALUE"""),"Monte do Carmo")</f>
        <v>Monte do Carmo</v>
      </c>
      <c r="C868" s="216" t="str">
        <f ca="1">IFERROR(__xludf.DUMMYFUNCTION("""COMPUTED_VALUE"""),"A.A.  DO COLEGIO EST. PADRE GAMA")</f>
        <v>A.A.  DO COLEGIO EST. PADRE GAMA</v>
      </c>
      <c r="D868" s="217" t="str">
        <f ca="1">IFERROR(__xludf.DUMMYFUNCTION("""COMPUTED_VALUE"""),"01071443000136")</f>
        <v>01071443000136</v>
      </c>
      <c r="E868" s="217" t="str">
        <f ca="1">IFERROR(__xludf.DUMMYFUNCTION("""COMPUTED_VALUE"""),"001")</f>
        <v>001</v>
      </c>
      <c r="F868" s="217" t="str">
        <f ca="1">IFERROR(__xludf.DUMMYFUNCTION("""COMPUTED_VALUE"""),"1117")</f>
        <v>1117</v>
      </c>
      <c r="G868" s="218" t="str">
        <f ca="1">IFERROR(__xludf.DUMMYFUNCTION("""COMPUTED_VALUE"""),"0312878")</f>
        <v>0312878</v>
      </c>
      <c r="H868" s="216" t="str">
        <f ca="1">IFERROR(__xludf.DUMMYFUNCTION("""COMPUTED_VALUE"""),"ENSINO MEDIO PARCIAL")</f>
        <v>ENSINO MEDIO PARCIAL</v>
      </c>
      <c r="I868" s="219">
        <f ca="1">IFERROR(__xludf.DUMMYFUNCTION("""COMPUTED_VALUE"""),1480)</f>
        <v>1480</v>
      </c>
    </row>
    <row r="869" spans="1:9" ht="18.75" customHeight="1">
      <c r="A869" s="215" t="str">
        <f ca="1">IFERROR(__xludf.DUMMYFUNCTION("""COMPUTED_VALUE"""),"Porto Nacional")</f>
        <v>Porto Nacional</v>
      </c>
      <c r="B869" s="215" t="str">
        <f ca="1">IFERROR(__xludf.DUMMYFUNCTION("""COMPUTED_VALUE"""),"Monte do Carmo")</f>
        <v>Monte do Carmo</v>
      </c>
      <c r="C869" s="216" t="str">
        <f ca="1">IFERROR(__xludf.DUMMYFUNCTION("""COMPUTED_VALUE"""),"A.A.  DO COLEGIO EST. PADRE GAMA")</f>
        <v>A.A.  DO COLEGIO EST. PADRE GAMA</v>
      </c>
      <c r="D869" s="217" t="str">
        <f ca="1">IFERROR(__xludf.DUMMYFUNCTION("""COMPUTED_VALUE"""),"01071443000136")</f>
        <v>01071443000136</v>
      </c>
      <c r="E869" s="217" t="str">
        <f ca="1">IFERROR(__xludf.DUMMYFUNCTION("""COMPUTED_VALUE"""),"001")</f>
        <v>001</v>
      </c>
      <c r="F869" s="217" t="str">
        <f ca="1">IFERROR(__xludf.DUMMYFUNCTION("""COMPUTED_VALUE"""),"1117")</f>
        <v>1117</v>
      </c>
      <c r="G869" s="218" t="str">
        <f ca="1">IFERROR(__xludf.DUMMYFUNCTION("""COMPUTED_VALUE"""),"0312878")</f>
        <v>0312878</v>
      </c>
      <c r="H869" s="216" t="str">
        <f ca="1">IFERROR(__xludf.DUMMYFUNCTION("""COMPUTED_VALUE"""),"EJA")</f>
        <v>EJA</v>
      </c>
      <c r="I869" s="219">
        <f ca="1">IFERROR(__xludf.DUMMYFUNCTION("""COMPUTED_VALUE"""),188.6)</f>
        <v>188.6</v>
      </c>
    </row>
    <row r="870" spans="1:9" ht="18.75" customHeight="1">
      <c r="A870" s="215" t="str">
        <f ca="1">IFERROR(__xludf.DUMMYFUNCTION("""COMPUTED_VALUE"""),"Porto Nacional")</f>
        <v>Porto Nacional</v>
      </c>
      <c r="B870" s="215" t="str">
        <f ca="1">IFERROR(__xludf.DUMMYFUNCTION("""COMPUTED_VALUE"""),"Monte do Carmo")</f>
        <v>Monte do Carmo</v>
      </c>
      <c r="C870" s="216" t="str">
        <f ca="1">IFERROR(__xludf.DUMMYFUNCTION("""COMPUTED_VALUE"""),"A.A. DA ESC. EST. BRIGADAS CHE GUEVARA")</f>
        <v>A.A. DA ESC. EST. BRIGADAS CHE GUEVARA</v>
      </c>
      <c r="D870" s="217" t="str">
        <f ca="1">IFERROR(__xludf.DUMMYFUNCTION("""COMPUTED_VALUE"""),"08593650000108")</f>
        <v>08593650000108</v>
      </c>
      <c r="E870" s="217" t="str">
        <f ca="1">IFERROR(__xludf.DUMMYFUNCTION("""COMPUTED_VALUE"""),"001")</f>
        <v>001</v>
      </c>
      <c r="F870" s="217" t="str">
        <f ca="1">IFERROR(__xludf.DUMMYFUNCTION("""COMPUTED_VALUE"""),"1117")</f>
        <v>1117</v>
      </c>
      <c r="G870" s="218" t="str">
        <f ca="1">IFERROR(__xludf.DUMMYFUNCTION("""COMPUTED_VALUE"""),"263060")</f>
        <v>263060</v>
      </c>
      <c r="H870" s="216" t="str">
        <f ca="1">IFERROR(__xludf.DUMMYFUNCTION("""COMPUTED_VALUE"""),"ENSINO MEDIO INTEGRAL")</f>
        <v>ENSINO MEDIO INTEGRAL</v>
      </c>
      <c r="I870" s="219">
        <f ca="1">IFERROR(__xludf.DUMMYFUNCTION("""COMPUTED_VALUE"""),1287.8)</f>
        <v>1287.8</v>
      </c>
    </row>
    <row r="871" spans="1:9" ht="18.75" customHeight="1">
      <c r="A871" s="215" t="str">
        <f ca="1">IFERROR(__xludf.DUMMYFUNCTION("""COMPUTED_VALUE"""),"Porto Nacional")</f>
        <v>Porto Nacional</v>
      </c>
      <c r="B871" s="215" t="str">
        <f ca="1">IFERROR(__xludf.DUMMYFUNCTION("""COMPUTED_VALUE"""),"Monte do Carmo")</f>
        <v>Monte do Carmo</v>
      </c>
      <c r="C871" s="216" t="str">
        <f ca="1">IFERROR(__xludf.DUMMYFUNCTION("""COMPUTED_VALUE"""),"ASSOC. APOIA A ESC. EST. PROF.DINA DE OLIVEIRA AMORIM")</f>
        <v>ASSOC. APOIA A ESC. EST. PROF.DINA DE OLIVEIRA AMORIM</v>
      </c>
      <c r="D871" s="217" t="str">
        <f ca="1">IFERROR(__xludf.DUMMYFUNCTION("""COMPUTED_VALUE"""),"16437349000125")</f>
        <v>16437349000125</v>
      </c>
      <c r="E871" s="217" t="str">
        <f ca="1">IFERROR(__xludf.DUMMYFUNCTION("""COMPUTED_VALUE"""),"001")</f>
        <v>001</v>
      </c>
      <c r="F871" s="217" t="str">
        <f ca="1">IFERROR(__xludf.DUMMYFUNCTION("""COMPUTED_VALUE"""),"1117")</f>
        <v>1117</v>
      </c>
      <c r="G871" s="218" t="str">
        <f ca="1">IFERROR(__xludf.DUMMYFUNCTION("""COMPUTED_VALUE"""),"339113")</f>
        <v>339113</v>
      </c>
      <c r="H871" s="216" t="str">
        <f ca="1">IFERROR(__xludf.DUMMYFUNCTION("""COMPUTED_VALUE"""),"ENS FUND PARCIAL")</f>
        <v>ENS FUND PARCIAL</v>
      </c>
      <c r="I871" s="219">
        <f ca="1">IFERROR(__xludf.DUMMYFUNCTION("""COMPUTED_VALUE"""),720)</f>
        <v>720</v>
      </c>
    </row>
    <row r="872" spans="1:9" ht="18.75" customHeight="1">
      <c r="A872" s="215" t="str">
        <f ca="1">IFERROR(__xludf.DUMMYFUNCTION("""COMPUTED_VALUE"""),"Porto Nacional")</f>
        <v>Porto Nacional</v>
      </c>
      <c r="B872" s="215" t="str">
        <f ca="1">IFERROR(__xludf.DUMMYFUNCTION("""COMPUTED_VALUE"""),"Natividade")</f>
        <v>Natividade</v>
      </c>
      <c r="C872" s="216" t="str">
        <f ca="1">IFERROR(__xludf.DUMMYFUNCTION("""COMPUTED_VALUE"""),"A.A. E. EST.NOSSA SENHORA DE FATIMA")</f>
        <v>A.A. E. EST.NOSSA SENHORA DE FATIMA</v>
      </c>
      <c r="D872" s="217" t="str">
        <f ca="1">IFERROR(__xludf.DUMMYFUNCTION("""COMPUTED_VALUE"""),"01064860000151")</f>
        <v>01064860000151</v>
      </c>
      <c r="E872" s="217" t="str">
        <f ca="1">IFERROR(__xludf.DUMMYFUNCTION("""COMPUTED_VALUE"""),"003")</f>
        <v>003</v>
      </c>
      <c r="F872" s="217" t="str">
        <f ca="1">IFERROR(__xludf.DUMMYFUNCTION("""COMPUTED_VALUE"""),"0037")</f>
        <v>0037</v>
      </c>
      <c r="G872" s="218" t="str">
        <f ca="1">IFERROR(__xludf.DUMMYFUNCTION("""COMPUTED_VALUE"""),"0702646")</f>
        <v>0702646</v>
      </c>
      <c r="H872" s="216" t="str">
        <f ca="1">IFERROR(__xludf.DUMMYFUNCTION("""COMPUTED_VALUE"""),"ENS FUND PARCIAL")</f>
        <v>ENS FUND PARCIAL</v>
      </c>
      <c r="I872" s="219">
        <f ca="1">IFERROR(__xludf.DUMMYFUNCTION("""COMPUTED_VALUE"""),3000)</f>
        <v>3000</v>
      </c>
    </row>
    <row r="873" spans="1:9" ht="18.75" customHeight="1">
      <c r="A873" s="215" t="str">
        <f ca="1">IFERROR(__xludf.DUMMYFUNCTION("""COMPUTED_VALUE"""),"Porto Nacional")</f>
        <v>Porto Nacional</v>
      </c>
      <c r="B873" s="215" t="str">
        <f ca="1">IFERROR(__xludf.DUMMYFUNCTION("""COMPUTED_VALUE"""),"Natividade")</f>
        <v>Natividade</v>
      </c>
      <c r="C873" s="216" t="str">
        <f ca="1">IFERROR(__xludf.DUMMYFUNCTION("""COMPUTED_VALUE"""),"A.A. E. EST.NOSSA SENHORA DE FATIMA")</f>
        <v>A.A. E. EST.NOSSA SENHORA DE FATIMA</v>
      </c>
      <c r="D873" s="217" t="str">
        <f ca="1">IFERROR(__xludf.DUMMYFUNCTION("""COMPUTED_VALUE"""),"01064860000151")</f>
        <v>01064860000151</v>
      </c>
      <c r="E873" s="217" t="str">
        <f ca="1">IFERROR(__xludf.DUMMYFUNCTION("""COMPUTED_VALUE"""),"003")</f>
        <v>003</v>
      </c>
      <c r="F873" s="217" t="str">
        <f ca="1">IFERROR(__xludf.DUMMYFUNCTION("""COMPUTED_VALUE"""),"0037")</f>
        <v>0037</v>
      </c>
      <c r="G873" s="218" t="str">
        <f ca="1">IFERROR(__xludf.DUMMYFUNCTION("""COMPUTED_VALUE"""),"0702646")</f>
        <v>0702646</v>
      </c>
      <c r="H873" s="216" t="str">
        <f ca="1">IFERROR(__xludf.DUMMYFUNCTION("""COMPUTED_VALUE"""),"AEE")</f>
        <v>AEE</v>
      </c>
      <c r="I873" s="219">
        <f ca="1">IFERROR(__xludf.DUMMYFUNCTION("""COMPUTED_VALUE"""),149.6)</f>
        <v>149.6</v>
      </c>
    </row>
    <row r="874" spans="1:9" ht="18.75" customHeight="1">
      <c r="A874" s="215" t="str">
        <f ca="1">IFERROR(__xludf.DUMMYFUNCTION("""COMPUTED_VALUE"""),"Porto Nacional")</f>
        <v>Porto Nacional</v>
      </c>
      <c r="B874" s="215" t="str">
        <f ca="1">IFERROR(__xludf.DUMMYFUNCTION("""COMPUTED_VALUE"""),"Natividade")</f>
        <v>Natividade</v>
      </c>
      <c r="C874" s="216" t="str">
        <f ca="1">IFERROR(__xludf.DUMMYFUNCTION("""COMPUTED_VALUE"""),"A.A. COL. EST. DR.QUINTILIANO DA SILVA")</f>
        <v>A.A. COL. EST. DR.QUINTILIANO DA SILVA</v>
      </c>
      <c r="D874" s="217" t="str">
        <f ca="1">IFERROR(__xludf.DUMMYFUNCTION("""COMPUTED_VALUE"""),"01133702000106")</f>
        <v>01133702000106</v>
      </c>
      <c r="E874" s="217" t="str">
        <f ca="1">IFERROR(__xludf.DUMMYFUNCTION("""COMPUTED_VALUE"""),"003")</f>
        <v>003</v>
      </c>
      <c r="F874" s="217" t="str">
        <f ca="1">IFERROR(__xludf.DUMMYFUNCTION("""COMPUTED_VALUE"""),"0037")</f>
        <v>0037</v>
      </c>
      <c r="G874" s="218" t="str">
        <f ca="1">IFERROR(__xludf.DUMMYFUNCTION("""COMPUTED_VALUE"""),"0702727")</f>
        <v>0702727</v>
      </c>
      <c r="H874" s="216" t="str">
        <f ca="1">IFERROR(__xludf.DUMMYFUNCTION("""COMPUTED_VALUE"""),"ENS FUND PARCIAL")</f>
        <v>ENS FUND PARCIAL</v>
      </c>
      <c r="I874" s="219">
        <f ca="1">IFERROR(__xludf.DUMMYFUNCTION("""COMPUTED_VALUE"""),1550)</f>
        <v>1550</v>
      </c>
    </row>
    <row r="875" spans="1:9" ht="18.75" customHeight="1">
      <c r="A875" s="215" t="str">
        <f ca="1">IFERROR(__xludf.DUMMYFUNCTION("""COMPUTED_VALUE"""),"Porto Nacional")</f>
        <v>Porto Nacional</v>
      </c>
      <c r="B875" s="215" t="str">
        <f ca="1">IFERROR(__xludf.DUMMYFUNCTION("""COMPUTED_VALUE"""),"Natividade")</f>
        <v>Natividade</v>
      </c>
      <c r="C875" s="216" t="str">
        <f ca="1">IFERROR(__xludf.DUMMYFUNCTION("""COMPUTED_VALUE"""),"A.A. COL. EST. DR.QUINTILIANO DA SILVA")</f>
        <v>A.A. COL. EST. DR.QUINTILIANO DA SILVA</v>
      </c>
      <c r="D875" s="217" t="str">
        <f ca="1">IFERROR(__xludf.DUMMYFUNCTION("""COMPUTED_VALUE"""),"01133702000106")</f>
        <v>01133702000106</v>
      </c>
      <c r="E875" s="217" t="str">
        <f ca="1">IFERROR(__xludf.DUMMYFUNCTION("""COMPUTED_VALUE"""),"003")</f>
        <v>003</v>
      </c>
      <c r="F875" s="217" t="str">
        <f ca="1">IFERROR(__xludf.DUMMYFUNCTION("""COMPUTED_VALUE"""),"0037")</f>
        <v>0037</v>
      </c>
      <c r="G875" s="218" t="str">
        <f ca="1">IFERROR(__xludf.DUMMYFUNCTION("""COMPUTED_VALUE"""),"0702727")</f>
        <v>0702727</v>
      </c>
      <c r="H875" s="216" t="str">
        <f ca="1">IFERROR(__xludf.DUMMYFUNCTION("""COMPUTED_VALUE"""),"ENSINO MEDIO PARCIAL")</f>
        <v>ENSINO MEDIO PARCIAL</v>
      </c>
      <c r="I875" s="219">
        <f ca="1">IFERROR(__xludf.DUMMYFUNCTION("""COMPUTED_VALUE"""),2340)</f>
        <v>2340</v>
      </c>
    </row>
    <row r="876" spans="1:9" ht="18.75" customHeight="1">
      <c r="A876" s="215" t="str">
        <f ca="1">IFERROR(__xludf.DUMMYFUNCTION("""COMPUTED_VALUE"""),"Porto Nacional")</f>
        <v>Porto Nacional</v>
      </c>
      <c r="B876" s="215" t="str">
        <f ca="1">IFERROR(__xludf.DUMMYFUNCTION("""COMPUTED_VALUE"""),"Natividade")</f>
        <v>Natividade</v>
      </c>
      <c r="C876" s="216" t="str">
        <f ca="1">IFERROR(__xludf.DUMMYFUNCTION("""COMPUTED_VALUE"""),"ASS. APOIO ESC. EST. JOAQUIM LINO SUARTE")</f>
        <v>ASS. APOIO ESC. EST. JOAQUIM LINO SUARTE</v>
      </c>
      <c r="D876" s="217" t="str">
        <f ca="1">IFERROR(__xludf.DUMMYFUNCTION("""COMPUTED_VALUE"""),"01133708000183")</f>
        <v>01133708000183</v>
      </c>
      <c r="E876" s="217" t="str">
        <f ca="1">IFERROR(__xludf.DUMMYFUNCTION("""COMPUTED_VALUE"""),"003")</f>
        <v>003</v>
      </c>
      <c r="F876" s="217" t="str">
        <f ca="1">IFERROR(__xludf.DUMMYFUNCTION("""COMPUTED_VALUE"""),"0037")</f>
        <v>0037</v>
      </c>
      <c r="G876" s="218" t="str">
        <f ca="1">IFERROR(__xludf.DUMMYFUNCTION("""COMPUTED_VALUE"""),"0702670")</f>
        <v>0702670</v>
      </c>
      <c r="H876" s="216" t="str">
        <f ca="1">IFERROR(__xludf.DUMMYFUNCTION("""COMPUTED_VALUE"""),"ENS FUND PARCIAL")</f>
        <v>ENS FUND PARCIAL</v>
      </c>
      <c r="I876" s="219">
        <f ca="1">IFERROR(__xludf.DUMMYFUNCTION("""COMPUTED_VALUE"""),1610)</f>
        <v>1610</v>
      </c>
    </row>
    <row r="877" spans="1:9" ht="18.75" customHeight="1">
      <c r="A877" s="215" t="str">
        <f ca="1">IFERROR(__xludf.DUMMYFUNCTION("""COMPUTED_VALUE"""),"Porto Nacional")</f>
        <v>Porto Nacional</v>
      </c>
      <c r="B877" s="215" t="str">
        <f ca="1">IFERROR(__xludf.DUMMYFUNCTION("""COMPUTED_VALUE"""),"Natividade")</f>
        <v>Natividade</v>
      </c>
      <c r="C877" s="216" t="str">
        <f ca="1">IFERROR(__xludf.DUMMYFUNCTION("""COMPUTED_VALUE"""),"ASS. APOIO ESC. EST. JOAQUIM LINO SUARTE")</f>
        <v>ASS. APOIO ESC. EST. JOAQUIM LINO SUARTE</v>
      </c>
      <c r="D877" s="217" t="str">
        <f ca="1">IFERROR(__xludf.DUMMYFUNCTION("""COMPUTED_VALUE"""),"01133708000183")</f>
        <v>01133708000183</v>
      </c>
      <c r="E877" s="217" t="str">
        <f ca="1">IFERROR(__xludf.DUMMYFUNCTION("""COMPUTED_VALUE"""),"003")</f>
        <v>003</v>
      </c>
      <c r="F877" s="217" t="str">
        <f ca="1">IFERROR(__xludf.DUMMYFUNCTION("""COMPUTED_VALUE"""),"0037")</f>
        <v>0037</v>
      </c>
      <c r="G877" s="218" t="str">
        <f ca="1">IFERROR(__xludf.DUMMYFUNCTION("""COMPUTED_VALUE"""),"0702670")</f>
        <v>0702670</v>
      </c>
      <c r="H877" s="216" t="str">
        <f ca="1">IFERROR(__xludf.DUMMYFUNCTION("""COMPUTED_VALUE"""),"AEE")</f>
        <v>AEE</v>
      </c>
      <c r="I877" s="219">
        <f ca="1">IFERROR(__xludf.DUMMYFUNCTION("""COMPUTED_VALUE"""),190.4)</f>
        <v>190.4</v>
      </c>
    </row>
    <row r="878" spans="1:9" ht="18.75" customHeight="1">
      <c r="A878" s="215" t="str">
        <f ca="1">IFERROR(__xludf.DUMMYFUNCTION("""COMPUTED_VALUE"""),"Porto Nacional")</f>
        <v>Porto Nacional</v>
      </c>
      <c r="B878" s="215" t="str">
        <f ca="1">IFERROR(__xludf.DUMMYFUNCTION("""COMPUTED_VALUE"""),"Natividade")</f>
        <v>Natividade</v>
      </c>
      <c r="C878" s="216" t="str">
        <f ca="1">IFERROR(__xludf.DUMMYFUNCTION("""COMPUTED_VALUE"""),"ASS. APOIO ESC. EST. JOAQUIM LINO SUARTE")</f>
        <v>ASS. APOIO ESC. EST. JOAQUIM LINO SUARTE</v>
      </c>
      <c r="D878" s="217" t="str">
        <f ca="1">IFERROR(__xludf.DUMMYFUNCTION("""COMPUTED_VALUE"""),"01133708000183")</f>
        <v>01133708000183</v>
      </c>
      <c r="E878" s="217" t="str">
        <f ca="1">IFERROR(__xludf.DUMMYFUNCTION("""COMPUTED_VALUE"""),"003")</f>
        <v>003</v>
      </c>
      <c r="F878" s="217" t="str">
        <f ca="1">IFERROR(__xludf.DUMMYFUNCTION("""COMPUTED_VALUE"""),"0037")</f>
        <v>0037</v>
      </c>
      <c r="G878" s="218" t="str">
        <f ca="1">IFERROR(__xludf.DUMMYFUNCTION("""COMPUTED_VALUE"""),"0702670")</f>
        <v>0702670</v>
      </c>
      <c r="H878" s="216" t="str">
        <f ca="1">IFERROR(__xludf.DUMMYFUNCTION("""COMPUTED_VALUE"""),"ENSINO MEDIO PARCIAL")</f>
        <v>ENSINO MEDIO PARCIAL</v>
      </c>
      <c r="I878" s="219">
        <f ca="1">IFERROR(__xludf.DUMMYFUNCTION("""COMPUTED_VALUE"""),440)</f>
        <v>440</v>
      </c>
    </row>
    <row r="879" spans="1:9" ht="18.75" customHeight="1">
      <c r="A879" s="215" t="str">
        <f ca="1">IFERROR(__xludf.DUMMYFUNCTION("""COMPUTED_VALUE"""),"Porto Nacional")</f>
        <v>Porto Nacional</v>
      </c>
      <c r="B879" s="215" t="str">
        <f ca="1">IFERROR(__xludf.DUMMYFUNCTION("""COMPUTED_VALUE"""),"Natividade")</f>
        <v>Natividade</v>
      </c>
      <c r="C879" s="216" t="str">
        <f ca="1">IFERROR(__xludf.DUMMYFUNCTION("""COMPUTED_VALUE"""),"ASSOC. NOSSA SENHORA NATIVIDADE COL. AGRÍCOLA")</f>
        <v>ASSOC. NOSSA SENHORA NATIVIDADE COL. AGRÍCOLA</v>
      </c>
      <c r="D879" s="217" t="str">
        <f ca="1">IFERROR(__xludf.DUMMYFUNCTION("""COMPUTED_VALUE"""),"03758716000140")</f>
        <v>03758716000140</v>
      </c>
      <c r="E879" s="217" t="str">
        <f ca="1">IFERROR(__xludf.DUMMYFUNCTION("""COMPUTED_VALUE"""),"001")</f>
        <v>001</v>
      </c>
      <c r="F879" s="217" t="str">
        <f ca="1">IFERROR(__xludf.DUMMYFUNCTION("""COMPUTED_VALUE"""),"3980")</f>
        <v>3980</v>
      </c>
      <c r="G879" s="218" t="str">
        <f ca="1">IFERROR(__xludf.DUMMYFUNCTION("""COMPUTED_VALUE"""),"282782")</f>
        <v>282782</v>
      </c>
      <c r="H879" s="216" t="str">
        <f ca="1">IFERROR(__xludf.DUMMYFUNCTION("""COMPUTED_VALUE"""),"JOVEM AÇÃO")</f>
        <v>JOVEM AÇÃO</v>
      </c>
      <c r="I879" s="219">
        <f ca="1">IFERROR(__xludf.DUMMYFUNCTION("""COMPUTED_VALUE"""),11878.4)</f>
        <v>11878.4</v>
      </c>
    </row>
    <row r="880" spans="1:9" ht="18.75" customHeight="1">
      <c r="A880" s="215" t="str">
        <f ca="1">IFERROR(__xludf.DUMMYFUNCTION("""COMPUTED_VALUE"""),"Porto Nacional")</f>
        <v>Porto Nacional</v>
      </c>
      <c r="B880" s="215" t="str">
        <f ca="1">IFERROR(__xludf.DUMMYFUNCTION("""COMPUTED_VALUE"""),"Natividade")</f>
        <v>Natividade</v>
      </c>
      <c r="C880" s="216" t="str">
        <f ca="1">IFERROR(__xludf.DUMMYFUNCTION("""COMPUTED_VALUE"""),"ASSOC. DE APOIO A ESC. ESPECIAL TIA CORACI DE SENA FERNANDES")</f>
        <v>ASSOC. DE APOIO A ESC. ESPECIAL TIA CORACI DE SENA FERNANDES</v>
      </c>
      <c r="D880" s="217" t="str">
        <f ca="1">IFERROR(__xludf.DUMMYFUNCTION("""COMPUTED_VALUE"""),"17163914000176")</f>
        <v>17163914000176</v>
      </c>
      <c r="E880" s="217" t="str">
        <f ca="1">IFERROR(__xludf.DUMMYFUNCTION("""COMPUTED_VALUE"""),"001")</f>
        <v>001</v>
      </c>
      <c r="F880" s="217" t="str">
        <f ca="1">IFERROR(__xludf.DUMMYFUNCTION("""COMPUTED_VALUE"""),"2334")</f>
        <v>2334</v>
      </c>
      <c r="G880" s="218" t="str">
        <f ca="1">IFERROR(__xludf.DUMMYFUNCTION("""COMPUTED_VALUE"""),"19860")</f>
        <v>19860</v>
      </c>
      <c r="H880" s="216" t="str">
        <f ca="1">IFERROR(__xludf.DUMMYFUNCTION("""COMPUTED_VALUE"""),"ENS FUND PARCIAL")</f>
        <v>ENS FUND PARCIAL</v>
      </c>
      <c r="I880" s="219">
        <f ca="1">IFERROR(__xludf.DUMMYFUNCTION("""COMPUTED_VALUE"""),80)</f>
        <v>80</v>
      </c>
    </row>
    <row r="881" spans="1:9" ht="18.75" customHeight="1">
      <c r="A881" s="215" t="str">
        <f ca="1">IFERROR(__xludf.DUMMYFUNCTION("""COMPUTED_VALUE"""),"Porto Nacional")</f>
        <v>Porto Nacional</v>
      </c>
      <c r="B881" s="215" t="str">
        <f ca="1">IFERROR(__xludf.DUMMYFUNCTION("""COMPUTED_VALUE"""),"Natividade")</f>
        <v>Natividade</v>
      </c>
      <c r="C881" s="216" t="str">
        <f ca="1">IFERROR(__xludf.DUMMYFUNCTION("""COMPUTED_VALUE"""),"ASSOC. DE APOIO A ESC. ESPECIAL TIA CORACI DE SENA FERNANDES")</f>
        <v>ASSOC. DE APOIO A ESC. ESPECIAL TIA CORACI DE SENA FERNANDES</v>
      </c>
      <c r="D881" s="217" t="str">
        <f ca="1">IFERROR(__xludf.DUMMYFUNCTION("""COMPUTED_VALUE"""),"17163914000176")</f>
        <v>17163914000176</v>
      </c>
      <c r="E881" s="217" t="str">
        <f ca="1">IFERROR(__xludf.DUMMYFUNCTION("""COMPUTED_VALUE"""),"001")</f>
        <v>001</v>
      </c>
      <c r="F881" s="217" t="str">
        <f ca="1">IFERROR(__xludf.DUMMYFUNCTION("""COMPUTED_VALUE"""),"2334")</f>
        <v>2334</v>
      </c>
      <c r="G881" s="218" t="str">
        <f ca="1">IFERROR(__xludf.DUMMYFUNCTION("""COMPUTED_VALUE"""),"19860")</f>
        <v>19860</v>
      </c>
      <c r="H881" s="216" t="str">
        <f ca="1">IFERROR(__xludf.DUMMYFUNCTION("""COMPUTED_VALUE"""),"AEE")</f>
        <v>AEE</v>
      </c>
      <c r="I881" s="219">
        <f ca="1">IFERROR(__xludf.DUMMYFUNCTION("""COMPUTED_VALUE"""),204)</f>
        <v>204</v>
      </c>
    </row>
    <row r="882" spans="1:9" ht="18.75" customHeight="1">
      <c r="A882" s="215" t="str">
        <f ca="1">IFERROR(__xludf.DUMMYFUNCTION("""COMPUTED_VALUE"""),"Porto Nacional")</f>
        <v>Porto Nacional</v>
      </c>
      <c r="B882" s="215" t="str">
        <f ca="1">IFERROR(__xludf.DUMMYFUNCTION("""COMPUTED_VALUE"""),"Natividade")</f>
        <v>Natividade</v>
      </c>
      <c r="C882" s="216" t="str">
        <f ca="1">IFERROR(__xludf.DUMMYFUNCTION("""COMPUTED_VALUE"""),"ASSOC. DE APOIO A ESC. ESPECIAL TIA CORACI DE SENA FERNANDES")</f>
        <v>ASSOC. DE APOIO A ESC. ESPECIAL TIA CORACI DE SENA FERNANDES</v>
      </c>
      <c r="D882" s="217" t="str">
        <f ca="1">IFERROR(__xludf.DUMMYFUNCTION("""COMPUTED_VALUE"""),"17163914000176")</f>
        <v>17163914000176</v>
      </c>
      <c r="E882" s="217" t="str">
        <f ca="1">IFERROR(__xludf.DUMMYFUNCTION("""COMPUTED_VALUE"""),"001")</f>
        <v>001</v>
      </c>
      <c r="F882" s="217" t="str">
        <f ca="1">IFERROR(__xludf.DUMMYFUNCTION("""COMPUTED_VALUE"""),"2334")</f>
        <v>2334</v>
      </c>
      <c r="G882" s="218" t="str">
        <f ca="1">IFERROR(__xludf.DUMMYFUNCTION("""COMPUTED_VALUE"""),"19860")</f>
        <v>19860</v>
      </c>
      <c r="H882" s="216" t="str">
        <f ca="1">IFERROR(__xludf.DUMMYFUNCTION("""COMPUTED_VALUE"""),"EJA")</f>
        <v>EJA</v>
      </c>
      <c r="I882" s="219">
        <f ca="1">IFERROR(__xludf.DUMMYFUNCTION("""COMPUTED_VALUE"""),368.999999999999)</f>
        <v>368.99999999999898</v>
      </c>
    </row>
    <row r="883" spans="1:9" ht="18.75" customHeight="1">
      <c r="A883" s="215" t="str">
        <f ca="1">IFERROR(__xludf.DUMMYFUNCTION("""COMPUTED_VALUE"""),"Porto Nacional")</f>
        <v>Porto Nacional</v>
      </c>
      <c r="B883" s="215" t="str">
        <f ca="1">IFERROR(__xludf.DUMMYFUNCTION("""COMPUTED_VALUE"""),"Oliveira de Fatima")</f>
        <v>Oliveira de Fatima</v>
      </c>
      <c r="C883" s="216" t="str">
        <f ca="1">IFERROR(__xludf.DUMMYFUNCTION("""COMPUTED_VALUE"""),"ASS. DE APOIO DA ESC. EST.RIACHUELO")</f>
        <v>ASS. DE APOIO DA ESC. EST.RIACHUELO</v>
      </c>
      <c r="D883" s="217" t="str">
        <f ca="1">IFERROR(__xludf.DUMMYFUNCTION("""COMPUTED_VALUE"""),"01696068000110")</f>
        <v>01696068000110</v>
      </c>
      <c r="E883" s="217" t="str">
        <f ca="1">IFERROR(__xludf.DUMMYFUNCTION("""COMPUTED_VALUE"""),"001")</f>
        <v>001</v>
      </c>
      <c r="F883" s="217" t="str">
        <f ca="1">IFERROR(__xludf.DUMMYFUNCTION("""COMPUTED_VALUE"""),"4107")</f>
        <v>4107</v>
      </c>
      <c r="G883" s="218" t="str">
        <f ca="1">IFERROR(__xludf.DUMMYFUNCTION("""COMPUTED_VALUE"""),"319511")</f>
        <v>319511</v>
      </c>
      <c r="H883" s="216" t="str">
        <f ca="1">IFERROR(__xludf.DUMMYFUNCTION("""COMPUTED_VALUE"""),"ENS FUND PARCIAL")</f>
        <v>ENS FUND PARCIAL</v>
      </c>
      <c r="I883" s="219">
        <f ca="1">IFERROR(__xludf.DUMMYFUNCTION("""COMPUTED_VALUE"""),180)</f>
        <v>180</v>
      </c>
    </row>
    <row r="884" spans="1:9" ht="18.75" customHeight="1">
      <c r="A884" s="215" t="str">
        <f ca="1">IFERROR(__xludf.DUMMYFUNCTION("""COMPUTED_VALUE"""),"Porto Nacional")</f>
        <v>Porto Nacional</v>
      </c>
      <c r="B884" s="215" t="str">
        <f ca="1">IFERROR(__xludf.DUMMYFUNCTION("""COMPUTED_VALUE"""),"Oliveira de Fatima")</f>
        <v>Oliveira de Fatima</v>
      </c>
      <c r="C884" s="216" t="str">
        <f ca="1">IFERROR(__xludf.DUMMYFUNCTION("""COMPUTED_VALUE"""),"ASS. DE APOIO DA ESC. EST.RIACHUELO")</f>
        <v>ASS. DE APOIO DA ESC. EST.RIACHUELO</v>
      </c>
      <c r="D884" s="217" t="str">
        <f ca="1">IFERROR(__xludf.DUMMYFUNCTION("""COMPUTED_VALUE"""),"01696068000110")</f>
        <v>01696068000110</v>
      </c>
      <c r="E884" s="217" t="str">
        <f ca="1">IFERROR(__xludf.DUMMYFUNCTION("""COMPUTED_VALUE"""),"001")</f>
        <v>001</v>
      </c>
      <c r="F884" s="217" t="str">
        <f ca="1">IFERROR(__xludf.DUMMYFUNCTION("""COMPUTED_VALUE"""),"4107")</f>
        <v>4107</v>
      </c>
      <c r="G884" s="218" t="str">
        <f ca="1">IFERROR(__xludf.DUMMYFUNCTION("""COMPUTED_VALUE"""),"319511")</f>
        <v>319511</v>
      </c>
      <c r="H884" s="216" t="str">
        <f ca="1">IFERROR(__xludf.DUMMYFUNCTION("""COMPUTED_VALUE"""),"ENSINO MEDIO PARCIAL")</f>
        <v>ENSINO MEDIO PARCIAL</v>
      </c>
      <c r="I884" s="219">
        <f ca="1">IFERROR(__xludf.DUMMYFUNCTION("""COMPUTED_VALUE"""),530)</f>
        <v>530</v>
      </c>
    </row>
    <row r="885" spans="1:9" ht="18.75" customHeight="1">
      <c r="A885" s="215" t="str">
        <f ca="1">IFERROR(__xludf.DUMMYFUNCTION("""COMPUTED_VALUE"""),"Porto Nacional")</f>
        <v>Porto Nacional</v>
      </c>
      <c r="B885" s="215" t="str">
        <f ca="1">IFERROR(__xludf.DUMMYFUNCTION("""COMPUTED_VALUE"""),"Oliveira de Fatima")</f>
        <v>Oliveira de Fatima</v>
      </c>
      <c r="C885" s="216" t="str">
        <f ca="1">IFERROR(__xludf.DUMMYFUNCTION("""COMPUTED_VALUE"""),"ASS. DE APOIO DA ESC. EST.RIACHUELO")</f>
        <v>ASS. DE APOIO DA ESC. EST.RIACHUELO</v>
      </c>
      <c r="D885" s="217" t="str">
        <f ca="1">IFERROR(__xludf.DUMMYFUNCTION("""COMPUTED_VALUE"""),"01696068000110")</f>
        <v>01696068000110</v>
      </c>
      <c r="E885" s="217" t="str">
        <f ca="1">IFERROR(__xludf.DUMMYFUNCTION("""COMPUTED_VALUE"""),"001")</f>
        <v>001</v>
      </c>
      <c r="F885" s="217" t="str">
        <f ca="1">IFERROR(__xludf.DUMMYFUNCTION("""COMPUTED_VALUE"""),"4107")</f>
        <v>4107</v>
      </c>
      <c r="G885" s="218" t="str">
        <f ca="1">IFERROR(__xludf.DUMMYFUNCTION("""COMPUTED_VALUE"""),"319511")</f>
        <v>319511</v>
      </c>
      <c r="H885" s="216" t="str">
        <f ca="1">IFERROR(__xludf.DUMMYFUNCTION("""COMPUTED_VALUE"""),"EJA")</f>
        <v>EJA</v>
      </c>
      <c r="I885" s="219">
        <f ca="1">IFERROR(__xludf.DUMMYFUNCTION("""COMPUTED_VALUE"""),90.1999999999999)</f>
        <v>90.199999999999903</v>
      </c>
    </row>
    <row r="886" spans="1:9" ht="18.75" customHeight="1">
      <c r="A886" s="215" t="str">
        <f ca="1">IFERROR(__xludf.DUMMYFUNCTION("""COMPUTED_VALUE"""),"Porto Nacional")</f>
        <v>Porto Nacional</v>
      </c>
      <c r="B886" s="215" t="str">
        <f ca="1">IFERROR(__xludf.DUMMYFUNCTION("""COMPUTED_VALUE"""),"Pindorama do Tocantins")</f>
        <v>Pindorama do Tocantins</v>
      </c>
      <c r="C886" s="216" t="str">
        <f ca="1">IFERROR(__xludf.DUMMYFUNCTION("""COMPUTED_VALUE"""),"A.A. DO COL. EST. MANOEL DOS SANTOS ROSAL")</f>
        <v>A.A. DO COL. EST. MANOEL DOS SANTOS ROSAL</v>
      </c>
      <c r="D886" s="217" t="str">
        <f ca="1">IFERROR(__xludf.DUMMYFUNCTION("""COMPUTED_VALUE"""),"01034136000185")</f>
        <v>01034136000185</v>
      </c>
      <c r="E886" s="217" t="str">
        <f ca="1">IFERROR(__xludf.DUMMYFUNCTION("""COMPUTED_VALUE"""),"001")</f>
        <v>001</v>
      </c>
      <c r="F886" s="217" t="str">
        <f ca="1">IFERROR(__xludf.DUMMYFUNCTION("""COMPUTED_VALUE"""),"1117")</f>
        <v>1117</v>
      </c>
      <c r="G886" s="218" t="str">
        <f ca="1">IFERROR(__xludf.DUMMYFUNCTION("""COMPUTED_VALUE"""),"312991")</f>
        <v>312991</v>
      </c>
      <c r="H886" s="216" t="str">
        <f ca="1">IFERROR(__xludf.DUMMYFUNCTION("""COMPUTED_VALUE"""),"ENS FUND INTEGRAL")</f>
        <v>ENS FUND INTEGRAL</v>
      </c>
      <c r="I886" s="219">
        <f ca="1">IFERROR(__xludf.DUMMYFUNCTION("""COMPUTED_VALUE"""),3041.39999999999)</f>
        <v>3041.3999999999901</v>
      </c>
    </row>
    <row r="887" spans="1:9" ht="18.75" customHeight="1">
      <c r="A887" s="215" t="str">
        <f ca="1">IFERROR(__xludf.DUMMYFUNCTION("""COMPUTED_VALUE"""),"Porto Nacional")</f>
        <v>Porto Nacional</v>
      </c>
      <c r="B887" s="215" t="str">
        <f ca="1">IFERROR(__xludf.DUMMYFUNCTION("""COMPUTED_VALUE"""),"Pindorama do Tocantins")</f>
        <v>Pindorama do Tocantins</v>
      </c>
      <c r="C887" s="216" t="str">
        <f ca="1">IFERROR(__xludf.DUMMYFUNCTION("""COMPUTED_VALUE"""),"A.A. DO COL. EST. MANOEL DOS SANTOS ROSAL")</f>
        <v>A.A. DO COL. EST. MANOEL DOS SANTOS ROSAL</v>
      </c>
      <c r="D887" s="217" t="str">
        <f ca="1">IFERROR(__xludf.DUMMYFUNCTION("""COMPUTED_VALUE"""),"01034136000185")</f>
        <v>01034136000185</v>
      </c>
      <c r="E887" s="217" t="str">
        <f ca="1">IFERROR(__xludf.DUMMYFUNCTION("""COMPUTED_VALUE"""),"001")</f>
        <v>001</v>
      </c>
      <c r="F887" s="217" t="str">
        <f ca="1">IFERROR(__xludf.DUMMYFUNCTION("""COMPUTED_VALUE"""),"1117")</f>
        <v>1117</v>
      </c>
      <c r="G887" s="218" t="str">
        <f ca="1">IFERROR(__xludf.DUMMYFUNCTION("""COMPUTED_VALUE"""),"312991")</f>
        <v>312991</v>
      </c>
      <c r="H887" s="216" t="str">
        <f ca="1">IFERROR(__xludf.DUMMYFUNCTION("""COMPUTED_VALUE"""),"JOVEM AÇÃO")</f>
        <v>JOVEM AÇÃO</v>
      </c>
      <c r="I887" s="219">
        <f ca="1">IFERROR(__xludf.DUMMYFUNCTION("""COMPUTED_VALUE"""),8499.2)</f>
        <v>8499.2000000000007</v>
      </c>
    </row>
    <row r="888" spans="1:9" ht="18.75" customHeight="1">
      <c r="A888" s="215" t="str">
        <f ca="1">IFERROR(__xludf.DUMMYFUNCTION("""COMPUTED_VALUE"""),"Porto Nacional")</f>
        <v>Porto Nacional</v>
      </c>
      <c r="B888" s="215" t="str">
        <f ca="1">IFERROR(__xludf.DUMMYFUNCTION("""COMPUTED_VALUE"""),"Pindorama do Tocantins")</f>
        <v>Pindorama do Tocantins</v>
      </c>
      <c r="C888" s="216" t="str">
        <f ca="1">IFERROR(__xludf.DUMMYFUNCTION("""COMPUTED_VALUE"""),"A.A. E. E. DEP.JOSE A. DE ASSIS")</f>
        <v>A.A. E. E. DEP.JOSE A. DE ASSIS</v>
      </c>
      <c r="D888" s="217" t="str">
        <f ca="1">IFERROR(__xludf.DUMMYFUNCTION("""COMPUTED_VALUE"""),"01066411000142")</f>
        <v>01066411000142</v>
      </c>
      <c r="E888" s="217" t="str">
        <f ca="1">IFERROR(__xludf.DUMMYFUNCTION("""COMPUTED_VALUE"""),"001")</f>
        <v>001</v>
      </c>
      <c r="F888" s="217" t="str">
        <f ca="1">IFERROR(__xludf.DUMMYFUNCTION("""COMPUTED_VALUE"""),"1117")</f>
        <v>1117</v>
      </c>
      <c r="G888" s="218" t="str">
        <f ca="1">IFERROR(__xludf.DUMMYFUNCTION("""COMPUTED_VALUE"""),"312770")</f>
        <v>312770</v>
      </c>
      <c r="H888" s="216" t="str">
        <f ca="1">IFERROR(__xludf.DUMMYFUNCTION("""COMPUTED_VALUE"""),"ENS FUND PARCIAL")</f>
        <v>ENS FUND PARCIAL</v>
      </c>
      <c r="I888" s="219">
        <f ca="1">IFERROR(__xludf.DUMMYFUNCTION("""COMPUTED_VALUE"""),1440)</f>
        <v>1440</v>
      </c>
    </row>
    <row r="889" spans="1:9" ht="18.75" customHeight="1">
      <c r="A889" s="215" t="str">
        <f ca="1">IFERROR(__xludf.DUMMYFUNCTION("""COMPUTED_VALUE"""),"Porto Nacional")</f>
        <v>Porto Nacional</v>
      </c>
      <c r="B889" s="215" t="str">
        <f ca="1">IFERROR(__xludf.DUMMYFUNCTION("""COMPUTED_VALUE"""),"Pindorama do Tocantins")</f>
        <v>Pindorama do Tocantins</v>
      </c>
      <c r="C889" s="216" t="str">
        <f ca="1">IFERROR(__xludf.DUMMYFUNCTION("""COMPUTED_VALUE"""),"A.A. E. E. DEP.JOSE A. DE ASSIS")</f>
        <v>A.A. E. E. DEP.JOSE A. DE ASSIS</v>
      </c>
      <c r="D889" s="217" t="str">
        <f ca="1">IFERROR(__xludf.DUMMYFUNCTION("""COMPUTED_VALUE"""),"01066411000142")</f>
        <v>01066411000142</v>
      </c>
      <c r="E889" s="217" t="str">
        <f ca="1">IFERROR(__xludf.DUMMYFUNCTION("""COMPUTED_VALUE"""),"001")</f>
        <v>001</v>
      </c>
      <c r="F889" s="217" t="str">
        <f ca="1">IFERROR(__xludf.DUMMYFUNCTION("""COMPUTED_VALUE"""),"1117")</f>
        <v>1117</v>
      </c>
      <c r="G889" s="218" t="str">
        <f ca="1">IFERROR(__xludf.DUMMYFUNCTION("""COMPUTED_VALUE"""),"312770")</f>
        <v>312770</v>
      </c>
      <c r="H889" s="216" t="str">
        <f ca="1">IFERROR(__xludf.DUMMYFUNCTION("""COMPUTED_VALUE"""),"AEE")</f>
        <v>AEE</v>
      </c>
      <c r="I889" s="219">
        <f ca="1">IFERROR(__xludf.DUMMYFUNCTION("""COMPUTED_VALUE"""),122.399999999999)</f>
        <v>122.399999999999</v>
      </c>
    </row>
    <row r="890" spans="1:9" ht="18.75" customHeight="1">
      <c r="A890" s="215" t="str">
        <f ca="1">IFERROR(__xludf.DUMMYFUNCTION("""COMPUTED_VALUE"""),"Porto Nacional")</f>
        <v>Porto Nacional</v>
      </c>
      <c r="B890" s="215" t="str">
        <f ca="1">IFERROR(__xludf.DUMMYFUNCTION("""COMPUTED_VALUE"""),"Pindorama do Tocantins")</f>
        <v>Pindorama do Tocantins</v>
      </c>
      <c r="C890" s="216" t="str">
        <f ca="1">IFERROR(__xludf.DUMMYFUNCTION("""COMPUTED_VALUE"""),"A.A. E. E. DEP.JOSE A. DE ASSIS")</f>
        <v>A.A. E. E. DEP.JOSE A. DE ASSIS</v>
      </c>
      <c r="D890" s="217" t="str">
        <f ca="1">IFERROR(__xludf.DUMMYFUNCTION("""COMPUTED_VALUE"""),"01066411000142")</f>
        <v>01066411000142</v>
      </c>
      <c r="E890" s="217" t="str">
        <f ca="1">IFERROR(__xludf.DUMMYFUNCTION("""COMPUTED_VALUE"""),"001")</f>
        <v>001</v>
      </c>
      <c r="F890" s="217" t="str">
        <f ca="1">IFERROR(__xludf.DUMMYFUNCTION("""COMPUTED_VALUE"""),"1117")</f>
        <v>1117</v>
      </c>
      <c r="G890" s="218" t="str">
        <f ca="1">IFERROR(__xludf.DUMMYFUNCTION("""COMPUTED_VALUE"""),"312770")</f>
        <v>312770</v>
      </c>
      <c r="H890" s="216" t="str">
        <f ca="1">IFERROR(__xludf.DUMMYFUNCTION("""COMPUTED_VALUE"""),"ENSINO MEDIO PARCIAL")</f>
        <v>ENSINO MEDIO PARCIAL</v>
      </c>
      <c r="I890" s="219">
        <f ca="1">IFERROR(__xludf.DUMMYFUNCTION("""COMPUTED_VALUE"""),340)</f>
        <v>340</v>
      </c>
    </row>
    <row r="891" spans="1:9" ht="18.75" customHeight="1">
      <c r="A891" s="215" t="str">
        <f ca="1">IFERROR(__xludf.DUMMYFUNCTION("""COMPUTED_VALUE"""),"Porto Nacional")</f>
        <v>Porto Nacional</v>
      </c>
      <c r="B891" s="215" t="str">
        <f ca="1">IFERROR(__xludf.DUMMYFUNCTION("""COMPUTED_VALUE"""),"Ponte Alta do Tocantins")</f>
        <v>Ponte Alta do Tocantins</v>
      </c>
      <c r="C891" s="216" t="str">
        <f ca="1">IFERROR(__xludf.DUMMYFUNCTION("""COMPUTED_VALUE"""),"ASS. APOIO DA ESCOLA EST. ALCIDES RUFO")</f>
        <v>ASS. APOIO DA ESCOLA EST. ALCIDES RUFO</v>
      </c>
      <c r="D891" s="217" t="str">
        <f ca="1">IFERROR(__xludf.DUMMYFUNCTION("""COMPUTED_VALUE"""),"01192931000100")</f>
        <v>01192931000100</v>
      </c>
      <c r="E891" s="217" t="str">
        <f ca="1">IFERROR(__xludf.DUMMYFUNCTION("""COMPUTED_VALUE"""),"001")</f>
        <v>001</v>
      </c>
      <c r="F891" s="217" t="str">
        <f ca="1">IFERROR(__xludf.DUMMYFUNCTION("""COMPUTED_VALUE"""),"1117")</f>
        <v>1117</v>
      </c>
      <c r="G891" s="218" t="str">
        <f ca="1">IFERROR(__xludf.DUMMYFUNCTION("""COMPUTED_VALUE"""),"313785")</f>
        <v>313785</v>
      </c>
      <c r="H891" s="216" t="str">
        <f ca="1">IFERROR(__xludf.DUMMYFUNCTION("""COMPUTED_VALUE"""),"ENS FUND PARCIAL")</f>
        <v>ENS FUND PARCIAL</v>
      </c>
      <c r="I891" s="219">
        <f ca="1">IFERROR(__xludf.DUMMYFUNCTION("""COMPUTED_VALUE"""),2610)</f>
        <v>2610</v>
      </c>
    </row>
    <row r="892" spans="1:9" ht="18.75" customHeight="1">
      <c r="A892" s="215" t="str">
        <f ca="1">IFERROR(__xludf.DUMMYFUNCTION("""COMPUTED_VALUE"""),"Porto Nacional")</f>
        <v>Porto Nacional</v>
      </c>
      <c r="B892" s="215" t="str">
        <f ca="1">IFERROR(__xludf.DUMMYFUNCTION("""COMPUTED_VALUE"""),"Ponte Alta do Tocantins")</f>
        <v>Ponte Alta do Tocantins</v>
      </c>
      <c r="C892" s="216" t="str">
        <f ca="1">IFERROR(__xludf.DUMMYFUNCTION("""COMPUTED_VALUE"""),"ASS. A. AO COL. EST. ODOLFO SOARES")</f>
        <v>ASS. A. AO COL. EST. ODOLFO SOARES</v>
      </c>
      <c r="D892" s="217" t="str">
        <f ca="1">IFERROR(__xludf.DUMMYFUNCTION("""COMPUTED_VALUE"""),"01342866000143")</f>
        <v>01342866000143</v>
      </c>
      <c r="E892" s="217" t="str">
        <f ca="1">IFERROR(__xludf.DUMMYFUNCTION("""COMPUTED_VALUE"""),"001")</f>
        <v>001</v>
      </c>
      <c r="F892" s="217" t="str">
        <f ca="1">IFERROR(__xludf.DUMMYFUNCTION("""COMPUTED_VALUE"""),"1117")</f>
        <v>1117</v>
      </c>
      <c r="G892" s="218" t="str">
        <f ca="1">IFERROR(__xludf.DUMMYFUNCTION("""COMPUTED_VALUE"""),"333921")</f>
        <v>333921</v>
      </c>
      <c r="H892" s="216" t="str">
        <f ca="1">IFERROR(__xludf.DUMMYFUNCTION("""COMPUTED_VALUE"""),"ENS FUND PARCIAL")</f>
        <v>ENS FUND PARCIAL</v>
      </c>
      <c r="I892" s="219">
        <f ca="1">IFERROR(__xludf.DUMMYFUNCTION("""COMPUTED_VALUE"""),6180)</f>
        <v>6180</v>
      </c>
    </row>
    <row r="893" spans="1:9" ht="18.75" customHeight="1">
      <c r="A893" s="215" t="str">
        <f ca="1">IFERROR(__xludf.DUMMYFUNCTION("""COMPUTED_VALUE"""),"Porto Nacional")</f>
        <v>Porto Nacional</v>
      </c>
      <c r="B893" s="215" t="str">
        <f ca="1">IFERROR(__xludf.DUMMYFUNCTION("""COMPUTED_VALUE"""),"Ponte Alta do Tocantins")</f>
        <v>Ponte Alta do Tocantins</v>
      </c>
      <c r="C893" s="216" t="str">
        <f ca="1">IFERROR(__xludf.DUMMYFUNCTION("""COMPUTED_VALUE"""),"ASS. A. AO COL. EST. ODOLFO SOARES")</f>
        <v>ASS. A. AO COL. EST. ODOLFO SOARES</v>
      </c>
      <c r="D893" s="217" t="str">
        <f ca="1">IFERROR(__xludf.DUMMYFUNCTION("""COMPUTED_VALUE"""),"01342866000143")</f>
        <v>01342866000143</v>
      </c>
      <c r="E893" s="217" t="str">
        <f ca="1">IFERROR(__xludf.DUMMYFUNCTION("""COMPUTED_VALUE"""),"001")</f>
        <v>001</v>
      </c>
      <c r="F893" s="217" t="str">
        <f ca="1">IFERROR(__xludf.DUMMYFUNCTION("""COMPUTED_VALUE"""),"1117")</f>
        <v>1117</v>
      </c>
      <c r="G893" s="218" t="str">
        <f ca="1">IFERROR(__xludf.DUMMYFUNCTION("""COMPUTED_VALUE"""),"333921")</f>
        <v>333921</v>
      </c>
      <c r="H893" s="216" t="str">
        <f ca="1">IFERROR(__xludf.DUMMYFUNCTION("""COMPUTED_VALUE"""),"AEE")</f>
        <v>AEE</v>
      </c>
      <c r="I893" s="219">
        <f ca="1">IFERROR(__xludf.DUMMYFUNCTION("""COMPUTED_VALUE"""),380.8)</f>
        <v>380.8</v>
      </c>
    </row>
    <row r="894" spans="1:9" ht="18.75" customHeight="1">
      <c r="A894" s="215" t="str">
        <f ca="1">IFERROR(__xludf.DUMMYFUNCTION("""COMPUTED_VALUE"""),"Porto Nacional")</f>
        <v>Porto Nacional</v>
      </c>
      <c r="B894" s="215" t="str">
        <f ca="1">IFERROR(__xludf.DUMMYFUNCTION("""COMPUTED_VALUE"""),"Ponte Alta do Tocantins")</f>
        <v>Ponte Alta do Tocantins</v>
      </c>
      <c r="C894" s="216" t="str">
        <f ca="1">IFERROR(__xludf.DUMMYFUNCTION("""COMPUTED_VALUE"""),"ASS. A. AO COL. EST. ODOLFO SOARES")</f>
        <v>ASS. A. AO COL. EST. ODOLFO SOARES</v>
      </c>
      <c r="D894" s="217" t="str">
        <f ca="1">IFERROR(__xludf.DUMMYFUNCTION("""COMPUTED_VALUE"""),"01342866000143")</f>
        <v>01342866000143</v>
      </c>
      <c r="E894" s="217" t="str">
        <f ca="1">IFERROR(__xludf.DUMMYFUNCTION("""COMPUTED_VALUE"""),"001")</f>
        <v>001</v>
      </c>
      <c r="F894" s="217" t="str">
        <f ca="1">IFERROR(__xludf.DUMMYFUNCTION("""COMPUTED_VALUE"""),"1117")</f>
        <v>1117</v>
      </c>
      <c r="G894" s="218" t="str">
        <f ca="1">IFERROR(__xludf.DUMMYFUNCTION("""COMPUTED_VALUE"""),"333921")</f>
        <v>333921</v>
      </c>
      <c r="H894" s="216" t="str">
        <f ca="1">IFERROR(__xludf.DUMMYFUNCTION("""COMPUTED_VALUE"""),"ENSINO MEDIO PARCIAL")</f>
        <v>ENSINO MEDIO PARCIAL</v>
      </c>
      <c r="I894" s="219">
        <f ca="1">IFERROR(__xludf.DUMMYFUNCTION("""COMPUTED_VALUE"""),6440)</f>
        <v>6440</v>
      </c>
    </row>
    <row r="895" spans="1:9" ht="18.75" customHeight="1">
      <c r="A895" s="215" t="str">
        <f ca="1">IFERROR(__xludf.DUMMYFUNCTION("""COMPUTED_VALUE"""),"Porto Nacional")</f>
        <v>Porto Nacional</v>
      </c>
      <c r="B895" s="215" t="str">
        <f ca="1">IFERROR(__xludf.DUMMYFUNCTION("""COMPUTED_VALUE"""),"Ponte Alta do Tocantins")</f>
        <v>Ponte Alta do Tocantins</v>
      </c>
      <c r="C895" s="216" t="str">
        <f ca="1">IFERROR(__xludf.DUMMYFUNCTION("""COMPUTED_VALUE"""),"ASS. DE APOIO A ESCOLA EST. ESPECIAL AMILSON FRAZÃO DOS REIS")</f>
        <v>ASS. DE APOIO A ESCOLA EST. ESPECIAL AMILSON FRAZÃO DOS REIS</v>
      </c>
      <c r="D895" s="217" t="str">
        <f ca="1">IFERROR(__xludf.DUMMYFUNCTION("""COMPUTED_VALUE"""),"20309905000155")</f>
        <v>20309905000155</v>
      </c>
      <c r="E895" s="217" t="str">
        <f ca="1">IFERROR(__xludf.DUMMYFUNCTION("""COMPUTED_VALUE"""),"001")</f>
        <v>001</v>
      </c>
      <c r="F895" s="217" t="str">
        <f ca="1">IFERROR(__xludf.DUMMYFUNCTION("""COMPUTED_VALUE"""),"1117")</f>
        <v>1117</v>
      </c>
      <c r="G895" s="218" t="str">
        <f ca="1">IFERROR(__xludf.DUMMYFUNCTION("""COMPUTED_VALUE"""),"567426")</f>
        <v>567426</v>
      </c>
      <c r="H895" s="216" t="str">
        <f ca="1">IFERROR(__xludf.DUMMYFUNCTION("""COMPUTED_VALUE"""),"ENS FUND PARCIAL")</f>
        <v>ENS FUND PARCIAL</v>
      </c>
      <c r="I895" s="219">
        <f ca="1">IFERROR(__xludf.DUMMYFUNCTION("""COMPUTED_VALUE"""),80)</f>
        <v>80</v>
      </c>
    </row>
    <row r="896" spans="1:9" ht="18.75" customHeight="1">
      <c r="A896" s="215" t="str">
        <f ca="1">IFERROR(__xludf.DUMMYFUNCTION("""COMPUTED_VALUE"""),"Porto Nacional")</f>
        <v>Porto Nacional</v>
      </c>
      <c r="B896" s="215" t="str">
        <f ca="1">IFERROR(__xludf.DUMMYFUNCTION("""COMPUTED_VALUE"""),"Ponte Alta do Tocantins")</f>
        <v>Ponte Alta do Tocantins</v>
      </c>
      <c r="C896" s="216" t="str">
        <f ca="1">IFERROR(__xludf.DUMMYFUNCTION("""COMPUTED_VALUE"""),"ASS. DE APOIO A ESCOLA EST. ESPECIAL AMILSON FRAZÃO DOS REIS")</f>
        <v>ASS. DE APOIO A ESCOLA EST. ESPECIAL AMILSON FRAZÃO DOS REIS</v>
      </c>
      <c r="D896" s="217" t="str">
        <f ca="1">IFERROR(__xludf.DUMMYFUNCTION("""COMPUTED_VALUE"""),"20309905000155")</f>
        <v>20309905000155</v>
      </c>
      <c r="E896" s="217" t="str">
        <f ca="1">IFERROR(__xludf.DUMMYFUNCTION("""COMPUTED_VALUE"""),"001")</f>
        <v>001</v>
      </c>
      <c r="F896" s="217" t="str">
        <f ca="1">IFERROR(__xludf.DUMMYFUNCTION("""COMPUTED_VALUE"""),"1117")</f>
        <v>1117</v>
      </c>
      <c r="G896" s="218" t="str">
        <f ca="1">IFERROR(__xludf.DUMMYFUNCTION("""COMPUTED_VALUE"""),"567426")</f>
        <v>567426</v>
      </c>
      <c r="H896" s="216" t="str">
        <f ca="1">IFERROR(__xludf.DUMMYFUNCTION("""COMPUTED_VALUE"""),"AEE")</f>
        <v>AEE</v>
      </c>
      <c r="I896" s="219">
        <f ca="1">IFERROR(__xludf.DUMMYFUNCTION("""COMPUTED_VALUE"""),163.2)</f>
        <v>163.19999999999999</v>
      </c>
    </row>
    <row r="897" spans="1:9" ht="18.75" customHeight="1">
      <c r="A897" s="215" t="str">
        <f ca="1">IFERROR(__xludf.DUMMYFUNCTION("""COMPUTED_VALUE"""),"Porto Nacional")</f>
        <v>Porto Nacional</v>
      </c>
      <c r="B897" s="215" t="str">
        <f ca="1">IFERROR(__xludf.DUMMYFUNCTION("""COMPUTED_VALUE"""),"Ponte Alta do Tocantins")</f>
        <v>Ponte Alta do Tocantins</v>
      </c>
      <c r="C897" s="216" t="str">
        <f ca="1">IFERROR(__xludf.DUMMYFUNCTION("""COMPUTED_VALUE"""),"ASS. DE APOIO A ESCOLA EST. ESPECIAL AMILSON FRAZÃO DOS REIS")</f>
        <v>ASS. DE APOIO A ESCOLA EST. ESPECIAL AMILSON FRAZÃO DOS REIS</v>
      </c>
      <c r="D897" s="217" t="str">
        <f ca="1">IFERROR(__xludf.DUMMYFUNCTION("""COMPUTED_VALUE"""),"20309905000155")</f>
        <v>20309905000155</v>
      </c>
      <c r="E897" s="217" t="str">
        <f ca="1">IFERROR(__xludf.DUMMYFUNCTION("""COMPUTED_VALUE"""),"001")</f>
        <v>001</v>
      </c>
      <c r="F897" s="217" t="str">
        <f ca="1">IFERROR(__xludf.DUMMYFUNCTION("""COMPUTED_VALUE"""),"1117")</f>
        <v>1117</v>
      </c>
      <c r="G897" s="218" t="str">
        <f ca="1">IFERROR(__xludf.DUMMYFUNCTION("""COMPUTED_VALUE"""),"567426")</f>
        <v>567426</v>
      </c>
      <c r="H897" s="216" t="str">
        <f ca="1">IFERROR(__xludf.DUMMYFUNCTION("""COMPUTED_VALUE"""),"EJA")</f>
        <v>EJA</v>
      </c>
      <c r="I897" s="219">
        <f ca="1">IFERROR(__xludf.DUMMYFUNCTION("""COMPUTED_VALUE"""),393.599999999999)</f>
        <v>393.599999999999</v>
      </c>
    </row>
    <row r="898" spans="1:9" ht="18.75" customHeight="1">
      <c r="A898" s="215" t="str">
        <f ca="1">IFERROR(__xludf.DUMMYFUNCTION("""COMPUTED_VALUE"""),"Porto Nacional")</f>
        <v>Porto Nacional</v>
      </c>
      <c r="B898" s="215" t="str">
        <f ca="1">IFERROR(__xludf.DUMMYFUNCTION("""COMPUTED_VALUE"""),"Porto Nacional")</f>
        <v>Porto Nacional</v>
      </c>
      <c r="C898" s="216" t="str">
        <f ca="1">IFERROR(__xludf.DUMMYFUNCTION("""COMPUTED_VALUE"""),"A. ESC. COM./ESC. EST. D.DOMINGOS CARREROT")</f>
        <v>A. ESC. COM./ESC. EST. D.DOMINGOS CARREROT</v>
      </c>
      <c r="D898" s="217" t="str">
        <f ca="1">IFERROR(__xludf.DUMMYFUNCTION("""COMPUTED_VALUE"""),"00900197000115")</f>
        <v>00900197000115</v>
      </c>
      <c r="E898" s="217" t="str">
        <f ca="1">IFERROR(__xludf.DUMMYFUNCTION("""COMPUTED_VALUE"""),"104")</f>
        <v>104</v>
      </c>
      <c r="F898" s="217" t="str">
        <f ca="1">IFERROR(__xludf.DUMMYFUNCTION("""COMPUTED_VALUE"""),"1829")</f>
        <v>1829</v>
      </c>
      <c r="G898" s="218" t="str">
        <f ca="1">IFERROR(__xludf.DUMMYFUNCTION("""COMPUTED_VALUE"""),"305914")</f>
        <v>305914</v>
      </c>
      <c r="H898" s="216" t="str">
        <f ca="1">IFERROR(__xludf.DUMMYFUNCTION("""COMPUTED_VALUE"""),"ENS FUND PARCIAL")</f>
        <v>ENS FUND PARCIAL</v>
      </c>
      <c r="I898" s="219">
        <f ca="1">IFERROR(__xludf.DUMMYFUNCTION("""COMPUTED_VALUE"""),3540)</f>
        <v>3540</v>
      </c>
    </row>
    <row r="899" spans="1:9" ht="18.75" customHeight="1">
      <c r="A899" s="215" t="str">
        <f ca="1">IFERROR(__xludf.DUMMYFUNCTION("""COMPUTED_VALUE"""),"Porto Nacional")</f>
        <v>Porto Nacional</v>
      </c>
      <c r="B899" s="215" t="str">
        <f ca="1">IFERROR(__xludf.DUMMYFUNCTION("""COMPUTED_VALUE"""),"Porto Nacional")</f>
        <v>Porto Nacional</v>
      </c>
      <c r="C899" s="216" t="str">
        <f ca="1">IFERROR(__xludf.DUMMYFUNCTION("""COMPUTED_VALUE"""),"A. ESC. COM./ESC. EST. D.DOMINGOS CARREROT")</f>
        <v>A. ESC. COM./ESC. EST. D.DOMINGOS CARREROT</v>
      </c>
      <c r="D899" s="217" t="str">
        <f ca="1">IFERROR(__xludf.DUMMYFUNCTION("""COMPUTED_VALUE"""),"00900197000115")</f>
        <v>00900197000115</v>
      </c>
      <c r="E899" s="217" t="str">
        <f ca="1">IFERROR(__xludf.DUMMYFUNCTION("""COMPUTED_VALUE"""),"104")</f>
        <v>104</v>
      </c>
      <c r="F899" s="217" t="str">
        <f ca="1">IFERROR(__xludf.DUMMYFUNCTION("""COMPUTED_VALUE"""),"1829")</f>
        <v>1829</v>
      </c>
      <c r="G899" s="218" t="str">
        <f ca="1">IFERROR(__xludf.DUMMYFUNCTION("""COMPUTED_VALUE"""),"305914")</f>
        <v>305914</v>
      </c>
      <c r="H899" s="216" t="str">
        <f ca="1">IFERROR(__xludf.DUMMYFUNCTION("""COMPUTED_VALUE"""),"AEE")</f>
        <v>AEE</v>
      </c>
      <c r="I899" s="219">
        <f ca="1">IFERROR(__xludf.DUMMYFUNCTION("""COMPUTED_VALUE"""),217.6)</f>
        <v>217.6</v>
      </c>
    </row>
    <row r="900" spans="1:9" ht="18.75" customHeight="1">
      <c r="A900" s="215" t="str">
        <f ca="1">IFERROR(__xludf.DUMMYFUNCTION("""COMPUTED_VALUE"""),"Porto Nacional")</f>
        <v>Porto Nacional</v>
      </c>
      <c r="B900" s="215" t="str">
        <f ca="1">IFERROR(__xludf.DUMMYFUNCTION("""COMPUTED_VALUE"""),"Porto Nacional")</f>
        <v>Porto Nacional</v>
      </c>
      <c r="C900" s="216" t="str">
        <f ca="1">IFERROR(__xludf.DUMMYFUNCTION("""COMPUTED_VALUE"""),"A. E. COM. ESC. CONV. ANGELICA R. ARANHA")</f>
        <v>A. E. COM. ESC. CONV. ANGELICA R. ARANHA</v>
      </c>
      <c r="D900" s="217" t="str">
        <f ca="1">IFERROR(__xludf.DUMMYFUNCTION("""COMPUTED_VALUE"""),"01075455000139")</f>
        <v>01075455000139</v>
      </c>
      <c r="E900" s="217" t="str">
        <f ca="1">IFERROR(__xludf.DUMMYFUNCTION("""COMPUTED_VALUE"""),"104")</f>
        <v>104</v>
      </c>
      <c r="F900" s="217" t="str">
        <f ca="1">IFERROR(__xludf.DUMMYFUNCTION("""COMPUTED_VALUE"""),"1829")</f>
        <v>1829</v>
      </c>
      <c r="G900" s="218" t="str">
        <f ca="1">IFERROR(__xludf.DUMMYFUNCTION("""COMPUTED_VALUE"""),"307313")</f>
        <v>307313</v>
      </c>
      <c r="H900" s="216" t="str">
        <f ca="1">IFERROR(__xludf.DUMMYFUNCTION("""COMPUTED_VALUE"""),"ENS FUND PARCIAL")</f>
        <v>ENS FUND PARCIAL</v>
      </c>
      <c r="I900" s="219">
        <f ca="1">IFERROR(__xludf.DUMMYFUNCTION("""COMPUTED_VALUE"""),1470)</f>
        <v>1470</v>
      </c>
    </row>
    <row r="901" spans="1:9" ht="18.75" customHeight="1">
      <c r="A901" s="215" t="str">
        <f ca="1">IFERROR(__xludf.DUMMYFUNCTION("""COMPUTED_VALUE"""),"Porto Nacional")</f>
        <v>Porto Nacional</v>
      </c>
      <c r="B901" s="215" t="str">
        <f ca="1">IFERROR(__xludf.DUMMYFUNCTION("""COMPUTED_VALUE"""),"Porto Nacional")</f>
        <v>Porto Nacional</v>
      </c>
      <c r="C901" s="216" t="str">
        <f ca="1">IFERROR(__xludf.DUMMYFUNCTION("""COMPUTED_VALUE"""),"A. E. COM. ESC. CONV. ANGELICA R. ARANHA")</f>
        <v>A. E. COM. ESC. CONV. ANGELICA R. ARANHA</v>
      </c>
      <c r="D901" s="217" t="str">
        <f ca="1">IFERROR(__xludf.DUMMYFUNCTION("""COMPUTED_VALUE"""),"01075455000139")</f>
        <v>01075455000139</v>
      </c>
      <c r="E901" s="217" t="str">
        <f ca="1">IFERROR(__xludf.DUMMYFUNCTION("""COMPUTED_VALUE"""),"104")</f>
        <v>104</v>
      </c>
      <c r="F901" s="217" t="str">
        <f ca="1">IFERROR(__xludf.DUMMYFUNCTION("""COMPUTED_VALUE"""),"1829")</f>
        <v>1829</v>
      </c>
      <c r="G901" s="218" t="str">
        <f ca="1">IFERROR(__xludf.DUMMYFUNCTION("""COMPUTED_VALUE"""),"307313")</f>
        <v>307313</v>
      </c>
      <c r="H901" s="216" t="str">
        <f ca="1">IFERROR(__xludf.DUMMYFUNCTION("""COMPUTED_VALUE"""),"AEE")</f>
        <v>AEE</v>
      </c>
      <c r="I901" s="219">
        <f ca="1">IFERROR(__xludf.DUMMYFUNCTION("""COMPUTED_VALUE"""),149.6)</f>
        <v>149.6</v>
      </c>
    </row>
    <row r="902" spans="1:9" ht="18.75" customHeight="1">
      <c r="A902" s="215" t="str">
        <f ca="1">IFERROR(__xludf.DUMMYFUNCTION("""COMPUTED_VALUE"""),"Porto Nacional")</f>
        <v>Porto Nacional</v>
      </c>
      <c r="B902" s="215" t="str">
        <f ca="1">IFERROR(__xludf.DUMMYFUNCTION("""COMPUTED_VALUE"""),"Porto Nacional")</f>
        <v>Porto Nacional</v>
      </c>
      <c r="C902" s="216" t="str">
        <f ca="1">IFERROR(__xludf.DUMMYFUNCTION("""COMPUTED_VALUE"""),"A. E. COM. ESC. CONV. ANGELICA R. ARANHA")</f>
        <v>A. E. COM. ESC. CONV. ANGELICA R. ARANHA</v>
      </c>
      <c r="D902" s="217" t="str">
        <f ca="1">IFERROR(__xludf.DUMMYFUNCTION("""COMPUTED_VALUE"""),"01075455000139")</f>
        <v>01075455000139</v>
      </c>
      <c r="E902" s="217" t="str">
        <f ca="1">IFERROR(__xludf.DUMMYFUNCTION("""COMPUTED_VALUE"""),"104")</f>
        <v>104</v>
      </c>
      <c r="F902" s="217" t="str">
        <f ca="1">IFERROR(__xludf.DUMMYFUNCTION("""COMPUTED_VALUE"""),"1829")</f>
        <v>1829</v>
      </c>
      <c r="G902" s="218" t="str">
        <f ca="1">IFERROR(__xludf.DUMMYFUNCTION("""COMPUTED_VALUE"""),"307313")</f>
        <v>307313</v>
      </c>
      <c r="H902" s="216" t="str">
        <f ca="1">IFERROR(__xludf.DUMMYFUNCTION("""COMPUTED_VALUE"""),"ENSINO MEDIO PARCIAL")</f>
        <v>ENSINO MEDIO PARCIAL</v>
      </c>
      <c r="I902" s="219">
        <f ca="1">IFERROR(__xludf.DUMMYFUNCTION("""COMPUTED_VALUE"""),700)</f>
        <v>700</v>
      </c>
    </row>
    <row r="903" spans="1:9" ht="18.75" customHeight="1">
      <c r="A903" s="215" t="str">
        <f ca="1">IFERROR(__xludf.DUMMYFUNCTION("""COMPUTED_VALUE"""),"Porto Nacional")</f>
        <v>Porto Nacional</v>
      </c>
      <c r="B903" s="215" t="str">
        <f ca="1">IFERROR(__xludf.DUMMYFUNCTION("""COMPUTED_VALUE"""),"Porto Nacional")</f>
        <v>Porto Nacional</v>
      </c>
      <c r="C903" s="216" t="str">
        <f ca="1">IFERROR(__xludf.DUMMYFUNCTION("""COMPUTED_VALUE"""),"A. ESCOLAR COMUN. DA ESC. CONV. BRASIL")</f>
        <v>A. ESCOLAR COMUN. DA ESC. CONV. BRASIL</v>
      </c>
      <c r="D903" s="217" t="str">
        <f ca="1">IFERROR(__xludf.DUMMYFUNCTION("""COMPUTED_VALUE"""),"01112471000154")</f>
        <v>01112471000154</v>
      </c>
      <c r="E903" s="217" t="str">
        <f ca="1">IFERROR(__xludf.DUMMYFUNCTION("""COMPUTED_VALUE"""),"104")</f>
        <v>104</v>
      </c>
      <c r="F903" s="217" t="str">
        <f ca="1">IFERROR(__xludf.DUMMYFUNCTION("""COMPUTED_VALUE"""),"1829")</f>
        <v>1829</v>
      </c>
      <c r="G903" s="218" t="str">
        <f ca="1">IFERROR(__xludf.DUMMYFUNCTION("""COMPUTED_VALUE"""),"307402")</f>
        <v>307402</v>
      </c>
      <c r="H903" s="216" t="str">
        <f ca="1">IFERROR(__xludf.DUMMYFUNCTION("""COMPUTED_VALUE"""),"ENS FUND PARCIAL")</f>
        <v>ENS FUND PARCIAL</v>
      </c>
      <c r="I903" s="219">
        <f ca="1">IFERROR(__xludf.DUMMYFUNCTION("""COMPUTED_VALUE"""),860)</f>
        <v>860</v>
      </c>
    </row>
    <row r="904" spans="1:9" ht="18.75" customHeight="1">
      <c r="A904" s="215" t="str">
        <f ca="1">IFERROR(__xludf.DUMMYFUNCTION("""COMPUTED_VALUE"""),"Porto Nacional")</f>
        <v>Porto Nacional</v>
      </c>
      <c r="B904" s="215" t="str">
        <f ca="1">IFERROR(__xludf.DUMMYFUNCTION("""COMPUTED_VALUE"""),"Porto Nacional")</f>
        <v>Porto Nacional</v>
      </c>
      <c r="C904" s="216" t="str">
        <f ca="1">IFERROR(__xludf.DUMMYFUNCTION("""COMPUTED_VALUE"""),"A. ESCOLAR COMUN. DA ESC. CONV. BRASIL")</f>
        <v>A. ESCOLAR COMUN. DA ESC. CONV. BRASIL</v>
      </c>
      <c r="D904" s="217" t="str">
        <f ca="1">IFERROR(__xludf.DUMMYFUNCTION("""COMPUTED_VALUE"""),"01112471000154")</f>
        <v>01112471000154</v>
      </c>
      <c r="E904" s="217" t="str">
        <f ca="1">IFERROR(__xludf.DUMMYFUNCTION("""COMPUTED_VALUE"""),"104")</f>
        <v>104</v>
      </c>
      <c r="F904" s="217" t="str">
        <f ca="1">IFERROR(__xludf.DUMMYFUNCTION("""COMPUTED_VALUE"""),"1829")</f>
        <v>1829</v>
      </c>
      <c r="G904" s="218" t="str">
        <f ca="1">IFERROR(__xludf.DUMMYFUNCTION("""COMPUTED_VALUE"""),"307402")</f>
        <v>307402</v>
      </c>
      <c r="H904" s="216" t="str">
        <f ca="1">IFERROR(__xludf.DUMMYFUNCTION("""COMPUTED_VALUE"""),"ENSINO MEDIO PARCIAL")</f>
        <v>ENSINO MEDIO PARCIAL</v>
      </c>
      <c r="I904" s="219">
        <f ca="1">IFERROR(__xludf.DUMMYFUNCTION("""COMPUTED_VALUE"""),520)</f>
        <v>520</v>
      </c>
    </row>
    <row r="905" spans="1:9" ht="18.75" customHeight="1">
      <c r="A905" s="215" t="str">
        <f ca="1">IFERROR(__xludf.DUMMYFUNCTION("""COMPUTED_VALUE"""),"Porto Nacional")</f>
        <v>Porto Nacional</v>
      </c>
      <c r="B905" s="215" t="str">
        <f ca="1">IFERROR(__xludf.DUMMYFUNCTION("""COMPUTED_VALUE"""),"Porto Nacional")</f>
        <v>Porto Nacional</v>
      </c>
      <c r="C905" s="216" t="str">
        <f ca="1">IFERROR(__xludf.DUMMYFUNCTION("""COMPUTED_VALUE"""),"ASSOC. DE APOIO AO CEM FELIX CAMOA I")</f>
        <v>ASSOC. DE APOIO AO CEM FELIX CAMOA I</v>
      </c>
      <c r="D905" s="217" t="str">
        <f ca="1">IFERROR(__xludf.DUMMYFUNCTION("""COMPUTED_VALUE"""),"01112476000187")</f>
        <v>01112476000187</v>
      </c>
      <c r="E905" s="217" t="str">
        <f ca="1">IFERROR(__xludf.DUMMYFUNCTION("""COMPUTED_VALUE"""),"104")</f>
        <v>104</v>
      </c>
      <c r="F905" s="217" t="str">
        <f ca="1">IFERROR(__xludf.DUMMYFUNCTION("""COMPUTED_VALUE"""),"1829")</f>
        <v>1829</v>
      </c>
      <c r="G905" s="218" t="str">
        <f ca="1">IFERROR(__xludf.DUMMYFUNCTION("""COMPUTED_VALUE"""),"3050011")</f>
        <v>3050011</v>
      </c>
      <c r="H905" s="216" t="str">
        <f ca="1">IFERROR(__xludf.DUMMYFUNCTION("""COMPUTED_VALUE"""),"AEE")</f>
        <v>AEE</v>
      </c>
      <c r="I905" s="219">
        <f ca="1">IFERROR(__xludf.DUMMYFUNCTION("""COMPUTED_VALUE"""),163.2)</f>
        <v>163.19999999999999</v>
      </c>
    </row>
    <row r="906" spans="1:9" ht="18.75" customHeight="1">
      <c r="A906" s="215" t="str">
        <f ca="1">IFERROR(__xludf.DUMMYFUNCTION("""COMPUTED_VALUE"""),"Porto Nacional")</f>
        <v>Porto Nacional</v>
      </c>
      <c r="B906" s="215" t="str">
        <f ca="1">IFERROR(__xludf.DUMMYFUNCTION("""COMPUTED_VALUE"""),"Porto Nacional")</f>
        <v>Porto Nacional</v>
      </c>
      <c r="C906" s="216" t="str">
        <f ca="1">IFERROR(__xludf.DUMMYFUNCTION("""COMPUTED_VALUE"""),"ASSOC. DE APOIO AO CEM FELIX CAMOA I")</f>
        <v>ASSOC. DE APOIO AO CEM FELIX CAMOA I</v>
      </c>
      <c r="D906" s="217" t="str">
        <f ca="1">IFERROR(__xludf.DUMMYFUNCTION("""COMPUTED_VALUE"""),"01112476000187")</f>
        <v>01112476000187</v>
      </c>
      <c r="E906" s="217" t="str">
        <f ca="1">IFERROR(__xludf.DUMMYFUNCTION("""COMPUTED_VALUE"""),"104")</f>
        <v>104</v>
      </c>
      <c r="F906" s="217" t="str">
        <f ca="1">IFERROR(__xludf.DUMMYFUNCTION("""COMPUTED_VALUE"""),"1829")</f>
        <v>1829</v>
      </c>
      <c r="G906" s="218" t="str">
        <f ca="1">IFERROR(__xludf.DUMMYFUNCTION("""COMPUTED_VALUE"""),"3050011")</f>
        <v>3050011</v>
      </c>
      <c r="H906" s="216" t="str">
        <f ca="1">IFERROR(__xludf.DUMMYFUNCTION("""COMPUTED_VALUE"""),"JOVEM AÇÃO")</f>
        <v>JOVEM AÇÃO</v>
      </c>
      <c r="I906" s="219">
        <f ca="1">IFERROR(__xludf.DUMMYFUNCTION("""COMPUTED_VALUE"""),13926.4)</f>
        <v>13926.4</v>
      </c>
    </row>
    <row r="907" spans="1:9" ht="18.75" customHeight="1">
      <c r="A907" s="215" t="str">
        <f ca="1">IFERROR(__xludf.DUMMYFUNCTION("""COMPUTED_VALUE"""),"Porto Nacional")</f>
        <v>Porto Nacional</v>
      </c>
      <c r="B907" s="215" t="str">
        <f ca="1">IFERROR(__xludf.DUMMYFUNCTION("""COMPUTED_VALUE"""),"Porto Nacional")</f>
        <v>Porto Nacional</v>
      </c>
      <c r="C907" s="216" t="str">
        <f ca="1">IFERROR(__xludf.DUMMYFUNCTION("""COMPUTED_VALUE"""),"A. ESCOL.COM. ESC. EST. MAL.ARTUR C.E SILVA")</f>
        <v>A. ESCOL.COM. ESC. EST. MAL.ARTUR C.E SILVA</v>
      </c>
      <c r="D907" s="217" t="str">
        <f ca="1">IFERROR(__xludf.DUMMYFUNCTION("""COMPUTED_VALUE"""),"01112763000197")</f>
        <v>01112763000197</v>
      </c>
      <c r="E907" s="217" t="str">
        <f ca="1">IFERROR(__xludf.DUMMYFUNCTION("""COMPUTED_VALUE"""),"104")</f>
        <v>104</v>
      </c>
      <c r="F907" s="217" t="str">
        <f ca="1">IFERROR(__xludf.DUMMYFUNCTION("""COMPUTED_VALUE"""),"1829")</f>
        <v>1829</v>
      </c>
      <c r="G907" s="218" t="str">
        <f ca="1">IFERROR(__xludf.DUMMYFUNCTION("""COMPUTED_VALUE"""),"307364")</f>
        <v>307364</v>
      </c>
      <c r="H907" s="216" t="str">
        <f ca="1">IFERROR(__xludf.DUMMYFUNCTION("""COMPUTED_VALUE"""),"ENS FUND PARCIAL")</f>
        <v>ENS FUND PARCIAL</v>
      </c>
      <c r="I907" s="219">
        <f ca="1">IFERROR(__xludf.DUMMYFUNCTION("""COMPUTED_VALUE"""),2390)</f>
        <v>2390</v>
      </c>
    </row>
    <row r="908" spans="1:9" ht="18.75" customHeight="1">
      <c r="A908" s="215" t="str">
        <f ca="1">IFERROR(__xludf.DUMMYFUNCTION("""COMPUTED_VALUE"""),"Porto Nacional")</f>
        <v>Porto Nacional</v>
      </c>
      <c r="B908" s="215" t="str">
        <f ca="1">IFERROR(__xludf.DUMMYFUNCTION("""COMPUTED_VALUE"""),"Porto Nacional")</f>
        <v>Porto Nacional</v>
      </c>
      <c r="C908" s="216" t="str">
        <f ca="1">IFERROR(__xludf.DUMMYFUNCTION("""COMPUTED_VALUE"""),"A. ESCOL.COM. ESC. EST. MAL.ARTUR C.E SILVA")</f>
        <v>A. ESCOL.COM. ESC. EST. MAL.ARTUR C.E SILVA</v>
      </c>
      <c r="D908" s="217" t="str">
        <f ca="1">IFERROR(__xludf.DUMMYFUNCTION("""COMPUTED_VALUE"""),"01112763000197")</f>
        <v>01112763000197</v>
      </c>
      <c r="E908" s="217" t="str">
        <f ca="1">IFERROR(__xludf.DUMMYFUNCTION("""COMPUTED_VALUE"""),"104")</f>
        <v>104</v>
      </c>
      <c r="F908" s="217" t="str">
        <f ca="1">IFERROR(__xludf.DUMMYFUNCTION("""COMPUTED_VALUE"""),"1829")</f>
        <v>1829</v>
      </c>
      <c r="G908" s="218" t="str">
        <f ca="1">IFERROR(__xludf.DUMMYFUNCTION("""COMPUTED_VALUE"""),"307364")</f>
        <v>307364</v>
      </c>
      <c r="H908" s="216" t="str">
        <f ca="1">IFERROR(__xludf.DUMMYFUNCTION("""COMPUTED_VALUE"""),"AEE")</f>
        <v>AEE</v>
      </c>
      <c r="I908" s="219">
        <f ca="1">IFERROR(__xludf.DUMMYFUNCTION("""COMPUTED_VALUE"""),231.2)</f>
        <v>231.2</v>
      </c>
    </row>
    <row r="909" spans="1:9" ht="18.75" customHeight="1">
      <c r="A909" s="215" t="str">
        <f ca="1">IFERROR(__xludf.DUMMYFUNCTION("""COMPUTED_VALUE"""),"Porto Nacional")</f>
        <v>Porto Nacional</v>
      </c>
      <c r="B909" s="215" t="str">
        <f ca="1">IFERROR(__xludf.DUMMYFUNCTION("""COMPUTED_VALUE"""),"Porto Nacional")</f>
        <v>Porto Nacional</v>
      </c>
      <c r="C909" s="216" t="str">
        <f ca="1">IFERROR(__xludf.DUMMYFUNCTION("""COMPUTED_VALUE"""),"A. ESCOL.COM. ESC. EST. MAL.ARTUR C.E SILVA")</f>
        <v>A. ESCOL.COM. ESC. EST. MAL.ARTUR C.E SILVA</v>
      </c>
      <c r="D909" s="217" t="str">
        <f ca="1">IFERROR(__xludf.DUMMYFUNCTION("""COMPUTED_VALUE"""),"01112763000197")</f>
        <v>01112763000197</v>
      </c>
      <c r="E909" s="217" t="str">
        <f ca="1">IFERROR(__xludf.DUMMYFUNCTION("""COMPUTED_VALUE"""),"104")</f>
        <v>104</v>
      </c>
      <c r="F909" s="217" t="str">
        <f ca="1">IFERROR(__xludf.DUMMYFUNCTION("""COMPUTED_VALUE"""),"1829")</f>
        <v>1829</v>
      </c>
      <c r="G909" s="218" t="str">
        <f ca="1">IFERROR(__xludf.DUMMYFUNCTION("""COMPUTED_VALUE"""),"307364")</f>
        <v>307364</v>
      </c>
      <c r="H909" s="216" t="str">
        <f ca="1">IFERROR(__xludf.DUMMYFUNCTION("""COMPUTED_VALUE"""),"ENSINO MEDIO PARCIAL")</f>
        <v>ENSINO MEDIO PARCIAL</v>
      </c>
      <c r="I909" s="219">
        <f ca="1">IFERROR(__xludf.DUMMYFUNCTION("""COMPUTED_VALUE"""),1440)</f>
        <v>1440</v>
      </c>
    </row>
    <row r="910" spans="1:9" ht="18.75" customHeight="1">
      <c r="A910" s="215" t="str">
        <f ca="1">IFERROR(__xludf.DUMMYFUNCTION("""COMPUTED_VALUE"""),"Porto Nacional")</f>
        <v>Porto Nacional</v>
      </c>
      <c r="B910" s="215" t="str">
        <f ca="1">IFERROR(__xludf.DUMMYFUNCTION("""COMPUTED_VALUE"""),"Porto Nacional")</f>
        <v>Porto Nacional</v>
      </c>
      <c r="C910" s="216" t="str">
        <f ca="1">IFERROR(__xludf.DUMMYFUNCTION("""COMPUTED_VALUE"""),"A. ESCOL.COM. ESC. EST. MAL.ARTUR C.E SILVA")</f>
        <v>A. ESCOL.COM. ESC. EST. MAL.ARTUR C.E SILVA</v>
      </c>
      <c r="D910" s="217" t="str">
        <f ca="1">IFERROR(__xludf.DUMMYFUNCTION("""COMPUTED_VALUE"""),"01112763000197")</f>
        <v>01112763000197</v>
      </c>
      <c r="E910" s="217" t="str">
        <f ca="1">IFERROR(__xludf.DUMMYFUNCTION("""COMPUTED_VALUE"""),"104")</f>
        <v>104</v>
      </c>
      <c r="F910" s="217" t="str">
        <f ca="1">IFERROR(__xludf.DUMMYFUNCTION("""COMPUTED_VALUE"""),"1829")</f>
        <v>1829</v>
      </c>
      <c r="G910" s="218" t="str">
        <f ca="1">IFERROR(__xludf.DUMMYFUNCTION("""COMPUTED_VALUE"""),"307364")</f>
        <v>307364</v>
      </c>
      <c r="H910" s="216" t="str">
        <f ca="1">IFERROR(__xludf.DUMMYFUNCTION("""COMPUTED_VALUE"""),"EJA")</f>
        <v>EJA</v>
      </c>
      <c r="I910" s="219">
        <f ca="1">IFERROR(__xludf.DUMMYFUNCTION("""COMPUTED_VALUE"""),656)</f>
        <v>656</v>
      </c>
    </row>
    <row r="911" spans="1:9" ht="18.75" customHeight="1">
      <c r="A911" s="215" t="str">
        <f ca="1">IFERROR(__xludf.DUMMYFUNCTION("""COMPUTED_VALUE"""),"Porto Nacional")</f>
        <v>Porto Nacional</v>
      </c>
      <c r="B911" s="215" t="str">
        <f ca="1">IFERROR(__xludf.DUMMYFUNCTION("""COMPUTED_VALUE"""),"Porto Nacional")</f>
        <v>Porto Nacional</v>
      </c>
      <c r="C911" s="216" t="str">
        <f ca="1">IFERROR(__xludf.DUMMYFUNCTION("""COMPUTED_VALUE"""),"A.A. E. E. PROFA. CARMENIA MATOS MAIA")</f>
        <v>A.A. E. E. PROFA. CARMENIA MATOS MAIA</v>
      </c>
      <c r="D911" s="217" t="str">
        <f ca="1">IFERROR(__xludf.DUMMYFUNCTION("""COMPUTED_VALUE"""),"01118897000115")</f>
        <v>01118897000115</v>
      </c>
      <c r="E911" s="217" t="str">
        <f ca="1">IFERROR(__xludf.DUMMYFUNCTION("""COMPUTED_VALUE"""),"104")</f>
        <v>104</v>
      </c>
      <c r="F911" s="217" t="str">
        <f ca="1">IFERROR(__xludf.DUMMYFUNCTION("""COMPUTED_VALUE"""),"1829")</f>
        <v>1829</v>
      </c>
      <c r="G911" s="218" t="str">
        <f ca="1">IFERROR(__xludf.DUMMYFUNCTION("""COMPUTED_VALUE"""),"307399")</f>
        <v>307399</v>
      </c>
      <c r="H911" s="216" t="str">
        <f ca="1">IFERROR(__xludf.DUMMYFUNCTION("""COMPUTED_VALUE"""),"ENS FUND PARCIAL")</f>
        <v>ENS FUND PARCIAL</v>
      </c>
      <c r="I911" s="219">
        <f ca="1">IFERROR(__xludf.DUMMYFUNCTION("""COMPUTED_VALUE"""),4460)</f>
        <v>4460</v>
      </c>
    </row>
    <row r="912" spans="1:9" ht="18.75" customHeight="1">
      <c r="A912" s="215" t="str">
        <f ca="1">IFERROR(__xludf.DUMMYFUNCTION("""COMPUTED_VALUE"""),"Porto Nacional")</f>
        <v>Porto Nacional</v>
      </c>
      <c r="B912" s="215" t="str">
        <f ca="1">IFERROR(__xludf.DUMMYFUNCTION("""COMPUTED_VALUE"""),"Porto Nacional")</f>
        <v>Porto Nacional</v>
      </c>
      <c r="C912" s="216" t="str">
        <f ca="1">IFERROR(__xludf.DUMMYFUNCTION("""COMPUTED_VALUE"""),"A.A. E. E. PROFA. CARMENIA MATOS MAIA")</f>
        <v>A.A. E. E. PROFA. CARMENIA MATOS MAIA</v>
      </c>
      <c r="D912" s="217" t="str">
        <f ca="1">IFERROR(__xludf.DUMMYFUNCTION("""COMPUTED_VALUE"""),"01118897000115")</f>
        <v>01118897000115</v>
      </c>
      <c r="E912" s="217" t="str">
        <f ca="1">IFERROR(__xludf.DUMMYFUNCTION("""COMPUTED_VALUE"""),"104")</f>
        <v>104</v>
      </c>
      <c r="F912" s="217" t="str">
        <f ca="1">IFERROR(__xludf.DUMMYFUNCTION("""COMPUTED_VALUE"""),"1829")</f>
        <v>1829</v>
      </c>
      <c r="G912" s="218" t="str">
        <f ca="1">IFERROR(__xludf.DUMMYFUNCTION("""COMPUTED_VALUE"""),"307399")</f>
        <v>307399</v>
      </c>
      <c r="H912" s="216" t="str">
        <f ca="1">IFERROR(__xludf.DUMMYFUNCTION("""COMPUTED_VALUE"""),"AEE")</f>
        <v>AEE</v>
      </c>
      <c r="I912" s="219">
        <f ca="1">IFERROR(__xludf.DUMMYFUNCTION("""COMPUTED_VALUE"""),408)</f>
        <v>408</v>
      </c>
    </row>
    <row r="913" spans="1:9" ht="18.75" customHeight="1">
      <c r="A913" s="215" t="str">
        <f ca="1">IFERROR(__xludf.DUMMYFUNCTION("""COMPUTED_VALUE"""),"Porto Nacional")</f>
        <v>Porto Nacional</v>
      </c>
      <c r="B913" s="215" t="str">
        <f ca="1">IFERROR(__xludf.DUMMYFUNCTION("""COMPUTED_VALUE"""),"Porto Nacional")</f>
        <v>Porto Nacional</v>
      </c>
      <c r="C913" s="216" t="str">
        <f ca="1">IFERROR(__xludf.DUMMYFUNCTION("""COMPUTED_VALUE"""),"A.A. E. E. PROFA. CARMENIA MATOS MAIA")</f>
        <v>A.A. E. E. PROFA. CARMENIA MATOS MAIA</v>
      </c>
      <c r="D913" s="217" t="str">
        <f ca="1">IFERROR(__xludf.DUMMYFUNCTION("""COMPUTED_VALUE"""),"01118897000115")</f>
        <v>01118897000115</v>
      </c>
      <c r="E913" s="217" t="str">
        <f ca="1">IFERROR(__xludf.DUMMYFUNCTION("""COMPUTED_VALUE"""),"104")</f>
        <v>104</v>
      </c>
      <c r="F913" s="217" t="str">
        <f ca="1">IFERROR(__xludf.DUMMYFUNCTION("""COMPUTED_VALUE"""),"1829")</f>
        <v>1829</v>
      </c>
      <c r="G913" s="218" t="str">
        <f ca="1">IFERROR(__xludf.DUMMYFUNCTION("""COMPUTED_VALUE"""),"307399")</f>
        <v>307399</v>
      </c>
      <c r="H913" s="216" t="str">
        <f ca="1">IFERROR(__xludf.DUMMYFUNCTION("""COMPUTED_VALUE"""),"ENSINO MEDIO PARCIAL")</f>
        <v>ENSINO MEDIO PARCIAL</v>
      </c>
      <c r="I913" s="219">
        <f ca="1">IFERROR(__xludf.DUMMYFUNCTION("""COMPUTED_VALUE"""),1740)</f>
        <v>1740</v>
      </c>
    </row>
    <row r="914" spans="1:9" ht="18.75" customHeight="1">
      <c r="A914" s="215" t="str">
        <f ca="1">IFERROR(__xludf.DUMMYFUNCTION("""COMPUTED_VALUE"""),"Porto Nacional")</f>
        <v>Porto Nacional</v>
      </c>
      <c r="B914" s="215" t="str">
        <f ca="1">IFERROR(__xludf.DUMMYFUNCTION("""COMPUTED_VALUE"""),"Porto Nacional")</f>
        <v>Porto Nacional</v>
      </c>
      <c r="C914" s="216" t="str">
        <f ca="1">IFERROR(__xludf.DUMMYFUNCTION("""COMPUTED_VALUE"""),"A.A.  A ESCOLA D. PEDRO II")</f>
        <v>A.A.  A ESCOLA D. PEDRO II</v>
      </c>
      <c r="D914" s="217" t="str">
        <f ca="1">IFERROR(__xludf.DUMMYFUNCTION("""COMPUTED_VALUE"""),"01133697000131")</f>
        <v>01133697000131</v>
      </c>
      <c r="E914" s="217" t="str">
        <f ca="1">IFERROR(__xludf.DUMMYFUNCTION("""COMPUTED_VALUE"""),"001")</f>
        <v>001</v>
      </c>
      <c r="F914" s="217" t="str">
        <f ca="1">IFERROR(__xludf.DUMMYFUNCTION("""COMPUTED_VALUE"""),"1117")</f>
        <v>1117</v>
      </c>
      <c r="G914" s="218" t="str">
        <f ca="1">IFERROR(__xludf.DUMMYFUNCTION("""COMPUTED_VALUE"""),"0313092")</f>
        <v>0313092</v>
      </c>
      <c r="H914" s="216" t="str">
        <f ca="1">IFERROR(__xludf.DUMMYFUNCTION("""COMPUTED_VALUE"""),"ENS FUND INTEGRAL")</f>
        <v>ENS FUND INTEGRAL</v>
      </c>
      <c r="I914" s="219">
        <f ca="1">IFERROR(__xludf.DUMMYFUNCTION("""COMPUTED_VALUE"""),3781.2)</f>
        <v>3781.2</v>
      </c>
    </row>
    <row r="915" spans="1:9" ht="18.75" customHeight="1">
      <c r="A915" s="215" t="str">
        <f ca="1">IFERROR(__xludf.DUMMYFUNCTION("""COMPUTED_VALUE"""),"Porto Nacional")</f>
        <v>Porto Nacional</v>
      </c>
      <c r="B915" s="215" t="str">
        <f ca="1">IFERROR(__xludf.DUMMYFUNCTION("""COMPUTED_VALUE"""),"Porto Nacional")</f>
        <v>Porto Nacional</v>
      </c>
      <c r="C915" s="216" t="str">
        <f ca="1">IFERROR(__xludf.DUMMYFUNCTION("""COMPUTED_VALUE"""),"A.A.  A ESCOLA D. PEDRO II")</f>
        <v>A.A.  A ESCOLA D. PEDRO II</v>
      </c>
      <c r="D915" s="217" t="str">
        <f ca="1">IFERROR(__xludf.DUMMYFUNCTION("""COMPUTED_VALUE"""),"01133697000131")</f>
        <v>01133697000131</v>
      </c>
      <c r="E915" s="217" t="str">
        <f ca="1">IFERROR(__xludf.DUMMYFUNCTION("""COMPUTED_VALUE"""),"001")</f>
        <v>001</v>
      </c>
      <c r="F915" s="217" t="str">
        <f ca="1">IFERROR(__xludf.DUMMYFUNCTION("""COMPUTED_VALUE"""),"1117")</f>
        <v>1117</v>
      </c>
      <c r="G915" s="218" t="str">
        <f ca="1">IFERROR(__xludf.DUMMYFUNCTION("""COMPUTED_VALUE"""),"0313092")</f>
        <v>0313092</v>
      </c>
      <c r="H915" s="216" t="str">
        <f ca="1">IFERROR(__xludf.DUMMYFUNCTION("""COMPUTED_VALUE"""),"AEE")</f>
        <v>AEE</v>
      </c>
      <c r="I915" s="219">
        <f ca="1">IFERROR(__xludf.DUMMYFUNCTION("""COMPUTED_VALUE"""),217.6)</f>
        <v>217.6</v>
      </c>
    </row>
    <row r="916" spans="1:9" ht="18.75" customHeight="1">
      <c r="A916" s="215" t="str">
        <f ca="1">IFERROR(__xludf.DUMMYFUNCTION("""COMPUTED_VALUE"""),"Porto Nacional")</f>
        <v>Porto Nacional</v>
      </c>
      <c r="B916" s="215" t="str">
        <f ca="1">IFERROR(__xludf.DUMMYFUNCTION("""COMPUTED_VALUE"""),"Porto Nacional")</f>
        <v>Porto Nacional</v>
      </c>
      <c r="C916" s="216" t="str">
        <f ca="1">IFERROR(__xludf.DUMMYFUNCTION("""COMPUTED_VALUE"""),"A.A. ESC. EST. DR.PEDRO LUDOVICO TEIXEIRA")</f>
        <v>A.A. ESC. EST. DR.PEDRO LUDOVICO TEIXEIRA</v>
      </c>
      <c r="D916" s="217" t="str">
        <f ca="1">IFERROR(__xludf.DUMMYFUNCTION("""COMPUTED_VALUE"""),"01135997000150")</f>
        <v>01135997000150</v>
      </c>
      <c r="E916" s="217" t="str">
        <f ca="1">IFERROR(__xludf.DUMMYFUNCTION("""COMPUTED_VALUE"""),"104")</f>
        <v>104</v>
      </c>
      <c r="F916" s="217" t="str">
        <f ca="1">IFERROR(__xludf.DUMMYFUNCTION("""COMPUTED_VALUE"""),"1829")</f>
        <v>1829</v>
      </c>
      <c r="G916" s="218" t="str">
        <f ca="1">IFERROR(__xludf.DUMMYFUNCTION("""COMPUTED_VALUE"""),"305949")</f>
        <v>305949</v>
      </c>
      <c r="H916" s="216" t="str">
        <f ca="1">IFERROR(__xludf.DUMMYFUNCTION("""COMPUTED_VALUE"""),"ENS FUND PARCIAL")</f>
        <v>ENS FUND PARCIAL</v>
      </c>
      <c r="I916" s="219">
        <f ca="1">IFERROR(__xludf.DUMMYFUNCTION("""COMPUTED_VALUE"""),9560)</f>
        <v>9560</v>
      </c>
    </row>
    <row r="917" spans="1:9" ht="18.75" customHeight="1">
      <c r="A917" s="215" t="str">
        <f ca="1">IFERROR(__xludf.DUMMYFUNCTION("""COMPUTED_VALUE"""),"Porto Nacional")</f>
        <v>Porto Nacional</v>
      </c>
      <c r="B917" s="215" t="str">
        <f ca="1">IFERROR(__xludf.DUMMYFUNCTION("""COMPUTED_VALUE"""),"Porto Nacional")</f>
        <v>Porto Nacional</v>
      </c>
      <c r="C917" s="216" t="str">
        <f ca="1">IFERROR(__xludf.DUMMYFUNCTION("""COMPUTED_VALUE"""),"A.A. ESC. EST. DR.PEDRO LUDOVICO TEIXEIRA")</f>
        <v>A.A. ESC. EST. DR.PEDRO LUDOVICO TEIXEIRA</v>
      </c>
      <c r="D917" s="217" t="str">
        <f ca="1">IFERROR(__xludf.DUMMYFUNCTION("""COMPUTED_VALUE"""),"01135997000150")</f>
        <v>01135997000150</v>
      </c>
      <c r="E917" s="217" t="str">
        <f ca="1">IFERROR(__xludf.DUMMYFUNCTION("""COMPUTED_VALUE"""),"104")</f>
        <v>104</v>
      </c>
      <c r="F917" s="217" t="str">
        <f ca="1">IFERROR(__xludf.DUMMYFUNCTION("""COMPUTED_VALUE"""),"1829")</f>
        <v>1829</v>
      </c>
      <c r="G917" s="218" t="str">
        <f ca="1">IFERROR(__xludf.DUMMYFUNCTION("""COMPUTED_VALUE"""),"305949")</f>
        <v>305949</v>
      </c>
      <c r="H917" s="216" t="str">
        <f ca="1">IFERROR(__xludf.DUMMYFUNCTION("""COMPUTED_VALUE"""),"AEE")</f>
        <v>AEE</v>
      </c>
      <c r="I917" s="219">
        <f ca="1">IFERROR(__xludf.DUMMYFUNCTION("""COMPUTED_VALUE"""),571.199999999999)</f>
        <v>571.19999999999902</v>
      </c>
    </row>
    <row r="918" spans="1:9" ht="18.75" customHeight="1">
      <c r="A918" s="215" t="str">
        <f ca="1">IFERROR(__xludf.DUMMYFUNCTION("""COMPUTED_VALUE"""),"Porto Nacional")</f>
        <v>Porto Nacional</v>
      </c>
      <c r="B918" s="215" t="str">
        <f ca="1">IFERROR(__xludf.DUMMYFUNCTION("""COMPUTED_VALUE"""),"Porto Nacional")</f>
        <v>Porto Nacional</v>
      </c>
      <c r="C918" s="216" t="str">
        <f ca="1">IFERROR(__xludf.DUMMYFUNCTION("""COMPUTED_VALUE"""),"A.A. ESC. EST. DR.PEDRO LUDOVICO TEIXEIRA")</f>
        <v>A.A. ESC. EST. DR.PEDRO LUDOVICO TEIXEIRA</v>
      </c>
      <c r="D918" s="217" t="str">
        <f ca="1">IFERROR(__xludf.DUMMYFUNCTION("""COMPUTED_VALUE"""),"01135997000150")</f>
        <v>01135997000150</v>
      </c>
      <c r="E918" s="217" t="str">
        <f ca="1">IFERROR(__xludf.DUMMYFUNCTION("""COMPUTED_VALUE"""),"104")</f>
        <v>104</v>
      </c>
      <c r="F918" s="217" t="str">
        <f ca="1">IFERROR(__xludf.DUMMYFUNCTION("""COMPUTED_VALUE"""),"1829")</f>
        <v>1829</v>
      </c>
      <c r="G918" s="218" t="str">
        <f ca="1">IFERROR(__xludf.DUMMYFUNCTION("""COMPUTED_VALUE"""),"305949")</f>
        <v>305949</v>
      </c>
      <c r="H918" s="216" t="str">
        <f ca="1">IFERROR(__xludf.DUMMYFUNCTION("""COMPUTED_VALUE"""),"ENSINO MEDIO PARCIAL")</f>
        <v>ENSINO MEDIO PARCIAL</v>
      </c>
      <c r="I918" s="219">
        <f ca="1">IFERROR(__xludf.DUMMYFUNCTION("""COMPUTED_VALUE"""),4900)</f>
        <v>4900</v>
      </c>
    </row>
    <row r="919" spans="1:9" ht="18.75" customHeight="1">
      <c r="A919" s="215" t="str">
        <f ca="1">IFERROR(__xludf.DUMMYFUNCTION("""COMPUTED_VALUE"""),"Porto Nacional")</f>
        <v>Porto Nacional</v>
      </c>
      <c r="B919" s="215" t="str">
        <f ca="1">IFERROR(__xludf.DUMMYFUNCTION("""COMPUTED_VALUE"""),"Porto Nacional")</f>
        <v>Porto Nacional</v>
      </c>
      <c r="C919" s="216" t="str">
        <f ca="1">IFERROR(__xludf.DUMMYFUNCTION("""COMPUTED_VALUE"""),"A.A. ESCOLA ESTADUAL IRMA ASPASIA")</f>
        <v>A.A. ESCOLA ESTADUAL IRMA ASPASIA</v>
      </c>
      <c r="D919" s="217" t="str">
        <f ca="1">IFERROR(__xludf.DUMMYFUNCTION("""COMPUTED_VALUE"""),"01136022000146")</f>
        <v>01136022000146</v>
      </c>
      <c r="E919" s="217" t="str">
        <f ca="1">IFERROR(__xludf.DUMMYFUNCTION("""COMPUTED_VALUE"""),"104")</f>
        <v>104</v>
      </c>
      <c r="F919" s="217" t="str">
        <f ca="1">IFERROR(__xludf.DUMMYFUNCTION("""COMPUTED_VALUE"""),"1829")</f>
        <v>1829</v>
      </c>
      <c r="G919" s="218" t="str">
        <f ca="1">IFERROR(__xludf.DUMMYFUNCTION("""COMPUTED_VALUE"""),"307453")</f>
        <v>307453</v>
      </c>
      <c r="H919" s="216" t="str">
        <f ca="1">IFERROR(__xludf.DUMMYFUNCTION("""COMPUTED_VALUE"""),"ENS FUND PARCIAL")</f>
        <v>ENS FUND PARCIAL</v>
      </c>
      <c r="I919" s="219">
        <f ca="1">IFERROR(__xludf.DUMMYFUNCTION("""COMPUTED_VALUE"""),1360)</f>
        <v>1360</v>
      </c>
    </row>
    <row r="920" spans="1:9" ht="18.75" customHeight="1">
      <c r="A920" s="215" t="str">
        <f ca="1">IFERROR(__xludf.DUMMYFUNCTION("""COMPUTED_VALUE"""),"Porto Nacional")</f>
        <v>Porto Nacional</v>
      </c>
      <c r="B920" s="215" t="str">
        <f ca="1">IFERROR(__xludf.DUMMYFUNCTION("""COMPUTED_VALUE"""),"Porto Nacional")</f>
        <v>Porto Nacional</v>
      </c>
      <c r="C920" s="216" t="str">
        <f ca="1">IFERROR(__xludf.DUMMYFUNCTION("""COMPUTED_VALUE"""),"A.A. ESCOLA ESTADUAL IRMA ASPASIA")</f>
        <v>A.A. ESCOLA ESTADUAL IRMA ASPASIA</v>
      </c>
      <c r="D920" s="217" t="str">
        <f ca="1">IFERROR(__xludf.DUMMYFUNCTION("""COMPUTED_VALUE"""),"01136022000146")</f>
        <v>01136022000146</v>
      </c>
      <c r="E920" s="217" t="str">
        <f ca="1">IFERROR(__xludf.DUMMYFUNCTION("""COMPUTED_VALUE"""),"104")</f>
        <v>104</v>
      </c>
      <c r="F920" s="217" t="str">
        <f ca="1">IFERROR(__xludf.DUMMYFUNCTION("""COMPUTED_VALUE"""),"1829")</f>
        <v>1829</v>
      </c>
      <c r="G920" s="218" t="str">
        <f ca="1">IFERROR(__xludf.DUMMYFUNCTION("""COMPUTED_VALUE"""),"307453")</f>
        <v>307453</v>
      </c>
      <c r="H920" s="216" t="str">
        <f ca="1">IFERROR(__xludf.DUMMYFUNCTION("""COMPUTED_VALUE"""),"AEE")</f>
        <v>AEE</v>
      </c>
      <c r="I920" s="219">
        <f ca="1">IFERROR(__xludf.DUMMYFUNCTION("""COMPUTED_VALUE"""),204)</f>
        <v>204</v>
      </c>
    </row>
    <row r="921" spans="1:9" ht="18.75" customHeight="1">
      <c r="A921" s="215" t="str">
        <f ca="1">IFERROR(__xludf.DUMMYFUNCTION("""COMPUTED_VALUE"""),"Porto Nacional")</f>
        <v>Porto Nacional</v>
      </c>
      <c r="B921" s="215" t="str">
        <f ca="1">IFERROR(__xludf.DUMMYFUNCTION("""COMPUTED_VALUE"""),"Porto Nacional")</f>
        <v>Porto Nacional</v>
      </c>
      <c r="C921" s="216" t="str">
        <f ca="1">IFERROR(__xludf.DUMMYFUNCTION("""COMPUTED_VALUE"""),"A.A. ESCOLA ESTADUAL IRMA ASPASIA")</f>
        <v>A.A. ESCOLA ESTADUAL IRMA ASPASIA</v>
      </c>
      <c r="D921" s="217" t="str">
        <f ca="1">IFERROR(__xludf.DUMMYFUNCTION("""COMPUTED_VALUE"""),"01136022000146")</f>
        <v>01136022000146</v>
      </c>
      <c r="E921" s="217" t="str">
        <f ca="1">IFERROR(__xludf.DUMMYFUNCTION("""COMPUTED_VALUE"""),"104")</f>
        <v>104</v>
      </c>
      <c r="F921" s="217" t="str">
        <f ca="1">IFERROR(__xludf.DUMMYFUNCTION("""COMPUTED_VALUE"""),"1829")</f>
        <v>1829</v>
      </c>
      <c r="G921" s="218" t="str">
        <f ca="1">IFERROR(__xludf.DUMMYFUNCTION("""COMPUTED_VALUE"""),"307453")</f>
        <v>307453</v>
      </c>
      <c r="H921" s="216" t="str">
        <f ca="1">IFERROR(__xludf.DUMMYFUNCTION("""COMPUTED_VALUE"""),"ENSINO MEDIO PARCIAL")</f>
        <v>ENSINO MEDIO PARCIAL</v>
      </c>
      <c r="I921" s="219">
        <f ca="1">IFERROR(__xludf.DUMMYFUNCTION("""COMPUTED_VALUE"""),2100)</f>
        <v>2100</v>
      </c>
    </row>
    <row r="922" spans="1:9" ht="18.75" customHeight="1">
      <c r="A922" s="215" t="str">
        <f ca="1">IFERROR(__xludf.DUMMYFUNCTION("""COMPUTED_VALUE"""),"Porto Nacional")</f>
        <v>Porto Nacional</v>
      </c>
      <c r="B922" s="215" t="str">
        <f ca="1">IFERROR(__xludf.DUMMYFUNCTION("""COMPUTED_VALUE"""),"Porto Nacional")</f>
        <v>Porto Nacional</v>
      </c>
      <c r="C922" s="216" t="str">
        <f ca="1">IFERROR(__xludf.DUMMYFUNCTION("""COMPUTED_VALUE"""),"ASSOC. DE A.DO CEM PROFº. FLORÊNCIO AIRES DA SILVA")</f>
        <v>ASSOC. DE A.DO CEM PROFº. FLORÊNCIO AIRES DA SILVA</v>
      </c>
      <c r="D922" s="217" t="str">
        <f ca="1">IFERROR(__xludf.DUMMYFUNCTION("""COMPUTED_VALUE"""),"01138326000142")</f>
        <v>01138326000142</v>
      </c>
      <c r="E922" s="217" t="str">
        <f ca="1">IFERROR(__xludf.DUMMYFUNCTION("""COMPUTED_VALUE"""),"001")</f>
        <v>001</v>
      </c>
      <c r="F922" s="217" t="str">
        <f ca="1">IFERROR(__xludf.DUMMYFUNCTION("""COMPUTED_VALUE"""),"1117")</f>
        <v>1117</v>
      </c>
      <c r="G922" s="218" t="str">
        <f ca="1">IFERROR(__xludf.DUMMYFUNCTION("""COMPUTED_VALUE"""),"5500X")</f>
        <v>5500X</v>
      </c>
      <c r="H922" s="216" t="str">
        <f ca="1">IFERROR(__xludf.DUMMYFUNCTION("""COMPUTED_VALUE"""),"ENS FUND PARCIAL")</f>
        <v>ENS FUND PARCIAL</v>
      </c>
      <c r="I922" s="219">
        <f ca="1">IFERROR(__xludf.DUMMYFUNCTION("""COMPUTED_VALUE"""),1020)</f>
        <v>1020</v>
      </c>
    </row>
    <row r="923" spans="1:9" ht="18.75" customHeight="1">
      <c r="A923" s="215" t="str">
        <f ca="1">IFERROR(__xludf.DUMMYFUNCTION("""COMPUTED_VALUE"""),"Porto Nacional")</f>
        <v>Porto Nacional</v>
      </c>
      <c r="B923" s="215" t="str">
        <f ca="1">IFERROR(__xludf.DUMMYFUNCTION("""COMPUTED_VALUE"""),"Porto Nacional")</f>
        <v>Porto Nacional</v>
      </c>
      <c r="C923" s="216" t="str">
        <f ca="1">IFERROR(__xludf.DUMMYFUNCTION("""COMPUTED_VALUE"""),"ASSOC. DE A.DO CEM PROFº. FLORÊNCIO AIRES DA SILVA")</f>
        <v>ASSOC. DE A.DO CEM PROFº. FLORÊNCIO AIRES DA SILVA</v>
      </c>
      <c r="D923" s="217" t="str">
        <f ca="1">IFERROR(__xludf.DUMMYFUNCTION("""COMPUTED_VALUE"""),"01138326000142")</f>
        <v>01138326000142</v>
      </c>
      <c r="E923" s="217" t="str">
        <f ca="1">IFERROR(__xludf.DUMMYFUNCTION("""COMPUTED_VALUE"""),"001")</f>
        <v>001</v>
      </c>
      <c r="F923" s="217" t="str">
        <f ca="1">IFERROR(__xludf.DUMMYFUNCTION("""COMPUTED_VALUE"""),"1117")</f>
        <v>1117</v>
      </c>
      <c r="G923" s="218" t="str">
        <f ca="1">IFERROR(__xludf.DUMMYFUNCTION("""COMPUTED_VALUE"""),"5500X")</f>
        <v>5500X</v>
      </c>
      <c r="H923" s="216" t="str">
        <f ca="1">IFERROR(__xludf.DUMMYFUNCTION("""COMPUTED_VALUE"""),"AEE")</f>
        <v>AEE</v>
      </c>
      <c r="I923" s="219">
        <f ca="1">IFERROR(__xludf.DUMMYFUNCTION("""COMPUTED_VALUE"""),190.4)</f>
        <v>190.4</v>
      </c>
    </row>
    <row r="924" spans="1:9" ht="18.75" customHeight="1">
      <c r="A924" s="215" t="str">
        <f ca="1">IFERROR(__xludf.DUMMYFUNCTION("""COMPUTED_VALUE"""),"Porto Nacional")</f>
        <v>Porto Nacional</v>
      </c>
      <c r="B924" s="215" t="str">
        <f ca="1">IFERROR(__xludf.DUMMYFUNCTION("""COMPUTED_VALUE"""),"Porto Nacional")</f>
        <v>Porto Nacional</v>
      </c>
      <c r="C924" s="216" t="str">
        <f ca="1">IFERROR(__xludf.DUMMYFUNCTION("""COMPUTED_VALUE"""),"ASSOC. DE A.DO CEM PROFº. FLORÊNCIO AIRES DA SILVA")</f>
        <v>ASSOC. DE A.DO CEM PROFº. FLORÊNCIO AIRES DA SILVA</v>
      </c>
      <c r="D924" s="217" t="str">
        <f ca="1">IFERROR(__xludf.DUMMYFUNCTION("""COMPUTED_VALUE"""),"01138326000142")</f>
        <v>01138326000142</v>
      </c>
      <c r="E924" s="217" t="str">
        <f ca="1">IFERROR(__xludf.DUMMYFUNCTION("""COMPUTED_VALUE"""),"001")</f>
        <v>001</v>
      </c>
      <c r="F924" s="217" t="str">
        <f ca="1">IFERROR(__xludf.DUMMYFUNCTION("""COMPUTED_VALUE"""),"1117")</f>
        <v>1117</v>
      </c>
      <c r="G924" s="218" t="str">
        <f ca="1">IFERROR(__xludf.DUMMYFUNCTION("""COMPUTED_VALUE"""),"5500X")</f>
        <v>5500X</v>
      </c>
      <c r="H924" s="216" t="str">
        <f ca="1">IFERROR(__xludf.DUMMYFUNCTION("""COMPUTED_VALUE"""),"ENSINO MEDIO PARCIAL")</f>
        <v>ENSINO MEDIO PARCIAL</v>
      </c>
      <c r="I924" s="219">
        <f ca="1">IFERROR(__xludf.DUMMYFUNCTION("""COMPUTED_VALUE"""),2360)</f>
        <v>2360</v>
      </c>
    </row>
    <row r="925" spans="1:9" ht="18.75" customHeight="1">
      <c r="A925" s="215" t="str">
        <f ca="1">IFERROR(__xludf.DUMMYFUNCTION("""COMPUTED_VALUE"""),"Porto Nacional")</f>
        <v>Porto Nacional</v>
      </c>
      <c r="B925" s="215" t="str">
        <f ca="1">IFERROR(__xludf.DUMMYFUNCTION("""COMPUTED_VALUE"""),"Porto Nacional")</f>
        <v>Porto Nacional</v>
      </c>
      <c r="C925" s="216" t="str">
        <f ca="1">IFERROR(__xludf.DUMMYFUNCTION("""COMPUTED_VALUE"""),"ASSOC. DE A.DO CEM PROFº. FLORÊNCIO AIRES DA SILVA")</f>
        <v>ASSOC. DE A.DO CEM PROFº. FLORÊNCIO AIRES DA SILVA</v>
      </c>
      <c r="D925" s="217" t="str">
        <f ca="1">IFERROR(__xludf.DUMMYFUNCTION("""COMPUTED_VALUE"""),"01138326000142")</f>
        <v>01138326000142</v>
      </c>
      <c r="E925" s="217" t="str">
        <f ca="1">IFERROR(__xludf.DUMMYFUNCTION("""COMPUTED_VALUE"""),"001")</f>
        <v>001</v>
      </c>
      <c r="F925" s="217" t="str">
        <f ca="1">IFERROR(__xludf.DUMMYFUNCTION("""COMPUTED_VALUE"""),"1117")</f>
        <v>1117</v>
      </c>
      <c r="G925" s="218" t="str">
        <f ca="1">IFERROR(__xludf.DUMMYFUNCTION("""COMPUTED_VALUE"""),"5500X")</f>
        <v>5500X</v>
      </c>
      <c r="H925" s="216" t="str">
        <f ca="1">IFERROR(__xludf.DUMMYFUNCTION("""COMPUTED_VALUE"""),"EJA")</f>
        <v>EJA</v>
      </c>
      <c r="I925" s="219">
        <f ca="1">IFERROR(__xludf.DUMMYFUNCTION("""COMPUTED_VALUE"""),442.799999999999)</f>
        <v>442.79999999999899</v>
      </c>
    </row>
    <row r="926" spans="1:9" ht="18.75" customHeight="1">
      <c r="A926" s="215" t="str">
        <f ca="1">IFERROR(__xludf.DUMMYFUNCTION("""COMPUTED_VALUE"""),"Porto Nacional")</f>
        <v>Porto Nacional</v>
      </c>
      <c r="B926" s="215" t="str">
        <f ca="1">IFERROR(__xludf.DUMMYFUNCTION("""COMPUTED_VALUE"""),"Porto Nacional")</f>
        <v>Porto Nacional</v>
      </c>
      <c r="C926" s="216" t="str">
        <f ca="1">IFERROR(__xludf.DUMMYFUNCTION("""COMPUTED_VALUE"""),"A.A.  ESCOLA ESTADUAL CUSTÓDIA DA SILVA PEDREIRA")</f>
        <v>A.A.  ESCOLA ESTADUAL CUSTÓDIA DA SILVA PEDREIRA</v>
      </c>
      <c r="D926" s="217" t="str">
        <f ca="1">IFERROR(__xludf.DUMMYFUNCTION("""COMPUTED_VALUE"""),"01192932000146")</f>
        <v>01192932000146</v>
      </c>
      <c r="E926" s="217" t="str">
        <f ca="1">IFERROR(__xludf.DUMMYFUNCTION("""COMPUTED_VALUE"""),"001")</f>
        <v>001</v>
      </c>
      <c r="F926" s="217" t="str">
        <f ca="1">IFERROR(__xludf.DUMMYFUNCTION("""COMPUTED_VALUE"""),"1117")</f>
        <v>1117</v>
      </c>
      <c r="G926" s="218" t="str">
        <f ca="1">IFERROR(__xludf.DUMMYFUNCTION("""COMPUTED_VALUE"""),"314080")</f>
        <v>314080</v>
      </c>
      <c r="H926" s="216" t="str">
        <f ca="1">IFERROR(__xludf.DUMMYFUNCTION("""COMPUTED_VALUE"""),"ENS FUND PARCIAL")</f>
        <v>ENS FUND PARCIAL</v>
      </c>
      <c r="I926" s="219">
        <f ca="1">IFERROR(__xludf.DUMMYFUNCTION("""COMPUTED_VALUE"""),4460)</f>
        <v>4460</v>
      </c>
    </row>
    <row r="927" spans="1:9" ht="18.75" customHeight="1">
      <c r="A927" s="215" t="str">
        <f ca="1">IFERROR(__xludf.DUMMYFUNCTION("""COMPUTED_VALUE"""),"Porto Nacional")</f>
        <v>Porto Nacional</v>
      </c>
      <c r="B927" s="215" t="str">
        <f ca="1">IFERROR(__xludf.DUMMYFUNCTION("""COMPUTED_VALUE"""),"Porto Nacional")</f>
        <v>Porto Nacional</v>
      </c>
      <c r="C927" s="216" t="str">
        <f ca="1">IFERROR(__xludf.DUMMYFUNCTION("""COMPUTED_VALUE"""),"A.A.  ESCOLA ESTADUAL CUSTÓDIA DA SILVA PEDREIRA")</f>
        <v>A.A.  ESCOLA ESTADUAL CUSTÓDIA DA SILVA PEDREIRA</v>
      </c>
      <c r="D927" s="217" t="str">
        <f ca="1">IFERROR(__xludf.DUMMYFUNCTION("""COMPUTED_VALUE"""),"01192932000146")</f>
        <v>01192932000146</v>
      </c>
      <c r="E927" s="217" t="str">
        <f ca="1">IFERROR(__xludf.DUMMYFUNCTION("""COMPUTED_VALUE"""),"001")</f>
        <v>001</v>
      </c>
      <c r="F927" s="217" t="str">
        <f ca="1">IFERROR(__xludf.DUMMYFUNCTION("""COMPUTED_VALUE"""),"1117")</f>
        <v>1117</v>
      </c>
      <c r="G927" s="218" t="str">
        <f ca="1">IFERROR(__xludf.DUMMYFUNCTION("""COMPUTED_VALUE"""),"314080")</f>
        <v>314080</v>
      </c>
      <c r="H927" s="216" t="str">
        <f ca="1">IFERROR(__xludf.DUMMYFUNCTION("""COMPUTED_VALUE"""),"ENSINO MEDIO PARCIAL")</f>
        <v>ENSINO MEDIO PARCIAL</v>
      </c>
      <c r="I927" s="219">
        <f ca="1">IFERROR(__xludf.DUMMYFUNCTION("""COMPUTED_VALUE"""),3230)</f>
        <v>3230</v>
      </c>
    </row>
    <row r="928" spans="1:9" ht="18.75" customHeight="1">
      <c r="A928" s="215" t="str">
        <f ca="1">IFERROR(__xludf.DUMMYFUNCTION("""COMPUTED_VALUE"""),"Porto Nacional")</f>
        <v>Porto Nacional</v>
      </c>
      <c r="B928" s="215" t="str">
        <f ca="1">IFERROR(__xludf.DUMMYFUNCTION("""COMPUTED_VALUE"""),"Porto Nacional")</f>
        <v>Porto Nacional</v>
      </c>
      <c r="C928" s="216" t="str">
        <f ca="1">IFERROR(__xludf.DUMMYFUNCTION("""COMPUTED_VALUE"""),"ASSOCIAÇÃO DE APOIO DA ESCOLA FAMÍLIA AGRÍCOLA")</f>
        <v>ASSOCIAÇÃO DE APOIO DA ESCOLA FAMÍLIA AGRÍCOLA</v>
      </c>
      <c r="D928" s="217" t="str">
        <f ca="1">IFERROR(__xludf.DUMMYFUNCTION("""COMPUTED_VALUE"""),"01197155000122")</f>
        <v>01197155000122</v>
      </c>
      <c r="E928" s="217" t="str">
        <f ca="1">IFERROR(__xludf.DUMMYFUNCTION("""COMPUTED_VALUE"""),"001")</f>
        <v>001</v>
      </c>
      <c r="F928" s="217" t="str">
        <f ca="1">IFERROR(__xludf.DUMMYFUNCTION("""COMPUTED_VALUE"""),"1117")</f>
        <v>1117</v>
      </c>
      <c r="G928" s="218" t="str">
        <f ca="1">IFERROR(__xludf.DUMMYFUNCTION("""COMPUTED_VALUE"""),"313483")</f>
        <v>313483</v>
      </c>
      <c r="H928" s="216" t="str">
        <f ca="1">IFERROR(__xludf.DUMMYFUNCTION("""COMPUTED_VALUE"""),"ENSINO MEDIO INTEGRAL")</f>
        <v>ENSINO MEDIO INTEGRAL</v>
      </c>
      <c r="I928" s="219">
        <f ca="1">IFERROR(__xludf.DUMMYFUNCTION("""COMPUTED_VALUE"""),5918.4)</f>
        <v>5918.4</v>
      </c>
    </row>
    <row r="929" spans="1:9" ht="18.75" customHeight="1">
      <c r="A929" s="215" t="str">
        <f ca="1">IFERROR(__xludf.DUMMYFUNCTION("""COMPUTED_VALUE"""),"Porto Nacional")</f>
        <v>Porto Nacional</v>
      </c>
      <c r="B929" s="215" t="str">
        <f ca="1">IFERROR(__xludf.DUMMYFUNCTION("""COMPUTED_VALUE"""),"Porto Nacional")</f>
        <v>Porto Nacional</v>
      </c>
      <c r="C929" s="216" t="str">
        <f ca="1">IFERROR(__xludf.DUMMYFUNCTION("""COMPUTED_VALUE"""),"A.A. ESCOLA ESTADUAL ANA MACEDO MAIA")</f>
        <v>A.A. ESCOLA ESTADUAL ANA MACEDO MAIA</v>
      </c>
      <c r="D929" s="217" t="str">
        <f ca="1">IFERROR(__xludf.DUMMYFUNCTION("""COMPUTED_VALUE"""),"01243662000155")</f>
        <v>01243662000155</v>
      </c>
      <c r="E929" s="217" t="str">
        <f ca="1">IFERROR(__xludf.DUMMYFUNCTION("""COMPUTED_VALUE"""),"104")</f>
        <v>104</v>
      </c>
      <c r="F929" s="217" t="str">
        <f ca="1">IFERROR(__xludf.DUMMYFUNCTION("""COMPUTED_VALUE"""),"1829")</f>
        <v>1829</v>
      </c>
      <c r="G929" s="218" t="str">
        <f ca="1">IFERROR(__xludf.DUMMYFUNCTION("""COMPUTED_VALUE"""),"306015")</f>
        <v>306015</v>
      </c>
      <c r="H929" s="216" t="str">
        <f ca="1">IFERROR(__xludf.DUMMYFUNCTION("""COMPUTED_VALUE"""),"ENS FUND PARCIAL")</f>
        <v>ENS FUND PARCIAL</v>
      </c>
      <c r="I929" s="219">
        <f ca="1">IFERROR(__xludf.DUMMYFUNCTION("""COMPUTED_VALUE"""),3090)</f>
        <v>3090</v>
      </c>
    </row>
    <row r="930" spans="1:9" ht="18.75" customHeight="1">
      <c r="A930" s="215" t="str">
        <f ca="1">IFERROR(__xludf.DUMMYFUNCTION("""COMPUTED_VALUE"""),"Porto Nacional")</f>
        <v>Porto Nacional</v>
      </c>
      <c r="B930" s="215" t="str">
        <f ca="1">IFERROR(__xludf.DUMMYFUNCTION("""COMPUTED_VALUE"""),"Porto Nacional")</f>
        <v>Porto Nacional</v>
      </c>
      <c r="C930" s="216" t="str">
        <f ca="1">IFERROR(__xludf.DUMMYFUNCTION("""COMPUTED_VALUE"""),"A.A.  ESCOLA ESTADUAL ALFREDO NASSER")</f>
        <v>A.A.  ESCOLA ESTADUAL ALFREDO NASSER</v>
      </c>
      <c r="D930" s="217" t="str">
        <f ca="1">IFERROR(__xludf.DUMMYFUNCTION("""COMPUTED_VALUE"""),"01251862000150")</f>
        <v>01251862000150</v>
      </c>
      <c r="E930" s="217" t="str">
        <f ca="1">IFERROR(__xludf.DUMMYFUNCTION("""COMPUTED_VALUE"""),"104")</f>
        <v>104</v>
      </c>
      <c r="F930" s="217" t="str">
        <f ca="1">IFERROR(__xludf.DUMMYFUNCTION("""COMPUTED_VALUE"""),"1829")</f>
        <v>1829</v>
      </c>
      <c r="G930" s="218" t="str">
        <f ca="1">IFERROR(__xludf.DUMMYFUNCTION("""COMPUTED_VALUE"""),"307410")</f>
        <v>307410</v>
      </c>
      <c r="H930" s="216" t="str">
        <f ca="1">IFERROR(__xludf.DUMMYFUNCTION("""COMPUTED_VALUE"""),"ENS FUND PARCIAL")</f>
        <v>ENS FUND PARCIAL</v>
      </c>
      <c r="I930" s="219">
        <f ca="1">IFERROR(__xludf.DUMMYFUNCTION("""COMPUTED_VALUE"""),1410)</f>
        <v>1410</v>
      </c>
    </row>
    <row r="931" spans="1:9" ht="18.75" customHeight="1">
      <c r="A931" s="215" t="str">
        <f ca="1">IFERROR(__xludf.DUMMYFUNCTION("""COMPUTED_VALUE"""),"Porto Nacional")</f>
        <v>Porto Nacional</v>
      </c>
      <c r="B931" s="215" t="str">
        <f ca="1">IFERROR(__xludf.DUMMYFUNCTION("""COMPUTED_VALUE"""),"Porto Nacional")</f>
        <v>Porto Nacional</v>
      </c>
      <c r="C931" s="216" t="str">
        <f ca="1">IFERROR(__xludf.DUMMYFUNCTION("""COMPUTED_VALUE"""),"A.A.  ESCOLA ESTADUAL ALFREDO NASSER")</f>
        <v>A.A.  ESCOLA ESTADUAL ALFREDO NASSER</v>
      </c>
      <c r="D931" s="217" t="str">
        <f ca="1">IFERROR(__xludf.DUMMYFUNCTION("""COMPUTED_VALUE"""),"01251862000150")</f>
        <v>01251862000150</v>
      </c>
      <c r="E931" s="217" t="str">
        <f ca="1">IFERROR(__xludf.DUMMYFUNCTION("""COMPUTED_VALUE"""),"104")</f>
        <v>104</v>
      </c>
      <c r="F931" s="217" t="str">
        <f ca="1">IFERROR(__xludf.DUMMYFUNCTION("""COMPUTED_VALUE"""),"1829")</f>
        <v>1829</v>
      </c>
      <c r="G931" s="218" t="str">
        <f ca="1">IFERROR(__xludf.DUMMYFUNCTION("""COMPUTED_VALUE"""),"307410")</f>
        <v>307410</v>
      </c>
      <c r="H931" s="216" t="str">
        <f ca="1">IFERROR(__xludf.DUMMYFUNCTION("""COMPUTED_VALUE"""),"AEE")</f>
        <v>AEE</v>
      </c>
      <c r="I931" s="219">
        <f ca="1">IFERROR(__xludf.DUMMYFUNCTION("""COMPUTED_VALUE"""),108.8)</f>
        <v>108.8</v>
      </c>
    </row>
    <row r="932" spans="1:9" ht="18.75" customHeight="1">
      <c r="A932" s="215" t="str">
        <f ca="1">IFERROR(__xludf.DUMMYFUNCTION("""COMPUTED_VALUE"""),"Porto Nacional")</f>
        <v>Porto Nacional</v>
      </c>
      <c r="B932" s="215" t="str">
        <f ca="1">IFERROR(__xludf.DUMMYFUNCTION("""COMPUTED_VALUE"""),"Porto Nacional")</f>
        <v>Porto Nacional</v>
      </c>
      <c r="C932" s="216" t="str">
        <f ca="1">IFERROR(__xludf.DUMMYFUNCTION("""COMPUTED_VALUE"""),"A.A.  ESCOLA ESTADUAL ALFREDO NASSER")</f>
        <v>A.A.  ESCOLA ESTADUAL ALFREDO NASSER</v>
      </c>
      <c r="D932" s="217" t="str">
        <f ca="1">IFERROR(__xludf.DUMMYFUNCTION("""COMPUTED_VALUE"""),"01251862000150")</f>
        <v>01251862000150</v>
      </c>
      <c r="E932" s="217" t="str">
        <f ca="1">IFERROR(__xludf.DUMMYFUNCTION("""COMPUTED_VALUE"""),"104")</f>
        <v>104</v>
      </c>
      <c r="F932" s="217" t="str">
        <f ca="1">IFERROR(__xludf.DUMMYFUNCTION("""COMPUTED_VALUE"""),"1829")</f>
        <v>1829</v>
      </c>
      <c r="G932" s="218" t="str">
        <f ca="1">IFERROR(__xludf.DUMMYFUNCTION("""COMPUTED_VALUE"""),"307410")</f>
        <v>307410</v>
      </c>
      <c r="H932" s="216" t="str">
        <f ca="1">IFERROR(__xludf.DUMMYFUNCTION("""COMPUTED_VALUE"""),"ENSINO MEDIO PARCIAL")</f>
        <v>ENSINO MEDIO PARCIAL</v>
      </c>
      <c r="I932" s="219">
        <f ca="1">IFERROR(__xludf.DUMMYFUNCTION("""COMPUTED_VALUE"""),470)</f>
        <v>470</v>
      </c>
    </row>
    <row r="933" spans="1:9" ht="18.75" customHeight="1">
      <c r="A933" s="215" t="str">
        <f ca="1">IFERROR(__xludf.DUMMYFUNCTION("""COMPUTED_VALUE"""),"Porto Nacional")</f>
        <v>Porto Nacional</v>
      </c>
      <c r="B933" s="215" t="str">
        <f ca="1">IFERROR(__xludf.DUMMYFUNCTION("""COMPUTED_VALUE"""),"Porto Nacional")</f>
        <v>Porto Nacional</v>
      </c>
      <c r="C933" s="216" t="str">
        <f ca="1">IFERROR(__xludf.DUMMYFUNCTION("""COMPUTED_VALUE"""),"A.A. DA ESC. EST. ALCIDES RODRIGUES AIRES")</f>
        <v>A.A. DA ESC. EST. ALCIDES RODRIGUES AIRES</v>
      </c>
      <c r="D933" s="217" t="str">
        <f ca="1">IFERROR(__xludf.DUMMYFUNCTION("""COMPUTED_VALUE"""),"03495455000113")</f>
        <v>03495455000113</v>
      </c>
      <c r="E933" s="217" t="str">
        <f ca="1">IFERROR(__xludf.DUMMYFUNCTION("""COMPUTED_VALUE"""),"001")</f>
        <v>001</v>
      </c>
      <c r="F933" s="217" t="str">
        <f ca="1">IFERROR(__xludf.DUMMYFUNCTION("""COMPUTED_VALUE"""),"1117")</f>
        <v>1117</v>
      </c>
      <c r="G933" s="218" t="str">
        <f ca="1">IFERROR(__xludf.DUMMYFUNCTION("""COMPUTED_VALUE"""),"77143")</f>
        <v>77143</v>
      </c>
      <c r="H933" s="216" t="str">
        <f ca="1">IFERROR(__xludf.DUMMYFUNCTION("""COMPUTED_VALUE"""),"ENS FUND PARCIAL")</f>
        <v>ENS FUND PARCIAL</v>
      </c>
      <c r="I933" s="219">
        <f ca="1">IFERROR(__xludf.DUMMYFUNCTION("""COMPUTED_VALUE"""),3690)</f>
        <v>3690</v>
      </c>
    </row>
    <row r="934" spans="1:9" ht="18.75" customHeight="1">
      <c r="A934" s="215" t="str">
        <f ca="1">IFERROR(__xludf.DUMMYFUNCTION("""COMPUTED_VALUE"""),"Porto Nacional")</f>
        <v>Porto Nacional</v>
      </c>
      <c r="B934" s="215" t="str">
        <f ca="1">IFERROR(__xludf.DUMMYFUNCTION("""COMPUTED_VALUE"""),"Porto Nacional")</f>
        <v>Porto Nacional</v>
      </c>
      <c r="C934" s="216" t="str">
        <f ca="1">IFERROR(__xludf.DUMMYFUNCTION("""COMPUTED_VALUE"""),"A.A. DA ESC. EST. ALCIDES RODRIGUES AIRES")</f>
        <v>A.A. DA ESC. EST. ALCIDES RODRIGUES AIRES</v>
      </c>
      <c r="D934" s="217" t="str">
        <f ca="1">IFERROR(__xludf.DUMMYFUNCTION("""COMPUTED_VALUE"""),"03495455000113")</f>
        <v>03495455000113</v>
      </c>
      <c r="E934" s="217" t="str">
        <f ca="1">IFERROR(__xludf.DUMMYFUNCTION("""COMPUTED_VALUE"""),"001")</f>
        <v>001</v>
      </c>
      <c r="F934" s="217" t="str">
        <f ca="1">IFERROR(__xludf.DUMMYFUNCTION("""COMPUTED_VALUE"""),"1117")</f>
        <v>1117</v>
      </c>
      <c r="G934" s="218" t="str">
        <f ca="1">IFERROR(__xludf.DUMMYFUNCTION("""COMPUTED_VALUE"""),"77143")</f>
        <v>77143</v>
      </c>
      <c r="H934" s="216" t="str">
        <f ca="1">IFERROR(__xludf.DUMMYFUNCTION("""COMPUTED_VALUE"""),"AEE")</f>
        <v>AEE</v>
      </c>
      <c r="I934" s="219">
        <f ca="1">IFERROR(__xludf.DUMMYFUNCTION("""COMPUTED_VALUE"""),312.8)</f>
        <v>312.8</v>
      </c>
    </row>
    <row r="935" spans="1:9" ht="18.75" customHeight="1">
      <c r="A935" s="220" t="str">
        <f ca="1">IFERROR(__xludf.DUMMYFUNCTION("""COMPUTED_VALUE"""),"Porto Nacional")</f>
        <v>Porto Nacional</v>
      </c>
      <c r="B935" s="220" t="str">
        <f ca="1">IFERROR(__xludf.DUMMYFUNCTION("""COMPUTED_VALUE"""),"Porto Nacional")</f>
        <v>Porto Nacional</v>
      </c>
      <c r="C935" s="216" t="str">
        <f ca="1">IFERROR(__xludf.DUMMYFUNCTION("""COMPUTED_VALUE"""),"A.A. DA ESC. EST. ALCIDES RODRIGUES AIRES")</f>
        <v>A.A. DA ESC. EST. ALCIDES RODRIGUES AIRES</v>
      </c>
      <c r="D935" s="221" t="str">
        <f ca="1">IFERROR(__xludf.DUMMYFUNCTION("""COMPUTED_VALUE"""),"03495455000113")</f>
        <v>03495455000113</v>
      </c>
      <c r="E935" s="221" t="str">
        <f ca="1">IFERROR(__xludf.DUMMYFUNCTION("""COMPUTED_VALUE"""),"001")</f>
        <v>001</v>
      </c>
      <c r="F935" s="221" t="str">
        <f ca="1">IFERROR(__xludf.DUMMYFUNCTION("""COMPUTED_VALUE"""),"1117")</f>
        <v>1117</v>
      </c>
      <c r="G935" s="222" t="str">
        <f ca="1">IFERROR(__xludf.DUMMYFUNCTION("""COMPUTED_VALUE"""),"77143")</f>
        <v>77143</v>
      </c>
      <c r="H935" s="216" t="str">
        <f ca="1">IFERROR(__xludf.DUMMYFUNCTION("""COMPUTED_VALUE"""),"EJA")</f>
        <v>EJA</v>
      </c>
      <c r="I935" s="223">
        <f ca="1">IFERROR(__xludf.DUMMYFUNCTION("""COMPUTED_VALUE"""),360.799999999999)</f>
        <v>360.79999999999899</v>
      </c>
    </row>
    <row r="936" spans="1:9" ht="12.75">
      <c r="A936" t="str">
        <f ca="1">IFERROR(__xludf.DUMMYFUNCTION("""COMPUTED_VALUE"""),"Porto Nacional")</f>
        <v>Porto Nacional</v>
      </c>
      <c r="B936" t="str">
        <f ca="1">IFERROR(__xludf.DUMMYFUNCTION("""COMPUTED_VALUE"""),"Porto Nacional")</f>
        <v>Porto Nacional</v>
      </c>
      <c r="C936" s="60" t="str">
        <f ca="1">IFERROR(__xludf.DUMMYFUNCTION("""COMPUTED_VALUE"""),"ASSOC.P.A.DOS EXCEP. DE PORTO NACIONAL")</f>
        <v>ASSOC.P.A.DOS EXCEP. DE PORTO NACIONAL</v>
      </c>
      <c r="D936" s="2" t="str">
        <f ca="1">IFERROR(__xludf.DUMMYFUNCTION("""COMPUTED_VALUE"""),"26752113000137")</f>
        <v>26752113000137</v>
      </c>
      <c r="E936" s="2" t="str">
        <f ca="1">IFERROR(__xludf.DUMMYFUNCTION("""COMPUTED_VALUE"""),"001")</f>
        <v>001</v>
      </c>
      <c r="F936" s="2" t="str">
        <f ca="1">IFERROR(__xludf.DUMMYFUNCTION("""COMPUTED_VALUE"""),"1117")</f>
        <v>1117</v>
      </c>
      <c r="G936" s="224" t="str">
        <f ca="1">IFERROR(__xludf.DUMMYFUNCTION("""COMPUTED_VALUE"""),"86657")</f>
        <v>86657</v>
      </c>
      <c r="H936" s="60" t="str">
        <f ca="1">IFERROR(__xludf.DUMMYFUNCTION("""COMPUTED_VALUE"""),"PRÉ-ESCOLA")</f>
        <v>PRÉ-ESCOLA</v>
      </c>
      <c r="I936" s="7">
        <f ca="1">IFERROR(__xludf.DUMMYFUNCTION("""COMPUTED_VALUE"""),172.8)</f>
        <v>172.8</v>
      </c>
    </row>
    <row r="937" spans="1:9" ht="12.75">
      <c r="A937" t="str">
        <f ca="1">IFERROR(__xludf.DUMMYFUNCTION("""COMPUTED_VALUE"""),"Porto Nacional")</f>
        <v>Porto Nacional</v>
      </c>
      <c r="B937" t="str">
        <f ca="1">IFERROR(__xludf.DUMMYFUNCTION("""COMPUTED_VALUE"""),"Porto Nacional")</f>
        <v>Porto Nacional</v>
      </c>
      <c r="C937" s="60" t="str">
        <f ca="1">IFERROR(__xludf.DUMMYFUNCTION("""COMPUTED_VALUE"""),"ASSOC.P.A.DOS EXCEP. DE PORTO NACIONAL")</f>
        <v>ASSOC.P.A.DOS EXCEP. DE PORTO NACIONAL</v>
      </c>
      <c r="D937" s="2" t="str">
        <f ca="1">IFERROR(__xludf.DUMMYFUNCTION("""COMPUTED_VALUE"""),"26752113000137")</f>
        <v>26752113000137</v>
      </c>
      <c r="E937" s="2" t="str">
        <f ca="1">IFERROR(__xludf.DUMMYFUNCTION("""COMPUTED_VALUE"""),"001")</f>
        <v>001</v>
      </c>
      <c r="F937" s="2" t="str">
        <f ca="1">IFERROR(__xludf.DUMMYFUNCTION("""COMPUTED_VALUE"""),"1117")</f>
        <v>1117</v>
      </c>
      <c r="G937" s="224" t="str">
        <f ca="1">IFERROR(__xludf.DUMMYFUNCTION("""COMPUTED_VALUE"""),"86657")</f>
        <v>86657</v>
      </c>
      <c r="H937" s="60" t="str">
        <f ca="1">IFERROR(__xludf.DUMMYFUNCTION("""COMPUTED_VALUE"""),"ENS FUND PARCIAL")</f>
        <v>ENS FUND PARCIAL</v>
      </c>
      <c r="I937" s="7">
        <f ca="1">IFERROR(__xludf.DUMMYFUNCTION("""COMPUTED_VALUE"""),140)</f>
        <v>140</v>
      </c>
    </row>
    <row r="938" spans="1:9" ht="12.75">
      <c r="A938" t="str">
        <f ca="1">IFERROR(__xludf.DUMMYFUNCTION("""COMPUTED_VALUE"""),"Porto Nacional")</f>
        <v>Porto Nacional</v>
      </c>
      <c r="B938" t="str">
        <f ca="1">IFERROR(__xludf.DUMMYFUNCTION("""COMPUTED_VALUE"""),"Porto Nacional")</f>
        <v>Porto Nacional</v>
      </c>
      <c r="C938" s="60" t="str">
        <f ca="1">IFERROR(__xludf.DUMMYFUNCTION("""COMPUTED_VALUE"""),"ASSOC.P.A.DOS EXCEP. DE PORTO NACIONAL")</f>
        <v>ASSOC.P.A.DOS EXCEP. DE PORTO NACIONAL</v>
      </c>
      <c r="D938" s="2" t="str">
        <f ca="1">IFERROR(__xludf.DUMMYFUNCTION("""COMPUTED_VALUE"""),"26752113000137")</f>
        <v>26752113000137</v>
      </c>
      <c r="E938" s="2" t="str">
        <f ca="1">IFERROR(__xludf.DUMMYFUNCTION("""COMPUTED_VALUE"""),"001")</f>
        <v>001</v>
      </c>
      <c r="F938" s="2" t="str">
        <f ca="1">IFERROR(__xludf.DUMMYFUNCTION("""COMPUTED_VALUE"""),"1117")</f>
        <v>1117</v>
      </c>
      <c r="G938" s="224" t="str">
        <f ca="1">IFERROR(__xludf.DUMMYFUNCTION("""COMPUTED_VALUE"""),"86657")</f>
        <v>86657</v>
      </c>
      <c r="H938" s="60" t="str">
        <f ca="1">IFERROR(__xludf.DUMMYFUNCTION("""COMPUTED_VALUE"""),"AEE")</f>
        <v>AEE</v>
      </c>
      <c r="I938" s="7">
        <f ca="1">IFERROR(__xludf.DUMMYFUNCTION("""COMPUTED_VALUE"""),231.2)</f>
        <v>231.2</v>
      </c>
    </row>
    <row r="939" spans="1:9" ht="12.75">
      <c r="A939" t="str">
        <f ca="1">IFERROR(__xludf.DUMMYFUNCTION("""COMPUTED_VALUE"""),"Porto Nacional")</f>
        <v>Porto Nacional</v>
      </c>
      <c r="B939" t="str">
        <f ca="1">IFERROR(__xludf.DUMMYFUNCTION("""COMPUTED_VALUE"""),"Porto Nacional")</f>
        <v>Porto Nacional</v>
      </c>
      <c r="C939" s="60" t="str">
        <f ca="1">IFERROR(__xludf.DUMMYFUNCTION("""COMPUTED_VALUE"""),"ASSOC.P.A.DOS EXCEP. DE PORTO NACIONAL")</f>
        <v>ASSOC.P.A.DOS EXCEP. DE PORTO NACIONAL</v>
      </c>
      <c r="D939" s="2" t="str">
        <f ca="1">IFERROR(__xludf.DUMMYFUNCTION("""COMPUTED_VALUE"""),"26752113000137")</f>
        <v>26752113000137</v>
      </c>
      <c r="E939" s="2" t="str">
        <f ca="1">IFERROR(__xludf.DUMMYFUNCTION("""COMPUTED_VALUE"""),"001")</f>
        <v>001</v>
      </c>
      <c r="F939" s="2" t="str">
        <f ca="1">IFERROR(__xludf.DUMMYFUNCTION("""COMPUTED_VALUE"""),"1117")</f>
        <v>1117</v>
      </c>
      <c r="G939" s="224" t="str">
        <f ca="1">IFERROR(__xludf.DUMMYFUNCTION("""COMPUTED_VALUE"""),"86657")</f>
        <v>86657</v>
      </c>
      <c r="H939" s="60" t="str">
        <f ca="1">IFERROR(__xludf.DUMMYFUNCTION("""COMPUTED_VALUE"""),"EJA")</f>
        <v>EJA</v>
      </c>
      <c r="I939" s="7">
        <f ca="1">IFERROR(__xludf.DUMMYFUNCTION("""COMPUTED_VALUE"""),672.4)</f>
        <v>672.4</v>
      </c>
    </row>
    <row r="940" spans="1:9" ht="12.75">
      <c r="A940" t="str">
        <f ca="1">IFERROR(__xludf.DUMMYFUNCTION("""COMPUTED_VALUE"""),"Porto Nacional")</f>
        <v>Porto Nacional</v>
      </c>
      <c r="B940" t="str">
        <f ca="1">IFERROR(__xludf.DUMMYFUNCTION("""COMPUTED_VALUE"""),"Santa Rita do Tocantins")</f>
        <v>Santa Rita do Tocantins</v>
      </c>
      <c r="C940" s="60" t="str">
        <f ca="1">IFERROR(__xludf.DUMMYFUNCTION("""COMPUTED_VALUE"""),"ASS. COM.DE AP.ESC. EST. DE 1 GRAU BOA NOVA")</f>
        <v>ASS. COM.DE AP.ESC. EST. DE 1 GRAU BOA NOVA</v>
      </c>
      <c r="D940" s="2" t="str">
        <f ca="1">IFERROR(__xludf.DUMMYFUNCTION("""COMPUTED_VALUE"""),"01856561000150")</f>
        <v>01856561000150</v>
      </c>
      <c r="E940" s="2" t="str">
        <f ca="1">IFERROR(__xludf.DUMMYFUNCTION("""COMPUTED_VALUE"""),"001")</f>
        <v>001</v>
      </c>
      <c r="F940" s="2" t="str">
        <f ca="1">IFERROR(__xludf.DUMMYFUNCTION("""COMPUTED_VALUE"""),"4107")</f>
        <v>4107</v>
      </c>
      <c r="G940" s="224" t="str">
        <f ca="1">IFERROR(__xludf.DUMMYFUNCTION("""COMPUTED_VALUE"""),"320722")</f>
        <v>320722</v>
      </c>
      <c r="H940" s="60" t="str">
        <f ca="1">IFERROR(__xludf.DUMMYFUNCTION("""COMPUTED_VALUE"""),"ENS FUND PARCIAL")</f>
        <v>ENS FUND PARCIAL</v>
      </c>
      <c r="I940" s="7">
        <f ca="1">IFERROR(__xludf.DUMMYFUNCTION("""COMPUTED_VALUE"""),850)</f>
        <v>850</v>
      </c>
    </row>
    <row r="941" spans="1:9" ht="12.75">
      <c r="A941" t="str">
        <f ca="1">IFERROR(__xludf.DUMMYFUNCTION("""COMPUTED_VALUE"""),"Porto Nacional")</f>
        <v>Porto Nacional</v>
      </c>
      <c r="B941" t="str">
        <f ca="1">IFERROR(__xludf.DUMMYFUNCTION("""COMPUTED_VALUE"""),"Santa Rita do Tocantins")</f>
        <v>Santa Rita do Tocantins</v>
      </c>
      <c r="C941" s="60" t="str">
        <f ca="1">IFERROR(__xludf.DUMMYFUNCTION("""COMPUTED_VALUE"""),"ASS. COM.DE AP.ESC. EST. DE 1 GRAU BOA NOVA")</f>
        <v>ASS. COM.DE AP.ESC. EST. DE 1 GRAU BOA NOVA</v>
      </c>
      <c r="D941" s="2" t="str">
        <f ca="1">IFERROR(__xludf.DUMMYFUNCTION("""COMPUTED_VALUE"""),"01856561000150")</f>
        <v>01856561000150</v>
      </c>
      <c r="E941" s="2" t="str">
        <f ca="1">IFERROR(__xludf.DUMMYFUNCTION("""COMPUTED_VALUE"""),"001")</f>
        <v>001</v>
      </c>
      <c r="F941" s="2" t="str">
        <f ca="1">IFERROR(__xludf.DUMMYFUNCTION("""COMPUTED_VALUE"""),"4107")</f>
        <v>4107</v>
      </c>
      <c r="G941" s="224" t="str">
        <f ca="1">IFERROR(__xludf.DUMMYFUNCTION("""COMPUTED_VALUE"""),"320722")</f>
        <v>320722</v>
      </c>
      <c r="H941" s="60" t="str">
        <f ca="1">IFERROR(__xludf.DUMMYFUNCTION("""COMPUTED_VALUE"""),"ENSINO MEDIO PARCIAL")</f>
        <v>ENSINO MEDIO PARCIAL</v>
      </c>
      <c r="I941" s="7">
        <f ca="1">IFERROR(__xludf.DUMMYFUNCTION("""COMPUTED_VALUE"""),870)</f>
        <v>870</v>
      </c>
    </row>
    <row r="942" spans="1:9" ht="12.75">
      <c r="A942" t="str">
        <f ca="1">IFERROR(__xludf.DUMMYFUNCTION("""COMPUTED_VALUE"""),"Porto Nacional")</f>
        <v>Porto Nacional</v>
      </c>
      <c r="B942" t="str">
        <f ca="1">IFERROR(__xludf.DUMMYFUNCTION("""COMPUTED_VALUE"""),"Santa Rosa do Tocantins")</f>
        <v>Santa Rosa do Tocantins</v>
      </c>
      <c r="C942" s="60" t="str">
        <f ca="1">IFERROR(__xludf.DUMMYFUNCTION("""COMPUTED_VALUE"""),"A.A. E. E.PROF.ZACHARIAS NUNES DA SILVEIRA")</f>
        <v>A.A. E. E.PROF.ZACHARIAS NUNES DA SILVEIRA</v>
      </c>
      <c r="D942" s="2" t="str">
        <f ca="1">IFERROR(__xludf.DUMMYFUNCTION("""COMPUTED_VALUE"""),"01066420000133")</f>
        <v>01066420000133</v>
      </c>
      <c r="E942" s="2" t="str">
        <f ca="1">IFERROR(__xludf.DUMMYFUNCTION("""COMPUTED_VALUE"""),"104")</f>
        <v>104</v>
      </c>
      <c r="F942" s="2" t="str">
        <f ca="1">IFERROR(__xludf.DUMMYFUNCTION("""COMPUTED_VALUE"""),"1829")</f>
        <v>1829</v>
      </c>
      <c r="G942" s="224" t="str">
        <f ca="1">IFERROR(__xludf.DUMMYFUNCTION("""COMPUTED_VALUE"""),"0307461")</f>
        <v>0307461</v>
      </c>
      <c r="H942" s="60" t="str">
        <f ca="1">IFERROR(__xludf.DUMMYFUNCTION("""COMPUTED_VALUE"""),"ENS FUND PARCIAL")</f>
        <v>ENS FUND PARCIAL</v>
      </c>
      <c r="I942" s="7">
        <f ca="1">IFERROR(__xludf.DUMMYFUNCTION("""COMPUTED_VALUE"""),1570)</f>
        <v>1570</v>
      </c>
    </row>
    <row r="943" spans="1:9" ht="12.75">
      <c r="A943" t="str">
        <f ca="1">IFERROR(__xludf.DUMMYFUNCTION("""COMPUTED_VALUE"""),"Porto Nacional")</f>
        <v>Porto Nacional</v>
      </c>
      <c r="B943" t="str">
        <f ca="1">IFERROR(__xludf.DUMMYFUNCTION("""COMPUTED_VALUE"""),"Santa Rosa do Tocantins")</f>
        <v>Santa Rosa do Tocantins</v>
      </c>
      <c r="C943" s="60" t="str">
        <f ca="1">IFERROR(__xludf.DUMMYFUNCTION("""COMPUTED_VALUE"""),"A.A. E. E.PROF.ZACHARIAS NUNES DA SILVEIRA")</f>
        <v>A.A. E. E.PROF.ZACHARIAS NUNES DA SILVEIRA</v>
      </c>
      <c r="D943" s="2" t="str">
        <f ca="1">IFERROR(__xludf.DUMMYFUNCTION("""COMPUTED_VALUE"""),"01066420000133")</f>
        <v>01066420000133</v>
      </c>
      <c r="E943" s="2" t="str">
        <f ca="1">IFERROR(__xludf.DUMMYFUNCTION("""COMPUTED_VALUE"""),"104")</f>
        <v>104</v>
      </c>
      <c r="F943" s="2" t="str">
        <f ca="1">IFERROR(__xludf.DUMMYFUNCTION("""COMPUTED_VALUE"""),"1829")</f>
        <v>1829</v>
      </c>
      <c r="G943" s="224" t="str">
        <f ca="1">IFERROR(__xludf.DUMMYFUNCTION("""COMPUTED_VALUE"""),"0307461")</f>
        <v>0307461</v>
      </c>
      <c r="H943" s="60" t="str">
        <f ca="1">IFERROR(__xludf.DUMMYFUNCTION("""COMPUTED_VALUE"""),"AEE")</f>
        <v>AEE</v>
      </c>
      <c r="I943" s="7">
        <f ca="1">IFERROR(__xludf.DUMMYFUNCTION("""COMPUTED_VALUE"""),149.6)</f>
        <v>149.6</v>
      </c>
    </row>
    <row r="944" spans="1:9" ht="12.75">
      <c r="A944" t="str">
        <f ca="1">IFERROR(__xludf.DUMMYFUNCTION("""COMPUTED_VALUE"""),"Porto Nacional")</f>
        <v>Porto Nacional</v>
      </c>
      <c r="B944" t="str">
        <f ca="1">IFERROR(__xludf.DUMMYFUNCTION("""COMPUTED_VALUE"""),"Santa Rosa do Tocantins")</f>
        <v>Santa Rosa do Tocantins</v>
      </c>
      <c r="C944" s="60" t="str">
        <f ca="1">IFERROR(__xludf.DUMMYFUNCTION("""COMPUTED_VALUE"""),"A.A. E. E. TENENTE SALVADOR RIBEIRO")</f>
        <v>A.A. E. E. TENENTE SALVADOR RIBEIRO</v>
      </c>
      <c r="D944" s="2" t="str">
        <f ca="1">IFERROR(__xludf.DUMMYFUNCTION("""COMPUTED_VALUE"""),"01066424000111")</f>
        <v>01066424000111</v>
      </c>
      <c r="E944" s="2" t="str">
        <f ca="1">IFERROR(__xludf.DUMMYFUNCTION("""COMPUTED_VALUE"""),"001")</f>
        <v>001</v>
      </c>
      <c r="F944" s="2" t="str">
        <f ca="1">IFERROR(__xludf.DUMMYFUNCTION("""COMPUTED_VALUE"""),"1117")</f>
        <v>1117</v>
      </c>
      <c r="G944" s="224" t="str">
        <f ca="1">IFERROR(__xludf.DUMMYFUNCTION("""COMPUTED_VALUE"""),"332623")</f>
        <v>332623</v>
      </c>
      <c r="H944" s="60" t="str">
        <f ca="1">IFERROR(__xludf.DUMMYFUNCTION("""COMPUTED_VALUE"""),"ENS FUND PARCIAL")</f>
        <v>ENS FUND PARCIAL</v>
      </c>
      <c r="I944" s="7">
        <f ca="1">IFERROR(__xludf.DUMMYFUNCTION("""COMPUTED_VALUE"""),250)</f>
        <v>250</v>
      </c>
    </row>
    <row r="945" spans="1:9" ht="12.75">
      <c r="A945" t="str">
        <f ca="1">IFERROR(__xludf.DUMMYFUNCTION("""COMPUTED_VALUE"""),"Porto Nacional")</f>
        <v>Porto Nacional</v>
      </c>
      <c r="B945" t="str">
        <f ca="1">IFERROR(__xludf.DUMMYFUNCTION("""COMPUTED_VALUE"""),"Santa Rosa do Tocantins")</f>
        <v>Santa Rosa do Tocantins</v>
      </c>
      <c r="C945" s="60" t="str">
        <f ca="1">IFERROR(__xludf.DUMMYFUNCTION("""COMPUTED_VALUE"""),"A.A. E. E. TENENTE SALVADOR RIBEIRO")</f>
        <v>A.A. E. E. TENENTE SALVADOR RIBEIRO</v>
      </c>
      <c r="D945" s="2" t="str">
        <f ca="1">IFERROR(__xludf.DUMMYFUNCTION("""COMPUTED_VALUE"""),"01066424000111")</f>
        <v>01066424000111</v>
      </c>
      <c r="E945" s="2" t="str">
        <f ca="1">IFERROR(__xludf.DUMMYFUNCTION("""COMPUTED_VALUE"""),"001")</f>
        <v>001</v>
      </c>
      <c r="F945" s="2" t="str">
        <f ca="1">IFERROR(__xludf.DUMMYFUNCTION("""COMPUTED_VALUE"""),"1117")</f>
        <v>1117</v>
      </c>
      <c r="G945" s="224" t="str">
        <f ca="1">IFERROR(__xludf.DUMMYFUNCTION("""COMPUTED_VALUE"""),"332623")</f>
        <v>332623</v>
      </c>
      <c r="H945" s="60" t="str">
        <f ca="1">IFERROR(__xludf.DUMMYFUNCTION("""COMPUTED_VALUE"""),"ENSINO MEDIO PARCIAL")</f>
        <v>ENSINO MEDIO PARCIAL</v>
      </c>
      <c r="I945" s="7">
        <f ca="1">IFERROR(__xludf.DUMMYFUNCTION("""COMPUTED_VALUE"""),1810)</f>
        <v>1810</v>
      </c>
    </row>
    <row r="946" spans="1:9" ht="12.75">
      <c r="A946" t="str">
        <f ca="1">IFERROR(__xludf.DUMMYFUNCTION("""COMPUTED_VALUE"""),"Porto Nacional")</f>
        <v>Porto Nacional</v>
      </c>
      <c r="B946" t="str">
        <f ca="1">IFERROR(__xludf.DUMMYFUNCTION("""COMPUTED_VALUE"""),"Santa Rosa do Tocantins")</f>
        <v>Santa Rosa do Tocantins</v>
      </c>
      <c r="C946" s="60" t="str">
        <f ca="1">IFERROR(__xludf.DUMMYFUNCTION("""COMPUTED_VALUE"""),"A.A. E. E. TENENTE SALVADOR RIBEIRO")</f>
        <v>A.A. E. E. TENENTE SALVADOR RIBEIRO</v>
      </c>
      <c r="D946" s="2" t="str">
        <f ca="1">IFERROR(__xludf.DUMMYFUNCTION("""COMPUTED_VALUE"""),"01066424000111")</f>
        <v>01066424000111</v>
      </c>
      <c r="E946" s="2" t="str">
        <f ca="1">IFERROR(__xludf.DUMMYFUNCTION("""COMPUTED_VALUE"""),"001")</f>
        <v>001</v>
      </c>
      <c r="F946" s="2" t="str">
        <f ca="1">IFERROR(__xludf.DUMMYFUNCTION("""COMPUTED_VALUE"""),"1117")</f>
        <v>1117</v>
      </c>
      <c r="G946" s="224" t="str">
        <f ca="1">IFERROR(__xludf.DUMMYFUNCTION("""COMPUTED_VALUE"""),"332623")</f>
        <v>332623</v>
      </c>
      <c r="H946" s="60" t="str">
        <f ca="1">IFERROR(__xludf.DUMMYFUNCTION("""COMPUTED_VALUE"""),"EJA")</f>
        <v>EJA</v>
      </c>
      <c r="I946" s="7">
        <f ca="1">IFERROR(__xludf.DUMMYFUNCTION("""COMPUTED_VALUE"""),114.799999999999)</f>
        <v>114.799999999999</v>
      </c>
    </row>
    <row r="947" spans="1:9" ht="12.75">
      <c r="A947" t="str">
        <f ca="1">IFERROR(__xludf.DUMMYFUNCTION("""COMPUTED_VALUE"""),"Porto Nacional")</f>
        <v>Porto Nacional</v>
      </c>
      <c r="B947" t="str">
        <f ca="1">IFERROR(__xludf.DUMMYFUNCTION("""COMPUTED_VALUE"""),"Silvanopolis")</f>
        <v>Silvanopolis</v>
      </c>
      <c r="C947" s="60" t="str">
        <f ca="1">IFERROR(__xludf.DUMMYFUNCTION("""COMPUTED_VALUE"""),"A.A. A ESC. EST. JOAO PIRES QUERIDO")</f>
        <v>A.A. A ESC. EST. JOAO PIRES QUERIDO</v>
      </c>
      <c r="D947" s="2" t="str">
        <f ca="1">IFERROR(__xludf.DUMMYFUNCTION("""COMPUTED_VALUE"""),"01284632000197")</f>
        <v>01284632000197</v>
      </c>
      <c r="E947" s="2" t="str">
        <f ca="1">IFERROR(__xludf.DUMMYFUNCTION("""COMPUTED_VALUE"""),"001")</f>
        <v>001</v>
      </c>
      <c r="F947" s="2" t="str">
        <f ca="1">IFERROR(__xludf.DUMMYFUNCTION("""COMPUTED_VALUE"""),"3980")</f>
        <v>3980</v>
      </c>
      <c r="G947" s="224" t="str">
        <f ca="1">IFERROR(__xludf.DUMMYFUNCTION("""COMPUTED_VALUE"""),"051187")</f>
        <v>051187</v>
      </c>
      <c r="H947" s="60" t="str">
        <f ca="1">IFERROR(__xludf.DUMMYFUNCTION("""COMPUTED_VALUE"""),"ENS FUND INTEGRAL")</f>
        <v>ENS FUND INTEGRAL</v>
      </c>
      <c r="I947" s="7">
        <f ca="1">IFERROR(__xludf.DUMMYFUNCTION("""COMPUTED_VALUE"""),4247)</f>
        <v>4247</v>
      </c>
    </row>
    <row r="948" spans="1:9" ht="12.75">
      <c r="A948" t="str">
        <f ca="1">IFERROR(__xludf.DUMMYFUNCTION("""COMPUTED_VALUE"""),"Porto Nacional")</f>
        <v>Porto Nacional</v>
      </c>
      <c r="B948" t="str">
        <f ca="1">IFERROR(__xludf.DUMMYFUNCTION("""COMPUTED_VALUE"""),"Silvanopolis")</f>
        <v>Silvanopolis</v>
      </c>
      <c r="C948" s="60" t="str">
        <f ca="1">IFERROR(__xludf.DUMMYFUNCTION("""COMPUTED_VALUE"""),"A.A. A ESC. EST. JOAO PIRES QUERIDO")</f>
        <v>A.A. A ESC. EST. JOAO PIRES QUERIDO</v>
      </c>
      <c r="D948" s="2" t="str">
        <f ca="1">IFERROR(__xludf.DUMMYFUNCTION("""COMPUTED_VALUE"""),"01284632000197")</f>
        <v>01284632000197</v>
      </c>
      <c r="E948" s="2" t="str">
        <f ca="1">IFERROR(__xludf.DUMMYFUNCTION("""COMPUTED_VALUE"""),"001")</f>
        <v>001</v>
      </c>
      <c r="F948" s="2" t="str">
        <f ca="1">IFERROR(__xludf.DUMMYFUNCTION("""COMPUTED_VALUE"""),"3980")</f>
        <v>3980</v>
      </c>
      <c r="G948" s="224" t="str">
        <f ca="1">IFERROR(__xludf.DUMMYFUNCTION("""COMPUTED_VALUE"""),"051187")</f>
        <v>051187</v>
      </c>
      <c r="H948" s="60" t="str">
        <f ca="1">IFERROR(__xludf.DUMMYFUNCTION("""COMPUTED_VALUE"""),"EJA")</f>
        <v>EJA</v>
      </c>
      <c r="I948" s="7">
        <f ca="1">IFERROR(__xludf.DUMMYFUNCTION("""COMPUTED_VALUE"""),106.6)</f>
        <v>106.6</v>
      </c>
    </row>
    <row r="949" spans="1:9" ht="12.75">
      <c r="A949" t="str">
        <f ca="1">IFERROR(__xludf.DUMMYFUNCTION("""COMPUTED_VALUE"""),"Porto Nacional")</f>
        <v>Porto Nacional</v>
      </c>
      <c r="B949" t="str">
        <f ca="1">IFERROR(__xludf.DUMMYFUNCTION("""COMPUTED_VALUE"""),"Silvanopolis")</f>
        <v>Silvanopolis</v>
      </c>
      <c r="C949" s="60" t="str">
        <f ca="1">IFERROR(__xludf.DUMMYFUNCTION("""COMPUTED_VALUE"""),"A.A. DA ESC. EST. JOAO DA SILVA GUIMARAES")</f>
        <v>A.A. DA ESC. EST. JOAO DA SILVA GUIMARAES</v>
      </c>
      <c r="D949" s="2" t="str">
        <f ca="1">IFERROR(__xludf.DUMMYFUNCTION("""COMPUTED_VALUE"""),"01557779000103")</f>
        <v>01557779000103</v>
      </c>
      <c r="E949" s="2" t="str">
        <f ca="1">IFERROR(__xludf.DUMMYFUNCTION("""COMPUTED_VALUE"""),"001")</f>
        <v>001</v>
      </c>
      <c r="F949" s="2" t="str">
        <f ca="1">IFERROR(__xludf.DUMMYFUNCTION("""COMPUTED_VALUE"""),"3980")</f>
        <v>3980</v>
      </c>
      <c r="G949" s="224" t="str">
        <f ca="1">IFERROR(__xludf.DUMMYFUNCTION("""COMPUTED_VALUE"""),"51292")</f>
        <v>51292</v>
      </c>
      <c r="H949" s="60" t="str">
        <f ca="1">IFERROR(__xludf.DUMMYFUNCTION("""COMPUTED_VALUE"""),"ENS FUND PARCIAL")</f>
        <v>ENS FUND PARCIAL</v>
      </c>
      <c r="I949" s="7">
        <f ca="1">IFERROR(__xludf.DUMMYFUNCTION("""COMPUTED_VALUE"""),3190)</f>
        <v>3190</v>
      </c>
    </row>
    <row r="950" spans="1:9" ht="12.75">
      <c r="A950" t="str">
        <f ca="1">IFERROR(__xludf.DUMMYFUNCTION("""COMPUTED_VALUE"""),"Porto Nacional")</f>
        <v>Porto Nacional</v>
      </c>
      <c r="B950" t="str">
        <f ca="1">IFERROR(__xludf.DUMMYFUNCTION("""COMPUTED_VALUE"""),"Silvanopolis")</f>
        <v>Silvanopolis</v>
      </c>
      <c r="C950" s="60" t="str">
        <f ca="1">IFERROR(__xludf.DUMMYFUNCTION("""COMPUTED_VALUE"""),"A.A. DA ESC. EST. JOAO DA SILVA GUIMARAES")</f>
        <v>A.A. DA ESC. EST. JOAO DA SILVA GUIMARAES</v>
      </c>
      <c r="D950" s="2" t="str">
        <f ca="1">IFERROR(__xludf.DUMMYFUNCTION("""COMPUTED_VALUE"""),"01557779000103")</f>
        <v>01557779000103</v>
      </c>
      <c r="E950" s="2" t="str">
        <f ca="1">IFERROR(__xludf.DUMMYFUNCTION("""COMPUTED_VALUE"""),"001")</f>
        <v>001</v>
      </c>
      <c r="F950" s="2" t="str">
        <f ca="1">IFERROR(__xludf.DUMMYFUNCTION("""COMPUTED_VALUE"""),"3980")</f>
        <v>3980</v>
      </c>
      <c r="G950" s="224" t="str">
        <f ca="1">IFERROR(__xludf.DUMMYFUNCTION("""COMPUTED_VALUE"""),"51292")</f>
        <v>51292</v>
      </c>
      <c r="H950" s="60" t="str">
        <f ca="1">IFERROR(__xludf.DUMMYFUNCTION("""COMPUTED_VALUE"""),"ENSINO MEDIO PARCIAL")</f>
        <v>ENSINO MEDIO PARCIAL</v>
      </c>
      <c r="I950" s="7">
        <f ca="1">IFERROR(__xludf.DUMMYFUNCTION("""COMPUTED_VALUE"""),2390)</f>
        <v>2390</v>
      </c>
    </row>
    <row r="951" spans="1:9" ht="12.75">
      <c r="A951" t="str">
        <f ca="1">IFERROR(__xludf.DUMMYFUNCTION("""COMPUTED_VALUE"""),"Tocantinópolis")</f>
        <v>Tocantinópolis</v>
      </c>
      <c r="B951" t="str">
        <f ca="1">IFERROR(__xludf.DUMMYFUNCTION("""COMPUTED_VALUE"""),"Aguiarnopolis")</f>
        <v>Aguiarnopolis</v>
      </c>
      <c r="C951" s="60" t="str">
        <f ca="1">IFERROR(__xludf.DUMMYFUNCTION("""COMPUTED_VALUE"""),"A.A. DA ESC. EST. NAZARÉ NUNES DA SILVA (AGUIARNOPOLIS)")</f>
        <v>A.A. DA ESC. EST. NAZARÉ NUNES DA SILVA (AGUIARNOPOLIS)</v>
      </c>
      <c r="D951" s="2" t="str">
        <f ca="1">IFERROR(__xludf.DUMMYFUNCTION("""COMPUTED_VALUE"""),"01213519000110")</f>
        <v>01213519000110</v>
      </c>
      <c r="E951" s="2" t="str">
        <f ca="1">IFERROR(__xludf.DUMMYFUNCTION("""COMPUTED_VALUE"""),"001")</f>
        <v>001</v>
      </c>
      <c r="F951" s="2" t="str">
        <f ca="1">IFERROR(__xludf.DUMMYFUNCTION("""COMPUTED_VALUE"""),"0810")</f>
        <v>0810</v>
      </c>
      <c r="G951" s="224" t="str">
        <f ca="1">IFERROR(__xludf.DUMMYFUNCTION("""COMPUTED_VALUE"""),"217727")</f>
        <v>217727</v>
      </c>
      <c r="H951" s="60" t="str">
        <f ca="1">IFERROR(__xludf.DUMMYFUNCTION("""COMPUTED_VALUE"""),"ENS FUND PARCIAL")</f>
        <v>ENS FUND PARCIAL</v>
      </c>
      <c r="I951" s="7">
        <f ca="1">IFERROR(__xludf.DUMMYFUNCTION("""COMPUTED_VALUE"""),1560)</f>
        <v>1560</v>
      </c>
    </row>
    <row r="952" spans="1:9" ht="12.75">
      <c r="A952" t="str">
        <f ca="1">IFERROR(__xludf.DUMMYFUNCTION("""COMPUTED_VALUE"""),"Tocantinópolis")</f>
        <v>Tocantinópolis</v>
      </c>
      <c r="B952" t="str">
        <f ca="1">IFERROR(__xludf.DUMMYFUNCTION("""COMPUTED_VALUE"""),"Aguiarnopolis")</f>
        <v>Aguiarnopolis</v>
      </c>
      <c r="C952" s="60" t="str">
        <f ca="1">IFERROR(__xludf.DUMMYFUNCTION("""COMPUTED_VALUE"""),"A.A. DA ESC. EST. NAZARÉ NUNES DA SILVA (AGUIARNOPOLIS)")</f>
        <v>A.A. DA ESC. EST. NAZARÉ NUNES DA SILVA (AGUIARNOPOLIS)</v>
      </c>
      <c r="D952" s="2" t="str">
        <f ca="1">IFERROR(__xludf.DUMMYFUNCTION("""COMPUTED_VALUE"""),"01213519000110")</f>
        <v>01213519000110</v>
      </c>
      <c r="E952" s="2" t="str">
        <f ca="1">IFERROR(__xludf.DUMMYFUNCTION("""COMPUTED_VALUE"""),"001")</f>
        <v>001</v>
      </c>
      <c r="F952" s="2" t="str">
        <f ca="1">IFERROR(__xludf.DUMMYFUNCTION("""COMPUTED_VALUE"""),"0810")</f>
        <v>0810</v>
      </c>
      <c r="G952" s="224" t="str">
        <f ca="1">IFERROR(__xludf.DUMMYFUNCTION("""COMPUTED_VALUE"""),"217727")</f>
        <v>217727</v>
      </c>
      <c r="H952" s="60" t="str">
        <f ca="1">IFERROR(__xludf.DUMMYFUNCTION("""COMPUTED_VALUE"""),"ENS FUND INTEGRAL")</f>
        <v>ENS FUND INTEGRAL</v>
      </c>
      <c r="I952" s="7">
        <f ca="1">IFERROR(__xludf.DUMMYFUNCTION("""COMPUTED_VALUE"""),2438.6)</f>
        <v>2438.6</v>
      </c>
    </row>
    <row r="953" spans="1:9" ht="12.75">
      <c r="A953" t="str">
        <f ca="1">IFERROR(__xludf.DUMMYFUNCTION("""COMPUTED_VALUE"""),"Tocantinópolis")</f>
        <v>Tocantinópolis</v>
      </c>
      <c r="B953" t="str">
        <f ca="1">IFERROR(__xludf.DUMMYFUNCTION("""COMPUTED_VALUE"""),"Aguiarnopolis")</f>
        <v>Aguiarnopolis</v>
      </c>
      <c r="C953" s="60" t="str">
        <f ca="1">IFERROR(__xludf.DUMMYFUNCTION("""COMPUTED_VALUE"""),"A.A. DA ESC. EST. NAZARÉ NUNES DA SILVA (AGUIARNOPOLIS)")</f>
        <v>A.A. DA ESC. EST. NAZARÉ NUNES DA SILVA (AGUIARNOPOLIS)</v>
      </c>
      <c r="D953" s="2" t="str">
        <f ca="1">IFERROR(__xludf.DUMMYFUNCTION("""COMPUTED_VALUE"""),"01213519000110")</f>
        <v>01213519000110</v>
      </c>
      <c r="E953" s="2" t="str">
        <f ca="1">IFERROR(__xludf.DUMMYFUNCTION("""COMPUTED_VALUE"""),"001")</f>
        <v>001</v>
      </c>
      <c r="F953" s="2" t="str">
        <f ca="1">IFERROR(__xludf.DUMMYFUNCTION("""COMPUTED_VALUE"""),"0810")</f>
        <v>0810</v>
      </c>
      <c r="G953" s="224" t="str">
        <f ca="1">IFERROR(__xludf.DUMMYFUNCTION("""COMPUTED_VALUE"""),"217727")</f>
        <v>217727</v>
      </c>
      <c r="H953" s="60" t="str">
        <f ca="1">IFERROR(__xludf.DUMMYFUNCTION("""COMPUTED_VALUE"""),"ENSINO MEDIO PARCIAL")</f>
        <v>ENSINO MEDIO PARCIAL</v>
      </c>
      <c r="I953" s="7">
        <f ca="1">IFERROR(__xludf.DUMMYFUNCTION("""COMPUTED_VALUE"""),700)</f>
        <v>700</v>
      </c>
    </row>
    <row r="954" spans="1:9" ht="12.75">
      <c r="A954" t="str">
        <f ca="1">IFERROR(__xludf.DUMMYFUNCTION("""COMPUTED_VALUE"""),"Tocantinópolis")</f>
        <v>Tocantinópolis</v>
      </c>
      <c r="B954" t="str">
        <f ca="1">IFERROR(__xludf.DUMMYFUNCTION("""COMPUTED_VALUE"""),"Aguiarnopolis")</f>
        <v>Aguiarnopolis</v>
      </c>
      <c r="C954" s="60" t="str">
        <f ca="1">IFERROR(__xludf.DUMMYFUNCTION("""COMPUTED_VALUE"""),"A.A. DA ESC. EST. NAZARÉ NUNES DA SILVA (AGUIARNOPOLIS)")</f>
        <v>A.A. DA ESC. EST. NAZARÉ NUNES DA SILVA (AGUIARNOPOLIS)</v>
      </c>
      <c r="D954" s="2" t="str">
        <f ca="1">IFERROR(__xludf.DUMMYFUNCTION("""COMPUTED_VALUE"""),"01213519000110")</f>
        <v>01213519000110</v>
      </c>
      <c r="E954" s="2" t="str">
        <f ca="1">IFERROR(__xludf.DUMMYFUNCTION("""COMPUTED_VALUE"""),"001")</f>
        <v>001</v>
      </c>
      <c r="F954" s="2" t="str">
        <f ca="1">IFERROR(__xludf.DUMMYFUNCTION("""COMPUTED_VALUE"""),"0810")</f>
        <v>0810</v>
      </c>
      <c r="G954" s="224" t="str">
        <f ca="1">IFERROR(__xludf.DUMMYFUNCTION("""COMPUTED_VALUE"""),"217727")</f>
        <v>217727</v>
      </c>
      <c r="H954" s="60" t="str">
        <f ca="1">IFERROR(__xludf.DUMMYFUNCTION("""COMPUTED_VALUE"""),"JOVEM AÇÃO")</f>
        <v>JOVEM AÇÃO</v>
      </c>
      <c r="I954" s="7">
        <f ca="1">IFERROR(__xludf.DUMMYFUNCTION("""COMPUTED_VALUE"""),9830.4)</f>
        <v>9830.4</v>
      </c>
    </row>
    <row r="955" spans="1:9" ht="12.75">
      <c r="A955" t="str">
        <f ca="1">IFERROR(__xludf.DUMMYFUNCTION("""COMPUTED_VALUE"""),"Tocantinópolis")</f>
        <v>Tocantinópolis</v>
      </c>
      <c r="B955" t="str">
        <f ca="1">IFERROR(__xludf.DUMMYFUNCTION("""COMPUTED_VALUE"""),"Angico")</f>
        <v>Angico</v>
      </c>
      <c r="C955" s="60" t="str">
        <f ca="1">IFERROR(__xludf.DUMMYFUNCTION("""COMPUTED_VALUE"""),"ASSOCIAÇÃO DE APOIO DO COL. EST. DULCE COELHO DE SOUSA")</f>
        <v>ASSOCIAÇÃO DE APOIO DO COL. EST. DULCE COELHO DE SOUSA</v>
      </c>
      <c r="D955" s="2" t="str">
        <f ca="1">IFERROR(__xludf.DUMMYFUNCTION("""COMPUTED_VALUE"""),"10800992000195")</f>
        <v>10800992000195</v>
      </c>
      <c r="E955" s="2" t="str">
        <f ca="1">IFERROR(__xludf.DUMMYFUNCTION("""COMPUTED_VALUE"""),"001")</f>
        <v>001</v>
      </c>
      <c r="F955" s="2" t="str">
        <f ca="1">IFERROR(__xludf.DUMMYFUNCTION("""COMPUTED_VALUE"""),"3973")</f>
        <v>3973</v>
      </c>
      <c r="G955" s="224" t="str">
        <f ca="1">IFERROR(__xludf.DUMMYFUNCTION("""COMPUTED_VALUE"""),"212792")</f>
        <v>212792</v>
      </c>
      <c r="H955" s="60" t="str">
        <f ca="1">IFERROR(__xludf.DUMMYFUNCTION("""COMPUTED_VALUE"""),"ENS FUND PARCIAL")</f>
        <v>ENS FUND PARCIAL</v>
      </c>
      <c r="I955" s="7">
        <f ca="1">IFERROR(__xludf.DUMMYFUNCTION("""COMPUTED_VALUE"""),2150)</f>
        <v>2150</v>
      </c>
    </row>
    <row r="956" spans="1:9" ht="12.75">
      <c r="A956" t="str">
        <f ca="1">IFERROR(__xludf.DUMMYFUNCTION("""COMPUTED_VALUE"""),"Tocantinópolis")</f>
        <v>Tocantinópolis</v>
      </c>
      <c r="B956" t="str">
        <f ca="1">IFERROR(__xludf.DUMMYFUNCTION("""COMPUTED_VALUE"""),"Angico")</f>
        <v>Angico</v>
      </c>
      <c r="C956" s="60" t="str">
        <f ca="1">IFERROR(__xludf.DUMMYFUNCTION("""COMPUTED_VALUE"""),"ASSOCIAÇÃO DE APOIO DO COL. EST. DULCE COELHO DE SOUSA")</f>
        <v>ASSOCIAÇÃO DE APOIO DO COL. EST. DULCE COELHO DE SOUSA</v>
      </c>
      <c r="D956" s="2" t="str">
        <f ca="1">IFERROR(__xludf.DUMMYFUNCTION("""COMPUTED_VALUE"""),"10800992000195")</f>
        <v>10800992000195</v>
      </c>
      <c r="E956" s="2" t="str">
        <f ca="1">IFERROR(__xludf.DUMMYFUNCTION("""COMPUTED_VALUE"""),"001")</f>
        <v>001</v>
      </c>
      <c r="F956" s="2" t="str">
        <f ca="1">IFERROR(__xludf.DUMMYFUNCTION("""COMPUTED_VALUE"""),"3973")</f>
        <v>3973</v>
      </c>
      <c r="G956" s="224" t="str">
        <f ca="1">IFERROR(__xludf.DUMMYFUNCTION("""COMPUTED_VALUE"""),"212792")</f>
        <v>212792</v>
      </c>
      <c r="H956" s="60" t="str">
        <f ca="1">IFERROR(__xludf.DUMMYFUNCTION("""COMPUTED_VALUE"""),"AEE")</f>
        <v>AEE</v>
      </c>
      <c r="I956" s="7">
        <f ca="1">IFERROR(__xludf.DUMMYFUNCTION("""COMPUTED_VALUE"""),326.4)</f>
        <v>326.39999999999998</v>
      </c>
    </row>
    <row r="957" spans="1:9" ht="12.75">
      <c r="A957" t="str">
        <f ca="1">IFERROR(__xludf.DUMMYFUNCTION("""COMPUTED_VALUE"""),"Tocantinópolis")</f>
        <v>Tocantinópolis</v>
      </c>
      <c r="B957" t="str">
        <f ca="1">IFERROR(__xludf.DUMMYFUNCTION("""COMPUTED_VALUE"""),"Angico")</f>
        <v>Angico</v>
      </c>
      <c r="C957" s="60" t="str">
        <f ca="1">IFERROR(__xludf.DUMMYFUNCTION("""COMPUTED_VALUE"""),"ASSOCIAÇÃO DE APOIO DO COL. EST. DULCE COELHO DE SOUSA")</f>
        <v>ASSOCIAÇÃO DE APOIO DO COL. EST. DULCE COELHO DE SOUSA</v>
      </c>
      <c r="D957" s="2" t="str">
        <f ca="1">IFERROR(__xludf.DUMMYFUNCTION("""COMPUTED_VALUE"""),"10800992000195")</f>
        <v>10800992000195</v>
      </c>
      <c r="E957" s="2" t="str">
        <f ca="1">IFERROR(__xludf.DUMMYFUNCTION("""COMPUTED_VALUE"""),"001")</f>
        <v>001</v>
      </c>
      <c r="F957" s="2" t="str">
        <f ca="1">IFERROR(__xludf.DUMMYFUNCTION("""COMPUTED_VALUE"""),"3973")</f>
        <v>3973</v>
      </c>
      <c r="G957" s="224" t="str">
        <f ca="1">IFERROR(__xludf.DUMMYFUNCTION("""COMPUTED_VALUE"""),"212792")</f>
        <v>212792</v>
      </c>
      <c r="H957" s="60" t="str">
        <f ca="1">IFERROR(__xludf.DUMMYFUNCTION("""COMPUTED_VALUE"""),"ENSINO MEDIO PARCIAL")</f>
        <v>ENSINO MEDIO PARCIAL</v>
      </c>
      <c r="I957" s="7">
        <f ca="1">IFERROR(__xludf.DUMMYFUNCTION("""COMPUTED_VALUE"""),1320)</f>
        <v>1320</v>
      </c>
    </row>
    <row r="958" spans="1:9" ht="12.75">
      <c r="A958" t="str">
        <f ca="1">IFERROR(__xludf.DUMMYFUNCTION("""COMPUTED_VALUE"""),"Tocantinópolis")</f>
        <v>Tocantinópolis</v>
      </c>
      <c r="B958" t="str">
        <f ca="1">IFERROR(__xludf.DUMMYFUNCTION("""COMPUTED_VALUE"""),"Cachoeirinha")</f>
        <v>Cachoeirinha</v>
      </c>
      <c r="C958" s="60" t="str">
        <f ca="1">IFERROR(__xludf.DUMMYFUNCTION("""COMPUTED_VALUE"""),"A.A. E. EST. NOVA DA CACHOEIRINHA/RAIMUNDO NONATO TORRES")</f>
        <v>A.A. E. EST. NOVA DA CACHOEIRINHA/RAIMUNDO NONATO TORRES</v>
      </c>
      <c r="D958" s="2" t="str">
        <f ca="1">IFERROR(__xludf.DUMMYFUNCTION("""COMPUTED_VALUE"""),"01213535000103")</f>
        <v>01213535000103</v>
      </c>
      <c r="E958" s="2" t="str">
        <f ca="1">IFERROR(__xludf.DUMMYFUNCTION("""COMPUTED_VALUE"""),"001")</f>
        <v>001</v>
      </c>
      <c r="F958" s="2" t="str">
        <f ca="1">IFERROR(__xludf.DUMMYFUNCTION("""COMPUTED_VALUE"""),"0810")</f>
        <v>0810</v>
      </c>
      <c r="G958" s="224" t="str">
        <f ca="1">IFERROR(__xludf.DUMMYFUNCTION("""COMPUTED_VALUE"""),"0217689")</f>
        <v>0217689</v>
      </c>
      <c r="H958" s="60" t="str">
        <f ca="1">IFERROR(__xludf.DUMMYFUNCTION("""COMPUTED_VALUE"""),"ENS FUND PARCIAL")</f>
        <v>ENS FUND PARCIAL</v>
      </c>
      <c r="I958" s="7">
        <f ca="1">IFERROR(__xludf.DUMMYFUNCTION("""COMPUTED_VALUE"""),1200)</f>
        <v>1200</v>
      </c>
    </row>
    <row r="959" spans="1:9" ht="12.75">
      <c r="A959" t="str">
        <f ca="1">IFERROR(__xludf.DUMMYFUNCTION("""COMPUTED_VALUE"""),"Tocantinópolis")</f>
        <v>Tocantinópolis</v>
      </c>
      <c r="B959" t="str">
        <f ca="1">IFERROR(__xludf.DUMMYFUNCTION("""COMPUTED_VALUE"""),"Cachoeirinha")</f>
        <v>Cachoeirinha</v>
      </c>
      <c r="C959" s="60" t="str">
        <f ca="1">IFERROR(__xludf.DUMMYFUNCTION("""COMPUTED_VALUE"""),"A.A. E. EST. NOVA DA CACHOEIRINHA/RAIMUNDO NONATO TORRES")</f>
        <v>A.A. E. EST. NOVA DA CACHOEIRINHA/RAIMUNDO NONATO TORRES</v>
      </c>
      <c r="D959" s="2" t="str">
        <f ca="1">IFERROR(__xludf.DUMMYFUNCTION("""COMPUTED_VALUE"""),"01213535000103")</f>
        <v>01213535000103</v>
      </c>
      <c r="E959" s="2" t="str">
        <f ca="1">IFERROR(__xludf.DUMMYFUNCTION("""COMPUTED_VALUE"""),"001")</f>
        <v>001</v>
      </c>
      <c r="F959" s="2" t="str">
        <f ca="1">IFERROR(__xludf.DUMMYFUNCTION("""COMPUTED_VALUE"""),"0810")</f>
        <v>0810</v>
      </c>
      <c r="G959" s="224" t="str">
        <f ca="1">IFERROR(__xludf.DUMMYFUNCTION("""COMPUTED_VALUE"""),"0217689")</f>
        <v>0217689</v>
      </c>
      <c r="H959" s="60" t="str">
        <f ca="1">IFERROR(__xludf.DUMMYFUNCTION("""COMPUTED_VALUE"""),"AEE")</f>
        <v>AEE</v>
      </c>
      <c r="I959" s="7">
        <f ca="1">IFERROR(__xludf.DUMMYFUNCTION("""COMPUTED_VALUE"""),163.2)</f>
        <v>163.19999999999999</v>
      </c>
    </row>
    <row r="960" spans="1:9" ht="12.75">
      <c r="A960" t="str">
        <f ca="1">IFERROR(__xludf.DUMMYFUNCTION("""COMPUTED_VALUE"""),"Tocantinópolis")</f>
        <v>Tocantinópolis</v>
      </c>
      <c r="B960" t="str">
        <f ca="1">IFERROR(__xludf.DUMMYFUNCTION("""COMPUTED_VALUE"""),"Cachoeirinha")</f>
        <v>Cachoeirinha</v>
      </c>
      <c r="C960" s="60" t="str">
        <f ca="1">IFERROR(__xludf.DUMMYFUNCTION("""COMPUTED_VALUE"""),"A.A. E. EST. NOVA DA CACHOEIRINHA/RAIMUNDO NONATO TORRES")</f>
        <v>A.A. E. EST. NOVA DA CACHOEIRINHA/RAIMUNDO NONATO TORRES</v>
      </c>
      <c r="D960" s="2" t="str">
        <f ca="1">IFERROR(__xludf.DUMMYFUNCTION("""COMPUTED_VALUE"""),"01213535000103")</f>
        <v>01213535000103</v>
      </c>
      <c r="E960" s="2" t="str">
        <f ca="1">IFERROR(__xludf.DUMMYFUNCTION("""COMPUTED_VALUE"""),"001")</f>
        <v>001</v>
      </c>
      <c r="F960" s="2" t="str">
        <f ca="1">IFERROR(__xludf.DUMMYFUNCTION("""COMPUTED_VALUE"""),"0810")</f>
        <v>0810</v>
      </c>
      <c r="G960" s="224" t="str">
        <f ca="1">IFERROR(__xludf.DUMMYFUNCTION("""COMPUTED_VALUE"""),"0217689")</f>
        <v>0217689</v>
      </c>
      <c r="H960" s="60" t="str">
        <f ca="1">IFERROR(__xludf.DUMMYFUNCTION("""COMPUTED_VALUE"""),"ENSINO MEDIO PARCIAL")</f>
        <v>ENSINO MEDIO PARCIAL</v>
      </c>
      <c r="I960" s="7">
        <f ca="1">IFERROR(__xludf.DUMMYFUNCTION("""COMPUTED_VALUE"""),910)</f>
        <v>910</v>
      </c>
    </row>
    <row r="961" spans="1:9" ht="12.75">
      <c r="A961" t="str">
        <f ca="1">IFERROR(__xludf.DUMMYFUNCTION("""COMPUTED_VALUE"""),"Tocantinópolis")</f>
        <v>Tocantinópolis</v>
      </c>
      <c r="B961" t="str">
        <f ca="1">IFERROR(__xludf.DUMMYFUNCTION("""COMPUTED_VALUE"""),"darcinopolis")</f>
        <v>darcinopolis</v>
      </c>
      <c r="C961" s="60" t="str">
        <f ca="1">IFERROR(__xludf.DUMMYFUNCTION("""COMPUTED_VALUE"""),"A. APOIO COL. EST. JOSE DE SOUZA PORTO")</f>
        <v>A. APOIO COL. EST. JOSE DE SOUZA PORTO</v>
      </c>
      <c r="D961" s="2" t="str">
        <f ca="1">IFERROR(__xludf.DUMMYFUNCTION("""COMPUTED_VALUE"""),"01213532000170")</f>
        <v>01213532000170</v>
      </c>
      <c r="E961" s="2" t="str">
        <f ca="1">IFERROR(__xludf.DUMMYFUNCTION("""COMPUTED_VALUE"""),"001")</f>
        <v>001</v>
      </c>
      <c r="F961" s="2" t="str">
        <f ca="1">IFERROR(__xludf.DUMMYFUNCTION("""COMPUTED_VALUE"""),"0810")</f>
        <v>0810</v>
      </c>
      <c r="G961" s="224" t="str">
        <f ca="1">IFERROR(__xludf.DUMMYFUNCTION("""COMPUTED_VALUE"""),"25739")</f>
        <v>25739</v>
      </c>
      <c r="H961" s="60" t="str">
        <f ca="1">IFERROR(__xludf.DUMMYFUNCTION("""COMPUTED_VALUE"""),"ENS FUND PARCIAL")</f>
        <v>ENS FUND PARCIAL</v>
      </c>
      <c r="I961" s="7">
        <f ca="1">IFERROR(__xludf.DUMMYFUNCTION("""COMPUTED_VALUE"""),5100)</f>
        <v>5100</v>
      </c>
    </row>
    <row r="962" spans="1:9" ht="12.75">
      <c r="A962" t="str">
        <f ca="1">IFERROR(__xludf.DUMMYFUNCTION("""COMPUTED_VALUE"""),"Tocantinópolis")</f>
        <v>Tocantinópolis</v>
      </c>
      <c r="B962" t="str">
        <f ca="1">IFERROR(__xludf.DUMMYFUNCTION("""COMPUTED_VALUE"""),"darcinopolis")</f>
        <v>darcinopolis</v>
      </c>
      <c r="C962" s="60" t="str">
        <f ca="1">IFERROR(__xludf.DUMMYFUNCTION("""COMPUTED_VALUE"""),"A. APOIO COL. EST. JOSE DE SOUZA PORTO")</f>
        <v>A. APOIO COL. EST. JOSE DE SOUZA PORTO</v>
      </c>
      <c r="D962" s="2" t="str">
        <f ca="1">IFERROR(__xludf.DUMMYFUNCTION("""COMPUTED_VALUE"""),"01213532000170")</f>
        <v>01213532000170</v>
      </c>
      <c r="E962" s="2" t="str">
        <f ca="1">IFERROR(__xludf.DUMMYFUNCTION("""COMPUTED_VALUE"""),"001")</f>
        <v>001</v>
      </c>
      <c r="F962" s="2" t="str">
        <f ca="1">IFERROR(__xludf.DUMMYFUNCTION("""COMPUTED_VALUE"""),"0810")</f>
        <v>0810</v>
      </c>
      <c r="G962" s="224" t="str">
        <f ca="1">IFERROR(__xludf.DUMMYFUNCTION("""COMPUTED_VALUE"""),"25739")</f>
        <v>25739</v>
      </c>
      <c r="H962" s="60" t="str">
        <f ca="1">IFERROR(__xludf.DUMMYFUNCTION("""COMPUTED_VALUE"""),"AEE")</f>
        <v>AEE</v>
      </c>
      <c r="I962" s="7">
        <f ca="1">IFERROR(__xludf.DUMMYFUNCTION("""COMPUTED_VALUE"""),340)</f>
        <v>340</v>
      </c>
    </row>
    <row r="963" spans="1:9" ht="12.75">
      <c r="A963" t="str">
        <f ca="1">IFERROR(__xludf.DUMMYFUNCTION("""COMPUTED_VALUE"""),"Tocantinópolis")</f>
        <v>Tocantinópolis</v>
      </c>
      <c r="B963" t="str">
        <f ca="1">IFERROR(__xludf.DUMMYFUNCTION("""COMPUTED_VALUE"""),"darcinopolis")</f>
        <v>darcinopolis</v>
      </c>
      <c r="C963" s="60" t="str">
        <f ca="1">IFERROR(__xludf.DUMMYFUNCTION("""COMPUTED_VALUE"""),"A. APOIO COL. EST. JOSE DE SOUZA PORTO")</f>
        <v>A. APOIO COL. EST. JOSE DE SOUZA PORTO</v>
      </c>
      <c r="D963" s="2" t="str">
        <f ca="1">IFERROR(__xludf.DUMMYFUNCTION("""COMPUTED_VALUE"""),"01213532000170")</f>
        <v>01213532000170</v>
      </c>
      <c r="E963" s="2" t="str">
        <f ca="1">IFERROR(__xludf.DUMMYFUNCTION("""COMPUTED_VALUE"""),"001")</f>
        <v>001</v>
      </c>
      <c r="F963" s="2" t="str">
        <f ca="1">IFERROR(__xludf.DUMMYFUNCTION("""COMPUTED_VALUE"""),"0810")</f>
        <v>0810</v>
      </c>
      <c r="G963" s="224" t="str">
        <f ca="1">IFERROR(__xludf.DUMMYFUNCTION("""COMPUTED_VALUE"""),"25739")</f>
        <v>25739</v>
      </c>
      <c r="H963" s="60" t="str">
        <f ca="1">IFERROR(__xludf.DUMMYFUNCTION("""COMPUTED_VALUE"""),"ENSINO MEDIO PARCIAL")</f>
        <v>ENSINO MEDIO PARCIAL</v>
      </c>
      <c r="I963" s="7">
        <f ca="1">IFERROR(__xludf.DUMMYFUNCTION("""COMPUTED_VALUE"""),2520)</f>
        <v>2520</v>
      </c>
    </row>
    <row r="964" spans="1:9" ht="12.75">
      <c r="A964" t="str">
        <f ca="1">IFERROR(__xludf.DUMMYFUNCTION("""COMPUTED_VALUE"""),"Tocantinópolis")</f>
        <v>Tocantinópolis</v>
      </c>
      <c r="B964" t="str">
        <f ca="1">IFERROR(__xludf.DUMMYFUNCTION("""COMPUTED_VALUE"""),"Itaguatins")</f>
        <v>Itaguatins</v>
      </c>
      <c r="C964" s="60" t="str">
        <f ca="1">IFERROR(__xludf.DUMMYFUNCTION("""COMPUTED_VALUE"""),"ASS. DE APOIO ESC. EST. OLAVO BILAC")</f>
        <v>ASS. DE APOIO ESC. EST. OLAVO BILAC</v>
      </c>
      <c r="D964" s="2" t="str">
        <f ca="1">IFERROR(__xludf.DUMMYFUNCTION("""COMPUTED_VALUE"""),"01358337000138")</f>
        <v>01358337000138</v>
      </c>
      <c r="E964" s="2" t="str">
        <f ca="1">IFERROR(__xludf.DUMMYFUNCTION("""COMPUTED_VALUE"""),"001")</f>
        <v>001</v>
      </c>
      <c r="F964" s="2" t="str">
        <f ca="1">IFERROR(__xludf.DUMMYFUNCTION("""COMPUTED_VALUE"""),"0810")</f>
        <v>0810</v>
      </c>
      <c r="G964" s="224" t="str">
        <f ca="1">IFERROR(__xludf.DUMMYFUNCTION("""COMPUTED_VALUE"""),"218391")</f>
        <v>218391</v>
      </c>
      <c r="H964" s="60" t="str">
        <f ca="1">IFERROR(__xludf.DUMMYFUNCTION("""COMPUTED_VALUE"""),"ENS FUND PARCIAL")</f>
        <v>ENS FUND PARCIAL</v>
      </c>
      <c r="I964" s="7">
        <f ca="1">IFERROR(__xludf.DUMMYFUNCTION("""COMPUTED_VALUE"""),630)</f>
        <v>630</v>
      </c>
    </row>
    <row r="965" spans="1:9" ht="12.75">
      <c r="A965" t="str">
        <f ca="1">IFERROR(__xludf.DUMMYFUNCTION("""COMPUTED_VALUE"""),"Tocantinópolis")</f>
        <v>Tocantinópolis</v>
      </c>
      <c r="B965" t="str">
        <f ca="1">IFERROR(__xludf.DUMMYFUNCTION("""COMPUTED_VALUE"""),"Itaguatins")</f>
        <v>Itaguatins</v>
      </c>
      <c r="C965" s="60" t="str">
        <f ca="1">IFERROR(__xludf.DUMMYFUNCTION("""COMPUTED_VALUE"""),"ASS. DE APOIO ESC. EST. OLAVO BILAC")</f>
        <v>ASS. DE APOIO ESC. EST. OLAVO BILAC</v>
      </c>
      <c r="D965" s="2" t="str">
        <f ca="1">IFERROR(__xludf.DUMMYFUNCTION("""COMPUTED_VALUE"""),"01358337000138")</f>
        <v>01358337000138</v>
      </c>
      <c r="E965" s="2" t="str">
        <f ca="1">IFERROR(__xludf.DUMMYFUNCTION("""COMPUTED_VALUE"""),"001")</f>
        <v>001</v>
      </c>
      <c r="F965" s="2" t="str">
        <f ca="1">IFERROR(__xludf.DUMMYFUNCTION("""COMPUTED_VALUE"""),"0810")</f>
        <v>0810</v>
      </c>
      <c r="G965" s="224" t="str">
        <f ca="1">IFERROR(__xludf.DUMMYFUNCTION("""COMPUTED_VALUE"""),"218391")</f>
        <v>218391</v>
      </c>
      <c r="H965" s="60" t="str">
        <f ca="1">IFERROR(__xludf.DUMMYFUNCTION("""COMPUTED_VALUE"""),"ENSINO MEDIO PARCIAL")</f>
        <v>ENSINO MEDIO PARCIAL</v>
      </c>
      <c r="I965" s="7">
        <f ca="1">IFERROR(__xludf.DUMMYFUNCTION("""COMPUTED_VALUE"""),2120)</f>
        <v>2120</v>
      </c>
    </row>
    <row r="966" spans="1:9" ht="12.75">
      <c r="A966" t="str">
        <f ca="1">IFERROR(__xludf.DUMMYFUNCTION("""COMPUTED_VALUE"""),"Tocantinópolis")</f>
        <v>Tocantinópolis</v>
      </c>
      <c r="B966" t="str">
        <f ca="1">IFERROR(__xludf.DUMMYFUNCTION("""COMPUTED_VALUE"""),"Itaguatins")</f>
        <v>Itaguatins</v>
      </c>
      <c r="C966" s="60" t="str">
        <f ca="1">IFERROR(__xludf.DUMMYFUNCTION("""COMPUTED_VALUE"""),"ASS. DE APOIO ESC. EST. OLAVO BILAC")</f>
        <v>ASS. DE APOIO ESC. EST. OLAVO BILAC</v>
      </c>
      <c r="D966" s="2" t="str">
        <f ca="1">IFERROR(__xludf.DUMMYFUNCTION("""COMPUTED_VALUE"""),"01358337000138")</f>
        <v>01358337000138</v>
      </c>
      <c r="E966" s="2" t="str">
        <f ca="1">IFERROR(__xludf.DUMMYFUNCTION("""COMPUTED_VALUE"""),"001")</f>
        <v>001</v>
      </c>
      <c r="F966" s="2" t="str">
        <f ca="1">IFERROR(__xludf.DUMMYFUNCTION("""COMPUTED_VALUE"""),"0810")</f>
        <v>0810</v>
      </c>
      <c r="G966" s="224" t="str">
        <f ca="1">IFERROR(__xludf.DUMMYFUNCTION("""COMPUTED_VALUE"""),"218391")</f>
        <v>218391</v>
      </c>
      <c r="H966" s="60" t="str">
        <f ca="1">IFERROR(__xludf.DUMMYFUNCTION("""COMPUTED_VALUE"""),"EJA")</f>
        <v>EJA</v>
      </c>
      <c r="I966" s="7">
        <f ca="1">IFERROR(__xludf.DUMMYFUNCTION("""COMPUTED_VALUE"""),122.999999999999)</f>
        <v>122.99999999999901</v>
      </c>
    </row>
    <row r="967" spans="1:9" ht="12.75">
      <c r="A967" t="str">
        <f ca="1">IFERROR(__xludf.DUMMYFUNCTION("""COMPUTED_VALUE"""),"Tocantinópolis")</f>
        <v>Tocantinópolis</v>
      </c>
      <c r="B967" t="str">
        <f ca="1">IFERROR(__xludf.DUMMYFUNCTION("""COMPUTED_VALUE"""),"Luzinopolis")</f>
        <v>Luzinopolis</v>
      </c>
      <c r="C967" s="60" t="str">
        <f ca="1">IFERROR(__xludf.DUMMYFUNCTION("""COMPUTED_VALUE"""),"ASS. AP.A ESC. EST. JUSCELINO K.DE OLIVEIRA")</f>
        <v>ASS. AP.A ESC. EST. JUSCELINO K.DE OLIVEIRA</v>
      </c>
      <c r="D967" s="2" t="str">
        <f ca="1">IFERROR(__xludf.DUMMYFUNCTION("""COMPUTED_VALUE"""),"01230232000107")</f>
        <v>01230232000107</v>
      </c>
      <c r="E967" s="2" t="str">
        <f ca="1">IFERROR(__xludf.DUMMYFUNCTION("""COMPUTED_VALUE"""),"001")</f>
        <v>001</v>
      </c>
      <c r="F967" s="2" t="str">
        <f ca="1">IFERROR(__xludf.DUMMYFUNCTION("""COMPUTED_VALUE"""),"0810")</f>
        <v>0810</v>
      </c>
      <c r="G967" s="224" t="str">
        <f ca="1">IFERROR(__xludf.DUMMYFUNCTION("""COMPUTED_VALUE"""),"022135X")</f>
        <v>022135X</v>
      </c>
      <c r="H967" s="60" t="str">
        <f ca="1">IFERROR(__xludf.DUMMYFUNCTION("""COMPUTED_VALUE"""),"ENS FUND PARCIAL")</f>
        <v>ENS FUND PARCIAL</v>
      </c>
      <c r="I967" s="7">
        <f ca="1">IFERROR(__xludf.DUMMYFUNCTION("""COMPUTED_VALUE"""),2390)</f>
        <v>2390</v>
      </c>
    </row>
    <row r="968" spans="1:9" ht="12.75">
      <c r="A968" t="str">
        <f ca="1">IFERROR(__xludf.DUMMYFUNCTION("""COMPUTED_VALUE"""),"Tocantinópolis")</f>
        <v>Tocantinópolis</v>
      </c>
      <c r="B968" t="str">
        <f ca="1">IFERROR(__xludf.DUMMYFUNCTION("""COMPUTED_VALUE"""),"Luzinopolis")</f>
        <v>Luzinopolis</v>
      </c>
      <c r="C968" s="60" t="str">
        <f ca="1">IFERROR(__xludf.DUMMYFUNCTION("""COMPUTED_VALUE"""),"ASS. AP.A ESC. EST. JUSCELINO K.DE OLIVEIRA")</f>
        <v>ASS. AP.A ESC. EST. JUSCELINO K.DE OLIVEIRA</v>
      </c>
      <c r="D968" s="2" t="str">
        <f ca="1">IFERROR(__xludf.DUMMYFUNCTION("""COMPUTED_VALUE"""),"01230232000107")</f>
        <v>01230232000107</v>
      </c>
      <c r="E968" s="2" t="str">
        <f ca="1">IFERROR(__xludf.DUMMYFUNCTION("""COMPUTED_VALUE"""),"001")</f>
        <v>001</v>
      </c>
      <c r="F968" s="2" t="str">
        <f ca="1">IFERROR(__xludf.DUMMYFUNCTION("""COMPUTED_VALUE"""),"0810")</f>
        <v>0810</v>
      </c>
      <c r="G968" s="224" t="str">
        <f ca="1">IFERROR(__xludf.DUMMYFUNCTION("""COMPUTED_VALUE"""),"022135X")</f>
        <v>022135X</v>
      </c>
      <c r="H968" s="60" t="str">
        <f ca="1">IFERROR(__xludf.DUMMYFUNCTION("""COMPUTED_VALUE"""),"ENSINO MEDIO PARCIAL")</f>
        <v>ENSINO MEDIO PARCIAL</v>
      </c>
      <c r="I968" s="7">
        <f ca="1">IFERROR(__xludf.DUMMYFUNCTION("""COMPUTED_VALUE"""),1660)</f>
        <v>1660</v>
      </c>
    </row>
    <row r="969" spans="1:9" ht="12.75">
      <c r="A969" t="str">
        <f ca="1">IFERROR(__xludf.DUMMYFUNCTION("""COMPUTED_VALUE"""),"Tocantinópolis")</f>
        <v>Tocantinópolis</v>
      </c>
      <c r="B969" t="str">
        <f ca="1">IFERROR(__xludf.DUMMYFUNCTION("""COMPUTED_VALUE"""),"Maurilandia do Tocantins")</f>
        <v>Maurilandia do Tocantins</v>
      </c>
      <c r="C969" s="60" t="str">
        <f ca="1">IFERROR(__xludf.DUMMYFUNCTION("""COMPUTED_VALUE"""),"A.A.  DA ESC. EST.PEDRO LUDOVICO TEIXEIRA")</f>
        <v>A.A.  DA ESC. EST.PEDRO LUDOVICO TEIXEIRA</v>
      </c>
      <c r="D969" s="2" t="str">
        <f ca="1">IFERROR(__xludf.DUMMYFUNCTION("""COMPUTED_VALUE"""),"01213528000101")</f>
        <v>01213528000101</v>
      </c>
      <c r="E969" s="2" t="str">
        <f ca="1">IFERROR(__xludf.DUMMYFUNCTION("""COMPUTED_VALUE"""),"001")</f>
        <v>001</v>
      </c>
      <c r="F969" s="2" t="str">
        <f ca="1">IFERROR(__xludf.DUMMYFUNCTION("""COMPUTED_VALUE"""),"0810")</f>
        <v>0810</v>
      </c>
      <c r="G969" s="224" t="str">
        <f ca="1">IFERROR(__xludf.DUMMYFUNCTION("""COMPUTED_VALUE"""),"0217670")</f>
        <v>0217670</v>
      </c>
      <c r="H969" s="60" t="str">
        <f ca="1">IFERROR(__xludf.DUMMYFUNCTION("""COMPUTED_VALUE"""),"ENS FUND PARCIAL")</f>
        <v>ENS FUND PARCIAL</v>
      </c>
      <c r="I969" s="7">
        <f ca="1">IFERROR(__xludf.DUMMYFUNCTION("""COMPUTED_VALUE"""),570)</f>
        <v>570</v>
      </c>
    </row>
    <row r="970" spans="1:9" ht="12.75">
      <c r="A970" t="str">
        <f ca="1">IFERROR(__xludf.DUMMYFUNCTION("""COMPUTED_VALUE"""),"Tocantinópolis")</f>
        <v>Tocantinópolis</v>
      </c>
      <c r="B970" t="str">
        <f ca="1">IFERROR(__xludf.DUMMYFUNCTION("""COMPUTED_VALUE"""),"Maurilandia do Tocantins")</f>
        <v>Maurilandia do Tocantins</v>
      </c>
      <c r="C970" s="60" t="str">
        <f ca="1">IFERROR(__xludf.DUMMYFUNCTION("""COMPUTED_VALUE"""),"A.A.  DA ESC. EST.PEDRO LUDOVICO TEIXEIRA")</f>
        <v>A.A.  DA ESC. EST.PEDRO LUDOVICO TEIXEIRA</v>
      </c>
      <c r="D970" s="2" t="str">
        <f ca="1">IFERROR(__xludf.DUMMYFUNCTION("""COMPUTED_VALUE"""),"01213528000101")</f>
        <v>01213528000101</v>
      </c>
      <c r="E970" s="2" t="str">
        <f ca="1">IFERROR(__xludf.DUMMYFUNCTION("""COMPUTED_VALUE"""),"001")</f>
        <v>001</v>
      </c>
      <c r="F970" s="2" t="str">
        <f ca="1">IFERROR(__xludf.DUMMYFUNCTION("""COMPUTED_VALUE"""),"0810")</f>
        <v>0810</v>
      </c>
      <c r="G970" s="224" t="str">
        <f ca="1">IFERROR(__xludf.DUMMYFUNCTION("""COMPUTED_VALUE"""),"0217670")</f>
        <v>0217670</v>
      </c>
      <c r="H970" s="60" t="str">
        <f ca="1">IFERROR(__xludf.DUMMYFUNCTION("""COMPUTED_VALUE"""),"ENSINO MEDIO PARCIAL")</f>
        <v>ENSINO MEDIO PARCIAL</v>
      </c>
      <c r="I970" s="7">
        <f ca="1">IFERROR(__xludf.DUMMYFUNCTION("""COMPUTED_VALUE"""),1560)</f>
        <v>1560</v>
      </c>
    </row>
    <row r="971" spans="1:9" ht="12.75">
      <c r="A971" t="str">
        <f ca="1">IFERROR(__xludf.DUMMYFUNCTION("""COMPUTED_VALUE"""),"Tocantinópolis")</f>
        <v>Tocantinópolis</v>
      </c>
      <c r="B971" t="str">
        <f ca="1">IFERROR(__xludf.DUMMYFUNCTION("""COMPUTED_VALUE"""),"Nazare")</f>
        <v>Nazare</v>
      </c>
      <c r="C971" s="60" t="str">
        <f ca="1">IFERROR(__xludf.DUMMYFUNCTION("""COMPUTED_VALUE"""),"A.DO COLEGIO EST.PRES.CASTELO BRANCO")</f>
        <v>A.DO COLEGIO EST.PRES.CASTELO BRANCO</v>
      </c>
      <c r="D971" s="2" t="str">
        <f ca="1">IFERROR(__xludf.DUMMYFUNCTION("""COMPUTED_VALUE"""),"01213522000134")</f>
        <v>01213522000134</v>
      </c>
      <c r="E971" s="2" t="str">
        <f ca="1">IFERROR(__xludf.DUMMYFUNCTION("""COMPUTED_VALUE"""),"001")</f>
        <v>001</v>
      </c>
      <c r="F971" s="2" t="str">
        <f ca="1">IFERROR(__xludf.DUMMYFUNCTION("""COMPUTED_VALUE"""),"0810")</f>
        <v>0810</v>
      </c>
      <c r="G971" s="224" t="str">
        <f ca="1">IFERROR(__xludf.DUMMYFUNCTION("""COMPUTED_VALUE"""),"217859")</f>
        <v>217859</v>
      </c>
      <c r="H971" s="60" t="str">
        <f ca="1">IFERROR(__xludf.DUMMYFUNCTION("""COMPUTED_VALUE"""),"ENS FUND PARCIAL")</f>
        <v>ENS FUND PARCIAL</v>
      </c>
      <c r="I971" s="7">
        <f ca="1">IFERROR(__xludf.DUMMYFUNCTION("""COMPUTED_VALUE"""),2030)</f>
        <v>2030</v>
      </c>
    </row>
    <row r="972" spans="1:9" ht="12.75">
      <c r="A972" t="str">
        <f ca="1">IFERROR(__xludf.DUMMYFUNCTION("""COMPUTED_VALUE"""),"Tocantinópolis")</f>
        <v>Tocantinópolis</v>
      </c>
      <c r="B972" t="str">
        <f ca="1">IFERROR(__xludf.DUMMYFUNCTION("""COMPUTED_VALUE"""),"Nazare")</f>
        <v>Nazare</v>
      </c>
      <c r="C972" s="60" t="str">
        <f ca="1">IFERROR(__xludf.DUMMYFUNCTION("""COMPUTED_VALUE"""),"A.DO COLEGIO EST.PRES.CASTELO BRANCO")</f>
        <v>A.DO COLEGIO EST.PRES.CASTELO BRANCO</v>
      </c>
      <c r="D972" s="2" t="str">
        <f ca="1">IFERROR(__xludf.DUMMYFUNCTION("""COMPUTED_VALUE"""),"01213522000134")</f>
        <v>01213522000134</v>
      </c>
      <c r="E972" s="2" t="str">
        <f ca="1">IFERROR(__xludf.DUMMYFUNCTION("""COMPUTED_VALUE"""),"001")</f>
        <v>001</v>
      </c>
      <c r="F972" s="2" t="str">
        <f ca="1">IFERROR(__xludf.DUMMYFUNCTION("""COMPUTED_VALUE"""),"0810")</f>
        <v>0810</v>
      </c>
      <c r="G972" s="224" t="str">
        <f ca="1">IFERROR(__xludf.DUMMYFUNCTION("""COMPUTED_VALUE"""),"217859")</f>
        <v>217859</v>
      </c>
      <c r="H972" s="60" t="str">
        <f ca="1">IFERROR(__xludf.DUMMYFUNCTION("""COMPUTED_VALUE"""),"AEE")</f>
        <v>AEE</v>
      </c>
      <c r="I972" s="7">
        <f ca="1">IFERROR(__xludf.DUMMYFUNCTION("""COMPUTED_VALUE"""),299.2)</f>
        <v>299.2</v>
      </c>
    </row>
    <row r="973" spans="1:9" ht="12.75">
      <c r="A973" t="str">
        <f ca="1">IFERROR(__xludf.DUMMYFUNCTION("""COMPUTED_VALUE"""),"Tocantinópolis")</f>
        <v>Tocantinópolis</v>
      </c>
      <c r="B973" t="str">
        <f ca="1">IFERROR(__xludf.DUMMYFUNCTION("""COMPUTED_VALUE"""),"Nazare")</f>
        <v>Nazare</v>
      </c>
      <c r="C973" s="60" t="str">
        <f ca="1">IFERROR(__xludf.DUMMYFUNCTION("""COMPUTED_VALUE"""),"A.DO COLEGIO EST.PRES.CASTELO BRANCO")</f>
        <v>A.DO COLEGIO EST.PRES.CASTELO BRANCO</v>
      </c>
      <c r="D973" s="2" t="str">
        <f ca="1">IFERROR(__xludf.DUMMYFUNCTION("""COMPUTED_VALUE"""),"01213522000134")</f>
        <v>01213522000134</v>
      </c>
      <c r="E973" s="2" t="str">
        <f ca="1">IFERROR(__xludf.DUMMYFUNCTION("""COMPUTED_VALUE"""),"001")</f>
        <v>001</v>
      </c>
      <c r="F973" s="2" t="str">
        <f ca="1">IFERROR(__xludf.DUMMYFUNCTION("""COMPUTED_VALUE"""),"0810")</f>
        <v>0810</v>
      </c>
      <c r="G973" s="224" t="str">
        <f ca="1">IFERROR(__xludf.DUMMYFUNCTION("""COMPUTED_VALUE"""),"217859")</f>
        <v>217859</v>
      </c>
      <c r="H973" s="60" t="str">
        <f ca="1">IFERROR(__xludf.DUMMYFUNCTION("""COMPUTED_VALUE"""),"ENSINO MEDIO PARCIAL")</f>
        <v>ENSINO MEDIO PARCIAL</v>
      </c>
      <c r="I973" s="7">
        <f ca="1">IFERROR(__xludf.DUMMYFUNCTION("""COMPUTED_VALUE"""),900)</f>
        <v>900</v>
      </c>
    </row>
    <row r="974" spans="1:9" ht="12.75">
      <c r="A974" t="str">
        <f ca="1">IFERROR(__xludf.DUMMYFUNCTION("""COMPUTED_VALUE"""),"Tocantinópolis")</f>
        <v>Tocantinópolis</v>
      </c>
      <c r="B974" t="str">
        <f ca="1">IFERROR(__xludf.DUMMYFUNCTION("""COMPUTED_VALUE"""),"Nazare")</f>
        <v>Nazare</v>
      </c>
      <c r="C974" s="60" t="str">
        <f ca="1">IFERROR(__xludf.DUMMYFUNCTION("""COMPUTED_VALUE"""),"A.A. ESC. EST. DOM CORNELIO CHIZZINI")</f>
        <v>A.A. ESC. EST. DOM CORNELIO CHIZZINI</v>
      </c>
      <c r="D974" s="2" t="str">
        <f ca="1">IFERROR(__xludf.DUMMYFUNCTION("""COMPUTED_VALUE"""),"01230233000143")</f>
        <v>01230233000143</v>
      </c>
      <c r="E974" s="2" t="str">
        <f ca="1">IFERROR(__xludf.DUMMYFUNCTION("""COMPUTED_VALUE"""),"001")</f>
        <v>001</v>
      </c>
      <c r="F974" s="2" t="str">
        <f ca="1">IFERROR(__xludf.DUMMYFUNCTION("""COMPUTED_VALUE"""),"0810")</f>
        <v>0810</v>
      </c>
      <c r="G974" s="224" t="str">
        <f ca="1">IFERROR(__xludf.DUMMYFUNCTION("""COMPUTED_VALUE"""),"21776X")</f>
        <v>21776X</v>
      </c>
      <c r="H974" s="60" t="str">
        <f ca="1">IFERROR(__xludf.DUMMYFUNCTION("""COMPUTED_VALUE"""),"ENS FUND PARCIAL")</f>
        <v>ENS FUND PARCIAL</v>
      </c>
      <c r="I974" s="7">
        <f ca="1">IFERROR(__xludf.DUMMYFUNCTION("""COMPUTED_VALUE"""),640)</f>
        <v>640</v>
      </c>
    </row>
    <row r="975" spans="1:9" ht="12.75">
      <c r="A975" t="str">
        <f ca="1">IFERROR(__xludf.DUMMYFUNCTION("""COMPUTED_VALUE"""),"Tocantinópolis")</f>
        <v>Tocantinópolis</v>
      </c>
      <c r="B975" t="str">
        <f ca="1">IFERROR(__xludf.DUMMYFUNCTION("""COMPUTED_VALUE"""),"Nazare")</f>
        <v>Nazare</v>
      </c>
      <c r="C975" s="60" t="str">
        <f ca="1">IFERROR(__xludf.DUMMYFUNCTION("""COMPUTED_VALUE"""),"A.A. ESC. EST. DOM CORNELIO CHIZZINI")</f>
        <v>A.A. ESC. EST. DOM CORNELIO CHIZZINI</v>
      </c>
      <c r="D975" s="2" t="str">
        <f ca="1">IFERROR(__xludf.DUMMYFUNCTION("""COMPUTED_VALUE"""),"01230233000143")</f>
        <v>01230233000143</v>
      </c>
      <c r="E975" s="2" t="str">
        <f ca="1">IFERROR(__xludf.DUMMYFUNCTION("""COMPUTED_VALUE"""),"001")</f>
        <v>001</v>
      </c>
      <c r="F975" s="2" t="str">
        <f ca="1">IFERROR(__xludf.DUMMYFUNCTION("""COMPUTED_VALUE"""),"0810")</f>
        <v>0810</v>
      </c>
      <c r="G975" s="224" t="str">
        <f ca="1">IFERROR(__xludf.DUMMYFUNCTION("""COMPUTED_VALUE"""),"21776X")</f>
        <v>21776X</v>
      </c>
      <c r="H975" s="60" t="str">
        <f ca="1">IFERROR(__xludf.DUMMYFUNCTION("""COMPUTED_VALUE"""),"ENSINO MEDIO PARCIAL")</f>
        <v>ENSINO MEDIO PARCIAL</v>
      </c>
      <c r="I975" s="7">
        <f ca="1">IFERROR(__xludf.DUMMYFUNCTION("""COMPUTED_VALUE"""),470)</f>
        <v>470</v>
      </c>
    </row>
    <row r="976" spans="1:9" ht="12.75">
      <c r="A976" t="str">
        <f ca="1">IFERROR(__xludf.DUMMYFUNCTION("""COMPUTED_VALUE"""),"Tocantinópolis")</f>
        <v>Tocantinópolis</v>
      </c>
      <c r="B976" t="str">
        <f ca="1">IFERROR(__xludf.DUMMYFUNCTION("""COMPUTED_VALUE"""),"Nazare")</f>
        <v>Nazare</v>
      </c>
      <c r="C976" s="60" t="str">
        <f ca="1">IFERROR(__xludf.DUMMYFUNCTION("""COMPUTED_VALUE"""),"A.A.  DA ESCOLA ESTADUAL PIACAVA")</f>
        <v>A.A.  DA ESCOLA ESTADUAL PIACAVA</v>
      </c>
      <c r="D976" s="2" t="str">
        <f ca="1">IFERROR(__xludf.DUMMYFUNCTION("""COMPUTED_VALUE"""),"01230239000110")</f>
        <v>01230239000110</v>
      </c>
      <c r="E976" s="2" t="str">
        <f ca="1">IFERROR(__xludf.DUMMYFUNCTION("""COMPUTED_VALUE"""),"001")</f>
        <v>001</v>
      </c>
      <c r="F976" s="2" t="str">
        <f ca="1">IFERROR(__xludf.DUMMYFUNCTION("""COMPUTED_VALUE"""),"0810")</f>
        <v>0810</v>
      </c>
      <c r="G976" s="224" t="str">
        <f ca="1">IFERROR(__xludf.DUMMYFUNCTION("""COMPUTED_VALUE"""),"217883")</f>
        <v>217883</v>
      </c>
      <c r="H976" s="60" t="str">
        <f ca="1">IFERROR(__xludf.DUMMYFUNCTION("""COMPUTED_VALUE"""),"ENS FUND PARCIAL")</f>
        <v>ENS FUND PARCIAL</v>
      </c>
      <c r="I976" s="7">
        <f ca="1">IFERROR(__xludf.DUMMYFUNCTION("""COMPUTED_VALUE"""),470)</f>
        <v>470</v>
      </c>
    </row>
    <row r="977" spans="1:9" ht="12.75">
      <c r="A977" t="str">
        <f ca="1">IFERROR(__xludf.DUMMYFUNCTION("""COMPUTED_VALUE"""),"Tocantinópolis")</f>
        <v>Tocantinópolis</v>
      </c>
      <c r="B977" t="str">
        <f ca="1">IFERROR(__xludf.DUMMYFUNCTION("""COMPUTED_VALUE"""),"Nazare")</f>
        <v>Nazare</v>
      </c>
      <c r="C977" s="60" t="str">
        <f ca="1">IFERROR(__xludf.DUMMYFUNCTION("""COMPUTED_VALUE"""),"A.A.  DA ESCOLA ESTADUAL PIACAVA")</f>
        <v>A.A.  DA ESCOLA ESTADUAL PIACAVA</v>
      </c>
      <c r="D977" s="2" t="str">
        <f ca="1">IFERROR(__xludf.DUMMYFUNCTION("""COMPUTED_VALUE"""),"01230239000110")</f>
        <v>01230239000110</v>
      </c>
      <c r="E977" s="2" t="str">
        <f ca="1">IFERROR(__xludf.DUMMYFUNCTION("""COMPUTED_VALUE"""),"001")</f>
        <v>001</v>
      </c>
      <c r="F977" s="2" t="str">
        <f ca="1">IFERROR(__xludf.DUMMYFUNCTION("""COMPUTED_VALUE"""),"0810")</f>
        <v>0810</v>
      </c>
      <c r="G977" s="224" t="str">
        <f ca="1">IFERROR(__xludf.DUMMYFUNCTION("""COMPUTED_VALUE"""),"217883")</f>
        <v>217883</v>
      </c>
      <c r="H977" s="60" t="str">
        <f ca="1">IFERROR(__xludf.DUMMYFUNCTION("""COMPUTED_VALUE"""),"ENSINO MEDIO PARCIAL")</f>
        <v>ENSINO MEDIO PARCIAL</v>
      </c>
      <c r="I977" s="7">
        <f ca="1">IFERROR(__xludf.DUMMYFUNCTION("""COMPUTED_VALUE"""),290)</f>
        <v>290</v>
      </c>
    </row>
    <row r="978" spans="1:9" ht="12.75">
      <c r="A978" t="str">
        <f ca="1">IFERROR(__xludf.DUMMYFUNCTION("""COMPUTED_VALUE"""),"Tocantinópolis")</f>
        <v>Tocantinópolis</v>
      </c>
      <c r="B978" t="str">
        <f ca="1">IFERROR(__xludf.DUMMYFUNCTION("""COMPUTED_VALUE"""),"Nazare")</f>
        <v>Nazare</v>
      </c>
      <c r="C978" s="60" t="str">
        <f ca="1">IFERROR(__xludf.DUMMYFUNCTION("""COMPUTED_VALUE"""),"A.A.  DA ESCOLA ESTADUAL PIACAVA")</f>
        <v>A.A.  DA ESCOLA ESTADUAL PIACAVA</v>
      </c>
      <c r="D978" s="2" t="str">
        <f ca="1">IFERROR(__xludf.DUMMYFUNCTION("""COMPUTED_VALUE"""),"01230239000110")</f>
        <v>01230239000110</v>
      </c>
      <c r="E978" s="2" t="str">
        <f ca="1">IFERROR(__xludf.DUMMYFUNCTION("""COMPUTED_VALUE"""),"001")</f>
        <v>001</v>
      </c>
      <c r="F978" s="2" t="str">
        <f ca="1">IFERROR(__xludf.DUMMYFUNCTION("""COMPUTED_VALUE"""),"0810")</f>
        <v>0810</v>
      </c>
      <c r="G978" s="224" t="str">
        <f ca="1">IFERROR(__xludf.DUMMYFUNCTION("""COMPUTED_VALUE"""),"217883")</f>
        <v>217883</v>
      </c>
      <c r="H978" s="60" t="str">
        <f ca="1">IFERROR(__xludf.DUMMYFUNCTION("""COMPUTED_VALUE"""),"EJA")</f>
        <v>EJA</v>
      </c>
      <c r="I978" s="7">
        <f ca="1">IFERROR(__xludf.DUMMYFUNCTION("""COMPUTED_VALUE"""),196.799999999999)</f>
        <v>196.79999999999899</v>
      </c>
    </row>
    <row r="979" spans="1:9" ht="12.75">
      <c r="A979" t="str">
        <f ca="1">IFERROR(__xludf.DUMMYFUNCTION("""COMPUTED_VALUE"""),"Tocantinópolis")</f>
        <v>Tocantinópolis</v>
      </c>
      <c r="B979" t="str">
        <f ca="1">IFERROR(__xludf.DUMMYFUNCTION("""COMPUTED_VALUE"""),"Nazare")</f>
        <v>Nazare</v>
      </c>
      <c r="C979" s="60" t="str">
        <f ca="1">IFERROR(__xludf.DUMMYFUNCTION("""COMPUTED_VALUE"""),"ASSOC. DE APOIO A ESC. EST.ESPECIAL BEM VIVER")</f>
        <v>ASSOC. DE APOIO A ESC. EST.ESPECIAL BEM VIVER</v>
      </c>
      <c r="D979" s="2" t="str">
        <f ca="1">IFERROR(__xludf.DUMMYFUNCTION("""COMPUTED_VALUE"""),"10520927000106")</f>
        <v>10520927000106</v>
      </c>
      <c r="E979" s="2" t="str">
        <f ca="1">IFERROR(__xludf.DUMMYFUNCTION("""COMPUTED_VALUE"""),"001")</f>
        <v>001</v>
      </c>
      <c r="F979" s="2" t="str">
        <f ca="1">IFERROR(__xludf.DUMMYFUNCTION("""COMPUTED_VALUE"""),"0810")</f>
        <v>0810</v>
      </c>
      <c r="G979" s="224" t="str">
        <f ca="1">IFERROR(__xludf.DUMMYFUNCTION("""COMPUTED_VALUE"""),"200336")</f>
        <v>200336</v>
      </c>
      <c r="H979" s="60" t="str">
        <f ca="1">IFERROR(__xludf.DUMMYFUNCTION("""COMPUTED_VALUE"""),"PRÉ-ESCOLA")</f>
        <v>PRÉ-ESCOLA</v>
      </c>
      <c r="I979" s="7">
        <f ca="1">IFERROR(__xludf.DUMMYFUNCTION("""COMPUTED_VALUE"""),144)</f>
        <v>144</v>
      </c>
    </row>
    <row r="980" spans="1:9" ht="12.75">
      <c r="A980" t="str">
        <f ca="1">IFERROR(__xludf.DUMMYFUNCTION("""COMPUTED_VALUE"""),"Tocantinópolis")</f>
        <v>Tocantinópolis</v>
      </c>
      <c r="B980" t="str">
        <f ca="1">IFERROR(__xludf.DUMMYFUNCTION("""COMPUTED_VALUE"""),"Nazare")</f>
        <v>Nazare</v>
      </c>
      <c r="C980" s="60" t="str">
        <f ca="1">IFERROR(__xludf.DUMMYFUNCTION("""COMPUTED_VALUE"""),"ASSOC. DE APOIO A ESC. EST.ESPECIAL BEM VIVER")</f>
        <v>ASSOC. DE APOIO A ESC. EST.ESPECIAL BEM VIVER</v>
      </c>
      <c r="D980" s="2" t="str">
        <f ca="1">IFERROR(__xludf.DUMMYFUNCTION("""COMPUTED_VALUE"""),"10520927000106")</f>
        <v>10520927000106</v>
      </c>
      <c r="E980" s="2" t="str">
        <f ca="1">IFERROR(__xludf.DUMMYFUNCTION("""COMPUTED_VALUE"""),"001")</f>
        <v>001</v>
      </c>
      <c r="F980" s="2" t="str">
        <f ca="1">IFERROR(__xludf.DUMMYFUNCTION("""COMPUTED_VALUE"""),"0810")</f>
        <v>0810</v>
      </c>
      <c r="G980" s="224" t="str">
        <f ca="1">IFERROR(__xludf.DUMMYFUNCTION("""COMPUTED_VALUE"""),"200336")</f>
        <v>200336</v>
      </c>
      <c r="H980" s="60" t="str">
        <f ca="1">IFERROR(__xludf.DUMMYFUNCTION("""COMPUTED_VALUE"""),"ENS FUND PARCIAL")</f>
        <v>ENS FUND PARCIAL</v>
      </c>
      <c r="I980" s="7">
        <f ca="1">IFERROR(__xludf.DUMMYFUNCTION("""COMPUTED_VALUE"""),210)</f>
        <v>210</v>
      </c>
    </row>
    <row r="981" spans="1:9" ht="12.75">
      <c r="A981" t="str">
        <f ca="1">IFERROR(__xludf.DUMMYFUNCTION("""COMPUTED_VALUE"""),"Tocantinópolis")</f>
        <v>Tocantinópolis</v>
      </c>
      <c r="B981" t="str">
        <f ca="1">IFERROR(__xludf.DUMMYFUNCTION("""COMPUTED_VALUE"""),"Nazare")</f>
        <v>Nazare</v>
      </c>
      <c r="C981" s="60" t="str">
        <f ca="1">IFERROR(__xludf.DUMMYFUNCTION("""COMPUTED_VALUE"""),"ASSOC. DE APOIO A ESC. EST.ESPECIAL BEM VIVER")</f>
        <v>ASSOC. DE APOIO A ESC. EST.ESPECIAL BEM VIVER</v>
      </c>
      <c r="D981" s="2" t="str">
        <f ca="1">IFERROR(__xludf.DUMMYFUNCTION("""COMPUTED_VALUE"""),"10520927000106")</f>
        <v>10520927000106</v>
      </c>
      <c r="E981" s="2" t="str">
        <f ca="1">IFERROR(__xludf.DUMMYFUNCTION("""COMPUTED_VALUE"""),"001")</f>
        <v>001</v>
      </c>
      <c r="F981" s="2" t="str">
        <f ca="1">IFERROR(__xludf.DUMMYFUNCTION("""COMPUTED_VALUE"""),"0810")</f>
        <v>0810</v>
      </c>
      <c r="G981" s="224" t="str">
        <f ca="1">IFERROR(__xludf.DUMMYFUNCTION("""COMPUTED_VALUE"""),"200336")</f>
        <v>200336</v>
      </c>
      <c r="H981" s="60" t="str">
        <f ca="1">IFERROR(__xludf.DUMMYFUNCTION("""COMPUTED_VALUE"""),"EJA")</f>
        <v>EJA</v>
      </c>
      <c r="I981" s="7">
        <f ca="1">IFERROR(__xludf.DUMMYFUNCTION("""COMPUTED_VALUE"""),475.599999999999)</f>
        <v>475.599999999999</v>
      </c>
    </row>
    <row r="982" spans="1:9" ht="12.75">
      <c r="A982" t="str">
        <f ca="1">IFERROR(__xludf.DUMMYFUNCTION("""COMPUTED_VALUE"""),"Tocantinópolis")</f>
        <v>Tocantinópolis</v>
      </c>
      <c r="B982" t="str">
        <f ca="1">IFERROR(__xludf.DUMMYFUNCTION("""COMPUTED_VALUE"""),"Palmeiras do Tocantins")</f>
        <v>Palmeiras do Tocantins</v>
      </c>
      <c r="C982" s="60" t="str">
        <f ca="1">IFERROR(__xludf.DUMMYFUNCTION("""COMPUTED_VALUE"""),"A.A. ESC. EST. RAIMUNDO NEIVA DE CARVALHO")</f>
        <v>A.A. ESC. EST. RAIMUNDO NEIVA DE CARVALHO</v>
      </c>
      <c r="D982" s="2" t="str">
        <f ca="1">IFERROR(__xludf.DUMMYFUNCTION("""COMPUTED_VALUE"""),"01213533000114")</f>
        <v>01213533000114</v>
      </c>
      <c r="E982" s="2" t="str">
        <f ca="1">IFERROR(__xludf.DUMMYFUNCTION("""COMPUTED_VALUE"""),"001")</f>
        <v>001</v>
      </c>
      <c r="F982" s="2" t="str">
        <f ca="1">IFERROR(__xludf.DUMMYFUNCTION("""COMPUTED_VALUE"""),"0810")</f>
        <v>0810</v>
      </c>
      <c r="G982" s="224" t="str">
        <f ca="1">IFERROR(__xludf.DUMMYFUNCTION("""COMPUTED_VALUE"""),"0027529")</f>
        <v>0027529</v>
      </c>
      <c r="H982" s="60" t="str">
        <f ca="1">IFERROR(__xludf.DUMMYFUNCTION("""COMPUTED_VALUE"""),"ENS FUND PARCIAL")</f>
        <v>ENS FUND PARCIAL</v>
      </c>
      <c r="I982" s="7">
        <f ca="1">IFERROR(__xludf.DUMMYFUNCTION("""COMPUTED_VALUE"""),2140)</f>
        <v>2140</v>
      </c>
    </row>
    <row r="983" spans="1:9" ht="12.75">
      <c r="A983" t="str">
        <f ca="1">IFERROR(__xludf.DUMMYFUNCTION("""COMPUTED_VALUE"""),"Tocantinópolis")</f>
        <v>Tocantinópolis</v>
      </c>
      <c r="B983" t="str">
        <f ca="1">IFERROR(__xludf.DUMMYFUNCTION("""COMPUTED_VALUE"""),"Palmeiras do Tocantins")</f>
        <v>Palmeiras do Tocantins</v>
      </c>
      <c r="C983" s="60" t="str">
        <f ca="1">IFERROR(__xludf.DUMMYFUNCTION("""COMPUTED_VALUE"""),"A.A. ESC. EST. RAIMUNDO NEIVA DE CARVALHO")</f>
        <v>A.A. ESC. EST. RAIMUNDO NEIVA DE CARVALHO</v>
      </c>
      <c r="D983" s="2" t="str">
        <f ca="1">IFERROR(__xludf.DUMMYFUNCTION("""COMPUTED_VALUE"""),"01213533000114")</f>
        <v>01213533000114</v>
      </c>
      <c r="E983" s="2" t="str">
        <f ca="1">IFERROR(__xludf.DUMMYFUNCTION("""COMPUTED_VALUE"""),"001")</f>
        <v>001</v>
      </c>
      <c r="F983" s="2" t="str">
        <f ca="1">IFERROR(__xludf.DUMMYFUNCTION("""COMPUTED_VALUE"""),"0810")</f>
        <v>0810</v>
      </c>
      <c r="G983" s="224" t="str">
        <f ca="1">IFERROR(__xludf.DUMMYFUNCTION("""COMPUTED_VALUE"""),"0027529")</f>
        <v>0027529</v>
      </c>
      <c r="H983" s="60" t="str">
        <f ca="1">IFERROR(__xludf.DUMMYFUNCTION("""COMPUTED_VALUE"""),"AEE")</f>
        <v>AEE</v>
      </c>
      <c r="I983" s="7">
        <f ca="1">IFERROR(__xludf.DUMMYFUNCTION("""COMPUTED_VALUE"""),217.6)</f>
        <v>217.6</v>
      </c>
    </row>
    <row r="984" spans="1:9" ht="12.75">
      <c r="A984" t="str">
        <f ca="1">IFERROR(__xludf.DUMMYFUNCTION("""COMPUTED_VALUE"""),"Tocantinópolis")</f>
        <v>Tocantinópolis</v>
      </c>
      <c r="B984" t="str">
        <f ca="1">IFERROR(__xludf.DUMMYFUNCTION("""COMPUTED_VALUE"""),"Palmeiras do Tocantins")</f>
        <v>Palmeiras do Tocantins</v>
      </c>
      <c r="C984" s="60" t="str">
        <f ca="1">IFERROR(__xludf.DUMMYFUNCTION("""COMPUTED_VALUE"""),"A.A. ESC. EST. RAIMUNDO NEIVA DE CARVALHO")</f>
        <v>A.A. ESC. EST. RAIMUNDO NEIVA DE CARVALHO</v>
      </c>
      <c r="D984" s="2" t="str">
        <f ca="1">IFERROR(__xludf.DUMMYFUNCTION("""COMPUTED_VALUE"""),"01213533000114")</f>
        <v>01213533000114</v>
      </c>
      <c r="E984" s="2" t="str">
        <f ca="1">IFERROR(__xludf.DUMMYFUNCTION("""COMPUTED_VALUE"""),"001")</f>
        <v>001</v>
      </c>
      <c r="F984" s="2" t="str">
        <f ca="1">IFERROR(__xludf.DUMMYFUNCTION("""COMPUTED_VALUE"""),"0810")</f>
        <v>0810</v>
      </c>
      <c r="G984" s="224" t="str">
        <f ca="1">IFERROR(__xludf.DUMMYFUNCTION("""COMPUTED_VALUE"""),"0027529")</f>
        <v>0027529</v>
      </c>
      <c r="H984" s="60" t="str">
        <f ca="1">IFERROR(__xludf.DUMMYFUNCTION("""COMPUTED_VALUE"""),"ENSINO MEDIO PARCIAL")</f>
        <v>ENSINO MEDIO PARCIAL</v>
      </c>
      <c r="I984" s="7">
        <f ca="1">IFERROR(__xludf.DUMMYFUNCTION("""COMPUTED_VALUE"""),2590)</f>
        <v>2590</v>
      </c>
    </row>
    <row r="985" spans="1:9" ht="12.75">
      <c r="A985" t="str">
        <f ca="1">IFERROR(__xludf.DUMMYFUNCTION("""COMPUTED_VALUE"""),"Tocantinópolis")</f>
        <v>Tocantinópolis</v>
      </c>
      <c r="B985" t="str">
        <f ca="1">IFERROR(__xludf.DUMMYFUNCTION("""COMPUTED_VALUE"""),"Palmeiras do Tocantins")</f>
        <v>Palmeiras do Tocantins</v>
      </c>
      <c r="C985" s="60" t="str">
        <f ca="1">IFERROR(__xludf.DUMMYFUNCTION("""COMPUTED_VALUE"""),"A. DE APOIO DA E. E. PE. CESARE LELLI")</f>
        <v>A. DE APOIO DA E. E. PE. CESARE LELLI</v>
      </c>
      <c r="D985" s="2" t="str">
        <f ca="1">IFERROR(__xludf.DUMMYFUNCTION("""COMPUTED_VALUE"""),"03778873000118")</f>
        <v>03778873000118</v>
      </c>
      <c r="E985" s="2" t="str">
        <f ca="1">IFERROR(__xludf.DUMMYFUNCTION("""COMPUTED_VALUE"""),"001")</f>
        <v>001</v>
      </c>
      <c r="F985" s="2" t="str">
        <f ca="1">IFERROR(__xludf.DUMMYFUNCTION("""COMPUTED_VALUE"""),"0810")</f>
        <v>0810</v>
      </c>
      <c r="G985" s="224" t="str">
        <f ca="1">IFERROR(__xludf.DUMMYFUNCTION("""COMPUTED_VALUE"""),"82007")</f>
        <v>82007</v>
      </c>
      <c r="H985" s="60" t="str">
        <f ca="1">IFERROR(__xludf.DUMMYFUNCTION("""COMPUTED_VALUE"""),"ENS FUND PARCIAL")</f>
        <v>ENS FUND PARCIAL</v>
      </c>
      <c r="I985" s="7">
        <f ca="1">IFERROR(__xludf.DUMMYFUNCTION("""COMPUTED_VALUE"""),1950)</f>
        <v>1950</v>
      </c>
    </row>
    <row r="986" spans="1:9" ht="12.75">
      <c r="A986" t="str">
        <f ca="1">IFERROR(__xludf.DUMMYFUNCTION("""COMPUTED_VALUE"""),"Tocantinópolis")</f>
        <v>Tocantinópolis</v>
      </c>
      <c r="B986" t="str">
        <f ca="1">IFERROR(__xludf.DUMMYFUNCTION("""COMPUTED_VALUE"""),"Palmeiras do Tocantins")</f>
        <v>Palmeiras do Tocantins</v>
      </c>
      <c r="C986" s="60" t="str">
        <f ca="1">IFERROR(__xludf.DUMMYFUNCTION("""COMPUTED_VALUE"""),"A. DE APOIO DA E. E. PE. CESARE LELLI")</f>
        <v>A. DE APOIO DA E. E. PE. CESARE LELLI</v>
      </c>
      <c r="D986" s="2" t="str">
        <f ca="1">IFERROR(__xludf.DUMMYFUNCTION("""COMPUTED_VALUE"""),"03778873000118")</f>
        <v>03778873000118</v>
      </c>
      <c r="E986" s="2" t="str">
        <f ca="1">IFERROR(__xludf.DUMMYFUNCTION("""COMPUTED_VALUE"""),"001")</f>
        <v>001</v>
      </c>
      <c r="F986" s="2" t="str">
        <f ca="1">IFERROR(__xludf.DUMMYFUNCTION("""COMPUTED_VALUE"""),"0810")</f>
        <v>0810</v>
      </c>
      <c r="G986" s="224" t="str">
        <f ca="1">IFERROR(__xludf.DUMMYFUNCTION("""COMPUTED_VALUE"""),"82007")</f>
        <v>82007</v>
      </c>
      <c r="H986" s="60" t="str">
        <f ca="1">IFERROR(__xludf.DUMMYFUNCTION("""COMPUTED_VALUE"""),"AEE")</f>
        <v>AEE</v>
      </c>
      <c r="I986" s="7">
        <f ca="1">IFERROR(__xludf.DUMMYFUNCTION("""COMPUTED_VALUE"""),312.8)</f>
        <v>312.8</v>
      </c>
    </row>
    <row r="987" spans="1:9" ht="12.75">
      <c r="A987" t="str">
        <f ca="1">IFERROR(__xludf.DUMMYFUNCTION("""COMPUTED_VALUE"""),"Tocantinópolis")</f>
        <v>Tocantinópolis</v>
      </c>
      <c r="B987" t="str">
        <f ca="1">IFERROR(__xludf.DUMMYFUNCTION("""COMPUTED_VALUE"""),"Santa Terezinha do Tocantins")</f>
        <v>Santa Terezinha do Tocantins</v>
      </c>
      <c r="C987" s="60" t="str">
        <f ca="1">IFERROR(__xludf.DUMMYFUNCTION("""COMPUTED_VALUE"""),"ASS. A. ESC. EST. DR JOSE FELICIANO FERREIRA")</f>
        <v>ASS. A. ESC. EST. DR JOSE FELICIANO FERREIRA</v>
      </c>
      <c r="D987" s="2" t="str">
        <f ca="1">IFERROR(__xludf.DUMMYFUNCTION("""COMPUTED_VALUE"""),"01077441000154")</f>
        <v>01077441000154</v>
      </c>
      <c r="E987" s="2" t="str">
        <f ca="1">IFERROR(__xludf.DUMMYFUNCTION("""COMPUTED_VALUE"""),"001")</f>
        <v>001</v>
      </c>
      <c r="F987" s="2" t="str">
        <f ca="1">IFERROR(__xludf.DUMMYFUNCTION("""COMPUTED_VALUE"""),"0810")</f>
        <v>0810</v>
      </c>
      <c r="G987" s="224" t="str">
        <f ca="1">IFERROR(__xludf.DUMMYFUNCTION("""COMPUTED_VALUE"""),"0026085")</f>
        <v>0026085</v>
      </c>
      <c r="H987" s="60" t="str">
        <f ca="1">IFERROR(__xludf.DUMMYFUNCTION("""COMPUTED_VALUE"""),"ENS FUND PARCIAL")</f>
        <v>ENS FUND PARCIAL</v>
      </c>
      <c r="I987" s="7">
        <f ca="1">IFERROR(__xludf.DUMMYFUNCTION("""COMPUTED_VALUE"""),610)</f>
        <v>610</v>
      </c>
    </row>
    <row r="988" spans="1:9" ht="12.75">
      <c r="A988" t="str">
        <f ca="1">IFERROR(__xludf.DUMMYFUNCTION("""COMPUTED_VALUE"""),"Tocantinópolis")</f>
        <v>Tocantinópolis</v>
      </c>
      <c r="B988" t="str">
        <f ca="1">IFERROR(__xludf.DUMMYFUNCTION("""COMPUTED_VALUE"""),"Santa Terezinha do Tocantins")</f>
        <v>Santa Terezinha do Tocantins</v>
      </c>
      <c r="C988" s="60" t="str">
        <f ca="1">IFERROR(__xludf.DUMMYFUNCTION("""COMPUTED_VALUE"""),"ASS. A. ESC. EST. DR JOSE FELICIANO FERREIRA")</f>
        <v>ASS. A. ESC. EST. DR JOSE FELICIANO FERREIRA</v>
      </c>
      <c r="D988" s="2" t="str">
        <f ca="1">IFERROR(__xludf.DUMMYFUNCTION("""COMPUTED_VALUE"""),"01077441000154")</f>
        <v>01077441000154</v>
      </c>
      <c r="E988" s="2" t="str">
        <f ca="1">IFERROR(__xludf.DUMMYFUNCTION("""COMPUTED_VALUE"""),"001")</f>
        <v>001</v>
      </c>
      <c r="F988" s="2" t="str">
        <f ca="1">IFERROR(__xludf.DUMMYFUNCTION("""COMPUTED_VALUE"""),"0810")</f>
        <v>0810</v>
      </c>
      <c r="G988" s="224" t="str">
        <f ca="1">IFERROR(__xludf.DUMMYFUNCTION("""COMPUTED_VALUE"""),"0026085")</f>
        <v>0026085</v>
      </c>
      <c r="H988" s="60" t="str">
        <f ca="1">IFERROR(__xludf.DUMMYFUNCTION("""COMPUTED_VALUE"""),"ENSINO MEDIO PARCIAL")</f>
        <v>ENSINO MEDIO PARCIAL</v>
      </c>
      <c r="I988" s="7">
        <f ca="1">IFERROR(__xludf.DUMMYFUNCTION("""COMPUTED_VALUE"""),860)</f>
        <v>860</v>
      </c>
    </row>
    <row r="989" spans="1:9" ht="12.75">
      <c r="A989" t="str">
        <f ca="1">IFERROR(__xludf.DUMMYFUNCTION("""COMPUTED_VALUE"""),"Tocantinópolis")</f>
        <v>Tocantinópolis</v>
      </c>
      <c r="B989" t="str">
        <f ca="1">IFERROR(__xludf.DUMMYFUNCTION("""COMPUTED_VALUE"""),"Tocantinopolis")</f>
        <v>Tocantinopolis</v>
      </c>
      <c r="C989" s="60" t="str">
        <f ca="1">IFERROR(__xludf.DUMMYFUNCTION("""COMPUTED_VALUE"""),"A. ESCOLAR COM. PE. GIULIANO MORETTI")</f>
        <v>A. ESCOLAR COM. PE. GIULIANO MORETTI</v>
      </c>
      <c r="D989" s="2" t="str">
        <f ca="1">IFERROR(__xludf.DUMMYFUNCTION("""COMPUTED_VALUE"""),"00900202000190")</f>
        <v>00900202000190</v>
      </c>
      <c r="E989" s="2" t="str">
        <f ca="1">IFERROR(__xludf.DUMMYFUNCTION("""COMPUTED_VALUE"""),"001")</f>
        <v>001</v>
      </c>
      <c r="F989" s="2" t="str">
        <f ca="1">IFERROR(__xludf.DUMMYFUNCTION("""COMPUTED_VALUE"""),"0810")</f>
        <v>0810</v>
      </c>
      <c r="G989" s="224" t="str">
        <f ca="1">IFERROR(__xludf.DUMMYFUNCTION("""COMPUTED_VALUE"""),"217484")</f>
        <v>217484</v>
      </c>
      <c r="H989" s="60" t="str">
        <f ca="1">IFERROR(__xludf.DUMMYFUNCTION("""COMPUTED_VALUE"""),"ENS FUND PARCIAL")</f>
        <v>ENS FUND PARCIAL</v>
      </c>
      <c r="I989" s="7">
        <f ca="1">IFERROR(__xludf.DUMMYFUNCTION("""COMPUTED_VALUE"""),2700)</f>
        <v>2700</v>
      </c>
    </row>
    <row r="990" spans="1:9" ht="12.75">
      <c r="A990" t="str">
        <f ca="1">IFERROR(__xludf.DUMMYFUNCTION("""COMPUTED_VALUE"""),"Tocantinópolis")</f>
        <v>Tocantinópolis</v>
      </c>
      <c r="B990" t="str">
        <f ca="1">IFERROR(__xludf.DUMMYFUNCTION("""COMPUTED_VALUE"""),"Tocantinopolis")</f>
        <v>Tocantinopolis</v>
      </c>
      <c r="C990" s="60" t="str">
        <f ca="1">IFERROR(__xludf.DUMMYFUNCTION("""COMPUTED_VALUE"""),"A. ESCOLAR COM. PE. GIULIANO MORETTI")</f>
        <v>A. ESCOLAR COM. PE. GIULIANO MORETTI</v>
      </c>
      <c r="D990" s="2" t="str">
        <f ca="1">IFERROR(__xludf.DUMMYFUNCTION("""COMPUTED_VALUE"""),"00900202000190")</f>
        <v>00900202000190</v>
      </c>
      <c r="E990" s="2" t="str">
        <f ca="1">IFERROR(__xludf.DUMMYFUNCTION("""COMPUTED_VALUE"""),"001")</f>
        <v>001</v>
      </c>
      <c r="F990" s="2" t="str">
        <f ca="1">IFERROR(__xludf.DUMMYFUNCTION("""COMPUTED_VALUE"""),"0810")</f>
        <v>0810</v>
      </c>
      <c r="G990" s="224" t="str">
        <f ca="1">IFERROR(__xludf.DUMMYFUNCTION("""COMPUTED_VALUE"""),"217484")</f>
        <v>217484</v>
      </c>
      <c r="H990" s="60" t="str">
        <f ca="1">IFERROR(__xludf.DUMMYFUNCTION("""COMPUTED_VALUE"""),"AEE")</f>
        <v>AEE</v>
      </c>
      <c r="I990" s="7">
        <f ca="1">IFERROR(__xludf.DUMMYFUNCTION("""COMPUTED_VALUE"""),816)</f>
        <v>816</v>
      </c>
    </row>
    <row r="991" spans="1:9" ht="12.75">
      <c r="A991" t="str">
        <f ca="1">IFERROR(__xludf.DUMMYFUNCTION("""COMPUTED_VALUE"""),"Tocantinópolis")</f>
        <v>Tocantinópolis</v>
      </c>
      <c r="B991" t="str">
        <f ca="1">IFERROR(__xludf.DUMMYFUNCTION("""COMPUTED_VALUE"""),"Tocantinopolis")</f>
        <v>Tocantinopolis</v>
      </c>
      <c r="C991" s="60" t="str">
        <f ca="1">IFERROR(__xludf.DUMMYFUNCTION("""COMPUTED_VALUE"""),"A. ESCOLAR COM. PE. GIULIANO MORETTI")</f>
        <v>A. ESCOLAR COM. PE. GIULIANO MORETTI</v>
      </c>
      <c r="D991" s="2" t="str">
        <f ca="1">IFERROR(__xludf.DUMMYFUNCTION("""COMPUTED_VALUE"""),"00900202000190")</f>
        <v>00900202000190</v>
      </c>
      <c r="E991" s="2" t="str">
        <f ca="1">IFERROR(__xludf.DUMMYFUNCTION("""COMPUTED_VALUE"""),"001")</f>
        <v>001</v>
      </c>
      <c r="F991" s="2" t="str">
        <f ca="1">IFERROR(__xludf.DUMMYFUNCTION("""COMPUTED_VALUE"""),"0810")</f>
        <v>0810</v>
      </c>
      <c r="G991" s="224" t="str">
        <f ca="1">IFERROR(__xludf.DUMMYFUNCTION("""COMPUTED_VALUE"""),"217484")</f>
        <v>217484</v>
      </c>
      <c r="H991" s="60" t="str">
        <f ca="1">IFERROR(__xludf.DUMMYFUNCTION("""COMPUTED_VALUE"""),"EJA")</f>
        <v>EJA</v>
      </c>
      <c r="I991" s="7">
        <f ca="1">IFERROR(__xludf.DUMMYFUNCTION("""COMPUTED_VALUE"""),475.599999999999)</f>
        <v>475.599999999999</v>
      </c>
    </row>
    <row r="992" spans="1:9" ht="12.75">
      <c r="A992" t="str">
        <f ca="1">IFERROR(__xludf.DUMMYFUNCTION("""COMPUTED_VALUE"""),"Tocantinópolis")</f>
        <v>Tocantinópolis</v>
      </c>
      <c r="B992" t="str">
        <f ca="1">IFERROR(__xludf.DUMMYFUNCTION("""COMPUTED_VALUE"""),"Tocantinopolis")</f>
        <v>Tocantinopolis</v>
      </c>
      <c r="C992" s="60" t="str">
        <f ca="1">IFERROR(__xludf.DUMMYFUNCTION("""COMPUTED_VALUE"""),"A. PAIS DA ESC. EST. XV DE NOVEMBRO")</f>
        <v>A. PAIS DA ESC. EST. XV DE NOVEMBRO</v>
      </c>
      <c r="D992" s="2" t="str">
        <f ca="1">IFERROR(__xludf.DUMMYFUNCTION("""COMPUTED_VALUE"""),"01213520000145")</f>
        <v>01213520000145</v>
      </c>
      <c r="E992" s="2" t="str">
        <f ca="1">IFERROR(__xludf.DUMMYFUNCTION("""COMPUTED_VALUE"""),"001")</f>
        <v>001</v>
      </c>
      <c r="F992" s="2" t="str">
        <f ca="1">IFERROR(__xludf.DUMMYFUNCTION("""COMPUTED_VALUE"""),"0810")</f>
        <v>0810</v>
      </c>
      <c r="G992" s="224" t="str">
        <f ca="1">IFERROR(__xludf.DUMMYFUNCTION("""COMPUTED_VALUE"""),"58238")</f>
        <v>58238</v>
      </c>
      <c r="H992" s="60" t="str">
        <f ca="1">IFERROR(__xludf.DUMMYFUNCTION("""COMPUTED_VALUE"""),"ENS FUND INTEGRAL")</f>
        <v>ENS FUND INTEGRAL</v>
      </c>
      <c r="I992" s="7">
        <f ca="1">IFERROR(__xludf.DUMMYFUNCTION("""COMPUTED_VALUE"""),4438.8)</f>
        <v>4438.8</v>
      </c>
    </row>
    <row r="993" spans="1:9" ht="12.75">
      <c r="A993" t="str">
        <f ca="1">IFERROR(__xludf.DUMMYFUNCTION("""COMPUTED_VALUE"""),"Tocantinópolis")</f>
        <v>Tocantinópolis</v>
      </c>
      <c r="B993" t="str">
        <f ca="1">IFERROR(__xludf.DUMMYFUNCTION("""COMPUTED_VALUE"""),"Tocantinopolis")</f>
        <v>Tocantinopolis</v>
      </c>
      <c r="C993" s="60" t="str">
        <f ca="1">IFERROR(__xludf.DUMMYFUNCTION("""COMPUTED_VALUE"""),"A. PAIS DA ESC. EST. XV DE NOVEMBRO")</f>
        <v>A. PAIS DA ESC. EST. XV DE NOVEMBRO</v>
      </c>
      <c r="D993" s="2" t="str">
        <f ca="1">IFERROR(__xludf.DUMMYFUNCTION("""COMPUTED_VALUE"""),"01213520000145")</f>
        <v>01213520000145</v>
      </c>
      <c r="E993" s="2" t="str">
        <f ca="1">IFERROR(__xludf.DUMMYFUNCTION("""COMPUTED_VALUE"""),"001")</f>
        <v>001</v>
      </c>
      <c r="F993" s="2" t="str">
        <f ca="1">IFERROR(__xludf.DUMMYFUNCTION("""COMPUTED_VALUE"""),"0810")</f>
        <v>0810</v>
      </c>
      <c r="G993" s="224" t="str">
        <f ca="1">IFERROR(__xludf.DUMMYFUNCTION("""COMPUTED_VALUE"""),"58238")</f>
        <v>58238</v>
      </c>
      <c r="H993" s="60" t="str">
        <f ca="1">IFERROR(__xludf.DUMMYFUNCTION("""COMPUTED_VALUE"""),"AEE")</f>
        <v>AEE</v>
      </c>
      <c r="I993" s="7">
        <f ca="1">IFERROR(__xludf.DUMMYFUNCTION("""COMPUTED_VALUE"""),258.4)</f>
        <v>258.39999999999998</v>
      </c>
    </row>
    <row r="994" spans="1:9" ht="12.75">
      <c r="A994" t="str">
        <f ca="1">IFERROR(__xludf.DUMMYFUNCTION("""COMPUTED_VALUE"""),"Tocantinópolis")</f>
        <v>Tocantinópolis</v>
      </c>
      <c r="B994" t="str">
        <f ca="1">IFERROR(__xludf.DUMMYFUNCTION("""COMPUTED_VALUE"""),"Tocantinopolis")</f>
        <v>Tocantinopolis</v>
      </c>
      <c r="C994" s="60" t="str">
        <f ca="1">IFERROR(__xludf.DUMMYFUNCTION("""COMPUTED_VALUE"""),"A.A. ESC. E. E.PROF.ALDENORA A.CORREIA")</f>
        <v>A.A. ESC. E. E.PROF.ALDENORA A.CORREIA</v>
      </c>
      <c r="D994" s="2" t="str">
        <f ca="1">IFERROR(__xludf.DUMMYFUNCTION("""COMPUTED_VALUE"""),"01213527000167")</f>
        <v>01213527000167</v>
      </c>
      <c r="E994" s="2" t="str">
        <f ca="1">IFERROR(__xludf.DUMMYFUNCTION("""COMPUTED_VALUE"""),"001")</f>
        <v>001</v>
      </c>
      <c r="F994" s="2" t="str">
        <f ca="1">IFERROR(__xludf.DUMMYFUNCTION("""COMPUTED_VALUE"""),"0810")</f>
        <v>0810</v>
      </c>
      <c r="G994" s="224" t="str">
        <f ca="1">IFERROR(__xludf.DUMMYFUNCTION("""COMPUTED_VALUE"""),"58319")</f>
        <v>58319</v>
      </c>
      <c r="H994" s="60" t="str">
        <f ca="1">IFERROR(__xludf.DUMMYFUNCTION("""COMPUTED_VALUE"""),"ENS FUND INTEGRAL")</f>
        <v>ENS FUND INTEGRAL</v>
      </c>
      <c r="I994" s="7">
        <f ca="1">IFERROR(__xludf.DUMMYFUNCTION("""COMPUTED_VALUE"""),3151)</f>
        <v>3151</v>
      </c>
    </row>
    <row r="995" spans="1:9" ht="12.75">
      <c r="A995" t="str">
        <f ca="1">IFERROR(__xludf.DUMMYFUNCTION("""COMPUTED_VALUE"""),"Tocantinópolis")</f>
        <v>Tocantinópolis</v>
      </c>
      <c r="B995" t="str">
        <f ca="1">IFERROR(__xludf.DUMMYFUNCTION("""COMPUTED_VALUE"""),"Tocantinopolis")</f>
        <v>Tocantinopolis</v>
      </c>
      <c r="C995" s="60" t="str">
        <f ca="1">IFERROR(__xludf.DUMMYFUNCTION("""COMPUTED_VALUE"""),"A.A. ESC. E. E.PROF.ALDENORA A.CORREIA")</f>
        <v>A.A. ESC. E. E.PROF.ALDENORA A.CORREIA</v>
      </c>
      <c r="D995" s="2" t="str">
        <f ca="1">IFERROR(__xludf.DUMMYFUNCTION("""COMPUTED_VALUE"""),"01213527000167")</f>
        <v>01213527000167</v>
      </c>
      <c r="E995" s="2" t="str">
        <f ca="1">IFERROR(__xludf.DUMMYFUNCTION("""COMPUTED_VALUE"""),"001")</f>
        <v>001</v>
      </c>
      <c r="F995" s="2" t="str">
        <f ca="1">IFERROR(__xludf.DUMMYFUNCTION("""COMPUTED_VALUE"""),"0810")</f>
        <v>0810</v>
      </c>
      <c r="G995" s="224" t="str">
        <f ca="1">IFERROR(__xludf.DUMMYFUNCTION("""COMPUTED_VALUE"""),"58319")</f>
        <v>58319</v>
      </c>
      <c r="H995" s="60" t="str">
        <f ca="1">IFERROR(__xludf.DUMMYFUNCTION("""COMPUTED_VALUE"""),"AEE")</f>
        <v>AEE</v>
      </c>
      <c r="I995" s="7">
        <f ca="1">IFERROR(__xludf.DUMMYFUNCTION("""COMPUTED_VALUE"""),108.8)</f>
        <v>108.8</v>
      </c>
    </row>
    <row r="996" spans="1:9" ht="12.75">
      <c r="A996" t="str">
        <f ca="1">IFERROR(__xludf.DUMMYFUNCTION("""COMPUTED_VALUE"""),"Tocantinópolis")</f>
        <v>Tocantinópolis</v>
      </c>
      <c r="B996" t="str">
        <f ca="1">IFERROR(__xludf.DUMMYFUNCTION("""COMPUTED_VALUE"""),"Tocantinopolis")</f>
        <v>Tocantinopolis</v>
      </c>
      <c r="C996" s="60" t="str">
        <f ca="1">IFERROR(__xludf.DUMMYFUNCTION("""COMPUTED_VALUE"""),"ASSOC.PAIS E MESTRES COL. EST. DEP.DARCY MARINHO")</f>
        <v>ASSOC.PAIS E MESTRES COL. EST. DEP.DARCY MARINHO</v>
      </c>
      <c r="D996" s="2" t="str">
        <f ca="1">IFERROR(__xludf.DUMMYFUNCTION("""COMPUTED_VALUE"""),"01230236000187")</f>
        <v>01230236000187</v>
      </c>
      <c r="E996" s="2" t="str">
        <f ca="1">IFERROR(__xludf.DUMMYFUNCTION("""COMPUTED_VALUE"""),"001")</f>
        <v>001</v>
      </c>
      <c r="F996" s="2" t="str">
        <f ca="1">IFERROR(__xludf.DUMMYFUNCTION("""COMPUTED_VALUE"""),"0810")</f>
        <v>0810</v>
      </c>
      <c r="G996" s="224" t="str">
        <f ca="1">IFERROR(__xludf.DUMMYFUNCTION("""COMPUTED_VALUE"""),"297410")</f>
        <v>297410</v>
      </c>
      <c r="H996" s="60" t="str">
        <f ca="1">IFERROR(__xludf.DUMMYFUNCTION("""COMPUTED_VALUE"""),"AEE")</f>
        <v>AEE</v>
      </c>
      <c r="I996" s="7">
        <f ca="1">IFERROR(__xludf.DUMMYFUNCTION("""COMPUTED_VALUE"""),326.4)</f>
        <v>326.39999999999998</v>
      </c>
    </row>
    <row r="997" spans="1:9" ht="12.75">
      <c r="A997" t="str">
        <f ca="1">IFERROR(__xludf.DUMMYFUNCTION("""COMPUTED_VALUE"""),"Tocantinópolis")</f>
        <v>Tocantinópolis</v>
      </c>
      <c r="B997" t="str">
        <f ca="1">IFERROR(__xludf.DUMMYFUNCTION("""COMPUTED_VALUE"""),"Tocantinopolis")</f>
        <v>Tocantinopolis</v>
      </c>
      <c r="C997" s="60" t="str">
        <f ca="1">IFERROR(__xludf.DUMMYFUNCTION("""COMPUTED_VALUE"""),"ASSOC.PAIS E MESTRES COL. EST. DEP.DARCY MARINHO")</f>
        <v>ASSOC.PAIS E MESTRES COL. EST. DEP.DARCY MARINHO</v>
      </c>
      <c r="D997" s="2" t="str">
        <f ca="1">IFERROR(__xludf.DUMMYFUNCTION("""COMPUTED_VALUE"""),"01230236000187")</f>
        <v>01230236000187</v>
      </c>
      <c r="E997" s="2" t="str">
        <f ca="1">IFERROR(__xludf.DUMMYFUNCTION("""COMPUTED_VALUE"""),"001")</f>
        <v>001</v>
      </c>
      <c r="F997" s="2" t="str">
        <f ca="1">IFERROR(__xludf.DUMMYFUNCTION("""COMPUTED_VALUE"""),"0810")</f>
        <v>0810</v>
      </c>
      <c r="G997" s="224" t="str">
        <f ca="1">IFERROR(__xludf.DUMMYFUNCTION("""COMPUTED_VALUE"""),"297410")</f>
        <v>297410</v>
      </c>
      <c r="H997" s="60" t="str">
        <f ca="1">IFERROR(__xludf.DUMMYFUNCTION("""COMPUTED_VALUE"""),"JOVEM AÇÃO")</f>
        <v>JOVEM AÇÃO</v>
      </c>
      <c r="I997" s="7">
        <f ca="1">IFERROR(__xludf.DUMMYFUNCTION("""COMPUTED_VALUE"""),9113.6)</f>
        <v>9113.6</v>
      </c>
    </row>
    <row r="998" spans="1:9" ht="12.75">
      <c r="A998" t="str">
        <f ca="1">IFERROR(__xludf.DUMMYFUNCTION("""COMPUTED_VALUE"""),"Tocantinópolis")</f>
        <v>Tocantinópolis</v>
      </c>
      <c r="B998" t="str">
        <f ca="1">IFERROR(__xludf.DUMMYFUNCTION("""COMPUTED_VALUE"""),"Tocantinopolis")</f>
        <v>Tocantinopolis</v>
      </c>
      <c r="C998" s="60" t="str">
        <f ca="1">IFERROR(__xludf.DUMMYFUNCTION("""COMPUTED_VALUE"""),"A. DA ESCOLA PAROQUIAL CRISTO REI")</f>
        <v>A. DA ESCOLA PAROQUIAL CRISTO REI</v>
      </c>
      <c r="D998" s="2" t="str">
        <f ca="1">IFERROR(__xludf.DUMMYFUNCTION("""COMPUTED_VALUE"""),"02026329000157")</f>
        <v>02026329000157</v>
      </c>
      <c r="E998" s="2" t="str">
        <f ca="1">IFERROR(__xludf.DUMMYFUNCTION("""COMPUTED_VALUE"""),"001")</f>
        <v>001</v>
      </c>
      <c r="F998" s="2" t="str">
        <f ca="1">IFERROR(__xludf.DUMMYFUNCTION("""COMPUTED_VALUE"""),"0810")</f>
        <v>0810</v>
      </c>
      <c r="G998" s="224" t="str">
        <f ca="1">IFERROR(__xludf.DUMMYFUNCTION("""COMPUTED_VALUE"""),"58149")</f>
        <v>58149</v>
      </c>
      <c r="H998" s="60" t="str">
        <f ca="1">IFERROR(__xludf.DUMMYFUNCTION("""COMPUTED_VALUE"""),"ENS FUND PARCIAL")</f>
        <v>ENS FUND PARCIAL</v>
      </c>
      <c r="I998" s="7">
        <f ca="1">IFERROR(__xludf.DUMMYFUNCTION("""COMPUTED_VALUE"""),4510)</f>
        <v>4510</v>
      </c>
    </row>
    <row r="999" spans="1:9" ht="12.75">
      <c r="A999" t="str">
        <f ca="1">IFERROR(__xludf.DUMMYFUNCTION("""COMPUTED_VALUE"""),"Tocantinópolis")</f>
        <v>Tocantinópolis</v>
      </c>
      <c r="B999" t="str">
        <f ca="1">IFERROR(__xludf.DUMMYFUNCTION("""COMPUTED_VALUE"""),"Tocantinopolis")</f>
        <v>Tocantinopolis</v>
      </c>
      <c r="C999" s="60" t="str">
        <f ca="1">IFERROR(__xludf.DUMMYFUNCTION("""COMPUTED_VALUE"""),"A. DA ESCOLA PAROQUIAL CRISTO REI")</f>
        <v>A. DA ESCOLA PAROQUIAL CRISTO REI</v>
      </c>
      <c r="D999" s="2" t="str">
        <f ca="1">IFERROR(__xludf.DUMMYFUNCTION("""COMPUTED_VALUE"""),"02026329000157")</f>
        <v>02026329000157</v>
      </c>
      <c r="E999" s="2" t="str">
        <f ca="1">IFERROR(__xludf.DUMMYFUNCTION("""COMPUTED_VALUE"""),"001")</f>
        <v>001</v>
      </c>
      <c r="F999" s="2" t="str">
        <f ca="1">IFERROR(__xludf.DUMMYFUNCTION("""COMPUTED_VALUE"""),"0810")</f>
        <v>0810</v>
      </c>
      <c r="G999" s="224" t="str">
        <f ca="1">IFERROR(__xludf.DUMMYFUNCTION("""COMPUTED_VALUE"""),"58149")</f>
        <v>58149</v>
      </c>
      <c r="H999" s="60" t="str">
        <f ca="1">IFERROR(__xludf.DUMMYFUNCTION("""COMPUTED_VALUE"""),"AEE")</f>
        <v>AEE</v>
      </c>
      <c r="I999" s="7">
        <f ca="1">IFERROR(__xludf.DUMMYFUNCTION("""COMPUTED_VALUE"""),462.4)</f>
        <v>462.4</v>
      </c>
    </row>
    <row r="1000" spans="1:9" ht="12.75">
      <c r="A1000" t="str">
        <f ca="1">IFERROR(__xludf.DUMMYFUNCTION("""COMPUTED_VALUE"""),"Tocantinópolis")</f>
        <v>Tocantinópolis</v>
      </c>
      <c r="B1000" t="str">
        <f ca="1">IFERROR(__xludf.DUMMYFUNCTION("""COMPUTED_VALUE"""),"Tocantinopolis")</f>
        <v>Tocantinopolis</v>
      </c>
      <c r="C1000" s="60" t="str">
        <f ca="1">IFERROR(__xludf.DUMMYFUNCTION("""COMPUTED_VALUE"""),"A. DA ESCOLA PAROQUIAL CRISTO REI")</f>
        <v>A. DA ESCOLA PAROQUIAL CRISTO REI</v>
      </c>
      <c r="D1000" s="2" t="str">
        <f ca="1">IFERROR(__xludf.DUMMYFUNCTION("""COMPUTED_VALUE"""),"02026329000157")</f>
        <v>02026329000157</v>
      </c>
      <c r="E1000" s="2" t="str">
        <f ca="1">IFERROR(__xludf.DUMMYFUNCTION("""COMPUTED_VALUE"""),"001")</f>
        <v>001</v>
      </c>
      <c r="F1000" s="2" t="str">
        <f ca="1">IFERROR(__xludf.DUMMYFUNCTION("""COMPUTED_VALUE"""),"0810")</f>
        <v>0810</v>
      </c>
      <c r="G1000" s="224" t="str">
        <f ca="1">IFERROR(__xludf.DUMMYFUNCTION("""COMPUTED_VALUE"""),"58149")</f>
        <v>58149</v>
      </c>
      <c r="H1000" s="60" t="str">
        <f ca="1">IFERROR(__xludf.DUMMYFUNCTION("""COMPUTED_VALUE"""),"ENSINO MEDIO PARCIAL")</f>
        <v>ENSINO MEDIO PARCIAL</v>
      </c>
      <c r="I1000" s="7">
        <f ca="1">IFERROR(__xludf.DUMMYFUNCTION("""COMPUTED_VALUE"""),650)</f>
        <v>650</v>
      </c>
    </row>
    <row r="1001" spans="1:9" ht="12.75">
      <c r="A1001" t="str">
        <f ca="1">IFERROR(__xludf.DUMMYFUNCTION("""COMPUTED_VALUE"""),"Tocantinópolis")</f>
        <v>Tocantinópolis</v>
      </c>
      <c r="B1001" t="str">
        <f ca="1">IFERROR(__xludf.DUMMYFUNCTION("""COMPUTED_VALUE"""),"Tocantinopolis")</f>
        <v>Tocantinopolis</v>
      </c>
      <c r="C1001" s="60" t="str">
        <f ca="1">IFERROR(__xludf.DUMMYFUNCTION("""COMPUTED_VALUE"""),"A.A. AS ESC. EST.INDIGENAS MATYK E APORO")</f>
        <v>A.A. AS ESC. EST.INDIGENAS MATYK E APORO</v>
      </c>
      <c r="D1001" s="2" t="str">
        <f ca="1">IFERROR(__xludf.DUMMYFUNCTION("""COMPUTED_VALUE"""),"03544096000147")</f>
        <v>03544096000147</v>
      </c>
      <c r="E1001" s="2" t="str">
        <f ca="1">IFERROR(__xludf.DUMMYFUNCTION("""COMPUTED_VALUE"""),"001")</f>
        <v>001</v>
      </c>
      <c r="F1001" s="2" t="str">
        <f ca="1">IFERROR(__xludf.DUMMYFUNCTION("""COMPUTED_VALUE"""),"0810")</f>
        <v>0810</v>
      </c>
      <c r="G1001" s="224" t="str">
        <f ca="1">IFERROR(__xludf.DUMMYFUNCTION("""COMPUTED_VALUE"""),"67423")</f>
        <v>67423</v>
      </c>
      <c r="H1001" s="60" t="str">
        <f ca="1">IFERROR(__xludf.DUMMYFUNCTION("""COMPUTED_VALUE"""),"INDIGENA")</f>
        <v>INDIGENA</v>
      </c>
      <c r="I1001" s="7">
        <f ca="1">IFERROR(__xludf.DUMMYFUNCTION("""COMPUTED_VALUE"""),11730.4)</f>
        <v>11730.4</v>
      </c>
    </row>
    <row r="1002" spans="1:9" ht="12.75">
      <c r="A1002" t="str">
        <f ca="1">IFERROR(__xludf.DUMMYFUNCTION("""COMPUTED_VALUE"""),"Tocantinópolis")</f>
        <v>Tocantinópolis</v>
      </c>
      <c r="B1002" t="str">
        <f ca="1">IFERROR(__xludf.DUMMYFUNCTION("""COMPUTED_VALUE"""),"Tocantinopolis")</f>
        <v>Tocantinopolis</v>
      </c>
      <c r="C1002" s="60" t="str">
        <f ca="1">IFERROR(__xludf.DUMMYFUNCTION("""COMPUTED_VALUE"""),"A.A. DO COL.PADRAO/JOSÉ CARNEIRO DE BRITO")</f>
        <v>A.A. DO COL.PADRAO/JOSÉ CARNEIRO DE BRITO</v>
      </c>
      <c r="D1002" s="2" t="str">
        <f ca="1">IFERROR(__xludf.DUMMYFUNCTION("""COMPUTED_VALUE"""),"03880040000163")</f>
        <v>03880040000163</v>
      </c>
      <c r="E1002" s="2" t="str">
        <f ca="1">IFERROR(__xludf.DUMMYFUNCTION("""COMPUTED_VALUE"""),"001")</f>
        <v>001</v>
      </c>
      <c r="F1002" s="2" t="str">
        <f ca="1">IFERROR(__xludf.DUMMYFUNCTION("""COMPUTED_VALUE"""),"0810")</f>
        <v>0810</v>
      </c>
      <c r="G1002" s="224" t="str">
        <f ca="1">IFERROR(__xludf.DUMMYFUNCTION("""COMPUTED_VALUE"""),"81884")</f>
        <v>81884</v>
      </c>
      <c r="H1002" s="60" t="str">
        <f ca="1">IFERROR(__xludf.DUMMYFUNCTION("""COMPUTED_VALUE"""),"ENS FUND PARCIAL")</f>
        <v>ENS FUND PARCIAL</v>
      </c>
      <c r="I1002" s="7">
        <f ca="1">IFERROR(__xludf.DUMMYFUNCTION("""COMPUTED_VALUE"""),1750)</f>
        <v>1750</v>
      </c>
    </row>
    <row r="1003" spans="1:9" ht="12.75">
      <c r="A1003" t="str">
        <f ca="1">IFERROR(__xludf.DUMMYFUNCTION("""COMPUTED_VALUE"""),"Tocantinópolis")</f>
        <v>Tocantinópolis</v>
      </c>
      <c r="B1003" t="str">
        <f ca="1">IFERROR(__xludf.DUMMYFUNCTION("""COMPUTED_VALUE"""),"Tocantinopolis")</f>
        <v>Tocantinopolis</v>
      </c>
      <c r="C1003" s="60" t="str">
        <f ca="1">IFERROR(__xludf.DUMMYFUNCTION("""COMPUTED_VALUE"""),"A.A. DO COL.PADRAO/JOSÉ CARNEIRO DE BRITO")</f>
        <v>A.A. DO COL.PADRAO/JOSÉ CARNEIRO DE BRITO</v>
      </c>
      <c r="D1003" s="2" t="str">
        <f ca="1">IFERROR(__xludf.DUMMYFUNCTION("""COMPUTED_VALUE"""),"03880040000163")</f>
        <v>03880040000163</v>
      </c>
      <c r="E1003" s="2" t="str">
        <f ca="1">IFERROR(__xludf.DUMMYFUNCTION("""COMPUTED_VALUE"""),"001")</f>
        <v>001</v>
      </c>
      <c r="F1003" s="2" t="str">
        <f ca="1">IFERROR(__xludf.DUMMYFUNCTION("""COMPUTED_VALUE"""),"0810")</f>
        <v>0810</v>
      </c>
      <c r="G1003" s="224" t="str">
        <f ca="1">IFERROR(__xludf.DUMMYFUNCTION("""COMPUTED_VALUE"""),"81884")</f>
        <v>81884</v>
      </c>
      <c r="H1003" s="60" t="str">
        <f ca="1">IFERROR(__xludf.DUMMYFUNCTION("""COMPUTED_VALUE"""),"AEE")</f>
        <v>AEE</v>
      </c>
      <c r="I1003" s="7">
        <f ca="1">IFERROR(__xludf.DUMMYFUNCTION("""COMPUTED_VALUE"""),272)</f>
        <v>272</v>
      </c>
    </row>
    <row r="1004" spans="1:9" ht="12.75">
      <c r="A1004" t="str">
        <f ca="1">IFERROR(__xludf.DUMMYFUNCTION("""COMPUTED_VALUE"""),"Tocantinópolis")</f>
        <v>Tocantinópolis</v>
      </c>
      <c r="B1004" t="str">
        <f ca="1">IFERROR(__xludf.DUMMYFUNCTION("""COMPUTED_VALUE"""),"Tocantinopolis")</f>
        <v>Tocantinopolis</v>
      </c>
      <c r="C1004" s="60" t="str">
        <f ca="1">IFERROR(__xludf.DUMMYFUNCTION("""COMPUTED_VALUE"""),"A.A. DO COL.PADRAO/JOSÉ CARNEIRO DE BRITO")</f>
        <v>A.A. DO COL.PADRAO/JOSÉ CARNEIRO DE BRITO</v>
      </c>
      <c r="D1004" s="2" t="str">
        <f ca="1">IFERROR(__xludf.DUMMYFUNCTION("""COMPUTED_VALUE"""),"03880040000163")</f>
        <v>03880040000163</v>
      </c>
      <c r="E1004" s="2" t="str">
        <f ca="1">IFERROR(__xludf.DUMMYFUNCTION("""COMPUTED_VALUE"""),"001")</f>
        <v>001</v>
      </c>
      <c r="F1004" s="2" t="str">
        <f ca="1">IFERROR(__xludf.DUMMYFUNCTION("""COMPUTED_VALUE"""),"0810")</f>
        <v>0810</v>
      </c>
      <c r="G1004" s="224" t="str">
        <f ca="1">IFERROR(__xludf.DUMMYFUNCTION("""COMPUTED_VALUE"""),"81884")</f>
        <v>81884</v>
      </c>
      <c r="H1004" s="60" t="str">
        <f ca="1">IFERROR(__xludf.DUMMYFUNCTION("""COMPUTED_VALUE"""),"ENSINO MEDIO PARCIAL")</f>
        <v>ENSINO MEDIO PARCIAL</v>
      </c>
      <c r="I1004" s="7">
        <f ca="1">IFERROR(__xludf.DUMMYFUNCTION("""COMPUTED_VALUE"""),2460)</f>
        <v>2460</v>
      </c>
    </row>
    <row r="1005" spans="1:9" ht="12.75">
      <c r="A1005" t="str">
        <f ca="1">IFERROR(__xludf.DUMMYFUNCTION("""COMPUTED_VALUE"""),"Tocantinópolis")</f>
        <v>Tocantinópolis</v>
      </c>
      <c r="B1005" t="str">
        <f ca="1">IFERROR(__xludf.DUMMYFUNCTION("""COMPUTED_VALUE"""),"Tocantinopolis")</f>
        <v>Tocantinopolis</v>
      </c>
      <c r="C1005" s="60" t="str">
        <f ca="1">IFERROR(__xludf.DUMMYFUNCTION("""COMPUTED_VALUE"""),"A.A. DO COL.PADRAO/JOSÉ CARNEIRO DE BRITO")</f>
        <v>A.A. DO COL.PADRAO/JOSÉ CARNEIRO DE BRITO</v>
      </c>
      <c r="D1005" s="2" t="str">
        <f ca="1">IFERROR(__xludf.DUMMYFUNCTION("""COMPUTED_VALUE"""),"03880040000163")</f>
        <v>03880040000163</v>
      </c>
      <c r="E1005" s="2" t="str">
        <f ca="1">IFERROR(__xludf.DUMMYFUNCTION("""COMPUTED_VALUE"""),"001")</f>
        <v>001</v>
      </c>
      <c r="F1005" s="2" t="str">
        <f ca="1">IFERROR(__xludf.DUMMYFUNCTION("""COMPUTED_VALUE"""),"0810")</f>
        <v>0810</v>
      </c>
      <c r="G1005" s="224" t="str">
        <f ca="1">IFERROR(__xludf.DUMMYFUNCTION("""COMPUTED_VALUE"""),"81884")</f>
        <v>81884</v>
      </c>
      <c r="H1005" s="60" t="str">
        <f ca="1">IFERROR(__xludf.DUMMYFUNCTION("""COMPUTED_VALUE"""),"EJA")</f>
        <v>EJA</v>
      </c>
      <c r="I1005" s="7">
        <f ca="1">IFERROR(__xludf.DUMMYFUNCTION("""COMPUTED_VALUE"""),500.199999999999)</f>
        <v>500.19999999999902</v>
      </c>
    </row>
    <row r="1006" spans="1:9" ht="12.75">
      <c r="A1006" t="str">
        <f ca="1">IFERROR(__xludf.DUMMYFUNCTION("""COMPUTED_VALUE"""),"Tocantinópolis")</f>
        <v>Tocantinópolis</v>
      </c>
      <c r="B1006" t="str">
        <f ca="1">IFERROR(__xludf.DUMMYFUNCTION("""COMPUTED_VALUE"""),"Tocantinopolis")</f>
        <v>Tocantinopolis</v>
      </c>
      <c r="C1006" s="60" t="str">
        <f ca="1">IFERROR(__xludf.DUMMYFUNCTION("""COMPUTED_VALUE"""),"A.A ESC. EST.INDIGENAS NRE TOCANTINOPOLIS")</f>
        <v>A.A ESC. EST.INDIGENAS NRE TOCANTINOPOLIS</v>
      </c>
      <c r="D1006" s="2" t="str">
        <f ca="1">IFERROR(__xludf.DUMMYFUNCTION("""COMPUTED_VALUE"""),"06171083000168")</f>
        <v>06171083000168</v>
      </c>
      <c r="E1006" s="2" t="str">
        <f ca="1">IFERROR(__xludf.DUMMYFUNCTION("""COMPUTED_VALUE"""),"001")</f>
        <v>001</v>
      </c>
      <c r="F1006" s="2" t="str">
        <f ca="1">IFERROR(__xludf.DUMMYFUNCTION("""COMPUTED_VALUE"""),"0810")</f>
        <v>0810</v>
      </c>
      <c r="G1006" s="224" t="str">
        <f ca="1">IFERROR(__xludf.DUMMYFUNCTION("""COMPUTED_VALUE"""),"140538")</f>
        <v>140538</v>
      </c>
      <c r="H1006" s="60" t="str">
        <f ca="1">IFERROR(__xludf.DUMMYFUNCTION("""COMPUTED_VALUE"""),"INDIGENA")</f>
        <v>INDIGENA</v>
      </c>
      <c r="I1006" s="7">
        <f ca="1">IFERROR(__xludf.DUMMYFUNCTION("""COMPUTED_VALUE"""),9683.6)</f>
        <v>9683.6</v>
      </c>
    </row>
    <row r="1007" spans="1:9" ht="12.75">
      <c r="A1007" t="str">
        <f ca="1">IFERROR(__xludf.DUMMYFUNCTION("""COMPUTED_VALUE"""),"Tocantinópolis")</f>
        <v>Tocantinópolis</v>
      </c>
      <c r="B1007" t="str">
        <f ca="1">IFERROR(__xludf.DUMMYFUNCTION("""COMPUTED_VALUE"""),"Tocantinopolis")</f>
        <v>Tocantinopolis</v>
      </c>
      <c r="C1007" s="60" t="str">
        <f ca="1">IFERROR(__xludf.DUMMYFUNCTION("""COMPUTED_VALUE"""),"ASSOCIAÇÃO DE APOIO A ESCOLA ESPECIAL UM PASSO DIFERENTE -APAE")</f>
        <v>ASSOCIAÇÃO DE APOIO A ESCOLA ESPECIAL UM PASSO DIFERENTE -APAE</v>
      </c>
      <c r="D1007" s="2" t="str">
        <f ca="1">IFERROR(__xludf.DUMMYFUNCTION("""COMPUTED_VALUE"""),"08012610000117")</f>
        <v>08012610000117</v>
      </c>
      <c r="E1007" s="2" t="str">
        <f ca="1">IFERROR(__xludf.DUMMYFUNCTION("""COMPUTED_VALUE"""),"001")</f>
        <v>001</v>
      </c>
      <c r="F1007" s="2" t="str">
        <f ca="1">IFERROR(__xludf.DUMMYFUNCTION("""COMPUTED_VALUE"""),"0810")</f>
        <v>0810</v>
      </c>
      <c r="G1007" s="224" t="str">
        <f ca="1">IFERROR(__xludf.DUMMYFUNCTION("""COMPUTED_VALUE"""),"204250")</f>
        <v>204250</v>
      </c>
      <c r="H1007" s="60" t="str">
        <f ca="1">IFERROR(__xludf.DUMMYFUNCTION("""COMPUTED_VALUE"""),"PRÉ-ESCOLA")</f>
        <v>PRÉ-ESCOLA</v>
      </c>
      <c r="I1007" s="7">
        <f ca="1">IFERROR(__xludf.DUMMYFUNCTION("""COMPUTED_VALUE"""),43.2)</f>
        <v>43.2</v>
      </c>
    </row>
    <row r="1008" spans="1:9" ht="12.75">
      <c r="A1008" t="str">
        <f ca="1">IFERROR(__xludf.DUMMYFUNCTION("""COMPUTED_VALUE"""),"Tocantinópolis")</f>
        <v>Tocantinópolis</v>
      </c>
      <c r="B1008" t="str">
        <f ca="1">IFERROR(__xludf.DUMMYFUNCTION("""COMPUTED_VALUE"""),"Tocantinopolis")</f>
        <v>Tocantinopolis</v>
      </c>
      <c r="C1008" s="60" t="str">
        <f ca="1">IFERROR(__xludf.DUMMYFUNCTION("""COMPUTED_VALUE"""),"ASSOCIAÇÃO DE APOIO A ESCOLA ESPECIAL UM PASSO DIFERENTE -APAE")</f>
        <v>ASSOCIAÇÃO DE APOIO A ESCOLA ESPECIAL UM PASSO DIFERENTE -APAE</v>
      </c>
      <c r="D1008" s="2" t="str">
        <f ca="1">IFERROR(__xludf.DUMMYFUNCTION("""COMPUTED_VALUE"""),"08012610000117")</f>
        <v>08012610000117</v>
      </c>
      <c r="E1008" s="2" t="str">
        <f ca="1">IFERROR(__xludf.DUMMYFUNCTION("""COMPUTED_VALUE"""),"001")</f>
        <v>001</v>
      </c>
      <c r="F1008" s="2" t="str">
        <f ca="1">IFERROR(__xludf.DUMMYFUNCTION("""COMPUTED_VALUE"""),"0810")</f>
        <v>0810</v>
      </c>
      <c r="G1008" s="224" t="str">
        <f ca="1">IFERROR(__xludf.DUMMYFUNCTION("""COMPUTED_VALUE"""),"204250")</f>
        <v>204250</v>
      </c>
      <c r="H1008" s="60" t="str">
        <f ca="1">IFERROR(__xludf.DUMMYFUNCTION("""COMPUTED_VALUE"""),"ENS FUND PARCIAL")</f>
        <v>ENS FUND PARCIAL</v>
      </c>
      <c r="I1008" s="7">
        <f ca="1">IFERROR(__xludf.DUMMYFUNCTION("""COMPUTED_VALUE"""),80)</f>
        <v>80</v>
      </c>
    </row>
    <row r="1009" spans="1:9" ht="12.75">
      <c r="A1009" t="str">
        <f ca="1">IFERROR(__xludf.DUMMYFUNCTION("""COMPUTED_VALUE"""),"Tocantinópolis")</f>
        <v>Tocantinópolis</v>
      </c>
      <c r="B1009" t="str">
        <f ca="1">IFERROR(__xludf.DUMMYFUNCTION("""COMPUTED_VALUE"""),"Tocantinopolis")</f>
        <v>Tocantinopolis</v>
      </c>
      <c r="C1009" s="60" t="str">
        <f ca="1">IFERROR(__xludf.DUMMYFUNCTION("""COMPUTED_VALUE"""),"ASSOCIAÇÃO DE APOIO A ESCOLA ESPECIAL UM PASSO DIFERENTE -APAE")</f>
        <v>ASSOCIAÇÃO DE APOIO A ESCOLA ESPECIAL UM PASSO DIFERENTE -APAE</v>
      </c>
      <c r="D1009" s="2" t="str">
        <f ca="1">IFERROR(__xludf.DUMMYFUNCTION("""COMPUTED_VALUE"""),"08012610000117")</f>
        <v>08012610000117</v>
      </c>
      <c r="E1009" s="2" t="str">
        <f ca="1">IFERROR(__xludf.DUMMYFUNCTION("""COMPUTED_VALUE"""),"001")</f>
        <v>001</v>
      </c>
      <c r="F1009" s="2" t="str">
        <f ca="1">IFERROR(__xludf.DUMMYFUNCTION("""COMPUTED_VALUE"""),"0810")</f>
        <v>0810</v>
      </c>
      <c r="G1009" s="224" t="str">
        <f ca="1">IFERROR(__xludf.DUMMYFUNCTION("""COMPUTED_VALUE"""),"204250")</f>
        <v>204250</v>
      </c>
      <c r="H1009" s="60" t="str">
        <f ca="1">IFERROR(__xludf.DUMMYFUNCTION("""COMPUTED_VALUE"""),"EJA")</f>
        <v>EJA</v>
      </c>
      <c r="I1009" s="7">
        <f ca="1">IFERROR(__xludf.DUMMYFUNCTION("""COMPUTED_VALUE"""),696.999999999999)</f>
        <v>696.99999999999898</v>
      </c>
    </row>
    <row r="1010" spans="1:9" ht="12.75">
      <c r="A1010" t="str">
        <f ca="1">IFERROR(__xludf.DUMMYFUNCTION("""COMPUTED_VALUE"""),"Tocantinópolis")</f>
        <v>Tocantinópolis</v>
      </c>
      <c r="B1010" t="str">
        <f ca="1">IFERROR(__xludf.DUMMYFUNCTION("""COMPUTED_VALUE"""),"Tocantinopolis")</f>
        <v>Tocantinopolis</v>
      </c>
      <c r="C1010" t="str">
        <f ca="1">IFERROR(__xludf.DUMMYFUNCTION("""COMPUTED_VALUE"""),"ASSOC. APOIO AO COLÉGIODOM ORIONE")</f>
        <v>ASSOC. APOIO AO COLÉGIODOM ORIONE</v>
      </c>
      <c r="D1010" s="2" t="str">
        <f ca="1">IFERROR(__xludf.DUMMYFUNCTION("""COMPUTED_VALUE"""),"13033002000129")</f>
        <v>13033002000129</v>
      </c>
      <c r="E1010" s="2" t="str">
        <f ca="1">IFERROR(__xludf.DUMMYFUNCTION("""COMPUTED_VALUE"""),"001")</f>
        <v>001</v>
      </c>
      <c r="F1010" s="2" t="str">
        <f ca="1">IFERROR(__xludf.DUMMYFUNCTION("""COMPUTED_VALUE"""),"0810")</f>
        <v>0810</v>
      </c>
      <c r="G1010" s="224" t="str">
        <f ca="1">IFERROR(__xludf.DUMMYFUNCTION("""COMPUTED_VALUE"""),"254193")</f>
        <v>254193</v>
      </c>
      <c r="H1010" t="str">
        <f ca="1">IFERROR(__xludf.DUMMYFUNCTION("""COMPUTED_VALUE"""),"ENS FUND PARCIAL")</f>
        <v>ENS FUND PARCIAL</v>
      </c>
      <c r="I1010" s="7">
        <f ca="1">IFERROR(__xludf.DUMMYFUNCTION("""COMPUTED_VALUE"""),1850)</f>
        <v>1850</v>
      </c>
    </row>
    <row r="1011" spans="1:9" ht="12.75">
      <c r="A1011" t="str">
        <f ca="1">IFERROR(__xludf.DUMMYFUNCTION("""COMPUTED_VALUE"""),"Tocantinópolis")</f>
        <v>Tocantinópolis</v>
      </c>
      <c r="B1011" t="str">
        <f ca="1">IFERROR(__xludf.DUMMYFUNCTION("""COMPUTED_VALUE"""),"Tocantinopolis")</f>
        <v>Tocantinopolis</v>
      </c>
      <c r="C1011" t="str">
        <f ca="1">IFERROR(__xludf.DUMMYFUNCTION("""COMPUTED_VALUE"""),"ASSOC. APOIO AO COLÉGIODOM ORIONE")</f>
        <v>ASSOC. APOIO AO COLÉGIODOM ORIONE</v>
      </c>
      <c r="D1011" s="2" t="str">
        <f ca="1">IFERROR(__xludf.DUMMYFUNCTION("""COMPUTED_VALUE"""),"13033002000129")</f>
        <v>13033002000129</v>
      </c>
      <c r="E1011" s="2" t="str">
        <f ca="1">IFERROR(__xludf.DUMMYFUNCTION("""COMPUTED_VALUE"""),"001")</f>
        <v>001</v>
      </c>
      <c r="F1011" s="2" t="str">
        <f ca="1">IFERROR(__xludf.DUMMYFUNCTION("""COMPUTED_VALUE"""),"0810")</f>
        <v>0810</v>
      </c>
      <c r="G1011" s="224" t="str">
        <f ca="1">IFERROR(__xludf.DUMMYFUNCTION("""COMPUTED_VALUE"""),"254193")</f>
        <v>254193</v>
      </c>
      <c r="H1011" t="str">
        <f ca="1">IFERROR(__xludf.DUMMYFUNCTION("""COMPUTED_VALUE"""),"AEE")</f>
        <v>AEE</v>
      </c>
      <c r="I1011" s="7">
        <f ca="1">IFERROR(__xludf.DUMMYFUNCTION("""COMPUTED_VALUE"""),367.2)</f>
        <v>367.2</v>
      </c>
    </row>
    <row r="1012" spans="1:9" ht="12.75">
      <c r="A1012" t="str">
        <f ca="1">IFERROR(__xludf.DUMMYFUNCTION("""COMPUTED_VALUE"""),"Tocantinópolis")</f>
        <v>Tocantinópolis</v>
      </c>
      <c r="B1012" t="str">
        <f ca="1">IFERROR(__xludf.DUMMYFUNCTION("""COMPUTED_VALUE"""),"Tocantinopolis")</f>
        <v>Tocantinopolis</v>
      </c>
      <c r="C1012" t="str">
        <f ca="1">IFERROR(__xludf.DUMMYFUNCTION("""COMPUTED_VALUE"""),"ASSOC. APOIO AO COLÉGIODOM ORIONE")</f>
        <v>ASSOC. APOIO AO COLÉGIODOM ORIONE</v>
      </c>
      <c r="D1012" s="2" t="str">
        <f ca="1">IFERROR(__xludf.DUMMYFUNCTION("""COMPUTED_VALUE"""),"13033002000129")</f>
        <v>13033002000129</v>
      </c>
      <c r="E1012" s="2" t="str">
        <f ca="1">IFERROR(__xludf.DUMMYFUNCTION("""COMPUTED_VALUE"""),"001")</f>
        <v>001</v>
      </c>
      <c r="F1012" s="2" t="str">
        <f ca="1">IFERROR(__xludf.DUMMYFUNCTION("""COMPUTED_VALUE"""),"0810")</f>
        <v>0810</v>
      </c>
      <c r="G1012" s="224" t="str">
        <f ca="1">IFERROR(__xludf.DUMMYFUNCTION("""COMPUTED_VALUE"""),"254193")</f>
        <v>254193</v>
      </c>
      <c r="H1012" t="str">
        <f ca="1">IFERROR(__xludf.DUMMYFUNCTION("""COMPUTED_VALUE"""),"ENSINO MEDIO PARCIAL")</f>
        <v>ENSINO MEDIO PARCIAL</v>
      </c>
      <c r="I1012" s="7">
        <f ca="1">IFERROR(__xludf.DUMMYFUNCTION("""COMPUTED_VALUE"""),3770)</f>
        <v>3770</v>
      </c>
    </row>
    <row r="1013" spans="1:9" ht="12.75">
      <c r="D1013" s="2"/>
      <c r="E1013" s="2"/>
      <c r="F1013" s="2"/>
      <c r="G1013" s="224"/>
    </row>
    <row r="1014" spans="1:9" ht="12.75">
      <c r="D1014" s="2"/>
      <c r="E1014" s="2"/>
      <c r="F1014" s="2"/>
      <c r="G1014" s="224"/>
    </row>
    <row r="1015" spans="1:9" ht="12.75">
      <c r="D1015" s="2"/>
      <c r="E1015" s="2"/>
      <c r="F1015" s="2"/>
      <c r="G1015" s="224"/>
    </row>
    <row r="1016" spans="1:9" ht="12.75">
      <c r="D1016" s="2"/>
      <c r="E1016" s="2"/>
      <c r="F1016" s="2"/>
      <c r="G1016" s="224"/>
    </row>
    <row r="1017" spans="1:9" ht="12.75">
      <c r="D1017" s="2"/>
      <c r="E1017" s="2"/>
      <c r="F1017" s="2"/>
      <c r="G1017" s="224"/>
    </row>
    <row r="1018" spans="1:9" ht="12.75">
      <c r="D1018" s="2"/>
      <c r="E1018" s="2"/>
      <c r="F1018" s="2"/>
      <c r="G1018" s="224"/>
    </row>
    <row r="1019" spans="1:9" ht="12.75">
      <c r="D1019" s="2"/>
      <c r="E1019" s="2"/>
      <c r="F1019" s="2"/>
      <c r="G1019" s="224"/>
    </row>
    <row r="1020" spans="1:9" ht="12.75">
      <c r="D1020" s="2"/>
      <c r="E1020" s="2"/>
      <c r="F1020" s="2"/>
      <c r="G1020" s="224"/>
    </row>
    <row r="1021" spans="1:9" ht="12.75">
      <c r="D1021" s="2"/>
      <c r="E1021" s="2"/>
      <c r="F1021" s="2"/>
      <c r="G1021" s="224"/>
    </row>
    <row r="1022" spans="1:9" ht="12.75">
      <c r="D1022" s="2"/>
      <c r="E1022" s="2"/>
      <c r="F1022" s="2"/>
      <c r="G1022" s="224"/>
    </row>
    <row r="1023" spans="1:9" ht="12.75">
      <c r="D1023" s="2"/>
      <c r="E1023" s="2"/>
      <c r="F1023" s="2"/>
      <c r="G1023" s="224"/>
    </row>
    <row r="1024" spans="1:9" ht="12.75">
      <c r="D1024" s="2"/>
      <c r="E1024" s="2"/>
      <c r="F1024" s="2"/>
      <c r="G1024" s="224"/>
    </row>
    <row r="1025" spans="4:7" ht="12.75">
      <c r="D1025" s="2"/>
      <c r="E1025" s="2"/>
      <c r="F1025" s="2"/>
      <c r="G1025" s="224"/>
    </row>
    <row r="1026" spans="4:7" ht="12.75">
      <c r="D1026" s="2"/>
      <c r="E1026" s="2"/>
      <c r="F1026" s="2"/>
      <c r="G1026" s="224"/>
    </row>
    <row r="1027" spans="4:7" ht="12.75">
      <c r="D1027" s="2"/>
      <c r="E1027" s="2"/>
      <c r="F1027" s="2"/>
      <c r="G1027" s="224"/>
    </row>
    <row r="1028" spans="4:7" ht="12.75">
      <c r="D1028" s="2"/>
      <c r="E1028" s="2"/>
      <c r="F1028" s="2"/>
      <c r="G1028" s="224"/>
    </row>
    <row r="1029" spans="4:7" ht="12.75">
      <c r="D1029" s="2"/>
      <c r="E1029" s="2"/>
      <c r="F1029" s="2"/>
      <c r="G1029" s="224"/>
    </row>
    <row r="1030" spans="4:7" ht="12.75">
      <c r="D1030" s="2"/>
      <c r="E1030" s="2"/>
      <c r="F1030" s="2"/>
      <c r="G1030" s="224"/>
    </row>
    <row r="1031" spans="4:7" ht="12.75">
      <c r="D1031" s="2"/>
      <c r="E1031" s="2"/>
      <c r="F1031" s="2"/>
      <c r="G1031" s="224"/>
    </row>
    <row r="1032" spans="4:7" ht="12.75">
      <c r="D1032" s="2"/>
      <c r="E1032" s="2"/>
      <c r="F1032" s="2"/>
      <c r="G1032" s="224"/>
    </row>
    <row r="1033" spans="4:7" ht="12.75">
      <c r="D1033" s="2"/>
      <c r="E1033" s="2"/>
      <c r="F1033" s="2"/>
      <c r="G1033" s="224"/>
    </row>
    <row r="1034" spans="4:7" ht="12.75">
      <c r="D1034" s="2"/>
      <c r="E1034" s="2"/>
      <c r="F1034" s="2"/>
      <c r="G1034" s="224"/>
    </row>
    <row r="1035" spans="4:7" ht="12.75">
      <c r="D1035" s="2"/>
      <c r="E1035" s="2"/>
      <c r="F1035" s="2"/>
      <c r="G1035" s="224"/>
    </row>
    <row r="1036" spans="4:7" ht="12.75">
      <c r="D1036" s="2"/>
      <c r="E1036" s="2"/>
      <c r="F1036" s="2"/>
      <c r="G1036" s="224"/>
    </row>
    <row r="1037" spans="4:7" ht="12.75">
      <c r="D1037" s="2"/>
      <c r="E1037" s="2"/>
      <c r="F1037" s="2"/>
      <c r="G1037" s="224"/>
    </row>
    <row r="1038" spans="4:7" ht="12.75">
      <c r="D1038" s="2"/>
      <c r="E1038" s="2"/>
      <c r="F1038" s="2"/>
      <c r="G1038" s="224"/>
    </row>
    <row r="1039" spans="4:7" ht="12.75">
      <c r="D1039" s="2"/>
      <c r="E1039" s="2"/>
      <c r="F1039" s="2"/>
      <c r="G1039" s="224"/>
    </row>
    <row r="1040" spans="4:7" ht="12.75">
      <c r="D1040" s="2"/>
      <c r="E1040" s="2"/>
      <c r="F1040" s="2"/>
      <c r="G1040" s="224"/>
    </row>
    <row r="1041" spans="4:7" ht="12.75">
      <c r="D1041" s="2"/>
      <c r="E1041" s="2"/>
      <c r="F1041" s="2"/>
      <c r="G1041" s="224"/>
    </row>
    <row r="1042" spans="4:7" ht="12.75">
      <c r="D1042" s="2"/>
      <c r="E1042" s="2"/>
      <c r="F1042" s="2"/>
      <c r="G1042" s="224"/>
    </row>
    <row r="1043" spans="4:7" ht="12.75">
      <c r="D1043" s="2"/>
      <c r="E1043" s="2"/>
      <c r="F1043" s="2"/>
      <c r="G1043" s="224"/>
    </row>
    <row r="1044" spans="4:7" ht="12.75">
      <c r="D1044" s="2"/>
      <c r="E1044" s="2"/>
      <c r="F1044" s="2"/>
      <c r="G1044" s="224"/>
    </row>
    <row r="1045" spans="4:7" ht="12.75">
      <c r="D1045" s="2"/>
      <c r="E1045" s="2"/>
      <c r="F1045" s="2"/>
      <c r="G1045" s="224"/>
    </row>
    <row r="1046" spans="4:7" ht="12.75">
      <c r="D1046" s="2"/>
      <c r="E1046" s="2"/>
      <c r="F1046" s="2"/>
      <c r="G1046" s="224"/>
    </row>
    <row r="1047" spans="4:7" ht="12.75">
      <c r="D1047" s="2"/>
      <c r="E1047" s="2"/>
      <c r="F1047" s="2"/>
      <c r="G1047" s="224"/>
    </row>
    <row r="1048" spans="4:7" ht="12.75">
      <c r="D1048" s="2"/>
      <c r="E1048" s="2"/>
      <c r="F1048" s="2"/>
      <c r="G1048" s="224"/>
    </row>
    <row r="1049" spans="4:7" ht="12.75">
      <c r="D1049" s="2"/>
      <c r="E1049" s="2"/>
      <c r="F1049" s="2"/>
      <c r="G1049" s="224"/>
    </row>
    <row r="1050" spans="4:7" ht="12.75">
      <c r="D1050" s="2"/>
      <c r="E1050" s="2"/>
      <c r="F1050" s="2"/>
      <c r="G1050" s="224"/>
    </row>
    <row r="1051" spans="4:7" ht="12.75">
      <c r="D1051" s="2"/>
      <c r="E1051" s="2"/>
      <c r="F1051" s="2"/>
      <c r="G1051" s="224"/>
    </row>
    <row r="1052" spans="4:7" ht="12.75">
      <c r="D1052" s="2"/>
      <c r="E1052" s="2"/>
      <c r="F1052" s="2"/>
      <c r="G1052" s="224"/>
    </row>
    <row r="1053" spans="4:7" ht="12.75">
      <c r="D1053" s="2"/>
      <c r="E1053" s="2"/>
      <c r="F1053" s="2"/>
      <c r="G1053" s="224"/>
    </row>
    <row r="1054" spans="4:7" ht="12.75">
      <c r="D1054" s="2"/>
      <c r="E1054" s="2"/>
      <c r="F1054" s="2"/>
      <c r="G1054" s="224"/>
    </row>
    <row r="1055" spans="4:7" ht="12.75">
      <c r="D1055" s="2"/>
      <c r="E1055" s="2"/>
      <c r="F1055" s="2"/>
      <c r="G1055" s="224"/>
    </row>
    <row r="1056" spans="4:7" ht="12.75">
      <c r="D1056" s="2"/>
      <c r="E1056" s="2"/>
      <c r="F1056" s="2"/>
      <c r="G1056" s="224"/>
    </row>
    <row r="1057" spans="4:7" ht="12.75">
      <c r="D1057" s="2"/>
      <c r="E1057" s="2"/>
      <c r="F1057" s="2"/>
      <c r="G1057" s="224"/>
    </row>
    <row r="1058" spans="4:7" ht="12.75">
      <c r="D1058" s="2"/>
      <c r="E1058" s="2"/>
      <c r="F1058" s="2"/>
      <c r="G1058" s="224"/>
    </row>
    <row r="1059" spans="4:7" ht="12.75">
      <c r="D1059" s="2"/>
      <c r="E1059" s="2"/>
      <c r="F1059" s="2"/>
      <c r="G1059" s="224"/>
    </row>
    <row r="1060" spans="4:7" ht="12.75">
      <c r="D1060" s="2"/>
      <c r="E1060" s="2"/>
      <c r="F1060" s="2"/>
      <c r="G1060" s="224"/>
    </row>
    <row r="1061" spans="4:7" ht="12.75">
      <c r="D1061" s="2"/>
      <c r="E1061" s="2"/>
      <c r="F1061" s="2"/>
      <c r="G1061" s="224"/>
    </row>
    <row r="1062" spans="4:7" ht="12.75">
      <c r="D1062" s="2"/>
      <c r="E1062" s="2"/>
      <c r="F1062" s="2"/>
      <c r="G1062" s="224"/>
    </row>
    <row r="1063" spans="4:7" ht="12.75">
      <c r="D1063" s="2"/>
      <c r="E1063" s="2"/>
      <c r="F1063" s="2"/>
      <c r="G1063" s="224"/>
    </row>
    <row r="1064" spans="4:7" ht="12.75">
      <c r="D1064" s="2"/>
      <c r="E1064" s="2"/>
      <c r="F1064" s="2"/>
      <c r="G1064" s="224"/>
    </row>
    <row r="1065" spans="4:7" ht="12.75">
      <c r="D1065" s="2"/>
      <c r="E1065" s="2"/>
      <c r="F1065" s="2"/>
      <c r="G1065" s="224"/>
    </row>
    <row r="1066" spans="4:7" ht="12.75">
      <c r="D1066" s="2"/>
      <c r="E1066" s="2"/>
      <c r="F1066" s="2"/>
      <c r="G1066" s="224"/>
    </row>
    <row r="1067" spans="4:7" ht="12.75">
      <c r="D1067" s="2"/>
      <c r="E1067" s="2"/>
      <c r="F1067" s="2"/>
      <c r="G1067" s="224"/>
    </row>
    <row r="1068" spans="4:7" ht="12.75">
      <c r="D1068" s="2"/>
      <c r="E1068" s="2"/>
      <c r="F1068" s="2"/>
      <c r="G1068" s="224"/>
    </row>
    <row r="1069" spans="4:7" ht="12.75">
      <c r="D1069" s="2"/>
      <c r="E1069" s="2"/>
      <c r="F1069" s="2"/>
      <c r="G1069" s="224"/>
    </row>
    <row r="1070" spans="4:7" ht="12.75">
      <c r="D1070" s="2"/>
      <c r="E1070" s="2"/>
      <c r="F1070" s="2"/>
      <c r="G1070" s="224"/>
    </row>
    <row r="1071" spans="4:7" ht="12.75">
      <c r="D1071" s="2"/>
      <c r="E1071" s="2"/>
      <c r="F1071" s="2"/>
      <c r="G1071" s="224"/>
    </row>
    <row r="1072" spans="4:7" ht="12.75">
      <c r="D1072" s="2"/>
      <c r="E1072" s="2"/>
      <c r="F1072" s="2"/>
      <c r="G1072" s="224"/>
    </row>
    <row r="1073" spans="4:7" ht="12.75">
      <c r="D1073" s="2"/>
      <c r="E1073" s="2"/>
      <c r="F1073" s="2"/>
      <c r="G1073" s="224"/>
    </row>
    <row r="1074" spans="4:7" ht="12.75">
      <c r="D1074" s="2"/>
      <c r="E1074" s="2"/>
      <c r="F1074" s="2"/>
      <c r="G1074" s="224"/>
    </row>
    <row r="1075" spans="4:7" ht="12.75">
      <c r="D1075" s="2"/>
      <c r="E1075" s="2"/>
      <c r="F1075" s="2"/>
      <c r="G1075" s="224"/>
    </row>
    <row r="1076" spans="4:7" ht="12.75">
      <c r="D1076" s="2"/>
      <c r="E1076" s="2"/>
      <c r="F1076" s="2"/>
      <c r="G1076" s="224"/>
    </row>
    <row r="1077" spans="4:7" ht="12.75">
      <c r="D1077" s="2"/>
      <c r="E1077" s="2"/>
      <c r="F1077" s="2"/>
      <c r="G1077" s="224"/>
    </row>
    <row r="1078" spans="4:7" ht="12.75">
      <c r="D1078" s="2"/>
      <c r="E1078" s="2"/>
      <c r="F1078" s="2"/>
      <c r="G1078" s="224"/>
    </row>
    <row r="1079" spans="4:7" ht="12.75">
      <c r="D1079" s="2"/>
      <c r="E1079" s="2"/>
      <c r="F1079" s="2"/>
      <c r="G1079" s="224"/>
    </row>
    <row r="1080" spans="4:7" ht="12.75">
      <c r="D1080" s="2"/>
      <c r="E1080" s="2"/>
      <c r="F1080" s="2"/>
      <c r="G1080" s="224"/>
    </row>
    <row r="1081" spans="4:7" ht="12.75">
      <c r="D1081" s="2"/>
      <c r="E1081" s="2"/>
      <c r="F1081" s="2"/>
      <c r="G1081" s="224"/>
    </row>
    <row r="1082" spans="4:7" ht="12.75">
      <c r="D1082" s="2"/>
      <c r="E1082" s="2"/>
      <c r="F1082" s="2"/>
      <c r="G1082" s="224"/>
    </row>
    <row r="1083" spans="4:7" ht="12.75">
      <c r="D1083" s="2"/>
      <c r="E1083" s="2"/>
      <c r="F1083" s="2"/>
      <c r="G1083" s="224"/>
    </row>
    <row r="1084" spans="4:7" ht="12.75">
      <c r="D1084" s="2"/>
      <c r="E1084" s="2"/>
      <c r="F1084" s="2"/>
      <c r="G1084" s="224"/>
    </row>
    <row r="1085" spans="4:7" ht="12.75">
      <c r="D1085" s="2"/>
      <c r="E1085" s="2"/>
      <c r="F1085" s="2"/>
      <c r="G1085" s="224"/>
    </row>
    <row r="1086" spans="4:7" ht="12.75">
      <c r="D1086" s="2"/>
      <c r="E1086" s="2"/>
      <c r="F1086" s="2"/>
      <c r="G1086" s="224"/>
    </row>
    <row r="1087" spans="4:7" ht="12.75">
      <c r="D1087" s="2"/>
      <c r="E1087" s="2"/>
      <c r="F1087" s="2"/>
      <c r="G1087" s="224"/>
    </row>
    <row r="1088" spans="4:7" ht="12.75">
      <c r="D1088" s="2"/>
      <c r="E1088" s="2"/>
      <c r="F1088" s="2"/>
      <c r="G1088" s="224"/>
    </row>
    <row r="1089" spans="4:7" ht="12.75">
      <c r="D1089" s="2"/>
      <c r="E1089" s="2"/>
      <c r="F1089" s="2"/>
      <c r="G1089" s="224"/>
    </row>
    <row r="1090" spans="4:7" ht="12.75">
      <c r="D1090" s="2"/>
      <c r="E1090" s="2"/>
      <c r="F1090" s="2"/>
      <c r="G1090" s="224"/>
    </row>
    <row r="1091" spans="4:7" ht="12.75">
      <c r="D1091" s="2"/>
      <c r="E1091" s="2"/>
      <c r="F1091" s="2"/>
      <c r="G1091" s="224"/>
    </row>
    <row r="1092" spans="4:7" ht="12.75">
      <c r="D1092" s="2"/>
      <c r="E1092" s="2"/>
      <c r="F1092" s="2"/>
      <c r="G1092" s="224"/>
    </row>
    <row r="1093" spans="4:7" ht="12.75">
      <c r="D1093" s="2"/>
      <c r="E1093" s="2"/>
      <c r="F1093" s="2"/>
      <c r="G1093" s="224"/>
    </row>
    <row r="1094" spans="4:7" ht="12.75">
      <c r="D1094" s="2"/>
      <c r="E1094" s="2"/>
      <c r="F1094" s="2"/>
      <c r="G1094" s="224"/>
    </row>
    <row r="1095" spans="4:7" ht="12.75">
      <c r="D1095" s="2"/>
      <c r="E1095" s="2"/>
      <c r="F1095" s="2"/>
      <c r="G1095" s="224"/>
    </row>
    <row r="1096" spans="4:7" ht="12.75">
      <c r="D1096" s="2"/>
      <c r="E1096" s="2"/>
      <c r="F1096" s="2"/>
      <c r="G1096" s="224"/>
    </row>
    <row r="1097" spans="4:7" ht="12.75">
      <c r="D1097" s="2"/>
      <c r="E1097" s="2"/>
      <c r="F1097" s="2"/>
      <c r="G1097" s="224"/>
    </row>
    <row r="1098" spans="4:7" ht="12.75">
      <c r="D1098" s="2"/>
      <c r="E1098" s="2"/>
      <c r="F1098" s="2"/>
      <c r="G1098" s="224"/>
    </row>
    <row r="1099" spans="4:7" ht="12.75">
      <c r="D1099" s="2"/>
      <c r="E1099" s="2"/>
      <c r="F1099" s="2"/>
      <c r="G1099" s="224"/>
    </row>
    <row r="1100" spans="4:7" ht="12.75">
      <c r="D1100" s="2"/>
      <c r="E1100" s="2"/>
      <c r="F1100" s="2"/>
      <c r="G1100" s="224"/>
    </row>
    <row r="1101" spans="4:7" ht="12.75">
      <c r="D1101" s="2"/>
      <c r="E1101" s="2"/>
      <c r="F1101" s="2"/>
      <c r="G1101" s="224"/>
    </row>
    <row r="1102" spans="4:7" ht="12.75">
      <c r="D1102" s="2"/>
      <c r="E1102" s="2"/>
      <c r="F1102" s="2"/>
      <c r="G1102" s="224"/>
    </row>
    <row r="1103" spans="4:7" ht="12.75">
      <c r="D1103" s="2"/>
      <c r="E1103" s="2"/>
      <c r="F1103" s="2"/>
      <c r="G1103" s="224"/>
    </row>
    <row r="1104" spans="4:7" ht="12.75">
      <c r="D1104" s="2"/>
      <c r="E1104" s="2"/>
      <c r="F1104" s="2"/>
      <c r="G1104" s="224"/>
    </row>
    <row r="1105" spans="4:7" ht="12.75">
      <c r="D1105" s="2"/>
      <c r="E1105" s="2"/>
      <c r="F1105" s="2"/>
      <c r="G1105" s="224"/>
    </row>
    <row r="1106" spans="4:7" ht="12.75">
      <c r="D1106" s="2"/>
      <c r="E1106" s="2"/>
      <c r="F1106" s="2"/>
      <c r="G1106" s="224"/>
    </row>
    <row r="1107" spans="4:7" ht="12.75">
      <c r="D1107" s="2"/>
      <c r="E1107" s="2"/>
      <c r="F1107" s="2"/>
      <c r="G1107" s="224"/>
    </row>
    <row r="1108" spans="4:7" ht="12.75">
      <c r="D1108" s="2"/>
      <c r="E1108" s="2"/>
      <c r="F1108" s="2"/>
      <c r="G1108" s="224"/>
    </row>
    <row r="1109" spans="4:7" ht="12.75">
      <c r="D1109" s="2"/>
      <c r="E1109" s="2"/>
      <c r="F1109" s="2"/>
      <c r="G1109" s="224"/>
    </row>
    <row r="1110" spans="4:7" ht="12.75">
      <c r="D1110" s="2"/>
      <c r="E1110" s="2"/>
      <c r="F1110" s="2"/>
      <c r="G1110" s="224"/>
    </row>
    <row r="1111" spans="4:7" ht="12.75">
      <c r="D1111" s="2"/>
      <c r="E1111" s="2"/>
      <c r="F1111" s="2"/>
      <c r="G1111" s="224"/>
    </row>
    <row r="1112" spans="4:7" ht="12.75">
      <c r="D1112" s="2"/>
      <c r="E1112" s="2"/>
      <c r="F1112" s="2"/>
      <c r="G1112" s="224"/>
    </row>
    <row r="1113" spans="4:7" ht="12.75">
      <c r="D1113" s="2"/>
      <c r="E1113" s="2"/>
      <c r="F1113" s="2"/>
      <c r="G1113" s="224"/>
    </row>
    <row r="1114" spans="4:7" ht="12.75">
      <c r="D1114" s="2"/>
      <c r="E1114" s="2"/>
      <c r="F1114" s="2"/>
      <c r="G1114" s="224"/>
    </row>
    <row r="1115" spans="4:7" ht="12.75">
      <c r="D1115" s="2"/>
      <c r="E1115" s="2"/>
      <c r="F1115" s="2"/>
      <c r="G1115" s="224"/>
    </row>
    <row r="1116" spans="4:7" ht="12.75">
      <c r="D1116" s="2"/>
      <c r="E1116" s="2"/>
      <c r="F1116" s="2"/>
      <c r="G1116" s="224"/>
    </row>
    <row r="1117" spans="4:7" ht="12.75">
      <c r="D1117" s="2"/>
      <c r="E1117" s="2"/>
      <c r="F1117" s="2"/>
      <c r="G1117" s="224"/>
    </row>
    <row r="1118" spans="4:7" ht="12.75">
      <c r="D1118" s="2"/>
      <c r="E1118" s="2"/>
      <c r="F1118" s="2"/>
      <c r="G1118" s="224"/>
    </row>
    <row r="1119" spans="4:7" ht="12.75">
      <c r="D1119" s="2"/>
      <c r="E1119" s="2"/>
      <c r="F1119" s="2"/>
      <c r="G1119" s="224"/>
    </row>
    <row r="1120" spans="4:7" ht="12.75">
      <c r="D1120" s="2"/>
      <c r="E1120" s="2"/>
      <c r="F1120" s="2"/>
      <c r="G1120" s="224"/>
    </row>
    <row r="1121" spans="4:7" ht="12.75">
      <c r="D1121" s="2"/>
      <c r="E1121" s="2"/>
      <c r="F1121" s="2"/>
      <c r="G1121" s="224"/>
    </row>
    <row r="1122" spans="4:7" ht="12.75">
      <c r="D1122" s="2"/>
      <c r="E1122" s="2"/>
      <c r="F1122" s="2"/>
      <c r="G1122" s="224"/>
    </row>
    <row r="1123" spans="4:7" ht="12.75">
      <c r="D1123" s="2"/>
      <c r="E1123" s="2"/>
      <c r="F1123" s="2"/>
      <c r="G1123" s="224"/>
    </row>
    <row r="1124" spans="4:7" ht="12.75">
      <c r="D1124" s="2"/>
      <c r="E1124" s="2"/>
      <c r="F1124" s="2"/>
      <c r="G1124" s="224"/>
    </row>
    <row r="1125" spans="4:7" ht="12.75">
      <c r="D1125" s="2"/>
      <c r="E1125" s="2"/>
      <c r="F1125" s="2"/>
      <c r="G1125" s="224"/>
    </row>
    <row r="1126" spans="4:7" ht="12.75">
      <c r="D1126" s="2"/>
      <c r="E1126" s="2"/>
      <c r="F1126" s="2"/>
      <c r="G1126" s="224"/>
    </row>
    <row r="1127" spans="4:7" ht="12.75">
      <c r="D1127" s="2"/>
      <c r="E1127" s="2"/>
      <c r="F1127" s="2"/>
      <c r="G1127" s="224"/>
    </row>
    <row r="1128" spans="4:7" ht="12.75">
      <c r="D1128" s="2"/>
      <c r="E1128" s="2"/>
      <c r="F1128" s="2"/>
      <c r="G1128" s="224"/>
    </row>
    <row r="1129" spans="4:7" ht="12.75">
      <c r="D1129" s="2"/>
      <c r="E1129" s="2"/>
      <c r="F1129" s="2"/>
      <c r="G1129" s="224"/>
    </row>
    <row r="1130" spans="4:7" ht="12.75">
      <c r="D1130" s="2"/>
      <c r="E1130" s="2"/>
      <c r="F1130" s="2"/>
      <c r="G1130" s="224"/>
    </row>
    <row r="1131" spans="4:7" ht="12.75">
      <c r="D1131" s="2"/>
      <c r="E1131" s="2"/>
      <c r="F1131" s="2"/>
      <c r="G1131" s="224"/>
    </row>
    <row r="1132" spans="4:7" ht="12.75">
      <c r="D1132" s="2"/>
      <c r="E1132" s="2"/>
      <c r="F1132" s="2"/>
      <c r="G1132" s="224"/>
    </row>
    <row r="1133" spans="4:7" ht="12.75">
      <c r="D1133" s="2"/>
      <c r="E1133" s="2"/>
      <c r="F1133" s="2"/>
      <c r="G1133" s="224"/>
    </row>
    <row r="1134" spans="4:7" ht="12.75">
      <c r="D1134" s="2"/>
      <c r="E1134" s="2"/>
      <c r="F1134" s="2"/>
      <c r="G1134" s="224"/>
    </row>
    <row r="1135" spans="4:7" ht="12.75">
      <c r="D1135" s="2"/>
      <c r="E1135" s="2"/>
      <c r="F1135" s="2"/>
      <c r="G1135" s="224"/>
    </row>
    <row r="1136" spans="4:7" ht="12.75">
      <c r="D1136" s="2"/>
      <c r="E1136" s="2"/>
      <c r="F1136" s="2"/>
      <c r="G1136" s="224"/>
    </row>
    <row r="1137" spans="4:7" ht="12.75">
      <c r="D1137" s="2"/>
      <c r="E1137" s="2"/>
      <c r="F1137" s="2"/>
      <c r="G1137" s="224"/>
    </row>
    <row r="1138" spans="4:7" ht="12.75">
      <c r="D1138" s="2"/>
      <c r="E1138" s="2"/>
      <c r="F1138" s="2"/>
      <c r="G1138" s="224"/>
    </row>
    <row r="1139" spans="4:7" ht="12.75">
      <c r="D1139" s="2"/>
      <c r="E1139" s="2"/>
      <c r="F1139" s="2"/>
      <c r="G1139" s="224"/>
    </row>
    <row r="1140" spans="4:7" ht="12.75">
      <c r="D1140" s="2"/>
      <c r="E1140" s="2"/>
      <c r="F1140" s="2"/>
      <c r="G1140" s="224"/>
    </row>
    <row r="1141" spans="4:7" ht="12.75">
      <c r="D1141" s="2"/>
      <c r="E1141" s="2"/>
      <c r="F1141" s="2"/>
      <c r="G1141" s="224"/>
    </row>
    <row r="1142" spans="4:7" ht="12.75">
      <c r="D1142" s="2"/>
      <c r="E1142" s="2"/>
      <c r="F1142" s="2"/>
      <c r="G1142" s="224"/>
    </row>
    <row r="1143" spans="4:7" ht="12.75">
      <c r="D1143" s="2"/>
      <c r="E1143" s="2"/>
      <c r="F1143" s="2"/>
      <c r="G1143" s="224"/>
    </row>
    <row r="1144" spans="4:7" ht="12.75">
      <c r="D1144" s="2"/>
      <c r="E1144" s="2"/>
      <c r="F1144" s="2"/>
      <c r="G1144" s="224"/>
    </row>
    <row r="1145" spans="4:7" ht="12.75">
      <c r="D1145" s="2"/>
      <c r="E1145" s="2"/>
      <c r="F1145" s="2"/>
      <c r="G1145" s="224"/>
    </row>
    <row r="1146" spans="4:7" ht="12.75">
      <c r="D1146" s="2"/>
      <c r="E1146" s="2"/>
      <c r="F1146" s="2"/>
      <c r="G1146" s="224"/>
    </row>
    <row r="1147" spans="4:7" ht="12.75">
      <c r="D1147" s="2"/>
      <c r="E1147" s="2"/>
      <c r="F1147" s="2"/>
      <c r="G1147" s="224"/>
    </row>
    <row r="1148" spans="4:7" ht="12.75">
      <c r="D1148" s="2"/>
      <c r="E1148" s="2"/>
      <c r="F1148" s="2"/>
      <c r="G1148" s="224"/>
    </row>
    <row r="1149" spans="4:7" ht="12.75">
      <c r="D1149" s="2"/>
      <c r="E1149" s="2"/>
      <c r="F1149" s="2"/>
      <c r="G1149" s="224"/>
    </row>
    <row r="1150" spans="4:7" ht="12.75">
      <c r="D1150" s="2"/>
      <c r="E1150" s="2"/>
      <c r="F1150" s="2"/>
      <c r="G1150" s="224"/>
    </row>
    <row r="1151" spans="4:7" ht="12.75">
      <c r="D1151" s="2"/>
      <c r="E1151" s="2"/>
      <c r="F1151" s="2"/>
      <c r="G1151" s="224"/>
    </row>
    <row r="1152" spans="4:7" ht="12.75">
      <c r="D1152" s="2"/>
      <c r="E1152" s="2"/>
      <c r="F1152" s="2"/>
      <c r="G1152" s="224"/>
    </row>
    <row r="1153" spans="4:7" ht="12.75">
      <c r="D1153" s="2"/>
      <c r="E1153" s="2"/>
      <c r="F1153" s="2"/>
      <c r="G1153" s="224"/>
    </row>
    <row r="1154" spans="4:7" ht="12.75">
      <c r="D1154" s="2"/>
      <c r="E1154" s="2"/>
      <c r="F1154" s="2"/>
      <c r="G1154" s="224"/>
    </row>
    <row r="1155" spans="4:7" ht="12.75">
      <c r="D1155" s="2"/>
      <c r="E1155" s="2"/>
      <c r="F1155" s="2"/>
      <c r="G1155" s="224"/>
    </row>
    <row r="1156" spans="4:7" ht="12.75">
      <c r="D1156" s="2"/>
      <c r="E1156" s="2"/>
      <c r="F1156" s="2"/>
      <c r="G1156" s="224"/>
    </row>
    <row r="1157" spans="4:7" ht="12.75">
      <c r="D1157" s="2"/>
      <c r="E1157" s="2"/>
      <c r="F1157" s="2"/>
      <c r="G1157" s="224"/>
    </row>
    <row r="1158" spans="4:7" ht="12.75">
      <c r="D1158" s="2"/>
      <c r="E1158" s="2"/>
      <c r="F1158" s="2"/>
      <c r="G1158" s="224"/>
    </row>
    <row r="1159" spans="4:7" ht="12.75">
      <c r="D1159" s="2"/>
      <c r="E1159" s="2"/>
      <c r="F1159" s="2"/>
      <c r="G1159" s="224"/>
    </row>
    <row r="1160" spans="4:7" ht="12.75">
      <c r="D1160" s="2"/>
      <c r="E1160" s="2"/>
      <c r="F1160" s="2"/>
      <c r="G1160" s="224"/>
    </row>
    <row r="1161" spans="4:7" ht="12.75">
      <c r="D1161" s="2"/>
      <c r="E1161" s="2"/>
      <c r="F1161" s="2"/>
      <c r="G1161" s="224"/>
    </row>
    <row r="1162" spans="4:7" ht="12.75">
      <c r="D1162" s="2"/>
      <c r="E1162" s="2"/>
      <c r="F1162" s="2"/>
      <c r="G1162" s="224"/>
    </row>
    <row r="1163" spans="4:7" ht="12.75">
      <c r="D1163" s="2"/>
      <c r="E1163" s="2"/>
      <c r="F1163" s="2"/>
      <c r="G1163" s="224"/>
    </row>
    <row r="1164" spans="4:7" ht="12.75">
      <c r="D1164" s="2"/>
      <c r="E1164" s="2"/>
      <c r="F1164" s="2"/>
      <c r="G1164" s="224"/>
    </row>
    <row r="1165" spans="4:7" ht="12.75">
      <c r="D1165" s="2"/>
      <c r="E1165" s="2"/>
      <c r="F1165" s="2"/>
      <c r="G1165" s="224"/>
    </row>
    <row r="1166" spans="4:7" ht="12.75">
      <c r="D1166" s="2"/>
      <c r="E1166" s="2"/>
      <c r="F1166" s="2"/>
      <c r="G1166" s="224"/>
    </row>
    <row r="1167" spans="4:7" ht="12.75">
      <c r="D1167" s="2"/>
      <c r="E1167" s="2"/>
      <c r="F1167" s="2"/>
      <c r="G1167" s="224"/>
    </row>
    <row r="1168" spans="4:7" ht="12.75">
      <c r="D1168" s="2"/>
      <c r="E1168" s="2"/>
      <c r="F1168" s="2"/>
      <c r="G1168" s="224"/>
    </row>
    <row r="1169" spans="4:7" ht="12.75">
      <c r="D1169" s="2"/>
      <c r="E1169" s="2"/>
      <c r="F1169" s="2"/>
      <c r="G1169" s="224"/>
    </row>
    <row r="1170" spans="4:7" ht="12.75">
      <c r="D1170" s="2"/>
      <c r="E1170" s="2"/>
      <c r="F1170" s="2"/>
      <c r="G1170" s="224"/>
    </row>
    <row r="1171" spans="4:7" ht="12.75">
      <c r="D1171" s="2"/>
      <c r="E1171" s="2"/>
      <c r="F1171" s="2"/>
      <c r="G1171" s="224"/>
    </row>
    <row r="1172" spans="4:7" ht="12.75">
      <c r="D1172" s="2"/>
      <c r="E1172" s="2"/>
      <c r="F1172" s="2"/>
      <c r="G1172" s="224"/>
    </row>
    <row r="1173" spans="4:7" ht="12.75">
      <c r="D1173" s="2"/>
      <c r="E1173" s="2"/>
      <c r="F1173" s="2"/>
      <c r="G1173" s="224"/>
    </row>
    <row r="1174" spans="4:7" ht="12.75">
      <c r="D1174" s="2"/>
      <c r="E1174" s="2"/>
      <c r="F1174" s="2"/>
      <c r="G1174" s="224"/>
    </row>
    <row r="1175" spans="4:7" ht="12.75">
      <c r="D1175" s="2"/>
      <c r="E1175" s="2"/>
      <c r="F1175" s="2"/>
      <c r="G1175" s="224"/>
    </row>
    <row r="1176" spans="4:7" ht="12.75">
      <c r="D1176" s="2"/>
      <c r="E1176" s="2"/>
      <c r="F1176" s="2"/>
      <c r="G1176" s="224"/>
    </row>
    <row r="1177" spans="4:7" ht="12.75">
      <c r="D1177" s="2"/>
      <c r="E1177" s="2"/>
      <c r="F1177" s="2"/>
      <c r="G1177" s="224"/>
    </row>
    <row r="1178" spans="4:7" ht="12.75">
      <c r="D1178" s="2"/>
      <c r="E1178" s="2"/>
      <c r="F1178" s="2"/>
      <c r="G1178" s="224"/>
    </row>
    <row r="1179" spans="4:7" ht="12.75">
      <c r="D1179" s="2"/>
      <c r="E1179" s="2"/>
      <c r="F1179" s="2"/>
      <c r="G1179" s="224"/>
    </row>
    <row r="1180" spans="4:7" ht="12.75">
      <c r="D1180" s="2"/>
      <c r="E1180" s="2"/>
      <c r="F1180" s="2"/>
      <c r="G1180" s="224"/>
    </row>
    <row r="1181" spans="4:7" ht="12.75">
      <c r="D1181" s="2"/>
      <c r="E1181" s="2"/>
      <c r="F1181" s="2"/>
      <c r="G1181" s="224"/>
    </row>
    <row r="1182" spans="4:7" ht="12.75">
      <c r="D1182" s="2"/>
      <c r="E1182" s="2"/>
      <c r="F1182" s="2"/>
      <c r="G1182" s="224"/>
    </row>
    <row r="1183" spans="4:7" ht="12.75">
      <c r="D1183" s="2"/>
      <c r="E1183" s="2"/>
      <c r="F1183" s="2"/>
      <c r="G1183" s="224"/>
    </row>
    <row r="1184" spans="4:7" ht="12.75">
      <c r="D1184" s="2"/>
      <c r="E1184" s="2"/>
      <c r="F1184" s="2"/>
      <c r="G1184" s="224"/>
    </row>
    <row r="1185" spans="4:7" ht="12.75">
      <c r="D1185" s="2"/>
      <c r="E1185" s="2"/>
      <c r="F1185" s="2"/>
      <c r="G1185" s="224"/>
    </row>
    <row r="1186" spans="4:7" ht="12.75">
      <c r="D1186" s="2"/>
      <c r="E1186" s="2"/>
      <c r="F1186" s="2"/>
      <c r="G1186" s="224"/>
    </row>
    <row r="1187" spans="4:7" ht="12.75">
      <c r="D1187" s="2"/>
      <c r="E1187" s="2"/>
      <c r="F1187" s="2"/>
      <c r="G1187" s="224"/>
    </row>
    <row r="1188" spans="4:7" ht="12.75">
      <c r="D1188" s="2"/>
      <c r="E1188" s="2"/>
      <c r="F1188" s="2"/>
      <c r="G1188" s="224"/>
    </row>
    <row r="1189" spans="4:7" ht="12.75">
      <c r="D1189" s="2"/>
      <c r="E1189" s="2"/>
      <c r="F1189" s="2"/>
      <c r="G1189" s="224"/>
    </row>
    <row r="1190" spans="4:7" ht="12.75">
      <c r="D1190" s="2"/>
      <c r="E1190" s="2"/>
      <c r="F1190" s="2"/>
      <c r="G1190" s="224"/>
    </row>
    <row r="1191" spans="4:7" ht="12.75">
      <c r="D1191" s="2"/>
      <c r="E1191" s="2"/>
      <c r="F1191" s="2"/>
      <c r="G1191" s="224"/>
    </row>
    <row r="1192" spans="4:7" ht="12.75">
      <c r="D1192" s="2"/>
      <c r="E1192" s="2"/>
      <c r="F1192" s="2"/>
      <c r="G1192" s="224"/>
    </row>
    <row r="1193" spans="4:7" ht="12.75">
      <c r="D1193" s="2"/>
      <c r="E1193" s="2"/>
      <c r="F1193" s="2"/>
      <c r="G1193" s="224"/>
    </row>
    <row r="1194" spans="4:7" ht="12.75">
      <c r="D1194" s="2"/>
      <c r="E1194" s="2"/>
      <c r="F1194" s="2"/>
      <c r="G1194" s="224"/>
    </row>
    <row r="1195" spans="4:7" ht="12.75">
      <c r="D1195" s="2"/>
      <c r="E1195" s="2"/>
      <c r="F1195" s="2"/>
      <c r="G1195" s="224"/>
    </row>
    <row r="1196" spans="4:7" ht="12.75">
      <c r="D1196" s="2"/>
      <c r="E1196" s="2"/>
      <c r="F1196" s="2"/>
      <c r="G1196" s="224"/>
    </row>
    <row r="1197" spans="4:7" ht="12.75">
      <c r="D1197" s="2"/>
      <c r="E1197" s="2"/>
      <c r="F1197" s="2"/>
      <c r="G1197" s="224"/>
    </row>
    <row r="1198" spans="4:7" ht="12.75">
      <c r="D1198" s="2"/>
      <c r="E1198" s="2"/>
      <c r="F1198" s="2"/>
      <c r="G1198" s="224"/>
    </row>
    <row r="1199" spans="4:7" ht="12.75">
      <c r="D1199" s="2"/>
      <c r="E1199" s="2"/>
      <c r="F1199" s="2"/>
      <c r="G1199" s="224"/>
    </row>
    <row r="1200" spans="4:7" ht="12.75">
      <c r="D1200" s="2"/>
      <c r="E1200" s="2"/>
      <c r="F1200" s="2"/>
      <c r="G1200" s="224"/>
    </row>
    <row r="1201" spans="4:7" ht="12.75">
      <c r="D1201" s="2"/>
      <c r="E1201" s="2"/>
      <c r="F1201" s="2"/>
      <c r="G1201" s="224"/>
    </row>
    <row r="1202" spans="4:7" ht="12.75">
      <c r="D1202" s="2"/>
      <c r="E1202" s="2"/>
      <c r="F1202" s="2"/>
      <c r="G1202" s="224"/>
    </row>
    <row r="1203" spans="4:7" ht="12.75">
      <c r="D1203" s="2"/>
      <c r="E1203" s="2"/>
      <c r="F1203" s="2"/>
      <c r="G1203" s="224"/>
    </row>
    <row r="1204" spans="4:7" ht="12.75">
      <c r="D1204" s="2"/>
      <c r="E1204" s="2"/>
      <c r="F1204" s="2"/>
      <c r="G1204" s="224"/>
    </row>
    <row r="1205" spans="4:7" ht="12.75">
      <c r="D1205" s="2"/>
      <c r="E1205" s="2"/>
      <c r="F1205" s="2"/>
      <c r="G1205" s="224"/>
    </row>
    <row r="1206" spans="4:7" ht="12.75">
      <c r="D1206" s="2"/>
      <c r="E1206" s="2"/>
      <c r="F1206" s="2"/>
      <c r="G1206" s="224"/>
    </row>
    <row r="1207" spans="4:7" ht="12.75">
      <c r="D1207" s="2"/>
      <c r="E1207" s="2"/>
      <c r="F1207" s="2"/>
      <c r="G1207" s="224"/>
    </row>
    <row r="1208" spans="4:7" ht="12.75">
      <c r="D1208" s="2"/>
      <c r="E1208" s="2"/>
      <c r="F1208" s="2"/>
      <c r="G1208" s="224"/>
    </row>
    <row r="1209" spans="4:7" ht="12.75">
      <c r="D1209" s="2"/>
      <c r="E1209" s="2"/>
      <c r="F1209" s="2"/>
      <c r="G1209" s="224"/>
    </row>
    <row r="1210" spans="4:7" ht="12.75">
      <c r="D1210" s="2"/>
      <c r="E1210" s="2"/>
      <c r="F1210" s="2"/>
      <c r="G1210" s="224"/>
    </row>
    <row r="1211" spans="4:7" ht="12.75">
      <c r="D1211" s="2"/>
      <c r="E1211" s="2"/>
      <c r="F1211" s="2"/>
      <c r="G1211" s="224"/>
    </row>
    <row r="1212" spans="4:7" ht="12.75">
      <c r="D1212" s="2"/>
      <c r="E1212" s="2"/>
      <c r="F1212" s="2"/>
      <c r="G1212" s="224"/>
    </row>
    <row r="1213" spans="4:7" ht="12.75">
      <c r="D1213" s="2"/>
      <c r="E1213" s="2"/>
      <c r="F1213" s="2"/>
      <c r="G1213" s="224"/>
    </row>
    <row r="1214" spans="4:7" ht="12.75">
      <c r="D1214" s="2"/>
      <c r="E1214" s="2"/>
      <c r="F1214" s="2"/>
      <c r="G1214" s="224"/>
    </row>
    <row r="1215" spans="4:7" ht="12.75">
      <c r="D1215" s="2"/>
      <c r="E1215" s="2"/>
      <c r="F1215" s="2"/>
      <c r="G1215" s="224"/>
    </row>
    <row r="1216" spans="4:7" ht="12.75">
      <c r="D1216" s="2"/>
      <c r="E1216" s="2"/>
      <c r="F1216" s="2"/>
      <c r="G1216" s="224"/>
    </row>
    <row r="1217" spans="4:7" ht="12.75">
      <c r="D1217" s="2"/>
      <c r="E1217" s="2"/>
      <c r="F1217" s="2"/>
      <c r="G1217" s="224"/>
    </row>
    <row r="1218" spans="4:7" ht="12.75">
      <c r="D1218" s="2"/>
      <c r="E1218" s="2"/>
      <c r="F1218" s="2"/>
      <c r="G1218" s="224"/>
    </row>
    <row r="1219" spans="4:7" ht="12.75">
      <c r="D1219" s="2"/>
      <c r="E1219" s="2"/>
      <c r="F1219" s="2"/>
      <c r="G1219" s="224"/>
    </row>
    <row r="1220" spans="4:7" ht="12.75">
      <c r="D1220" s="2"/>
      <c r="E1220" s="2"/>
      <c r="F1220" s="2"/>
      <c r="G1220" s="224"/>
    </row>
    <row r="1221" spans="4:7" ht="12.75">
      <c r="D1221" s="2"/>
      <c r="E1221" s="2"/>
      <c r="F1221" s="2"/>
      <c r="G1221" s="224"/>
    </row>
    <row r="1222" spans="4:7" ht="12.75">
      <c r="D1222" s="2"/>
      <c r="E1222" s="2"/>
      <c r="F1222" s="2"/>
      <c r="G1222" s="224"/>
    </row>
    <row r="1223" spans="4:7" ht="12.75">
      <c r="D1223" s="2"/>
      <c r="E1223" s="2"/>
      <c r="F1223" s="2"/>
      <c r="G1223" s="224"/>
    </row>
    <row r="1224" spans="4:7" ht="12.75">
      <c r="D1224" s="2"/>
      <c r="E1224" s="2"/>
      <c r="F1224" s="2"/>
      <c r="G1224" s="224"/>
    </row>
    <row r="1225" spans="4:7" ht="12.75">
      <c r="D1225" s="2"/>
      <c r="E1225" s="2"/>
      <c r="F1225" s="2"/>
      <c r="G1225" s="224"/>
    </row>
    <row r="1226" spans="4:7" ht="12.75">
      <c r="D1226" s="2"/>
      <c r="E1226" s="2"/>
      <c r="F1226" s="2"/>
      <c r="G1226" s="224"/>
    </row>
    <row r="1227" spans="4:7" ht="12.75">
      <c r="D1227" s="2"/>
      <c r="E1227" s="2"/>
      <c r="F1227" s="2"/>
      <c r="G1227" s="224"/>
    </row>
    <row r="1228" spans="4:7" ht="12.75">
      <c r="D1228" s="2"/>
      <c r="E1228" s="2"/>
      <c r="F1228" s="2"/>
      <c r="G1228" s="224"/>
    </row>
    <row r="1229" spans="4:7" ht="12.75">
      <c r="D1229" s="2"/>
      <c r="E1229" s="2"/>
      <c r="F1229" s="2"/>
      <c r="G1229" s="224"/>
    </row>
    <row r="1230" spans="4:7" ht="12.75">
      <c r="D1230" s="2"/>
      <c r="E1230" s="2"/>
      <c r="F1230" s="2"/>
      <c r="G1230" s="224"/>
    </row>
    <row r="1231" spans="4:7" ht="12.75">
      <c r="D1231" s="2"/>
      <c r="E1231" s="2"/>
      <c r="F1231" s="2"/>
      <c r="G1231" s="224"/>
    </row>
    <row r="1232" spans="4:7" ht="12.75">
      <c r="D1232" s="2"/>
      <c r="E1232" s="2"/>
      <c r="F1232" s="2"/>
      <c r="G1232" s="224"/>
    </row>
    <row r="1233" spans="4:7" ht="12.75">
      <c r="D1233" s="2"/>
      <c r="E1233" s="2"/>
      <c r="F1233" s="2"/>
      <c r="G1233" s="224"/>
    </row>
    <row r="1234" spans="4:7" ht="12.75">
      <c r="D1234" s="2"/>
      <c r="E1234" s="2"/>
      <c r="F1234" s="2"/>
      <c r="G1234" s="224"/>
    </row>
    <row r="1235" spans="4:7" ht="12.75">
      <c r="D1235" s="2"/>
      <c r="E1235" s="2"/>
      <c r="F1235" s="2"/>
      <c r="G1235" s="224"/>
    </row>
    <row r="1236" spans="4:7" ht="12.75">
      <c r="D1236" s="2"/>
      <c r="E1236" s="2"/>
      <c r="F1236" s="2"/>
      <c r="G1236" s="224"/>
    </row>
    <row r="1237" spans="4:7" ht="12.75">
      <c r="D1237" s="2"/>
      <c r="E1237" s="2"/>
      <c r="F1237" s="2"/>
      <c r="G1237" s="224"/>
    </row>
    <row r="1238" spans="4:7" ht="12.75">
      <c r="D1238" s="2"/>
      <c r="E1238" s="2"/>
      <c r="F1238" s="2"/>
      <c r="G1238" s="224"/>
    </row>
    <row r="1239" spans="4:7" ht="12.75">
      <c r="D1239" s="2"/>
      <c r="E1239" s="2"/>
      <c r="F1239" s="2"/>
      <c r="G1239" s="224"/>
    </row>
    <row r="1240" spans="4:7" ht="12.75">
      <c r="D1240" s="2"/>
      <c r="E1240" s="2"/>
      <c r="F1240" s="2"/>
      <c r="G1240" s="224"/>
    </row>
    <row r="1241" spans="4:7" ht="12.75">
      <c r="D1241" s="2"/>
      <c r="E1241" s="2"/>
      <c r="F1241" s="2"/>
      <c r="G1241" s="224"/>
    </row>
    <row r="1242" spans="4:7" ht="12.75">
      <c r="D1242" s="2"/>
      <c r="E1242" s="2"/>
      <c r="F1242" s="2"/>
      <c r="G1242" s="224"/>
    </row>
    <row r="1243" spans="4:7" ht="12.75">
      <c r="D1243" s="2"/>
      <c r="E1243" s="2"/>
      <c r="F1243" s="2"/>
      <c r="G1243" s="224"/>
    </row>
    <row r="1244" spans="4:7" ht="12.75">
      <c r="D1244" s="2"/>
      <c r="E1244" s="2"/>
      <c r="F1244" s="2"/>
      <c r="G1244" s="224"/>
    </row>
    <row r="1245" spans="4:7" ht="12.75">
      <c r="D1245" s="2"/>
      <c r="E1245" s="2"/>
      <c r="F1245" s="2"/>
      <c r="G1245" s="224"/>
    </row>
    <row r="1246" spans="4:7" ht="12.75">
      <c r="D1246" s="2"/>
      <c r="E1246" s="2"/>
      <c r="F1246" s="2"/>
      <c r="G1246" s="224"/>
    </row>
    <row r="1247" spans="4:7" ht="12.75">
      <c r="D1247" s="2"/>
      <c r="E1247" s="2"/>
      <c r="F1247" s="2"/>
      <c r="G1247" s="224"/>
    </row>
    <row r="1248" spans="4:7" ht="12.75">
      <c r="D1248" s="2"/>
      <c r="E1248" s="2"/>
      <c r="F1248" s="2"/>
      <c r="G1248" s="224"/>
    </row>
    <row r="1249" spans="4:7" ht="12.75">
      <c r="D1249" s="2"/>
      <c r="E1249" s="2"/>
      <c r="F1249" s="2"/>
      <c r="G1249" s="224"/>
    </row>
    <row r="1250" spans="4:7" ht="12.75">
      <c r="D1250" s="2"/>
      <c r="E1250" s="2"/>
      <c r="F1250" s="2"/>
      <c r="G1250" s="224"/>
    </row>
    <row r="1251" spans="4:7" ht="12.75">
      <c r="D1251" s="2"/>
      <c r="E1251" s="2"/>
      <c r="F1251" s="2"/>
      <c r="G1251" s="224"/>
    </row>
    <row r="1252" spans="4:7" ht="12.75">
      <c r="D1252" s="2"/>
      <c r="E1252" s="2"/>
      <c r="F1252" s="2"/>
      <c r="G1252" s="224"/>
    </row>
    <row r="1253" spans="4:7" ht="12.75">
      <c r="D1253" s="2"/>
      <c r="E1253" s="2"/>
      <c r="F1253" s="2"/>
      <c r="G1253" s="224"/>
    </row>
    <row r="1254" spans="4:7" ht="12.75">
      <c r="D1254" s="2"/>
      <c r="E1254" s="2"/>
      <c r="F1254" s="2"/>
      <c r="G1254" s="224"/>
    </row>
    <row r="1255" spans="4:7" ht="12.75">
      <c r="D1255" s="2"/>
      <c r="E1255" s="2"/>
      <c r="F1255" s="2"/>
      <c r="G1255" s="224"/>
    </row>
    <row r="1256" spans="4:7" ht="12.75">
      <c r="D1256" s="2"/>
      <c r="E1256" s="2"/>
      <c r="F1256" s="2"/>
      <c r="G1256" s="224"/>
    </row>
    <row r="1257" spans="4:7" ht="12.75">
      <c r="D1257" s="2"/>
      <c r="E1257" s="2"/>
      <c r="F1257" s="2"/>
      <c r="G1257" s="224"/>
    </row>
    <row r="1258" spans="4:7" ht="12.75">
      <c r="D1258" s="2"/>
      <c r="E1258" s="2"/>
      <c r="F1258" s="2"/>
      <c r="G1258" s="224"/>
    </row>
    <row r="1259" spans="4:7" ht="12.75">
      <c r="D1259" s="2"/>
      <c r="E1259" s="2"/>
      <c r="F1259" s="2"/>
      <c r="G1259" s="224"/>
    </row>
    <row r="1260" spans="4:7" ht="12.75">
      <c r="D1260" s="2"/>
      <c r="E1260" s="2"/>
      <c r="F1260" s="2"/>
      <c r="G1260" s="224"/>
    </row>
    <row r="1261" spans="4:7" ht="12.75">
      <c r="D1261" s="2"/>
      <c r="E1261" s="2"/>
      <c r="F1261" s="2"/>
      <c r="G1261" s="224"/>
    </row>
    <row r="1262" spans="4:7" ht="12.75">
      <c r="D1262" s="2"/>
      <c r="E1262" s="2"/>
      <c r="F1262" s="2"/>
      <c r="G1262" s="224"/>
    </row>
    <row r="1263" spans="4:7" ht="12.75">
      <c r="D1263" s="2"/>
      <c r="E1263" s="2"/>
      <c r="F1263" s="2"/>
      <c r="G1263" s="224"/>
    </row>
    <row r="1264" spans="4:7" ht="12.75">
      <c r="D1264" s="2"/>
      <c r="E1264" s="2"/>
      <c r="F1264" s="2"/>
      <c r="G1264" s="224"/>
    </row>
    <row r="1265" spans="4:7" ht="12.75">
      <c r="D1265" s="2"/>
      <c r="E1265" s="2"/>
      <c r="F1265" s="2"/>
      <c r="G1265" s="224"/>
    </row>
    <row r="1266" spans="4:7" ht="12.75">
      <c r="D1266" s="2"/>
      <c r="E1266" s="2"/>
      <c r="F1266" s="2"/>
      <c r="G1266" s="224"/>
    </row>
    <row r="1267" spans="4:7" ht="12.75">
      <c r="D1267" s="2"/>
      <c r="E1267" s="2"/>
      <c r="F1267" s="2"/>
      <c r="G1267" s="224"/>
    </row>
    <row r="1268" spans="4:7" ht="12.75">
      <c r="D1268" s="2"/>
      <c r="E1268" s="2"/>
      <c r="F1268" s="2"/>
      <c r="G1268" s="224"/>
    </row>
    <row r="1269" spans="4:7" ht="12.75">
      <c r="D1269" s="2"/>
      <c r="E1269" s="2"/>
      <c r="F1269" s="2"/>
      <c r="G1269" s="224"/>
    </row>
    <row r="1270" spans="4:7" ht="12.75">
      <c r="D1270" s="2"/>
      <c r="E1270" s="2"/>
      <c r="F1270" s="2"/>
      <c r="G1270" s="224"/>
    </row>
    <row r="1271" spans="4:7" ht="12.75">
      <c r="D1271" s="2"/>
      <c r="E1271" s="2"/>
      <c r="F1271" s="2"/>
      <c r="G1271" s="224"/>
    </row>
    <row r="1272" spans="4:7" ht="12.75">
      <c r="D1272" s="2"/>
      <c r="E1272" s="2"/>
      <c r="F1272" s="2"/>
      <c r="G1272" s="224"/>
    </row>
    <row r="1273" spans="4:7" ht="12.75">
      <c r="D1273" s="2"/>
      <c r="E1273" s="2"/>
      <c r="F1273" s="2"/>
      <c r="G1273" s="224"/>
    </row>
    <row r="1274" spans="4:7" ht="12.75">
      <c r="D1274" s="2"/>
      <c r="E1274" s="2"/>
      <c r="F1274" s="2"/>
      <c r="G1274" s="224"/>
    </row>
    <row r="1275" spans="4:7" ht="12.75">
      <c r="D1275" s="2"/>
      <c r="E1275" s="2"/>
      <c r="F1275" s="2"/>
      <c r="G1275" s="224"/>
    </row>
    <row r="1276" spans="4:7" ht="12.75">
      <c r="D1276" s="2"/>
      <c r="E1276" s="2"/>
      <c r="F1276" s="2"/>
      <c r="G1276" s="224"/>
    </row>
    <row r="1277" spans="4:7" ht="12.75">
      <c r="D1277" s="2"/>
      <c r="E1277" s="2"/>
      <c r="F1277" s="2"/>
      <c r="G1277" s="224"/>
    </row>
    <row r="1278" spans="4:7" ht="12.75">
      <c r="D1278" s="2"/>
      <c r="E1278" s="2"/>
      <c r="F1278" s="2"/>
      <c r="G1278" s="224"/>
    </row>
    <row r="1279" spans="4:7" ht="12.75">
      <c r="D1279" s="2"/>
      <c r="E1279" s="2"/>
      <c r="F1279" s="2"/>
      <c r="G1279" s="224"/>
    </row>
    <row r="1280" spans="4:7" ht="12.75">
      <c r="D1280" s="2"/>
      <c r="E1280" s="2"/>
      <c r="F1280" s="2"/>
      <c r="G1280" s="224"/>
    </row>
    <row r="1281" spans="4:7" ht="12.75">
      <c r="D1281" s="2"/>
      <c r="E1281" s="2"/>
      <c r="F1281" s="2"/>
      <c r="G1281" s="224"/>
    </row>
    <row r="1282" spans="4:7" ht="12.75">
      <c r="D1282" s="2"/>
      <c r="E1282" s="2"/>
      <c r="F1282" s="2"/>
      <c r="G1282" s="224"/>
    </row>
    <row r="1283" spans="4:7" ht="12.75">
      <c r="D1283" s="2"/>
      <c r="E1283" s="2"/>
      <c r="F1283" s="2"/>
      <c r="G1283" s="224"/>
    </row>
    <row r="1284" spans="4:7" ht="12.75">
      <c r="D1284" s="2"/>
      <c r="E1284" s="2"/>
      <c r="F1284" s="2"/>
      <c r="G1284" s="224"/>
    </row>
    <row r="1285" spans="4:7" ht="12.75">
      <c r="D1285" s="2"/>
      <c r="E1285" s="2"/>
      <c r="F1285" s="2"/>
      <c r="G1285" s="224"/>
    </row>
    <row r="1286" spans="4:7" ht="12.75">
      <c r="D1286" s="2"/>
      <c r="E1286" s="2"/>
      <c r="F1286" s="2"/>
      <c r="G1286" s="224"/>
    </row>
    <row r="1287" spans="4:7" ht="12.75">
      <c r="D1287" s="2"/>
      <c r="E1287" s="2"/>
      <c r="F1287" s="2"/>
      <c r="G1287" s="224"/>
    </row>
    <row r="1288" spans="4:7" ht="12.75">
      <c r="D1288" s="2"/>
      <c r="E1288" s="2"/>
      <c r="F1288" s="2"/>
      <c r="G1288" s="224"/>
    </row>
    <row r="1289" spans="4:7" ht="12.75">
      <c r="D1289" s="2"/>
      <c r="E1289" s="2"/>
      <c r="F1289" s="2"/>
      <c r="G1289" s="224"/>
    </row>
    <row r="1290" spans="4:7" ht="12.75">
      <c r="D1290" s="2"/>
      <c r="E1290" s="2"/>
      <c r="F1290" s="2"/>
      <c r="G1290" s="224"/>
    </row>
    <row r="1291" spans="4:7" ht="12.75">
      <c r="D1291" s="2"/>
      <c r="E1291" s="2"/>
      <c r="F1291" s="2"/>
      <c r="G1291" s="224"/>
    </row>
    <row r="1292" spans="4:7" ht="12.75">
      <c r="D1292" s="2"/>
      <c r="E1292" s="2"/>
      <c r="F1292" s="2"/>
      <c r="G1292" s="224"/>
    </row>
    <row r="1293" spans="4:7" ht="12.75">
      <c r="D1293" s="2"/>
      <c r="E1293" s="2"/>
      <c r="F1293" s="2"/>
      <c r="G1293" s="224"/>
    </row>
    <row r="1294" spans="4:7" ht="12.75">
      <c r="D1294" s="2"/>
      <c r="E1294" s="2"/>
      <c r="F1294" s="2"/>
      <c r="G1294" s="224"/>
    </row>
    <row r="1295" spans="4:7" ht="12.75">
      <c r="D1295" s="2"/>
      <c r="E1295" s="2"/>
      <c r="F1295" s="2"/>
      <c r="G1295" s="224"/>
    </row>
    <row r="1296" spans="4:7" ht="12.75">
      <c r="D1296" s="2"/>
      <c r="E1296" s="2"/>
      <c r="F1296" s="2"/>
      <c r="G1296" s="224"/>
    </row>
    <row r="1297" spans="4:7" ht="12.75">
      <c r="D1297" s="2"/>
      <c r="E1297" s="2"/>
      <c r="F1297" s="2"/>
      <c r="G1297" s="224"/>
    </row>
    <row r="1298" spans="4:7" ht="12.75">
      <c r="D1298" s="2"/>
      <c r="E1298" s="2"/>
      <c r="F1298" s="2"/>
      <c r="G1298" s="224"/>
    </row>
    <row r="1299" spans="4:7" ht="12.75">
      <c r="D1299" s="2"/>
      <c r="E1299" s="2"/>
      <c r="F1299" s="2"/>
      <c r="G1299" s="224"/>
    </row>
    <row r="1300" spans="4:7" ht="12.75">
      <c r="D1300" s="2"/>
      <c r="E1300" s="2"/>
      <c r="F1300" s="2"/>
      <c r="G1300" s="224"/>
    </row>
    <row r="1301" spans="4:7" ht="12.75">
      <c r="D1301" s="2"/>
      <c r="E1301" s="2"/>
      <c r="F1301" s="2"/>
      <c r="G1301" s="224"/>
    </row>
    <row r="1302" spans="4:7" ht="12.75">
      <c r="D1302" s="2"/>
      <c r="E1302" s="2"/>
      <c r="F1302" s="2"/>
      <c r="G1302" s="224"/>
    </row>
    <row r="1303" spans="4:7" ht="12.75">
      <c r="D1303" s="2"/>
      <c r="E1303" s="2"/>
      <c r="F1303" s="2"/>
      <c r="G1303" s="224"/>
    </row>
    <row r="1304" spans="4:7" ht="12.75">
      <c r="D1304" s="2"/>
      <c r="E1304" s="2"/>
      <c r="F1304" s="2"/>
      <c r="G1304" s="224"/>
    </row>
    <row r="1305" spans="4:7" ht="12.75">
      <c r="D1305" s="2"/>
      <c r="E1305" s="2"/>
      <c r="F1305" s="2"/>
      <c r="G1305" s="224"/>
    </row>
    <row r="1306" spans="4:7" ht="12.75">
      <c r="D1306" s="2"/>
      <c r="E1306" s="2"/>
      <c r="F1306" s="2"/>
      <c r="G1306" s="224"/>
    </row>
    <row r="1307" spans="4:7" ht="12.75">
      <c r="D1307" s="2"/>
      <c r="E1307" s="2"/>
      <c r="F1307" s="2"/>
      <c r="G1307" s="224"/>
    </row>
    <row r="1308" spans="4:7" ht="12.75">
      <c r="D1308" s="2"/>
      <c r="E1308" s="2"/>
      <c r="F1308" s="2"/>
      <c r="G1308" s="224"/>
    </row>
    <row r="1309" spans="4:7" ht="12.75">
      <c r="D1309" s="2"/>
      <c r="E1309" s="2"/>
      <c r="F1309" s="2"/>
      <c r="G1309" s="224"/>
    </row>
    <row r="1310" spans="4:7" ht="12.75">
      <c r="D1310" s="2"/>
      <c r="E1310" s="2"/>
      <c r="F1310" s="2"/>
      <c r="G1310" s="224"/>
    </row>
    <row r="1311" spans="4:7" ht="12.75">
      <c r="D1311" s="2"/>
      <c r="E1311" s="2"/>
      <c r="F1311" s="2"/>
      <c r="G1311" s="224"/>
    </row>
    <row r="1312" spans="4:7" ht="12.75">
      <c r="D1312" s="2"/>
      <c r="E1312" s="2"/>
      <c r="F1312" s="2"/>
      <c r="G1312" s="224"/>
    </row>
  </sheetData>
  <autoFilter ref="A3:I994"/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28" t="str">
        <f ca="1">IFERROR(__xludf.DUMMYFUNCTION("QUERY(REP_EST_PARC!A5:Z1000,""SELECT A,B,C,D,E,F,G,I WHERE I&gt;0 label I 'PRE'"")"),"")</f>
        <v/>
      </c>
      <c r="B1" s="228" t="str">
        <f ca="1">IFERROR(__xludf.DUMMYFUNCTION("""COMPUTED_VALUE"""),"")</f>
        <v/>
      </c>
      <c r="C1" s="228" t="str">
        <f ca="1">IFERROR(__xludf.DUMMYFUNCTION("""COMPUTED_VALUE"""),"")</f>
        <v/>
      </c>
      <c r="D1" s="228" t="str">
        <f ca="1">IFERROR(__xludf.DUMMYFUNCTION("""COMPUTED_VALUE"""),"")</f>
        <v/>
      </c>
      <c r="E1" s="228" t="str">
        <f ca="1">IFERROR(__xludf.DUMMYFUNCTION("""COMPUTED_VALUE"""),"")</f>
        <v/>
      </c>
      <c r="F1" s="228" t="str">
        <f ca="1">IFERROR(__xludf.DUMMYFUNCTION("""COMPUTED_VALUE"""),"")</f>
        <v/>
      </c>
      <c r="G1" s="229" t="str">
        <f ca="1">IFERROR(__xludf.DUMMYFUNCTION("""COMPUTED_VALUE"""),"")</f>
        <v/>
      </c>
      <c r="H1" s="228" t="str">
        <f ca="1">IFERROR(__xludf.DUMMYFUNCTION("""COMPUTED_VALUE"""),"PRE")</f>
        <v>PRE</v>
      </c>
      <c r="I1" s="230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IFERROR(__xludf.DUMMYFUNCTION("""COMPUTED_VALUE"""),420)</f>
        <v>420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IFERROR(__xludf.DUMMYFUNCTION("""COMPUTED_VALUE"""),210)</f>
        <v>210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IFERROR(__xludf.DUMMYFUNCTION("""COMPUTED_VALUE"""),"Goianorte")</f>
        <v>Goianorte</v>
      </c>
      <c r="C5" t="str">
        <f ca="1">IFERROR(__xludf.DUMMYFUNCTION("""COMPUTED_VALUE"""),"ASSOC. DE APOIO DA ESCOLA ESPECIAL NOVOV PARAÍSO - APAE")</f>
        <v>ASSOC. DE APOIO DA ESCOLA ESPECIAL NOVOV PARAÍSO - APAE</v>
      </c>
      <c r="D5" t="str">
        <f ca="1">IFERROR(__xludf.DUMMYFUNCTION("""COMPUTED_VALUE"""),"09510602000163")</f>
        <v>09510602000163</v>
      </c>
      <c r="E5" t="str">
        <f ca="1">IFERROR(__xludf.DUMMYFUNCTION("""COMPUTED_VALUE"""),"001")</f>
        <v>001</v>
      </c>
      <c r="F5" t="str">
        <f ca="1">IFERROR(__xludf.DUMMYFUNCTION("""COMPUTED_VALUE"""),"1306")</f>
        <v>1306</v>
      </c>
      <c r="G5" t="str">
        <f ca="1">IFERROR(__xludf.DUMMYFUNCTION("""COMPUTED_VALUE"""),"138258")</f>
        <v>138258</v>
      </c>
      <c r="H5" s="7">
        <f ca="1">IFERROR(__xludf.DUMMYFUNCTION("""COMPUTED_VALUE"""),84)</f>
        <v>84</v>
      </c>
      <c r="I5" t="str">
        <v>PRÉ-ESCOLA</v>
      </c>
    </row>
    <row r="6" spans="1:9" ht="12.75">
      <c r="A6" t="str">
        <f ca="1">IFERROR(__xludf.DUMMYFUNCTION("""COMPUTED_VALUE"""),"Guaraí")</f>
        <v>Guaraí</v>
      </c>
      <c r="B6" t="str">
        <f ca="1">IFERROR(__xludf.DUMMYFUNCTION("""COMPUTED_VALUE"""),"Guarai")</f>
        <v>Guarai</v>
      </c>
      <c r="C6" t="str">
        <f ca="1">IFERROR(__xludf.DUMMYFUNCTION("""COMPUTED_VALUE"""),"ASSOCIAÇÃO DE APOIO A ESCOLA ESPECIAL ESTRELA DA ESPERANÇA")</f>
        <v>ASSOCIAÇÃO DE APOIO A ESCOLA ESPECIAL ESTRELA DA ESPERANÇA</v>
      </c>
      <c r="D6" t="str">
        <f ca="1">IFERROR(__xludf.DUMMYFUNCTION("""COMPUTED_VALUE"""),"07938604000122")</f>
        <v>07938604000122</v>
      </c>
      <c r="E6" t="str">
        <f ca="1">IFERROR(__xludf.DUMMYFUNCTION("""COMPUTED_VALUE"""),"001")</f>
        <v>001</v>
      </c>
      <c r="F6" t="str">
        <f ca="1">IFERROR(__xludf.DUMMYFUNCTION("""COMPUTED_VALUE"""),"2094")</f>
        <v>2094</v>
      </c>
      <c r="G6" t="str">
        <f ca="1">IFERROR(__xludf.DUMMYFUNCTION("""COMPUTED_VALUE"""),"211621")</f>
        <v>211621</v>
      </c>
      <c r="H6" s="7">
        <f ca="1">IFERROR(__xludf.DUMMYFUNCTION("""COMPUTED_VALUE"""),63)</f>
        <v>63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IFERROR(__xludf.DUMMYFUNCTION("""COMPUTED_VALUE"""),"Alianca do Tocantins")</f>
        <v>Alianca do Tocantins</v>
      </c>
      <c r="C7" t="str">
        <f ca="1">IFERROR(__xludf.DUMMYFUNCTION("""COMPUTED_VALUE"""),"ASSOCIAÇÃO DE APOIO A ESCOLA ESPECIAL AMOR FRATERNAL")</f>
        <v>ASSOCIAÇÃO DE APOIO A ESCOLA ESPECIAL AMOR FRATERNAL</v>
      </c>
      <c r="D7" t="str">
        <f ca="1">IFERROR(__xludf.DUMMYFUNCTION("""COMPUTED_VALUE"""),"07953958000146")</f>
        <v>07953958000146</v>
      </c>
      <c r="E7" t="str">
        <f ca="1">IFERROR(__xludf.DUMMYFUNCTION("""COMPUTED_VALUE"""),"001")</f>
        <v>001</v>
      </c>
      <c r="F7" t="str">
        <f ca="1">IFERROR(__xludf.DUMMYFUNCTION("""COMPUTED_VALUE"""),"3972")</f>
        <v>3972</v>
      </c>
      <c r="G7" t="str">
        <f ca="1">IFERROR(__xludf.DUMMYFUNCTION("""COMPUTED_VALUE"""),"90115")</f>
        <v>90115</v>
      </c>
      <c r="H7" s="7">
        <f ca="1">IFERROR(__xludf.DUMMYFUNCTION("""COMPUTED_VALUE"""),189)</f>
        <v>189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IFERROR(__xludf.DUMMYFUNCTION("""COMPUTED_VALUE"""),"Alvorada")</f>
        <v>Alvorada</v>
      </c>
      <c r="C8" t="str">
        <f ca="1">IFERROR(__xludf.DUMMYFUNCTION("""COMPUTED_VALUE"""),"A.P.A.DOS EXCEP. DE ALVORADA-APAE")</f>
        <v>A.P.A.DOS EXCEP. DE ALVORADA-APAE</v>
      </c>
      <c r="D8" t="str">
        <f ca="1">IFERROR(__xludf.DUMMYFUNCTION("""COMPUTED_VALUE"""),"02201735000109")</f>
        <v>02201735000109</v>
      </c>
      <c r="E8" t="str">
        <f ca="1">IFERROR(__xludf.DUMMYFUNCTION("""COMPUTED_VALUE"""),"001")</f>
        <v>001</v>
      </c>
      <c r="F8" t="str">
        <f ca="1">IFERROR(__xludf.DUMMYFUNCTION("""COMPUTED_VALUE"""),"1303")</f>
        <v>1303</v>
      </c>
      <c r="G8" t="str">
        <f ca="1">IFERROR(__xludf.DUMMYFUNCTION("""COMPUTED_VALUE"""),"101826")</f>
        <v>101826</v>
      </c>
      <c r="H8" s="7">
        <f ca="1">IFERROR(__xludf.DUMMYFUNCTION("""COMPUTED_VALUE"""),294)</f>
        <v>294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IFERROR(__xludf.DUMMYFUNCTION("""COMPUTED_VALUE"""),"Araguacu")</f>
        <v>Araguacu</v>
      </c>
      <c r="C9" t="str">
        <f ca="1">IFERROR(__xludf.DUMMYFUNCTION("""COMPUTED_VALUE"""),"A..A. ESC. ESPECIAL  ABELINHA EM BUSCA DO SABER")</f>
        <v>A..A. ESC. ESPECIAL  ABELINHA EM BUSCA DO SABER</v>
      </c>
      <c r="D9" t="str">
        <f ca="1">IFERROR(__xludf.DUMMYFUNCTION("""COMPUTED_VALUE"""),"07924466000122")</f>
        <v>07924466000122</v>
      </c>
      <c r="E9" t="str">
        <f ca="1">IFERROR(__xludf.DUMMYFUNCTION("""COMPUTED_VALUE"""),"001")</f>
        <v>001</v>
      </c>
      <c r="F9" t="str">
        <f ca="1">IFERROR(__xludf.DUMMYFUNCTION("""COMPUTED_VALUE"""),"1304")</f>
        <v>1304</v>
      </c>
      <c r="G9" t="str">
        <f ca="1">IFERROR(__xludf.DUMMYFUNCTION("""COMPUTED_VALUE"""),"136417")</f>
        <v>136417</v>
      </c>
      <c r="H9" s="7">
        <f ca="1">IFERROR(__xludf.DUMMYFUNCTION("""COMPUTED_VALUE"""),84)</f>
        <v>84</v>
      </c>
      <c r="I9" t="str">
        <v>PRÉ-ESCOLA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IFERROR(__xludf.DUMMYFUNCTION("""COMPUTED_VALUE"""),"Gurupi")</f>
        <v>Gurupi</v>
      </c>
      <c r="C10" t="str">
        <f ca="1">IFERROR(__xludf.DUMMYFUNCTION("""COMPUTED_VALUE"""),"ASSOCIAÇÃO DE APOIO A ESCOLA ESPECIAL SÃO FRANCISCO DE ASSIS")</f>
        <v>ASSOCIAÇÃO DE APOIO A ESCOLA ESPECIAL SÃO FRANCISCO DE ASSIS</v>
      </c>
      <c r="D10" t="str">
        <f ca="1">IFERROR(__xludf.DUMMYFUNCTION("""COMPUTED_VALUE"""),"07947356000186")</f>
        <v>07947356000186</v>
      </c>
      <c r="E10" t="str">
        <f ca="1">IFERROR(__xludf.DUMMYFUNCTION("""COMPUTED_VALUE"""),"001")</f>
        <v>001</v>
      </c>
      <c r="F10" t="str">
        <f ca="1">IFERROR(__xludf.DUMMYFUNCTION("""COMPUTED_VALUE"""),"0794")</f>
        <v>0794</v>
      </c>
      <c r="G10" t="str">
        <f ca="1">IFERROR(__xludf.DUMMYFUNCTION("""COMPUTED_VALUE"""),"431109")</f>
        <v>431109</v>
      </c>
      <c r="H10" s="7">
        <f ca="1">IFERROR(__xludf.DUMMYFUNCTION("""COMPUTED_VALUE"""),483)</f>
        <v>483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IFERROR(__xludf.DUMMYFUNCTION("""COMPUTED_VALUE"""),"Miracema do Tocantins")</f>
        <v>Miracema do Tocantins</v>
      </c>
      <c r="C11" t="str">
        <f ca="1">IFERROR(__xludf.DUMMYFUNCTION("""COMPUTED_VALUE"""),"A.P.A.DOS EXECEPCIONAIS DE MIRACEMA - APAE")</f>
        <v>A.P.A.DOS EXECEPCIONAIS DE MIRACEMA - APAE</v>
      </c>
      <c r="D11" t="str">
        <f ca="1">IFERROR(__xludf.DUMMYFUNCTION("""COMPUTED_VALUE"""),"38146965000160")</f>
        <v>38146965000160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IFERROR(__xludf.DUMMYFUNCTION("""COMPUTED_VALUE"""),"93734")</f>
        <v>93734</v>
      </c>
      <c r="H11" s="7">
        <f ca="1">IFERROR(__xludf.DUMMYFUNCTION("""COMPUTED_VALUE"""),357)</f>
        <v>357</v>
      </c>
      <c r="I11" t="str">
        <v>PRÉ-ESCOLA</v>
      </c>
    </row>
    <row r="12" spans="1:9" ht="12.75">
      <c r="A12" t="str">
        <f ca="1">IFERROR(__xludf.DUMMYFUNCTION("""COMPUTED_VALUE"""),"Miracema")</f>
        <v>Miracema</v>
      </c>
      <c r="B12" t="str">
        <f ca="1">IFERROR(__xludf.DUMMYFUNCTION("""COMPUTED_VALUE"""),"Miranorte")</f>
        <v>Miranorte</v>
      </c>
      <c r="C12" t="str">
        <f ca="1">IFERROR(__xludf.DUMMYFUNCTION("""COMPUTED_VALUE"""),"A.A ESC. ESPECIAL CORAÇÃO DE MARIA")</f>
        <v>A.A ESC. ESPECIAL CORAÇÃO DE MARIA</v>
      </c>
      <c r="D12" t="str">
        <f ca="1">IFERROR(__xludf.DUMMYFUNCTION("""COMPUTED_VALUE"""),"07968866000130")</f>
        <v>07968866000130</v>
      </c>
      <c r="E12" t="str">
        <f ca="1">IFERROR(__xludf.DUMMYFUNCTION("""COMPUTED_VALUE"""),"001")</f>
        <v>001</v>
      </c>
      <c r="F12" t="str">
        <f ca="1">IFERROR(__xludf.DUMMYFUNCTION("""COMPUTED_VALUE"""),"0862")</f>
        <v>0862</v>
      </c>
      <c r="G12" t="str">
        <f ca="1">IFERROR(__xludf.DUMMYFUNCTION("""COMPUTED_VALUE"""),"265217")</f>
        <v>265217</v>
      </c>
      <c r="H12" s="7">
        <f ca="1">IFERROR(__xludf.DUMMYFUNCTION("""COMPUTED_VALUE"""),252)</f>
        <v>252</v>
      </c>
      <c r="I12" t="str">
        <v>PRÉ-ESCOLA</v>
      </c>
    </row>
    <row r="13" spans="1:9" ht="12.75">
      <c r="A13" t="str">
        <f ca="1">IFERROR(__xludf.DUMMYFUNCTION("""COMPUTED_VALUE"""),"Palmas")</f>
        <v>Palmas</v>
      </c>
      <c r="B13" t="str">
        <f ca="1">IFERROR(__xludf.DUMMYFUNCTION("""COMPUTED_VALUE"""),"Palmas")</f>
        <v>Palmas</v>
      </c>
      <c r="C13" t="str">
        <f ca="1">IFERROR(__xludf.DUMMYFUNCTION("""COMPUTED_VALUE"""),"ASSOCIAÇÃO DE APOIO DA ESCOLA ESPECIAL INTEGRAÇÃO DE PALMAS")</f>
        <v>ASSOCIAÇÃO DE APOIO DA ESCOLA ESPECIAL INTEGRAÇÃO DE PALMAS</v>
      </c>
      <c r="D13" t="str">
        <f ca="1">IFERROR(__xludf.DUMMYFUNCTION("""COMPUTED_VALUE"""),"07958777000102")</f>
        <v>07958777000102</v>
      </c>
      <c r="E13" t="str">
        <f ca="1">IFERROR(__xludf.DUMMYFUNCTION("""COMPUTED_VALUE"""),"001")</f>
        <v>001</v>
      </c>
      <c r="F13" t="str">
        <f ca="1">IFERROR(__xludf.DUMMYFUNCTION("""COMPUTED_VALUE"""),"1505")</f>
        <v>1505</v>
      </c>
      <c r="G13" t="str">
        <f ca="1">IFERROR(__xludf.DUMMYFUNCTION("""COMPUTED_VALUE"""),"385328")</f>
        <v>385328</v>
      </c>
      <c r="H13" s="7">
        <f ca="1">IFERROR(__xludf.DUMMYFUNCTION("""COMPUTED_VALUE"""),777)</f>
        <v>777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IFERROR(__xludf.DUMMYFUNCTION("""COMPUTED_VALUE"""),"Barrolandia")</f>
        <v>Barrolandia</v>
      </c>
      <c r="C14" t="str">
        <f ca="1">IFERROR(__xludf.DUMMYFUNCTION("""COMPUTED_VALUE"""),"A..A. ESC. ESPECIAL AMOR DE DEUS")</f>
        <v>A..A. ESC. ESPECIAL AMOR DE DEUS</v>
      </c>
      <c r="D14" t="str">
        <f ca="1">IFERROR(__xludf.DUMMYFUNCTION("""COMPUTED_VALUE"""),"07935641000187")</f>
        <v>07935641000187</v>
      </c>
      <c r="E14" t="str">
        <f ca="1">IFERROR(__xludf.DUMMYFUNCTION("""COMPUTED_VALUE"""),"001")</f>
        <v>001</v>
      </c>
      <c r="F14" t="str">
        <f ca="1">IFERROR(__xludf.DUMMYFUNCTION("""COMPUTED_VALUE"""),"0804")</f>
        <v>0804</v>
      </c>
      <c r="G14" t="str">
        <f ca="1">IFERROR(__xludf.DUMMYFUNCTION("""COMPUTED_VALUE"""),"279501")</f>
        <v>279501</v>
      </c>
      <c r="H14" s="7">
        <f ca="1">IFERROR(__xludf.DUMMYFUNCTION("""COMPUTED_VALUE"""),273)</f>
        <v>273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IFERROR(__xludf.DUMMYFUNCTION("""COMPUTED_VALUE"""),"Cristalandia")</f>
        <v>Cristalandia</v>
      </c>
      <c r="C15" t="str">
        <f ca="1">IFERROR(__xludf.DUMMYFUNCTION("""COMPUTED_VALUE"""),"APAE DE CRISTALÂNDIA")</f>
        <v>APAE DE CRISTALÂNDIA</v>
      </c>
      <c r="D15" t="str">
        <f ca="1">IFERROR(__xludf.DUMMYFUNCTION("""COMPUTED_VALUE"""),"01995319000167")</f>
        <v>01995319000167</v>
      </c>
      <c r="E15" t="str">
        <f ca="1">IFERROR(__xludf.DUMMYFUNCTION("""COMPUTED_VALUE"""),"001")</f>
        <v>001</v>
      </c>
      <c r="F15" t="str">
        <f ca="1">IFERROR(__xludf.DUMMYFUNCTION("""COMPUTED_VALUE"""),"3638")</f>
        <v>3638</v>
      </c>
      <c r="G15" t="str">
        <f ca="1">IFERROR(__xludf.DUMMYFUNCTION("""COMPUTED_VALUE"""),"71315")</f>
        <v>71315</v>
      </c>
      <c r="H15" s="7">
        <f ca="1">IFERROR(__xludf.DUMMYFUNCTION("""COMPUTED_VALUE"""),105)</f>
        <v>105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IFERROR(__xludf.DUMMYFUNCTION("""COMPUTED_VALUE"""),"Lagoa da Confusao")</f>
        <v>Lagoa da Confusao</v>
      </c>
      <c r="C16" t="str">
        <f ca="1">IFERROR(__xludf.DUMMYFUNCTION("""COMPUTED_VALUE"""),"ASSOCIAÇÃO DA ESCOLA ESPECIAL LAGOA DA CONFUSÃO")</f>
        <v>ASSOCIAÇÃO DA ESCOLA ESPECIAL LAGOA DA CONFUSÃO</v>
      </c>
      <c r="D16" t="str">
        <f ca="1">IFERROR(__xludf.DUMMYFUNCTION("""COMPUTED_VALUE"""),"08755554000100")</f>
        <v>08755554000100</v>
      </c>
      <c r="E16" t="str">
        <f ca="1">IFERROR(__xludf.DUMMYFUNCTION("""COMPUTED_VALUE"""),"001")</f>
        <v>001</v>
      </c>
      <c r="F16" t="str">
        <f ca="1">IFERROR(__xludf.DUMMYFUNCTION("""COMPUTED_VALUE"""),"3983")</f>
        <v>3983</v>
      </c>
      <c r="G16" t="str">
        <f ca="1">IFERROR(__xludf.DUMMYFUNCTION("""COMPUTED_VALUE"""),"83712")</f>
        <v>83712</v>
      </c>
      <c r="H16" s="7">
        <f ca="1">IFERROR(__xludf.DUMMYFUNCTION("""COMPUTED_VALUE"""),168)</f>
        <v>168</v>
      </c>
      <c r="I16" t="str">
        <v>PRÉ-ESCOLA</v>
      </c>
    </row>
    <row r="17" spans="1:9" ht="12.75">
      <c r="A17" t="str">
        <f ca="1">IFERROR(__xludf.DUMMYFUNCTION("""COMPUTED_VALUE"""),"Paraíso")</f>
        <v>Paraíso</v>
      </c>
      <c r="B17" t="str">
        <f ca="1">IFERROR(__xludf.DUMMYFUNCTION("""COMPUTED_VALUE"""),"Paraiso do Tocantins")</f>
        <v>Paraiso do Tocantins</v>
      </c>
      <c r="C17" t="str">
        <f ca="1">IFERROR(__xludf.DUMMYFUNCTION("""COMPUTED_VALUE"""),"AAE. ESPECIAL LUZ DA VIDA")</f>
        <v>AAE. ESPECIAL LUZ DA VIDA</v>
      </c>
      <c r="D17" t="str">
        <f ca="1">IFERROR(__xludf.DUMMYFUNCTION("""COMPUTED_VALUE"""),"07905330000175")</f>
        <v>07905330000175</v>
      </c>
      <c r="E17" t="str">
        <f ca="1">IFERROR(__xludf.DUMMYFUNCTION("""COMPUTED_VALUE"""),"001")</f>
        <v>001</v>
      </c>
      <c r="F17" t="str">
        <f ca="1">IFERROR(__xludf.DUMMYFUNCTION("""COMPUTED_VALUE"""),"0804")</f>
        <v>0804</v>
      </c>
      <c r="G17" t="str">
        <f ca="1">IFERROR(__xludf.DUMMYFUNCTION("""COMPUTED_VALUE"""),"331724")</f>
        <v>331724</v>
      </c>
      <c r="H17" s="7">
        <f ca="1">IFERROR(__xludf.DUMMYFUNCTION("""COMPUTED_VALUE"""),420)</f>
        <v>420</v>
      </c>
      <c r="I17" t="str">
        <v>PRÉ-ESCOLA</v>
      </c>
    </row>
    <row r="18" spans="1:9" ht="12.75">
      <c r="A18" t="str">
        <f ca="1">IFERROR(__xludf.DUMMYFUNCTION("""COMPUTED_VALUE"""),"Porto Nacional")</f>
        <v>Porto Nacional</v>
      </c>
      <c r="B18" t="str">
        <f ca="1">IFERROR(__xludf.DUMMYFUNCTION("""COMPUTED_VALUE"""),"Porto Nacional")</f>
        <v>Porto Nacional</v>
      </c>
      <c r="C18" t="str">
        <f ca="1">IFERROR(__xludf.DUMMYFUNCTION("""COMPUTED_VALUE"""),"ASSOC.P.A.DOS EXCEP. DE PORTO NACIONAL")</f>
        <v>ASSOC.P.A.DOS EXCEP. DE PORTO NACIONAL</v>
      </c>
      <c r="D18" t="str">
        <f ca="1">IFERROR(__xludf.DUMMYFUNCTION("""COMPUTED_VALUE"""),"26752113000137")</f>
        <v>26752113000137</v>
      </c>
      <c r="E18" t="str">
        <f ca="1">IFERROR(__xludf.DUMMYFUNCTION("""COMPUTED_VALUE"""),"001")</f>
        <v>001</v>
      </c>
      <c r="F18" t="str">
        <f ca="1">IFERROR(__xludf.DUMMYFUNCTION("""COMPUTED_VALUE"""),"1117")</f>
        <v>1117</v>
      </c>
      <c r="G18" t="str">
        <f ca="1">IFERROR(__xludf.DUMMYFUNCTION("""COMPUTED_VALUE"""),"86657")</f>
        <v>86657</v>
      </c>
      <c r="H18" s="7">
        <f ca="1">IFERROR(__xludf.DUMMYFUNCTION("""COMPUTED_VALUE"""),252)</f>
        <v>252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IFERROR(__xludf.DUMMYFUNCTION("""COMPUTED_VALUE"""),"Nazare")</f>
        <v>Nazare</v>
      </c>
      <c r="C19" t="str">
        <f ca="1">IFERROR(__xludf.DUMMYFUNCTION("""COMPUTED_VALUE"""),"ASSOC. DE APOIO A ESC. EST.ESPECIAL BEM VIVER")</f>
        <v>ASSOC. DE APOIO A ESC. EST.ESPECIAL BEM VIVER</v>
      </c>
      <c r="D19" t="str">
        <f ca="1">IFERROR(__xludf.DUMMYFUNCTION("""COMPUTED_VALUE"""),"10520927000106")</f>
        <v>10520927000106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IFERROR(__xludf.DUMMYFUNCTION("""COMPUTED_VALUE"""),"200336")</f>
        <v>200336</v>
      </c>
      <c r="H19" s="7">
        <f ca="1">IFERROR(__xludf.DUMMYFUNCTION("""COMPUTED_VALUE"""),210)</f>
        <v>210</v>
      </c>
      <c r="I19" t="str">
        <v>PRÉ-ESCOLA</v>
      </c>
    </row>
    <row r="20" spans="1:9" ht="12.75">
      <c r="A20" t="str">
        <f ca="1">IFERROR(__xludf.DUMMYFUNCTION("""COMPUTED_VALUE"""),"Tocantinópolis")</f>
        <v>Tocantinópolis</v>
      </c>
      <c r="B20" t="str">
        <f ca="1">IFERROR(__xludf.DUMMYFUNCTION("""COMPUTED_VALUE"""),"Tocantinopolis")</f>
        <v>Tocantinopolis</v>
      </c>
      <c r="C20" t="str">
        <f ca="1">IFERROR(__xludf.DUMMYFUNCTION("""COMPUTED_VALUE"""),"ASSOCIAÇÃO DE APOIO A ESCOLA ESPECIAL UM PASSO DIFERENTE -APAE")</f>
        <v>ASSOCIAÇÃO DE APOIO A ESCOLA ESPECIAL UM PASSO DIFERENTE -APAE</v>
      </c>
      <c r="D20" t="str">
        <f ca="1">IFERROR(__xludf.DUMMYFUNCTION("""COMPUTED_VALUE"""),"08012610000117")</f>
        <v>08012610000117</v>
      </c>
      <c r="E20" t="str">
        <f ca="1">IFERROR(__xludf.DUMMYFUNCTION("""COMPUTED_VALUE"""),"001")</f>
        <v>001</v>
      </c>
      <c r="F20" t="str">
        <f ca="1">IFERROR(__xludf.DUMMYFUNCTION("""COMPUTED_VALUE"""),"0810")</f>
        <v>0810</v>
      </c>
      <c r="G20" t="str">
        <f ca="1">IFERROR(__xludf.DUMMYFUNCTION("""COMPUTED_VALUE"""),"204250")</f>
        <v>204250</v>
      </c>
      <c r="H20" s="7">
        <f ca="1">IFERROR(__xludf.DUMMYFUNCTION("""COMPUTED_VALUE"""),63)</f>
        <v>63</v>
      </c>
      <c r="I20" t="str">
        <v>PRÉ-ESCOLA</v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28" t="str">
        <f ca="1">IFERROR(__xludf.DUMMYFUNCTION("QUERY(REP_EST_PARC!A5:Z1000,""SELECT A,B,C,D,E,F,G,J WHERE J&gt;0 label J 'E.F. PARC'"")"),"")</f>
        <v/>
      </c>
      <c r="B1" s="228" t="str">
        <f ca="1">IFERROR(__xludf.DUMMYFUNCTION("""COMPUTED_VALUE"""),"")</f>
        <v/>
      </c>
      <c r="C1" s="228" t="str">
        <f ca="1">IFERROR(__xludf.DUMMYFUNCTION("""COMPUTED_VALUE"""),"")</f>
        <v/>
      </c>
      <c r="D1" s="228" t="str">
        <f ca="1">IFERROR(__xludf.DUMMYFUNCTION("""COMPUTED_VALUE"""),"")</f>
        <v/>
      </c>
      <c r="E1" s="228" t="str">
        <f ca="1">IFERROR(__xludf.DUMMYFUNCTION("""COMPUTED_VALUE"""),"")</f>
        <v/>
      </c>
      <c r="F1" s="228" t="str">
        <f ca="1">IFERROR(__xludf.DUMMYFUNCTION("""COMPUTED_VALUE"""),"")</f>
        <v/>
      </c>
      <c r="G1" s="229" t="str">
        <f ca="1">IFERROR(__xludf.DUMMYFUNCTION("""COMPUTED_VALUE"""),"")</f>
        <v/>
      </c>
      <c r="H1" s="228" t="str">
        <f ca="1">IFERROR(__xludf.DUMMYFUNCTION("""COMPUTED_VALUE"""),"E.F. PARC")</f>
        <v>E.F. PARC</v>
      </c>
      <c r="I1" s="231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IFERROR(__xludf.DUMMYFUNCTION("""COMPUTED_VALUE"""),6426)</f>
        <v>6426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IFERROR(__xludf.DUMMYFUNCTION("""COMPUTED_VALUE"""),987)</f>
        <v>987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IFERROR(__xludf.DUMMYFUNCTION("""COMPUTED_VALUE"""),6972)</f>
        <v>6972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IFERROR(__xludf.DUMMYFUNCTION("""COMPUTED_VALUE"""),3339)</f>
        <v>3339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IFERROR(__xludf.DUMMYFUNCTION("""COMPUTED_VALUE"""),11004)</f>
        <v>11004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IFERROR(__xludf.DUMMYFUNCTION("""COMPUTED_VALUE"""),8652)</f>
        <v>8652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IFERROR(__xludf.DUMMYFUNCTION("""COMPUTED_VALUE"""),11571)</f>
        <v>11571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IFERROR(__xludf.DUMMYFUNCTION("""COMPUTED_VALUE"""),11739)</f>
        <v>11739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IFERROR(__xludf.DUMMYFUNCTION("""COMPUTED_VALUE"""),9135)</f>
        <v>9135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IFERROR(__xludf.DUMMYFUNCTION("""COMPUTED_VALUE"""),4725)</f>
        <v>4725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IFERROR(__xludf.DUMMYFUNCTION("""COMPUTED_VALUE"""),12558)</f>
        <v>12558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IFERROR(__xludf.DUMMYFUNCTION("""COMPUTED_VALUE"""),462)</f>
        <v>462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IFERROR(__xludf.DUMMYFUNCTION("""COMPUTED_VALUE"""),6930)</f>
        <v>6930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IFERROR(__xludf.DUMMYFUNCTION("""COMPUTED_VALUE"""),6468)</f>
        <v>6468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IFERROR(__xludf.DUMMYFUNCTION("""COMPUTED_VALUE"""),6657)</f>
        <v>6657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IFERROR(__xludf.DUMMYFUNCTION("""COMPUTED_VALUE"""),3969)</f>
        <v>3969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IFERROR(__xludf.DUMMYFUNCTION("""COMPUTED_VALUE"""),10206)</f>
        <v>10206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IFERROR(__xludf.DUMMYFUNCTION("""COMPUTED_VALUE"""),20580)</f>
        <v>20580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IFERROR(__xludf.DUMMYFUNCTION("""COMPUTED_VALUE"""),5523)</f>
        <v>5523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IFERROR(__xludf.DUMMYFUNCTION("""COMPUTED_VALUE"""),15351)</f>
        <v>15351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IFERROR(__xludf.DUMMYFUNCTION("""COMPUTED_VALUE"""),6216)</f>
        <v>6216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IFERROR(__xludf.DUMMYFUNCTION("""COMPUTED_VALUE"""),10941)</f>
        <v>10941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IFERROR(__xludf.DUMMYFUNCTION("""COMPUTED_VALUE"""),34314)</f>
        <v>34314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IFERROR(__xludf.DUMMYFUNCTION("""COMPUTED_VALUE"""),4536)</f>
        <v>4536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IFERROR(__xludf.DUMMYFUNCTION("""COMPUTED_VALUE"""),1302)</f>
        <v>1302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IFERROR(__xludf.DUMMYFUNCTION("""COMPUTED_VALUE"""),5544)</f>
        <v>5544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IFERROR(__xludf.DUMMYFUNCTION("""COMPUTED_VALUE"""),3255)</f>
        <v>3255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IFERROR(__xludf.DUMMYFUNCTION("""COMPUTED_VALUE"""),2709)</f>
        <v>2709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IFERROR(__xludf.DUMMYFUNCTION("""COMPUTED_VALUE"""),5355)</f>
        <v>5355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IFERROR(__xludf.DUMMYFUNCTION("""COMPUTED_VALUE"""),3591)</f>
        <v>3591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IFERROR(__xludf.DUMMYFUNCTION("""COMPUTED_VALUE"""),609)</f>
        <v>609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IFERROR(__xludf.DUMMYFUNCTION("""COMPUTED_VALUE"""),5880)</f>
        <v>5880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IFERROR(__xludf.DUMMYFUNCTION("""COMPUTED_VALUE"""),1113)</f>
        <v>1113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IFERROR(__xludf.DUMMYFUNCTION("""COMPUTED_VALUE"""),4431)</f>
        <v>4431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IFERROR(__xludf.DUMMYFUNCTION("""COMPUTED_VALUE"""),13062)</f>
        <v>13062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IFERROR(__xludf.DUMMYFUNCTION("""COMPUTED_VALUE"""),210)</f>
        <v>210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IFERROR(__xludf.DUMMYFUNCTION("""COMPUTED_VALUE"""),8610)</f>
        <v>8610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IFERROR(__xludf.DUMMYFUNCTION("""COMPUTED_VALUE"""),7896)</f>
        <v>7896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IFERROR(__xludf.DUMMYFUNCTION("""COMPUTED_VALUE"""),2583)</f>
        <v>2583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IFERROR(__xludf.DUMMYFUNCTION("""COMPUTED_VALUE"""),5334)</f>
        <v>5334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IFERROR(__xludf.DUMMYFUNCTION("""COMPUTED_VALUE"""),2730)</f>
        <v>2730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IFERROR(__xludf.DUMMYFUNCTION("""COMPUTED_VALUE"""),5838)</f>
        <v>5838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IFERROR(__xludf.DUMMYFUNCTION("""COMPUTED_VALUE"""),4263)</f>
        <v>4263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IFERROR(__xludf.DUMMYFUNCTION("""COMPUTED_VALUE"""),9408)</f>
        <v>9408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IFERROR(__xludf.DUMMYFUNCTION("""COMPUTED_VALUE"""),7413)</f>
        <v>7413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IFERROR(__xludf.DUMMYFUNCTION("""COMPUTED_VALUE"""),1113)</f>
        <v>1113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IFERROR(__xludf.DUMMYFUNCTION("""COMPUTED_VALUE"""),1995)</f>
        <v>1995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IFERROR(__xludf.DUMMYFUNCTION("""COMPUTED_VALUE"""),1197)</f>
        <v>1197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IFERROR(__xludf.DUMMYFUNCTION("""COMPUTED_VALUE"""),10353)</f>
        <v>10353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IFERROR(__xludf.DUMMYFUNCTION("""COMPUTED_VALUE"""),2184)</f>
        <v>2184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IFERROR(__xludf.DUMMYFUNCTION("""COMPUTED_VALUE"""),11214)</f>
        <v>11214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IFERROR(__xludf.DUMMYFUNCTION("""COMPUTED_VALUE"""),4536)</f>
        <v>4536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IFERROR(__xludf.DUMMYFUNCTION("""COMPUTED_VALUE"""),2100)</f>
        <v>2100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IFERROR(__xludf.DUMMYFUNCTION("""COMPUTED_VALUE"""),3612)</f>
        <v>3612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IFERROR(__xludf.DUMMYFUNCTION("""COMPUTED_VALUE"""),7917)</f>
        <v>7917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IFERROR(__xludf.DUMMYFUNCTION("""COMPUTED_VALUE"""),1344)</f>
        <v>1344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IFERROR(__xludf.DUMMYFUNCTION("""COMPUTED_VALUE"""),1533)</f>
        <v>1533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IFERROR(__xludf.DUMMYFUNCTION("""COMPUTED_VALUE"""),3318)</f>
        <v>3318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IFERROR(__xludf.DUMMYFUNCTION("""COMPUTED_VALUE"""),2457)</f>
        <v>2457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IFERROR(__xludf.DUMMYFUNCTION("""COMPUTED_VALUE"""),4536)</f>
        <v>4536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IFERROR(__xludf.DUMMYFUNCTION("""COMPUTED_VALUE"""),7959)</f>
        <v>7959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IFERROR(__xludf.DUMMYFUNCTION("""COMPUTED_VALUE"""),3864)</f>
        <v>3864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IFERROR(__xludf.DUMMYFUNCTION("""COMPUTED_VALUE"""),1470)</f>
        <v>1470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IFERROR(__xludf.DUMMYFUNCTION("""COMPUTED_VALUE"""),5607)</f>
        <v>5607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IFERROR(__xludf.DUMMYFUNCTION("""COMPUTED_VALUE"""),4326)</f>
        <v>4326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IFERROR(__xludf.DUMMYFUNCTION("""COMPUTED_VALUE"""),2457)</f>
        <v>2457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IFERROR(__xludf.DUMMYFUNCTION("""COMPUTED_VALUE"""),2772)</f>
        <v>2772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IFERROR(__xludf.DUMMYFUNCTION("""COMPUTED_VALUE"""),945)</f>
        <v>945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IFERROR(__xludf.DUMMYFUNCTION("""COMPUTED_VALUE"""),2289)</f>
        <v>2289</v>
      </c>
      <c r="I75" t="str">
        <v>E.F.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IFERROR(__xludf.DUMMYFUNCTION("""COMPUTED_VALUE"""),987)</f>
        <v>987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IFERROR(__xludf.DUMMYFUNCTION("""COMPUTED_VALUE"""),2268)</f>
        <v>2268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IFERROR(__xludf.DUMMYFUNCTION("""COMPUTED_VALUE"""),4095)</f>
        <v>4095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IFERROR(__xludf.DUMMYFUNCTION("""COMPUTED_VALUE"""),2226)</f>
        <v>2226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IFERROR(__xludf.DUMMYFUNCTION("""COMPUTED_VALUE"""),3822)</f>
        <v>3822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IFERROR(__xludf.DUMMYFUNCTION("""COMPUTED_VALUE"""),651)</f>
        <v>651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IFERROR(__xludf.DUMMYFUNCTION("""COMPUTED_VALUE"""),2415)</f>
        <v>2415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IFERROR(__xludf.DUMMYFUNCTION("""COMPUTED_VALUE"""),3003)</f>
        <v>3003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IFERROR(__xludf.DUMMYFUNCTION("""COMPUTED_VALUE"""),2268)</f>
        <v>2268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IFERROR(__xludf.DUMMYFUNCTION("""COMPUTED_VALUE"""),4179)</f>
        <v>4179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IFERROR(__xludf.DUMMYFUNCTION("""COMPUTED_VALUE"""),8904)</f>
        <v>8904</v>
      </c>
      <c r="I86" t="str">
        <v>E.F.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IFERROR(__xludf.DUMMYFUNCTION("""COMPUTED_VALUE"""),1113)</f>
        <v>1113</v>
      </c>
      <c r="I87" t="str">
        <v>E.F.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IFERROR(__xludf.DUMMYFUNCTION("""COMPUTED_VALUE"""),1365)</f>
        <v>1365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IFERROR(__xludf.DUMMYFUNCTION("""COMPUTED_VALUE"""),6867)</f>
        <v>6867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IFERROR(__xludf.DUMMYFUNCTION("""COMPUTED_VALUE"""),1638)</f>
        <v>1638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IFERROR(__xludf.DUMMYFUNCTION("""COMPUTED_VALUE"""),1323)</f>
        <v>1323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IFERROR(__xludf.DUMMYFUNCTION("""COMPUTED_VALUE"""),2898)</f>
        <v>2898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IFERROR(__xludf.DUMMYFUNCTION("""COMPUTED_VALUE"""),8988)</f>
        <v>8988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IFERROR(__xludf.DUMMYFUNCTION("""COMPUTED_VALUE"""),630)</f>
        <v>630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IFERROR(__xludf.DUMMYFUNCTION("""COMPUTED_VALUE"""),5712)</f>
        <v>5712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IFERROR(__xludf.DUMMYFUNCTION("""COMPUTED_VALUE"""),11025)</f>
        <v>11025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IFERROR(__xludf.DUMMYFUNCTION("""COMPUTED_VALUE"""),2121)</f>
        <v>2121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IFERROR(__xludf.DUMMYFUNCTION("""COMPUTED_VALUE"""),5775)</f>
        <v>5775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IFERROR(__xludf.DUMMYFUNCTION("""COMPUTED_VALUE"""),1806)</f>
        <v>1806</v>
      </c>
      <c r="I99" t="str">
        <v>E.F.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IFERROR(__xludf.DUMMYFUNCTION("""COMPUTED_VALUE"""),3570)</f>
        <v>3570</v>
      </c>
      <c r="I100" t="str">
        <v>E.F.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IFERROR(__xludf.DUMMYFUNCTION("""COMPUTED_VALUE"""),5859)</f>
        <v>5859</v>
      </c>
      <c r="I101" t="str">
        <v>E.F.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IFERROR(__xludf.DUMMYFUNCTION("""COMPUTED_VALUE"""),3003)</f>
        <v>3003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IFERROR(__xludf.DUMMYFUNCTION("""COMPUTED_VALUE"""),8127)</f>
        <v>8127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IFERROR(__xludf.DUMMYFUNCTION("""COMPUTED_VALUE"""),5229)</f>
        <v>5229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IFERROR(__xludf.DUMMYFUNCTION("""COMPUTED_VALUE"""),714)</f>
        <v>714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IFERROR(__xludf.DUMMYFUNCTION("""COMPUTED_VALUE"""),12705)</f>
        <v>12705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IFERROR(__xludf.DUMMYFUNCTION("""COMPUTED_VALUE"""),2814)</f>
        <v>2814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IFERROR(__xludf.DUMMYFUNCTION("""COMPUTED_VALUE"""),525)</f>
        <v>525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IFERROR(__xludf.DUMMYFUNCTION("""COMPUTED_VALUE"""),9282)</f>
        <v>9282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IFERROR(__xludf.DUMMYFUNCTION("""COMPUTED_VALUE"""),7665)</f>
        <v>7665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IFERROR(__xludf.DUMMYFUNCTION("""COMPUTED_VALUE"""),4347)</f>
        <v>4347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IFERROR(__xludf.DUMMYFUNCTION("""COMPUTED_VALUE"""),4242)</f>
        <v>4242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IFERROR(__xludf.DUMMYFUNCTION("""COMPUTED_VALUE"""),1911)</f>
        <v>1911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IFERROR(__xludf.DUMMYFUNCTION("""COMPUTED_VALUE"""),5040)</f>
        <v>5040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IFERROR(__xludf.DUMMYFUNCTION("""COMPUTED_VALUE"""),2919)</f>
        <v>2919</v>
      </c>
      <c r="I115" t="str">
        <v>E.F.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IFERROR(__xludf.DUMMYFUNCTION("""COMPUTED_VALUE"""),5082)</f>
        <v>5082</v>
      </c>
      <c r="I116" t="str">
        <v>E.F.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IFERROR(__xludf.DUMMYFUNCTION("""COMPUTED_VALUE"""),6678)</f>
        <v>6678</v>
      </c>
      <c r="I117" t="str">
        <v>E.F.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IFERROR(__xludf.DUMMYFUNCTION("""COMPUTED_VALUE"""),3507)</f>
        <v>3507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IFERROR(__xludf.DUMMYFUNCTION("""COMPUTED_VALUE"""),7476)</f>
        <v>7476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IFERROR(__xludf.DUMMYFUNCTION("""COMPUTED_VALUE"""),3885)</f>
        <v>3885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IFERROR(__xludf.DUMMYFUNCTION("""COMPUTED_VALUE"""),546)</f>
        <v>546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IFERROR(__xludf.DUMMYFUNCTION("""COMPUTED_VALUE"""),273)</f>
        <v>273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IFERROR(__xludf.DUMMYFUNCTION("""COMPUTED_VALUE"""),3318)</f>
        <v>3318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IFERROR(__xludf.DUMMYFUNCTION("""COMPUTED_VALUE"""),966)</f>
        <v>966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IFERROR(__xludf.DUMMYFUNCTION("""COMPUTED_VALUE"""),42)</f>
        <v>42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IFERROR(__xludf.DUMMYFUNCTION("""COMPUTED_VALUE"""),2520)</f>
        <v>2520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IFERROR(__xludf.DUMMYFUNCTION("""COMPUTED_VALUE"""),1365)</f>
        <v>1365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IFERROR(__xludf.DUMMYFUNCTION("""COMPUTED_VALUE"""),4305)</f>
        <v>4305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IFERROR(__xludf.DUMMYFUNCTION("""COMPUTED_VALUE"""),8106)</f>
        <v>8106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IFERROR(__xludf.DUMMYFUNCTION("""COMPUTED_VALUE"""),6909)</f>
        <v>6909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IFERROR(__xludf.DUMMYFUNCTION("""COMPUTED_VALUE"""),3549)</f>
        <v>3549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IFERROR(__xludf.DUMMYFUNCTION("""COMPUTED_VALUE"""),420)</f>
        <v>420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IFERROR(__xludf.DUMMYFUNCTION("""COMPUTED_VALUE"""),9156)</f>
        <v>9156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IFERROR(__xludf.DUMMYFUNCTION("""COMPUTED_VALUE"""),3129)</f>
        <v>3129</v>
      </c>
      <c r="I134" t="str">
        <v>E.F.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IFERROR(__xludf.DUMMYFUNCTION("""COMPUTED_VALUE"""),2289)</f>
        <v>2289</v>
      </c>
      <c r="I135" t="str">
        <v>E.F.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IFERROR(__xludf.DUMMYFUNCTION("""COMPUTED_VALUE"""),3213)</f>
        <v>3213</v>
      </c>
      <c r="I136" t="str">
        <v>E.F.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IFERROR(__xludf.DUMMYFUNCTION("""COMPUTED_VALUE"""),2961)</f>
        <v>2961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IFERROR(__xludf.DUMMYFUNCTION("""COMPUTED_VALUE"""),2205)</f>
        <v>2205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IFERROR(__xludf.DUMMYFUNCTION("""COMPUTED_VALUE"""),2163)</f>
        <v>2163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IFERROR(__xludf.DUMMYFUNCTION("""COMPUTED_VALUE"""),4368)</f>
        <v>4368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IFERROR(__xludf.DUMMYFUNCTION("""COMPUTED_VALUE"""),126)</f>
        <v>126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IFERROR(__xludf.DUMMYFUNCTION("""COMPUTED_VALUE"""),1470)</f>
        <v>1470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IFERROR(__xludf.DUMMYFUNCTION("""COMPUTED_VALUE"""),126)</f>
        <v>126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IFERROR(__xludf.DUMMYFUNCTION("""COMPUTED_VALUE"""),4830)</f>
        <v>4830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IFERROR(__xludf.DUMMYFUNCTION("""COMPUTED_VALUE"""),1890)</f>
        <v>1890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IFERROR(__xludf.DUMMYFUNCTION("""COMPUTED_VALUE"""),1281)</f>
        <v>1281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IFERROR(__xludf.DUMMYFUNCTION("""COMPUTED_VALUE"""),6006)</f>
        <v>6006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IFERROR(__xludf.DUMMYFUNCTION("""COMPUTED_VALUE"""),6888)</f>
        <v>6888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IFERROR(__xludf.DUMMYFUNCTION("""COMPUTED_VALUE"""),2079)</f>
        <v>2079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IFERROR(__xludf.DUMMYFUNCTION("""COMPUTED_VALUE"""),588)</f>
        <v>588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IFERROR(__xludf.DUMMYFUNCTION("""COMPUTED_VALUE"""),16254)</f>
        <v>16254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IFERROR(__xludf.DUMMYFUNCTION("""COMPUTED_VALUE"""),11151)</f>
        <v>11151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IFERROR(__xludf.DUMMYFUNCTION("""COMPUTED_VALUE"""),9471)</f>
        <v>9471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IFERROR(__xludf.DUMMYFUNCTION("""COMPUTED_VALUE"""),15750)</f>
        <v>15750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IFERROR(__xludf.DUMMYFUNCTION("""COMPUTED_VALUE"""),462)</f>
        <v>462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IFERROR(__xludf.DUMMYFUNCTION("""COMPUTED_VALUE"""),4725)</f>
        <v>4725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IFERROR(__xludf.DUMMYFUNCTION("""COMPUTED_VALUE"""),84)</f>
        <v>84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IFERROR(__xludf.DUMMYFUNCTION("""COMPUTED_VALUE"""),6678)</f>
        <v>6678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IFERROR(__xludf.DUMMYFUNCTION("""COMPUTED_VALUE"""),3696)</f>
        <v>3696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IFERROR(__xludf.DUMMYFUNCTION("""COMPUTED_VALUE"""),8820)</f>
        <v>8820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IFERROR(__xludf.DUMMYFUNCTION("""COMPUTED_VALUE"""),13356)</f>
        <v>13356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IFERROR(__xludf.DUMMYFUNCTION("""COMPUTED_VALUE"""),5460)</f>
        <v>5460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IFERROR(__xludf.DUMMYFUNCTION("""COMPUTED_VALUE"""),4872)</f>
        <v>4872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IFERROR(__xludf.DUMMYFUNCTION("""COMPUTED_VALUE"""),4662)</f>
        <v>4662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IFERROR(__xludf.DUMMYFUNCTION("""COMPUTED_VALUE"""),7476)</f>
        <v>7476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IFERROR(__xludf.DUMMYFUNCTION("""COMPUTED_VALUE"""),4431)</f>
        <v>4431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IFERROR(__xludf.DUMMYFUNCTION("""COMPUTED_VALUE"""),903)</f>
        <v>903</v>
      </c>
      <c r="I167" t="str">
        <v>E.F.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IFERROR(__xludf.DUMMYFUNCTION("""COMPUTED_VALUE"""),2520)</f>
        <v>2520</v>
      </c>
      <c r="I168" t="str">
        <v>E.F.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Valerio da Natividade")</f>
        <v>Sao Valerio da Natividade</v>
      </c>
      <c r="C169" t="str">
        <f ca="1">IFERROR(__xludf.DUMMYFUNCTION("""COMPUTED_VALUE"""),"A.P.M.E ALUNOS COL. EST. REGINA S. CAMPOS")</f>
        <v>A.P.M.E ALUNOS COL. EST. REGINA S. CAMPOS</v>
      </c>
      <c r="D169" t="str">
        <f ca="1">IFERROR(__xludf.DUMMYFUNCTION("""COMPUTED_VALUE"""),"01431377000168")</f>
        <v>01431377000168</v>
      </c>
      <c r="E169" t="str">
        <f ca="1">IFERROR(__xludf.DUMMYFUNCTION("""COMPUTED_VALUE"""),"001")</f>
        <v>001</v>
      </c>
      <c r="F169" t="str">
        <f ca="1">IFERROR(__xludf.DUMMYFUNCTION("""COMPUTED_VALUE"""),"0794")</f>
        <v>0794</v>
      </c>
      <c r="G169" t="str">
        <f ca="1">IFERROR(__xludf.DUMMYFUNCTION("""COMPUTED_VALUE"""),"52477")</f>
        <v>52477</v>
      </c>
      <c r="H169" s="7">
        <f ca="1">IFERROR(__xludf.DUMMYFUNCTION("""COMPUTED_VALUE"""),6216)</f>
        <v>6216</v>
      </c>
      <c r="I169" t="str">
        <v>E.F.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IFERROR(__xludf.DUMMYFUNCTION("""COMPUTED_VALUE"""),"Sucupira")</f>
        <v>Sucupira</v>
      </c>
      <c r="C170" t="str">
        <f ca="1">IFERROR(__xludf.DUMMYFUNCTION("""COMPUTED_VALUE"""),"AS. APOIO ESCOLA ESTADUAL OLAVO BILAC")</f>
        <v>AS. APOIO ESCOLA ESTADUAL OLAVO BILAC</v>
      </c>
      <c r="D170" t="str">
        <f ca="1">IFERROR(__xludf.DUMMYFUNCTION("""COMPUTED_VALUE"""),"01268287000106")</f>
        <v>01268287000106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IFERROR(__xludf.DUMMYFUNCTION("""COMPUTED_VALUE"""),"245852")</f>
        <v>245852</v>
      </c>
      <c r="H170" s="7">
        <f ca="1">IFERROR(__xludf.DUMMYFUNCTION("""COMPUTED_VALUE"""),2898)</f>
        <v>2898</v>
      </c>
      <c r="I170" t="str">
        <v>E.F.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IFERROR(__xludf.DUMMYFUNCTION("""COMPUTED_VALUE"""),"dois Irmaos do Tocantins")</f>
        <v>dois Irmaos do Tocantins</v>
      </c>
      <c r="C171" t="str">
        <f ca="1">IFERROR(__xludf.DUMMYFUNCTION("""COMPUTED_VALUE"""),"A.C.E. COL PRES. CASTELO BRANCO")</f>
        <v>A.C.E. COL PRES. CASTELO BRANCO</v>
      </c>
      <c r="D171" t="str">
        <f ca="1">IFERROR(__xludf.DUMMYFUNCTION("""COMPUTED_VALUE"""),"01034882000179")</f>
        <v>01034882000179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IFERROR(__xludf.DUMMYFUNCTION("""COMPUTED_VALUE"""),"68950")</f>
        <v>68950</v>
      </c>
      <c r="H171" s="7">
        <f ca="1">IFERROR(__xludf.DUMMYFUNCTION("""COMPUTED_VALUE"""),7791)</f>
        <v>7791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IFERROR(__xludf.DUMMYFUNCTION("""COMPUTED_VALUE"""),"ASSOC. DE APOIO A ESCOLA ESPECIAL CLOVIS DE ASSIS")</f>
        <v>ASSOC. DE APOIO A ESCOLA ESPECIAL CLOVIS DE ASSIS</v>
      </c>
      <c r="D172" t="str">
        <f ca="1">IFERROR(__xludf.DUMMYFUNCTION("""COMPUTED_VALUE"""),"09327390000183")</f>
        <v>09327390000183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IFERROR(__xludf.DUMMYFUNCTION("""COMPUTED_VALUE"""),"211087")</f>
        <v>211087</v>
      </c>
      <c r="H172" s="7">
        <f ca="1">IFERROR(__xludf.DUMMYFUNCTION("""COMPUTED_VALUE"""),231)</f>
        <v>231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IFERROR(__xludf.DUMMYFUNCTION("""COMPUTED_VALUE"""),"Lizarda")</f>
        <v>Lizarda</v>
      </c>
      <c r="C173" t="str">
        <f ca="1">IFERROR(__xludf.DUMMYFUNCTION("""COMPUTED_VALUE"""),"A. ESC. COMUN. DO COL. EST. 31 DE MARCO")</f>
        <v>A. ESC. COMUN. DO COL. EST. 31 DE MARCO</v>
      </c>
      <c r="D173" t="str">
        <f ca="1">IFERROR(__xludf.DUMMYFUNCTION("""COMPUTED_VALUE"""),"01232873000192")</f>
        <v>01232873000192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IFERROR(__xludf.DUMMYFUNCTION("""COMPUTED_VALUE"""),"68969")</f>
        <v>68969</v>
      </c>
      <c r="H173" s="7">
        <f ca="1">IFERROR(__xludf.DUMMYFUNCTION("""COMPUTED_VALUE"""),3738)</f>
        <v>3738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IFERROR(__xludf.DUMMYFUNCTION("""COMPUTED_VALUE"""),"ESCOLA ESTADUAL AYRTON SENNA")</f>
        <v>ESCOLA ESTADUAL AYRTON SENNA</v>
      </c>
      <c r="D174" t="str">
        <f ca="1">IFERROR(__xludf.DUMMYFUNCTION("""COMPUTED_VALUE"""),"11406586000105")</f>
        <v>11406586000105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IFERROR(__xludf.DUMMYFUNCTION("""COMPUTED_VALUE"""),"270393")</f>
        <v>270393</v>
      </c>
      <c r="H174" s="7">
        <f ca="1">IFERROR(__xludf.DUMMYFUNCTION("""COMPUTED_VALUE"""),1428)</f>
        <v>1428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IFERROR(__xludf.DUMMYFUNCTION("""COMPUTED_VALUE"""),"ASS. DE APOIO AO CEM SANTA TEREZINHA")</f>
        <v>ASS. DE APOIO AO CEM SANTA TEREZINHA</v>
      </c>
      <c r="D175" t="str">
        <f ca="1">IFERROR(__xludf.DUMMYFUNCTION("""COMPUTED_VALUE"""),"01085211000137")</f>
        <v>01085211000137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IFERROR(__xludf.DUMMYFUNCTION("""COMPUTED_VALUE"""),"244589")</f>
        <v>244589</v>
      </c>
      <c r="H175" s="7">
        <f ca="1">IFERROR(__xludf.DUMMYFUNCTION("""COMPUTED_VALUE"""),5901)</f>
        <v>5901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IFERROR(__xludf.DUMMYFUNCTION("""COMPUTED_VALUE"""),"SOCIEDADE EDUCADORA FEMININA/COLÉGIO TOCANTINS")</f>
        <v>SOCIEDADE EDUCADORA FEMININA/COLÉGIO TOCANTINS</v>
      </c>
      <c r="D176" t="str">
        <f ca="1">IFERROR(__xludf.DUMMYFUNCTION("""COMPUTED_VALUE"""),"61373585000694")</f>
        <v>61373585000694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IFERROR(__xludf.DUMMYFUNCTION("""COMPUTED_VALUE"""),"69086")</f>
        <v>69086</v>
      </c>
      <c r="H176" s="7">
        <f ca="1">IFERROR(__xludf.DUMMYFUNCTION("""COMPUTED_VALUE"""),4998)</f>
        <v>4998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IFERROR(__xludf.DUMMYFUNCTION("""COMPUTED_VALUE"""),"A.P.A.DOS EXECEPCIONAIS DE MIRACEMA - APAE")</f>
        <v>A.P.A.DOS EXECEPCIONAIS DE MIRACEMA - APAE</v>
      </c>
      <c r="D177" t="str">
        <f ca="1">IFERROR(__xludf.DUMMYFUNCTION("""COMPUTED_VALUE"""),"38146965000160")</f>
        <v>38146965000160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IFERROR(__xludf.DUMMYFUNCTION("""COMPUTED_VALUE"""),"93734")</f>
        <v>93734</v>
      </c>
      <c r="H177" s="7">
        <f ca="1">IFERROR(__xludf.DUMMYFUNCTION("""COMPUTED_VALUE"""),504)</f>
        <v>504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IFERROR(__xludf.DUMMYFUNCTION("""COMPUTED_VALUE"""),"A.COM.DA ESC. EST. JOSE D. VASCONCELOS")</f>
        <v>A.COM.DA ESC. EST. JOSE D. VASCONCELOS</v>
      </c>
      <c r="D178" t="str">
        <f ca="1">IFERROR(__xludf.DUMMYFUNCTION("""COMPUTED_VALUE"""),"01068379000134")</f>
        <v>01068379000134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IFERROR(__xludf.DUMMYFUNCTION("""COMPUTED_VALUE"""),"69035")</f>
        <v>69035</v>
      </c>
      <c r="H178" s="7">
        <f ca="1">IFERROR(__xludf.DUMMYFUNCTION("""COMPUTED_VALUE"""),3297)</f>
        <v>3297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IFERROR(__xludf.DUMMYFUNCTION("""COMPUTED_VALUE"""),"A.P.M.A. ESC. CONV. ONESINA BANDEIRA")</f>
        <v>A.P.M.A. ESC. CONV. ONESINA BANDEIRA</v>
      </c>
      <c r="D179" t="str">
        <f ca="1">IFERROR(__xludf.DUMMYFUNCTION("""COMPUTED_VALUE"""),"01133700000117")</f>
        <v>01133700000117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IFERROR(__xludf.DUMMYFUNCTION("""COMPUTED_VALUE"""),"69051")</f>
        <v>69051</v>
      </c>
      <c r="H179" s="7">
        <f ca="1">IFERROR(__xludf.DUMMYFUNCTION("""COMPUTED_VALUE"""),16296)</f>
        <v>16296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IFERROR(__xludf.DUMMYFUNCTION("""COMPUTED_VALUE"""),"A.A.  DA ESCOLA ESTADUAL OSCAR SARDINHA")</f>
        <v>A.A.  DA ESCOLA ESTADUAL OSCAR SARDINHA</v>
      </c>
      <c r="D180" t="str">
        <f ca="1">IFERROR(__xludf.DUMMYFUNCTION("""COMPUTED_VALUE"""),"01197158000166")</f>
        <v>01197158000166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IFERROR(__xludf.DUMMYFUNCTION("""COMPUTED_VALUE"""),"6906X")</f>
        <v>6906X</v>
      </c>
      <c r="H180" s="7">
        <f ca="1">IFERROR(__xludf.DUMMYFUNCTION("""COMPUTED_VALUE"""),1974)</f>
        <v>1974</v>
      </c>
      <c r="I180" t="str">
        <v>E.F.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IFERROR(__xludf.DUMMYFUNCTION("""COMPUTED_VALUE"""),"Miranorte")</f>
        <v>Miranorte</v>
      </c>
      <c r="C181" t="str">
        <f ca="1">IFERROR(__xludf.DUMMYFUNCTION("""COMPUTED_VALUE"""),"A.A. C.E.NOSSA SENHORA DA PROVIDENCIA")</f>
        <v>A.A. C.E.NOSSA SENHORA DA PROVIDENCIA</v>
      </c>
      <c r="D181" t="str">
        <f ca="1">IFERROR(__xludf.DUMMYFUNCTION("""COMPUTED_VALUE"""),"01190186000151")</f>
        <v>01190186000151</v>
      </c>
      <c r="E181" t="str">
        <f ca="1">IFERROR(__xludf.DUMMYFUNCTION("""COMPUTED_VALUE"""),"001")</f>
        <v>001</v>
      </c>
      <c r="F181" t="str">
        <f ca="1">IFERROR(__xludf.DUMMYFUNCTION("""COMPUTED_VALUE"""),"4560")</f>
        <v>4560</v>
      </c>
      <c r="G181" t="str">
        <f ca="1">IFERROR(__xludf.DUMMYFUNCTION("""COMPUTED_VALUE"""),"7778X")</f>
        <v>7778X</v>
      </c>
      <c r="H181" s="7">
        <f ca="1">IFERROR(__xludf.DUMMYFUNCTION("""COMPUTED_VALUE"""),32214)</f>
        <v>32214</v>
      </c>
      <c r="I181" t="str">
        <v>E.F.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 ESC. ESPECIAL CORAÇÃO DE MARIA")</f>
        <v>A.A ESC. ESPECIAL CORAÇÃO DE MARIA</v>
      </c>
      <c r="D182" t="str">
        <f ca="1">IFERROR(__xludf.DUMMYFUNCTION("""COMPUTED_VALUE"""),"07968866000130")</f>
        <v>07968866000130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IFERROR(__xludf.DUMMYFUNCTION("""COMPUTED_VALUE"""),"265217")</f>
        <v>265217</v>
      </c>
      <c r="H182" s="7">
        <f ca="1">IFERROR(__xludf.DUMMYFUNCTION("""COMPUTED_VALUE"""),189)</f>
        <v>189</v>
      </c>
      <c r="I182" t="str">
        <v>E.F.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IFERROR(__xludf.DUMMYFUNCTION("""COMPUTED_VALUE"""),"Rio dos Bois")</f>
        <v>Rio dos Bois</v>
      </c>
      <c r="C183" t="str">
        <f ca="1">IFERROR(__xludf.DUMMYFUNCTION("""COMPUTED_VALUE"""),"A.A. ESC EST DR. VALDECY PINHEIRO")</f>
        <v>A.A. ESC EST DR. VALDECY PINHEIRO</v>
      </c>
      <c r="D183" t="str">
        <f ca="1">IFERROR(__xludf.DUMMYFUNCTION("""COMPUTED_VALUE"""),"01079937000167")</f>
        <v>01079937000167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IFERROR(__xludf.DUMMYFUNCTION("""COMPUTED_VALUE"""),"69116")</f>
        <v>69116</v>
      </c>
      <c r="H183" s="7">
        <f ca="1">IFERROR(__xludf.DUMMYFUNCTION("""COMPUTED_VALUE"""),4284)</f>
        <v>4284</v>
      </c>
      <c r="I183" t="str">
        <v>E.F.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IFERROR(__xludf.DUMMYFUNCTION("""COMPUTED_VALUE"""),"Aparecida do Rio Negro")</f>
        <v>Aparecida do Rio Negro</v>
      </c>
      <c r="C184" t="str">
        <f ca="1">IFERROR(__xludf.DUMMYFUNCTION("""COMPUTED_VALUE"""),"ASS. DE AP. DO COL. EST. MEIRA MATOS")</f>
        <v>ASS. DE AP. DO COL. EST. MEIRA MATOS</v>
      </c>
      <c r="D184" t="str">
        <f ca="1">IFERROR(__xludf.DUMMYFUNCTION("""COMPUTED_VALUE"""),"01186452000172")</f>
        <v>01186452000172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IFERROR(__xludf.DUMMYFUNCTION("""COMPUTED_VALUE"""),"327972")</f>
        <v>327972</v>
      </c>
      <c r="H184" s="7">
        <f ca="1">IFERROR(__xludf.DUMMYFUNCTION("""COMPUTED_VALUE"""),3108)</f>
        <v>3108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IFERROR(__xludf.DUMMYFUNCTION("""COMPUTED_VALUE"""),"Lagoa do Tocantins")</f>
        <v>Lagoa do Tocantins</v>
      </c>
      <c r="C185" t="str">
        <f ca="1">IFERROR(__xludf.DUMMYFUNCTION("""COMPUTED_VALUE"""),"ASS. DE AP. DA ESC. EST. SALMON DO A.BRITO")</f>
        <v>ASS. DE AP. DA ESC. EST. SALMON DO A.BRITO</v>
      </c>
      <c r="D185" t="str">
        <f ca="1">IFERROR(__xludf.DUMMYFUNCTION("""COMPUTED_VALUE"""),"01440941000109")</f>
        <v>01440941000109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IFERROR(__xludf.DUMMYFUNCTION("""COMPUTED_VALUE"""),"465410")</f>
        <v>465410</v>
      </c>
      <c r="H185" s="7">
        <f ca="1">IFERROR(__xludf.DUMMYFUNCTION("""COMPUTED_VALUE"""),5019)</f>
        <v>5019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IFERROR(__xludf.DUMMYFUNCTION("""COMPUTED_VALUE"""),"Lajeado")</f>
        <v>Lajeado</v>
      </c>
      <c r="C186" t="str">
        <f ca="1">IFERROR(__xludf.DUMMYFUNCTION("""COMPUTED_VALUE"""),"A.A. COM. E. E.N.SRA.DA PROVIDENCIA")</f>
        <v>A.A. COM. E. E.N.SRA.DA PROVIDENCIA</v>
      </c>
      <c r="D186" t="str">
        <f ca="1">IFERROR(__xludf.DUMMYFUNCTION("""COMPUTED_VALUE"""),"01138324000153")</f>
        <v>01138324000153</v>
      </c>
      <c r="E186" t="str">
        <f ca="1">IFERROR(__xludf.DUMMYFUNCTION("""COMPUTED_VALUE"""),"001")</f>
        <v>001</v>
      </c>
      <c r="F186" t="str">
        <f ca="1">IFERROR(__xludf.DUMMYFUNCTION("""COMPUTED_VALUE"""),"0862")</f>
        <v>0862</v>
      </c>
      <c r="G186" t="str">
        <f ca="1">IFERROR(__xludf.DUMMYFUNCTION("""COMPUTED_VALUE"""),"69132")</f>
        <v>69132</v>
      </c>
      <c r="H186" s="7">
        <f ca="1">IFERROR(__xludf.DUMMYFUNCTION("""COMPUTED_VALUE"""),588)</f>
        <v>588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IFERROR(__xludf.DUMMYFUNCTION("""COMPUTED_VALUE"""),"Mateiros")</f>
        <v>Mateiros</v>
      </c>
      <c r="C187" t="str">
        <f ca="1">IFERROR(__xludf.DUMMYFUNCTION("""COMPUTED_VALUE"""),"ASS. A. ESC. EST.ESTEFANIO TELES DAS CHAGAS")</f>
        <v>ASS. A. ESC. EST.ESTEFANIO TELES DAS CHAGAS</v>
      </c>
      <c r="D187" t="str">
        <f ca="1">IFERROR(__xludf.DUMMYFUNCTION("""COMPUTED_VALUE"""),"01206219000104")</f>
        <v>01206219000104</v>
      </c>
      <c r="E187" t="str">
        <f ca="1">IFERROR(__xludf.DUMMYFUNCTION("""COMPUTED_VALUE"""),"001")</f>
        <v>001</v>
      </c>
      <c r="F187" t="str">
        <f ca="1">IFERROR(__xludf.DUMMYFUNCTION("""COMPUTED_VALUE"""),"3962")</f>
        <v>3962</v>
      </c>
      <c r="G187" t="str">
        <f ca="1">IFERROR(__xludf.DUMMYFUNCTION("""COMPUTED_VALUE"""),"127795")</f>
        <v>127795</v>
      </c>
      <c r="H187" s="7">
        <f ca="1">IFERROR(__xludf.DUMMYFUNCTION("""COMPUTED_VALUE"""),3906)</f>
        <v>3906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IFERROR(__xludf.DUMMYFUNCTION("""COMPUTED_VALUE"""),"Novo Acordo")</f>
        <v>Novo Acordo</v>
      </c>
      <c r="C188" t="str">
        <f ca="1">IFERROR(__xludf.DUMMYFUNCTION("""COMPUTED_VALUE"""),"ASS. A. AO COL. EST. D. PEDRO I/N.ACORDO")</f>
        <v>ASS. A. AO COL. EST. D. PEDRO I/N.ACORDO</v>
      </c>
      <c r="D188" t="str">
        <f ca="1">IFERROR(__xludf.DUMMYFUNCTION("""COMPUTED_VALUE"""),"01133690000110")</f>
        <v>01133690000110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IFERROR(__xludf.DUMMYFUNCTION("""COMPUTED_VALUE"""),"157856")</f>
        <v>157856</v>
      </c>
      <c r="H188" s="7">
        <f ca="1">IFERROR(__xludf.DUMMYFUNCTION("""COMPUTED_VALUE"""),9954)</f>
        <v>9954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IFERROR(__xludf.DUMMYFUNCTION("""COMPUTED_VALUE"""),"A.A. DA ESC. EST.PEDRO MACEDO / N.ACORDO")</f>
        <v>A.A. DA ESC. EST.PEDRO MACEDO / N.ACORDO</v>
      </c>
      <c r="D189" t="str">
        <f ca="1">IFERROR(__xludf.DUMMYFUNCTION("""COMPUTED_VALUE"""),"01136004000164")</f>
        <v>01136004000164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IFERROR(__xludf.DUMMYFUNCTION("""COMPUTED_VALUE"""),"171166")</f>
        <v>171166</v>
      </c>
      <c r="H189" s="7">
        <f ca="1">IFERROR(__xludf.DUMMYFUNCTION("""COMPUTED_VALUE"""),1659)</f>
        <v>1659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 COM. E-E. E. DOM ALANO MARIE DU NODAY")</f>
        <v>A. COM. E-E. E. DOM ALANO MARIE DU NODAY</v>
      </c>
      <c r="D190" t="str">
        <f ca="1">IFERROR(__xludf.DUMMYFUNCTION("""COMPUTED_VALUE"""),"01343125000187")</f>
        <v>01343125000187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IFERROR(__xludf.DUMMYFUNCTION("""COMPUTED_VALUE"""),"265810")</f>
        <v>265810</v>
      </c>
      <c r="H190" s="7">
        <f ca="1">IFERROR(__xludf.DUMMYFUNCTION("""COMPUTED_VALUE"""),3822)</f>
        <v>3822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IFERROR(__xludf.DUMMYFUNCTION("""COMPUTED_VALUE"""),"ACE COL. EST. DUQUE DE CAXIAS")</f>
        <v>ACE COL. EST. DUQUE DE CAXIAS</v>
      </c>
      <c r="D191" t="str">
        <f ca="1">IFERROR(__xludf.DUMMYFUNCTION("""COMPUTED_VALUE"""),"01588669000109")</f>
        <v>01588669000109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IFERROR(__xludf.DUMMYFUNCTION("""COMPUTED_VALUE"""),"254002")</f>
        <v>254002</v>
      </c>
      <c r="H191" s="7">
        <f ca="1">IFERROR(__xludf.DUMMYFUNCTION("""COMPUTED_VALUE"""),3927)</f>
        <v>3927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7">
        <f ca="1">IFERROR(__xludf.DUMMYFUNCTION("""COMPUTED_VALUE"""),1239)</f>
        <v>1239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7">
        <f ca="1">IFERROR(__xludf.DUMMYFUNCTION("""COMPUTED_VALUE"""),32592)</f>
        <v>32592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IFERROR(__xludf.DUMMYFUNCTION("""COMPUTED_VALUE"""),"A.CONS.ESCOLAR E. EST.I GRAU LIBERDADE")</f>
        <v>A.CONS.ESCOLAR E. EST.I GRAU LIBERDADE</v>
      </c>
      <c r="D194" t="str">
        <f ca="1">IFERROR(__xludf.DUMMYFUNCTION("""COMPUTED_VALUE"""),"01936355000150")</f>
        <v>01936355000150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IFERROR(__xludf.DUMMYFUNCTION("""COMPUTED_VALUE"""),"257028")</f>
        <v>257028</v>
      </c>
      <c r="H194" s="7">
        <f ca="1">IFERROR(__xludf.DUMMYFUNCTION("""COMPUTED_VALUE"""),11214)</f>
        <v>11214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IFERROR(__xludf.DUMMYFUNCTION("""COMPUTED_VALUE"""),"ASSOC APOIO ESC EST MARIA DOS REIS ALVES BARROS")</f>
        <v>ASSOC APOIO ESC EST MARIA DOS REIS ALVES BARROS</v>
      </c>
      <c r="D195" t="str">
        <f ca="1">IFERROR(__xludf.DUMMYFUNCTION("""COMPUTED_VALUE"""),"08641263000191")</f>
        <v>08641263000191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IFERROR(__xludf.DUMMYFUNCTION("""COMPUTED_VALUE"""),"413666")</f>
        <v>413666</v>
      </c>
      <c r="H195" s="7">
        <f ca="1">IFERROR(__xludf.DUMMYFUNCTION("""COMPUTED_VALUE"""),43554)</f>
        <v>43554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IFERROR(__xludf.DUMMYFUNCTION("""COMPUTED_VALUE"""),"A.COM. DA ESC. EST. NOVO HORIZONTE")</f>
        <v>A.COM. DA ESC. EST. NOVO HORIZONTE</v>
      </c>
      <c r="D196" t="str">
        <f ca="1">IFERROR(__xludf.DUMMYFUNCTION("""COMPUTED_VALUE"""),"01221539000133")</f>
        <v>01221539000133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IFERROR(__xludf.DUMMYFUNCTION("""COMPUTED_VALUE"""),"351687")</f>
        <v>351687</v>
      </c>
      <c r="H196" s="7">
        <f ca="1">IFERROR(__xludf.DUMMYFUNCTION("""COMPUTED_VALUE"""),13356)</f>
        <v>13356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IFERROR(__xludf.DUMMYFUNCTION("""COMPUTED_VALUE"""),"A.A. DA COM. ESCOLAR - ESC. EST. SANTA FE")</f>
        <v>A.A. DA COM. ESCOLAR - ESC. EST. SANTA FE</v>
      </c>
      <c r="D197" t="str">
        <f ca="1">IFERROR(__xludf.DUMMYFUNCTION("""COMPUTED_VALUE"""),"01932049000145")</f>
        <v>01932049000145</v>
      </c>
      <c r="E197" t="str">
        <f ca="1">IFERROR(__xludf.DUMMYFUNCTION("""COMPUTED_VALUE"""),"001")</f>
        <v>001</v>
      </c>
      <c r="F197" t="str">
        <f ca="1">IFERROR(__xludf.DUMMYFUNCTION("""COMPUTED_VALUE"""),"2781")</f>
        <v>2781</v>
      </c>
      <c r="G197" t="str">
        <f ca="1">IFERROR(__xludf.DUMMYFUNCTION("""COMPUTED_VALUE"""),"261904")</f>
        <v>261904</v>
      </c>
      <c r="H197" s="7">
        <f ca="1">IFERROR(__xludf.DUMMYFUNCTION("""COMPUTED_VALUE"""),609)</f>
        <v>609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7">
        <f ca="1">IFERROR(__xludf.DUMMYFUNCTION("""COMPUTED_VALUE"""),5418)</f>
        <v>5418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7">
        <f ca="1">IFERROR(__xludf.DUMMYFUNCTION("""COMPUTED_VALUE"""),3234)</f>
        <v>3234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7">
        <f ca="1">IFERROR(__xludf.DUMMYFUNCTION("""COMPUTED_VALUE"""),6909)</f>
        <v>6909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IFERROR(__xludf.DUMMYFUNCTION("""COMPUTED_VALUE"""),"AÇÃO SOCIAL JESUS DE NAZARÉ/ESC JOÃO PAULO II")</f>
        <v>AÇÃO SOCIAL JESUS DE NAZARÉ/ESC JOÃO PAULO II</v>
      </c>
      <c r="D201" t="str">
        <f ca="1">IFERROR(__xludf.DUMMYFUNCTION("""COMPUTED_VALUE"""),"03005522000174")</f>
        <v>03005522000174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IFERROR(__xludf.DUMMYFUNCTION("""COMPUTED_VALUE"""),"423475")</f>
        <v>423475</v>
      </c>
      <c r="H201" s="7">
        <f ca="1">IFERROR(__xludf.DUMMYFUNCTION("""COMPUTED_VALUE"""),2562)</f>
        <v>2562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IFERROR(__xludf.DUMMYFUNCTION("""COMPUTED_VALUE"""),"A.A. DO INST.PRESB.EDUC.SOC.REV.ROBERT CA")</f>
        <v>A.A. DO INST.PRESB.EDUC.SOC.REV.ROBERT CA</v>
      </c>
      <c r="D202" t="str">
        <f ca="1">IFERROR(__xludf.DUMMYFUNCTION("""COMPUTED_VALUE"""),"05470057000178")</f>
        <v>05470057000178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IFERROR(__xludf.DUMMYFUNCTION("""COMPUTED_VALUE"""),"45110X")</f>
        <v>45110X</v>
      </c>
      <c r="H202" s="7">
        <f ca="1">IFERROR(__xludf.DUMMYFUNCTION("""COMPUTED_VALUE"""),9849)</f>
        <v>9849</v>
      </c>
      <c r="I202" t="str">
        <v>E.F.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IFERROR(__xludf.DUMMYFUNCTION("""COMPUTED_VALUE"""),"Rio Sono")</f>
        <v>Rio Sono</v>
      </c>
      <c r="C203" t="str">
        <f ca="1">IFERROR(__xludf.DUMMYFUNCTION("""COMPUTED_VALUE"""),"A. DE PAIS E MESTRES DO COL. EST.RIO SONO")</f>
        <v>A. DE PAIS E MESTRES DO COL. EST.RIO SONO</v>
      </c>
      <c r="D203" t="str">
        <f ca="1">IFERROR(__xludf.DUMMYFUNCTION("""COMPUTED_VALUE"""),"01184376000166")</f>
        <v>01184376000166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IFERROR(__xludf.DUMMYFUNCTION("""COMPUTED_VALUE"""),"530042")</f>
        <v>530042</v>
      </c>
      <c r="H203" s="7">
        <f ca="1">IFERROR(__xludf.DUMMYFUNCTION("""COMPUTED_VALUE"""),3822)</f>
        <v>3822</v>
      </c>
      <c r="I203" t="str">
        <v>E.F.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IFERROR(__xludf.DUMMYFUNCTION("""COMPUTED_VALUE"""),"A.A.  ESCOLA EST. IMACULADA CONCEICAO")</f>
        <v>A.A.  ESCOLA EST. IMACULADA CONCEICAO</v>
      </c>
      <c r="D204" t="str">
        <f ca="1">IFERROR(__xludf.DUMMYFUNCTION("""COMPUTED_VALUE"""),"01197175000101")</f>
        <v>01197175000101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IFERROR(__xludf.DUMMYFUNCTION("""COMPUTED_VALUE"""),"161497")</f>
        <v>161497</v>
      </c>
      <c r="H204" s="7">
        <f ca="1">IFERROR(__xludf.DUMMYFUNCTION("""COMPUTED_VALUE"""),1239)</f>
        <v>1239</v>
      </c>
      <c r="I204" t="str">
        <v>E.F.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IFERROR(__xludf.DUMMYFUNCTION("""COMPUTED_VALUE"""),"Santa Tereza do Tocantins")</f>
        <v>Santa Tereza do Tocantins</v>
      </c>
      <c r="C205" t="str">
        <f ca="1">IFERROR(__xludf.DUMMYFUNCTION("""COMPUTED_VALUE"""),"A.A. C.EST. MANOEL S.DOURADO")</f>
        <v>A.A. C.EST. MANOEL S.DOURADO</v>
      </c>
      <c r="D205" t="str">
        <f ca="1">IFERROR(__xludf.DUMMYFUNCTION("""COMPUTED_VALUE"""),"01136013000155")</f>
        <v>01136013000155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IFERROR(__xludf.DUMMYFUNCTION("""COMPUTED_VALUE"""),"313033")</f>
        <v>313033</v>
      </c>
      <c r="H205" s="7">
        <f ca="1">IFERROR(__xludf.DUMMYFUNCTION("""COMPUTED_VALUE"""),2100)</f>
        <v>2100</v>
      </c>
      <c r="I205" t="str">
        <v>E.F.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IFERROR(__xludf.DUMMYFUNCTION("""COMPUTED_VALUE"""),"Sao Felix do Tocantins")</f>
        <v>Sao Felix do Tocantins</v>
      </c>
      <c r="C206" t="str">
        <f ca="1">IFERROR(__xludf.DUMMYFUNCTION("""COMPUTED_VALUE"""),"A. DE AP.ESC. EST. SAGRADO CORACAO DE JESUS")</f>
        <v>A. DE AP.ESC. EST. SAGRADO CORACAO DE JESUS</v>
      </c>
      <c r="D206" t="str">
        <f ca="1">IFERROR(__xludf.DUMMYFUNCTION("""COMPUTED_VALUE"""),"01656550000126")</f>
        <v>01656550000126</v>
      </c>
      <c r="E206" t="str">
        <f ca="1">IFERROR(__xludf.DUMMYFUNCTION("""COMPUTED_VALUE"""),"001")</f>
        <v>001</v>
      </c>
      <c r="F206" t="str">
        <f ca="1">IFERROR(__xludf.DUMMYFUNCTION("""COMPUTED_VALUE"""),"3962")</f>
        <v>3962</v>
      </c>
      <c r="G206" t="str">
        <f ca="1">IFERROR(__xludf.DUMMYFUNCTION("""COMPUTED_VALUE"""),"147605")</f>
        <v>147605</v>
      </c>
      <c r="H206" s="7">
        <f ca="1">IFERROR(__xludf.DUMMYFUNCTION("""COMPUTED_VALUE"""),4431)</f>
        <v>4431</v>
      </c>
      <c r="I206" t="str">
        <v>E.F.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IFERROR(__xludf.DUMMYFUNCTION("""COMPUTED_VALUE"""),"Abreulandia")</f>
        <v>Abreulandia</v>
      </c>
      <c r="C207" t="str">
        <f ca="1">IFERROR(__xludf.DUMMYFUNCTION("""COMPUTED_VALUE"""),"ASS. DE APOIO DA ESCOLA EST. SAO PEDRO")</f>
        <v>ASS. DE APOIO DA ESCOLA EST. SAO PEDRO</v>
      </c>
      <c r="D207" t="str">
        <f ca="1">IFERROR(__xludf.DUMMYFUNCTION("""COMPUTED_VALUE"""),"01071408000117")</f>
        <v>01071408000117</v>
      </c>
      <c r="E207" t="str">
        <f ca="1">IFERROR(__xludf.DUMMYFUNCTION("""COMPUTED_VALUE"""),"001")</f>
        <v>001</v>
      </c>
      <c r="F207" t="str">
        <f ca="1">IFERROR(__xludf.DUMMYFUNCTION("""COMPUTED_VALUE"""),"0804")</f>
        <v>0804</v>
      </c>
      <c r="G207" t="str">
        <f ca="1">IFERROR(__xludf.DUMMYFUNCTION("""COMPUTED_VALUE"""),"286893")</f>
        <v>286893</v>
      </c>
      <c r="H207" s="7">
        <f ca="1">IFERROR(__xludf.DUMMYFUNCTION("""COMPUTED_VALUE"""),2247)</f>
        <v>2247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IFERROR(__xludf.DUMMYFUNCTION("""COMPUTED_VALUE"""),"Araguacema")</f>
        <v>Araguacema</v>
      </c>
      <c r="C208" t="str">
        <f ca="1">IFERROR(__xludf.DUMMYFUNCTION("""COMPUTED_VALUE"""),"ASSOC. DE APOIO AO COL. EST. DE ARAGUACEMA")</f>
        <v>ASSOC. DE APOIO AO COL. EST. DE ARAGUACEMA</v>
      </c>
      <c r="D208" t="str">
        <f ca="1">IFERROR(__xludf.DUMMYFUNCTION("""COMPUTED_VALUE"""),"01187107000153")</f>
        <v>01187107000153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IFERROR(__xludf.DUMMYFUNCTION("""COMPUTED_VALUE"""),"286532")</f>
        <v>286532</v>
      </c>
      <c r="H208" s="7">
        <f ca="1">IFERROR(__xludf.DUMMYFUNCTION("""COMPUTED_VALUE"""),1995)</f>
        <v>1995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COLEGIO MENNO SIMONS")</f>
        <v>ASSOC. DE APOIO COLEGIO MENNO SIMONS</v>
      </c>
      <c r="D209" t="str">
        <f ca="1">IFERROR(__xludf.DUMMYFUNCTION("""COMPUTED_VALUE"""),"01138321000110")</f>
        <v>01138321000110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IFERROR(__xludf.DUMMYFUNCTION("""COMPUTED_VALUE"""),"300764")</f>
        <v>300764</v>
      </c>
      <c r="H209" s="7">
        <f ca="1">IFERROR(__xludf.DUMMYFUNCTION("""COMPUTED_VALUE"""),3885)</f>
        <v>3885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IFERROR(__xludf.DUMMYFUNCTION("""COMPUTED_VALUE"""),"Barrolandia")</f>
        <v>Barrolandia</v>
      </c>
      <c r="C210" t="str">
        <f ca="1">IFERROR(__xludf.DUMMYFUNCTION("""COMPUTED_VALUE"""),"A..A. ESC. ESPECIAL AMOR DE DEUS")</f>
        <v>A..A. ESC. ESPECIAL AMOR DE DEUS</v>
      </c>
      <c r="D210" t="str">
        <f ca="1">IFERROR(__xludf.DUMMYFUNCTION("""COMPUTED_VALUE"""),"07935641000187")</f>
        <v>07935641000187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IFERROR(__xludf.DUMMYFUNCTION("""COMPUTED_VALUE"""),"279501")</f>
        <v>279501</v>
      </c>
      <c r="H210" s="7">
        <f ca="1">IFERROR(__xludf.DUMMYFUNCTION("""COMPUTED_VALUE"""),210)</f>
        <v>210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IFERROR(__xludf.DUMMYFUNCTION("""COMPUTED_VALUE"""),"ASS. APOIO DA ESC EST PAULINA CAMARA")</f>
        <v>ASS. APOIO DA ESC EST PAULINA CAMARA</v>
      </c>
      <c r="D211" t="str">
        <f ca="1">IFERROR(__xludf.DUMMYFUNCTION("""COMPUTED_VALUE"""),"01071402000140")</f>
        <v>01071402000140</v>
      </c>
      <c r="E211" t="str">
        <f ca="1">IFERROR(__xludf.DUMMYFUNCTION("""COMPUTED_VALUE"""),"001")</f>
        <v>001</v>
      </c>
      <c r="F211" t="str">
        <f ca="1">IFERROR(__xludf.DUMMYFUNCTION("""COMPUTED_VALUE"""),"0862")</f>
        <v>0862</v>
      </c>
      <c r="G211" t="str">
        <f ca="1">IFERROR(__xludf.DUMMYFUNCTION("""COMPUTED_VALUE"""),"68926")</f>
        <v>68926</v>
      </c>
      <c r="H211" s="7">
        <f ca="1">IFERROR(__xludf.DUMMYFUNCTION("""COMPUTED_VALUE"""),5334)</f>
        <v>5334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IFERROR(__xludf.DUMMYFUNCTION("""COMPUTED_VALUE"""),"A.A. COLEGIO ESTADUAL COSTA E SILVA")</f>
        <v>A.A. COLEGIO ESTADUAL COSTA E SILVA</v>
      </c>
      <c r="D212" t="str">
        <f ca="1">IFERROR(__xludf.DUMMYFUNCTION("""COMPUTED_VALUE"""),"01100434000126")</f>
        <v>01100434000126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IFERROR(__xludf.DUMMYFUNCTION("""COMPUTED_VALUE"""),"68942")</f>
        <v>68942</v>
      </c>
      <c r="H212" s="7">
        <f ca="1">IFERROR(__xludf.DUMMYFUNCTION("""COMPUTED_VALUE"""),2310)</f>
        <v>2310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IFERROR(__xludf.DUMMYFUNCTION("""COMPUTED_VALUE"""),"Caseara")</f>
        <v>Caseara</v>
      </c>
      <c r="C213" t="str">
        <f ca="1">IFERROR(__xludf.DUMMYFUNCTION("""COMPUTED_VALUE"""),"A. DE APOIO A ESC. EST. JOSE ALVES DE ASSIS")</f>
        <v>A. DE APOIO A ESC. EST. JOSE ALVES DE ASSIS</v>
      </c>
      <c r="D213" t="str">
        <f ca="1">IFERROR(__xludf.DUMMYFUNCTION("""COMPUTED_VALUE"""),"01138318000104")</f>
        <v>01138318000104</v>
      </c>
      <c r="E213" t="str">
        <f ca="1">IFERROR(__xludf.DUMMYFUNCTION("""COMPUTED_VALUE"""),"104")</f>
        <v>104</v>
      </c>
      <c r="F213" t="str">
        <f ca="1">IFERROR(__xludf.DUMMYFUNCTION("""COMPUTED_VALUE"""),"1141")</f>
        <v>1141</v>
      </c>
      <c r="G213" t="str">
        <f ca="1">IFERROR(__xludf.DUMMYFUNCTION("""COMPUTED_VALUE"""),"307968")</f>
        <v>307968</v>
      </c>
      <c r="H213" s="7">
        <f ca="1">IFERROR(__xludf.DUMMYFUNCTION("""COMPUTED_VALUE"""),7245)</f>
        <v>7245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IFERROR(__xludf.DUMMYFUNCTION("""COMPUTED_VALUE"""),"Cristalandia")</f>
        <v>Cristalandia</v>
      </c>
      <c r="C214" t="str">
        <f ca="1">IFERROR(__xludf.DUMMYFUNCTION("""COMPUTED_VALUE"""),"ASS. APOIO DO COL. EST. DE CRISTALANDIA")</f>
        <v>ASS. APOIO DO COL. EST. DE CRISTALANDIA</v>
      </c>
      <c r="D214" t="str">
        <f ca="1">IFERROR(__xludf.DUMMYFUNCTION("""COMPUTED_VALUE"""),"01186467000130")</f>
        <v>01186467000130</v>
      </c>
      <c r="E214" t="str">
        <f ca="1">IFERROR(__xludf.DUMMYFUNCTION("""COMPUTED_VALUE"""),"001")</f>
        <v>001</v>
      </c>
      <c r="F214" t="str">
        <f ca="1">IFERROR(__xludf.DUMMYFUNCTION("""COMPUTED_VALUE"""),"3638")</f>
        <v>3638</v>
      </c>
      <c r="G214" t="str">
        <f ca="1">IFERROR(__xludf.DUMMYFUNCTION("""COMPUTED_VALUE"""),"17469")</f>
        <v>17469</v>
      </c>
      <c r="H214" s="7">
        <f ca="1">IFERROR(__xludf.DUMMYFUNCTION("""COMPUTED_VALUE"""),4179)</f>
        <v>4179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IFERROR(__xludf.DUMMYFUNCTION("""COMPUTED_VALUE"""),"APAE DE CRISTALÂNDIA")</f>
        <v>APAE DE CRISTALÂNDIA</v>
      </c>
      <c r="D215" t="str">
        <f ca="1">IFERROR(__xludf.DUMMYFUNCTION("""COMPUTED_VALUE"""),"01995319000167")</f>
        <v>01995319000167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IFERROR(__xludf.DUMMYFUNCTION("""COMPUTED_VALUE"""),"71315")</f>
        <v>71315</v>
      </c>
      <c r="H215" s="7">
        <f ca="1">IFERROR(__xludf.DUMMYFUNCTION("""COMPUTED_VALUE"""),63)</f>
        <v>63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IFERROR(__xludf.DUMMYFUNCTION("""COMPUTED_VALUE"""),"A.A. ESCOLA MUL.OTACILIO MARQUES ROSAL")</f>
        <v>A.A. ESCOLA MUL.OTACILIO MARQUES ROSAL</v>
      </c>
      <c r="D216" t="str">
        <f ca="1">IFERROR(__xludf.DUMMYFUNCTION("""COMPUTED_VALUE"""),"01071438000123")</f>
        <v>01071438000123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IFERROR(__xludf.DUMMYFUNCTION("""COMPUTED_VALUE"""),"7120X")</f>
        <v>7120X</v>
      </c>
      <c r="H216" s="7">
        <f ca="1">IFERROR(__xludf.DUMMYFUNCTION("""COMPUTED_VALUE"""),5796)</f>
        <v>5796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IFERROR(__xludf.DUMMYFUNCTION("""COMPUTED_VALUE"""),"Divinopolis do Tocantins")</f>
        <v>Divinopolis do Tocantins</v>
      </c>
      <c r="C217" t="str">
        <f ca="1">IFERROR(__xludf.DUMMYFUNCTION("""COMPUTED_VALUE"""),"A.A. DO COLEGIO MUL. JOAO DIAS SOBRINHO")</f>
        <v>A.A. DO COLEGIO MUL. JOAO DIAS SOBRINHO</v>
      </c>
      <c r="D217" t="str">
        <f ca="1">IFERROR(__xludf.DUMMYFUNCTION("""COMPUTED_VALUE"""),"01184383000168")</f>
        <v>01184383000168</v>
      </c>
      <c r="E217" t="str">
        <f ca="1">IFERROR(__xludf.DUMMYFUNCTION("""COMPUTED_VALUE"""),"001")</f>
        <v>001</v>
      </c>
      <c r="F217" t="str">
        <f ca="1">IFERROR(__xludf.DUMMYFUNCTION("""COMPUTED_VALUE"""),"3812")</f>
        <v>3812</v>
      </c>
      <c r="G217" t="str">
        <f ca="1">IFERROR(__xludf.DUMMYFUNCTION("""COMPUTED_VALUE"""),"275069")</f>
        <v>275069</v>
      </c>
      <c r="H217" s="7">
        <f ca="1">IFERROR(__xludf.DUMMYFUNCTION("""COMPUTED_VALUE"""),5754)</f>
        <v>5754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IFERROR(__xludf.DUMMYFUNCTION("""COMPUTED_VALUE"""),"ASS. APOIO ESC. EST. D. CANDIDA DE FREITAS")</f>
        <v>ASS. APOIO ESC. EST. D. CANDIDA DE FREITAS</v>
      </c>
      <c r="D218" t="str">
        <f ca="1">IFERROR(__xludf.DUMMYFUNCTION("""COMPUTED_VALUE"""),"01296363000189")</f>
        <v>01296363000189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IFERROR(__xludf.DUMMYFUNCTION("""COMPUTED_VALUE"""),"70629")</f>
        <v>70629</v>
      </c>
      <c r="H218" s="7">
        <f ca="1">IFERROR(__xludf.DUMMYFUNCTION("""COMPUTED_VALUE"""),4263)</f>
        <v>4263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IFERROR(__xludf.DUMMYFUNCTION("""COMPUTED_VALUE"""),"Lagoa da Confusao")</f>
        <v>Lagoa da Confusao</v>
      </c>
      <c r="C219" t="str">
        <f ca="1">IFERROR(__xludf.DUMMYFUNCTION("""COMPUTED_VALUE"""),"A.A.  ESTUD COL. EST. LAGOA DA CONFUSAO")</f>
        <v>A.A.  ESTUD COL. EST. LAGOA DA CONFUSAO</v>
      </c>
      <c r="D219" t="str">
        <f ca="1">IFERROR(__xludf.DUMMYFUNCTION("""COMPUTED_VALUE"""),"01179116000100")</f>
        <v>01179116000100</v>
      </c>
      <c r="E219" t="str">
        <f ca="1">IFERROR(__xludf.DUMMYFUNCTION("""COMPUTED_VALUE"""),"001")</f>
        <v>001</v>
      </c>
      <c r="F219" t="str">
        <f ca="1">IFERROR(__xludf.DUMMYFUNCTION("""COMPUTED_VALUE"""),"3983")</f>
        <v>3983</v>
      </c>
      <c r="G219" t="str">
        <f ca="1">IFERROR(__xludf.DUMMYFUNCTION("""COMPUTED_VALUE"""),"84735")</f>
        <v>84735</v>
      </c>
      <c r="H219" s="7">
        <f ca="1">IFERROR(__xludf.DUMMYFUNCTION("""COMPUTED_VALUE"""),1806)</f>
        <v>1806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IFERROR(__xludf.DUMMYFUNCTION("""COMPUTED_VALUE"""),"ASSOCIAÇÃO DA ESCOLA ESPECIAL LAGOA DA CONFUSÃO")</f>
        <v>ASSOCIAÇÃO DA ESCOLA ESPECIAL LAGOA DA CONFUSÃO</v>
      </c>
      <c r="D220" t="str">
        <f ca="1">IFERROR(__xludf.DUMMYFUNCTION("""COMPUTED_VALUE"""),"08755554000100")</f>
        <v>08755554000100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IFERROR(__xludf.DUMMYFUNCTION("""COMPUTED_VALUE"""),"83712")</f>
        <v>83712</v>
      </c>
      <c r="H220" s="7">
        <f ca="1">IFERROR(__xludf.DUMMYFUNCTION("""COMPUTED_VALUE"""),210)</f>
        <v>210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IFERROR(__xludf.DUMMYFUNCTION("""COMPUTED_VALUE"""),"Marianopolis do Tocantins")</f>
        <v>Marianopolis do Tocantins</v>
      </c>
      <c r="C221" t="str">
        <f ca="1">IFERROR(__xludf.DUMMYFUNCTION("""COMPUTED_VALUE"""),"A.A. DO COL. EST. DAVID BARBOSA ROLINS")</f>
        <v>A.A. DO COL. EST. DAVID BARBOSA ROLINS</v>
      </c>
      <c r="D221" t="str">
        <f ca="1">IFERROR(__xludf.DUMMYFUNCTION("""COMPUTED_VALUE"""),"01980050000145")</f>
        <v>01980050000145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IFERROR(__xludf.DUMMYFUNCTION("""COMPUTED_VALUE"""),"219045")</f>
        <v>219045</v>
      </c>
      <c r="H221" s="7">
        <f ca="1">IFERROR(__xludf.DUMMYFUNCTION("""COMPUTED_VALUE"""),2352)</f>
        <v>2352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IFERROR(__xludf.DUMMYFUNCTION("""COMPUTED_VALUE"""),"Nova Rosalandia")</f>
        <v>Nova Rosalandia</v>
      </c>
      <c r="C222" t="str">
        <f ca="1">IFERROR(__xludf.DUMMYFUNCTION("""COMPUTED_VALUE"""),"A. ESC. COM. ESC. EST.PEDRO XAVIER TEIXEIRA")</f>
        <v>A. ESC. COM. ESC. EST.PEDRO XAVIER TEIXEIRA</v>
      </c>
      <c r="D222" t="str">
        <f ca="1">IFERROR(__xludf.DUMMYFUNCTION("""COMPUTED_VALUE"""),"01068367000100")</f>
        <v>01068367000100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IFERROR(__xludf.DUMMYFUNCTION("""COMPUTED_VALUE"""),"234265")</f>
        <v>234265</v>
      </c>
      <c r="H222" s="7">
        <f ca="1">IFERROR(__xludf.DUMMYFUNCTION("""COMPUTED_VALUE"""),1722)</f>
        <v>1722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IFERROR(__xludf.DUMMYFUNCTION("""COMPUTED_VALUE"""),"A.A. A ESCOLA ESTADUAL CAMPO MAIOR")</f>
        <v>A.A. A ESCOLA ESTADUAL CAMPO MAIOR</v>
      </c>
      <c r="D223" t="str">
        <f ca="1">IFERROR(__xludf.DUMMYFUNCTION("""COMPUTED_VALUE"""),"01068373000167")</f>
        <v>01068373000167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IFERROR(__xludf.DUMMYFUNCTION("""COMPUTED_VALUE"""),"341290")</f>
        <v>341290</v>
      </c>
      <c r="H223" s="7">
        <f ca="1">IFERROR(__xludf.DUMMYFUNCTION("""COMPUTED_VALUE"""),714)</f>
        <v>714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COLÉGIO MILITAR DIACONÍZIO BEZERRA DA SILVA")</f>
        <v>A.A. COLÉGIO MILITAR DIACONÍZIO BEZERRA DA SILVA</v>
      </c>
      <c r="D224" t="str">
        <f ca="1">IFERROR(__xludf.DUMMYFUNCTION("""COMPUTED_VALUE"""),"11675300000197")</f>
        <v>11675300000197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IFERROR(__xludf.DUMMYFUNCTION("""COMPUTED_VALUE"""),"320781")</f>
        <v>320781</v>
      </c>
      <c r="H224" s="7">
        <f ca="1">IFERROR(__xludf.DUMMYFUNCTION("""COMPUTED_VALUE"""),12516)</f>
        <v>12516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IFERROR(__xludf.DUMMYFUNCTION("""COMPUTED_VALUE"""),"ASSOC. DE APOIO ESC. EST.IDALINA DE PAULA")</f>
        <v>ASSOC. DE APOIO ESC. EST.IDALINA DE PAULA</v>
      </c>
      <c r="D225" t="str">
        <f ca="1">IFERROR(__xludf.DUMMYFUNCTION("""COMPUTED_VALUE"""),"01066419000109")</f>
        <v>01066419000109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IFERROR(__xludf.DUMMYFUNCTION("""COMPUTED_VALUE"""),"115797")</f>
        <v>115797</v>
      </c>
      <c r="H225" s="7">
        <f ca="1">IFERROR(__xludf.DUMMYFUNCTION("""COMPUTED_VALUE"""),7119)</f>
        <v>7119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IFERROR(__xludf.DUMMYFUNCTION("""COMPUTED_VALUE"""),"AAE. ESPECIAL LUZ DA VIDA")</f>
        <v>AAE. ESPECIAL LUZ DA VIDA</v>
      </c>
      <c r="D226" t="str">
        <f ca="1">IFERROR(__xludf.DUMMYFUNCTION("""COMPUTED_VALUE"""),"07905330000175")</f>
        <v>07905330000175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IFERROR(__xludf.DUMMYFUNCTION("""COMPUTED_VALUE"""),"331724")</f>
        <v>331724</v>
      </c>
      <c r="H226" s="7">
        <f ca="1">IFERROR(__xludf.DUMMYFUNCTION("""COMPUTED_VALUE"""),525)</f>
        <v>525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IFERROR(__xludf.DUMMYFUNCTION("""COMPUTED_VALUE"""),"ASS. DE APOIO ESC. EST. AMANCIO DE MORAES")</f>
        <v>ASS. DE APOIO ESC. EST. AMANCIO DE MORAES</v>
      </c>
      <c r="D227" t="str">
        <f ca="1">IFERROR(__xludf.DUMMYFUNCTION("""COMPUTED_VALUE"""),"01068375000156")</f>
        <v>01068375000156</v>
      </c>
      <c r="E227" t="str">
        <f ca="1">IFERROR(__xludf.DUMMYFUNCTION("""COMPUTED_VALUE"""),"104")</f>
        <v>104</v>
      </c>
      <c r="F227" t="str">
        <f ca="1">IFERROR(__xludf.DUMMYFUNCTION("""COMPUTED_VALUE"""),"1141")</f>
        <v>1141</v>
      </c>
      <c r="G227" t="str">
        <f ca="1">IFERROR(__xludf.DUMMYFUNCTION("""COMPUTED_VALUE"""),"308140")</f>
        <v>308140</v>
      </c>
      <c r="H227" s="7">
        <f ca="1">IFERROR(__xludf.DUMMYFUNCTION("""COMPUTED_VALUE"""),5250)</f>
        <v>5250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IFERROR(__xludf.DUMMYFUNCTION("""COMPUTED_VALUE"""),"A.A. ESCOLA ESTADUAL DEUSA DE MORAES")</f>
        <v>A.A. ESCOLA ESTADUAL DEUSA DE MORAES</v>
      </c>
      <c r="D228" t="str">
        <f ca="1">IFERROR(__xludf.DUMMYFUNCTION("""COMPUTED_VALUE"""),"01068362000187")</f>
        <v>01068362000187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IFERROR(__xludf.DUMMYFUNCTION("""COMPUTED_VALUE"""),"304549")</f>
        <v>304549</v>
      </c>
      <c r="H228" s="7">
        <f ca="1">IFERROR(__xludf.DUMMYFUNCTION("""COMPUTED_VALUE"""),7686)</f>
        <v>7686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 ESC COM. DA ESC EST J.K. DE OLIVEIRA")</f>
        <v>A. ESC COM. DA ESC EST J.K. DE OLIVEIRA</v>
      </c>
      <c r="D229" t="str">
        <f ca="1">IFERROR(__xludf.DUMMYFUNCTION("""COMPUTED_VALUE"""),"00921537000194")</f>
        <v>00921537000194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IFERROR(__xludf.DUMMYFUNCTION("""COMPUTED_VALUE"""),"163821")</f>
        <v>163821</v>
      </c>
      <c r="H229" s="7">
        <f ca="1">IFERROR(__xludf.DUMMYFUNCTION("""COMPUTED_VALUE"""),5586)</f>
        <v>5586</v>
      </c>
      <c r="I229" t="str">
        <v>E.F.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IFERROR(__xludf.DUMMYFUNCTION("""COMPUTED_VALUE"""),"A.A.  ESCOLA EST. SAO JOSE OPERARIO")</f>
        <v>A.A.  ESCOLA EST. SAO JOSE OPERARIO</v>
      </c>
      <c r="D230" t="str">
        <f ca="1">IFERROR(__xludf.DUMMYFUNCTION("""COMPUTED_VALUE"""),"01186454000161")</f>
        <v>01186454000161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IFERROR(__xludf.DUMMYFUNCTION("""COMPUTED_VALUE"""),"285986")</f>
        <v>285986</v>
      </c>
      <c r="H230" s="7">
        <f ca="1">IFERROR(__xludf.DUMMYFUNCTION("""COMPUTED_VALUE"""),8967)</f>
        <v>8967</v>
      </c>
      <c r="I230" t="str">
        <v>E.F.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DO COL. PRESB. VALE DO TOCANTINS")</f>
        <v>A.A. DO COL. PRESB. VALE DO TOCANTINS</v>
      </c>
      <c r="D231" t="str">
        <f ca="1">IFERROR(__xludf.DUMMYFUNCTION("""COMPUTED_VALUE"""),"01071426000107")</f>
        <v>01071426000107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IFERROR(__xludf.DUMMYFUNCTION("""COMPUTED_VALUE"""),"311618")</f>
        <v>311618</v>
      </c>
      <c r="H231" s="7">
        <f ca="1">IFERROR(__xludf.DUMMYFUNCTION("""COMPUTED_VALUE"""),10353)</f>
        <v>10353</v>
      </c>
      <c r="I231" t="str">
        <v>E.F.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IFERROR(__xludf.DUMMYFUNCTION("""COMPUTED_VALUE"""),"Pium")</f>
        <v>Pium</v>
      </c>
      <c r="C232" t="str">
        <f ca="1">IFERROR(__xludf.DUMMYFUNCTION("""COMPUTED_VALUE"""),"A.A. COLEGIO ESTADUAL BARTOLOMEU BUENO")</f>
        <v>A.A. COLEGIO ESTADUAL BARTOLOMEU BUENO</v>
      </c>
      <c r="D232" t="str">
        <f ca="1">IFERROR(__xludf.DUMMYFUNCTION("""COMPUTED_VALUE"""),"01071436000134")</f>
        <v>01071436000134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IFERROR(__xludf.DUMMYFUNCTION("""COMPUTED_VALUE"""),"286206")</f>
        <v>286206</v>
      </c>
      <c r="H232" s="7">
        <f ca="1">IFERROR(__xludf.DUMMYFUNCTION("""COMPUTED_VALUE"""),1239)</f>
        <v>1239</v>
      </c>
      <c r="I232" t="str">
        <v>E.F.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IFERROR(__xludf.DUMMYFUNCTION("""COMPUTED_VALUE"""),"Pugmil")</f>
        <v>Pugmil</v>
      </c>
      <c r="C233" t="str">
        <f ca="1">IFERROR(__xludf.DUMMYFUNCTION("""COMPUTED_VALUE"""),"A.A. DA ESC. EST. DARCY RIBEIRO")</f>
        <v>A.A. DA ESC. EST. DARCY RIBEIRO</v>
      </c>
      <c r="D233" t="str">
        <f ca="1">IFERROR(__xludf.DUMMYFUNCTION("""COMPUTED_VALUE"""),"02382845000114")</f>
        <v>02382845000114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IFERROR(__xludf.DUMMYFUNCTION("""COMPUTED_VALUE"""),"286648")</f>
        <v>286648</v>
      </c>
      <c r="H233" s="7">
        <f ca="1">IFERROR(__xludf.DUMMYFUNCTION("""COMPUTED_VALUE"""),1281)</f>
        <v>1281</v>
      </c>
      <c r="I233" t="str">
        <v>E.F.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IFERROR(__xludf.DUMMYFUNCTION("""COMPUTED_VALUE"""),"Bom Jesus do Tocantins")</f>
        <v>Bom Jesus do Tocantins</v>
      </c>
      <c r="C234" t="str">
        <f ca="1">IFERROR(__xludf.DUMMYFUNCTION("""COMPUTED_VALUE"""),"ASSOC. DE AP.A ESC. EST. ALFREDO NASSER")</f>
        <v>ASSOC. DE AP.A ESC. EST. ALFREDO NASSER</v>
      </c>
      <c r="D234" t="str">
        <f ca="1">IFERROR(__xludf.DUMMYFUNCTION("""COMPUTED_VALUE"""),"01138329000186")</f>
        <v>01138329000186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IFERROR(__xludf.DUMMYFUNCTION("""COMPUTED_VALUE"""),"59277")</f>
        <v>59277</v>
      </c>
      <c r="H234" s="7">
        <f ca="1">IFERROR(__xludf.DUMMYFUNCTION("""COMPUTED_VALUE"""),5460)</f>
        <v>5460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IFERROR(__xludf.DUMMYFUNCTION("""COMPUTED_VALUE"""),"Centenario")</f>
        <v>Centenario</v>
      </c>
      <c r="C235" t="str">
        <f ca="1">IFERROR(__xludf.DUMMYFUNCTION("""COMPUTED_VALUE"""),"A. ESC. COM. DO COL. EST. OTONIEL C.DE JESUS")</f>
        <v>A. ESC. COM. DO COL. EST. OTONIEL C.DE JESUS</v>
      </c>
      <c r="D235" t="str">
        <f ca="1">IFERROR(__xludf.DUMMYFUNCTION("""COMPUTED_VALUE"""),"02008180000183")</f>
        <v>02008180000183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IFERROR(__xludf.DUMMYFUNCTION("""COMPUTED_VALUE"""),"10081")</f>
        <v>10081</v>
      </c>
      <c r="H235" s="7">
        <f ca="1">IFERROR(__xludf.DUMMYFUNCTION("""COMPUTED_VALUE"""),672)</f>
        <v>672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IFERROR(__xludf.DUMMYFUNCTION("""COMPUTED_VALUE"""),"Itacaja")</f>
        <v>Itacaja</v>
      </c>
      <c r="C236" t="str">
        <f ca="1">IFERROR(__xludf.DUMMYFUNCTION("""COMPUTED_VALUE"""),"A.A. COLEGIO ESTADUAL DE ITACAJA")</f>
        <v>A.A. COLEGIO ESTADUAL DE ITACAJA</v>
      </c>
      <c r="D236" t="str">
        <f ca="1">IFERROR(__xludf.DUMMYFUNCTION("""COMPUTED_VALUE"""),"01138428000168")</f>
        <v>01138428000168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IFERROR(__xludf.DUMMYFUNCTION("""COMPUTED_VALUE"""),"59773")</f>
        <v>59773</v>
      </c>
      <c r="H236" s="7">
        <f ca="1">IFERROR(__xludf.DUMMYFUNCTION("""COMPUTED_VALUE"""),6468)</f>
        <v>6468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IFERROR(__xludf.DUMMYFUNCTION("""COMPUTED_VALUE"""),"ASSOC. APOIO ESC. EST. ALMEIDA SARDINHA")</f>
        <v>ASSOC. APOIO ESC. EST. ALMEIDA SARDINHA</v>
      </c>
      <c r="D237" t="str">
        <f ca="1">IFERROR(__xludf.DUMMYFUNCTION("""COMPUTED_VALUE"""),"01138335000133")</f>
        <v>01138335000133</v>
      </c>
      <c r="E237" t="str">
        <f ca="1">IFERROR(__xludf.DUMMYFUNCTION("""COMPUTED_VALUE"""),"001")</f>
        <v>001</v>
      </c>
      <c r="F237" t="str">
        <f ca="1">IFERROR(__xludf.DUMMYFUNCTION("""COMPUTED_VALUE"""),"2094")</f>
        <v>2094</v>
      </c>
      <c r="G237" t="str">
        <f ca="1">IFERROR(__xludf.DUMMYFUNCTION("""COMPUTED_VALUE"""),"466484")</f>
        <v>466484</v>
      </c>
      <c r="H237" s="7">
        <f ca="1">IFERROR(__xludf.DUMMYFUNCTION("""COMPUTED_VALUE"""),1932)</f>
        <v>1932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IFERROR(__xludf.DUMMYFUNCTION("""COMPUTED_VALUE"""),"Pedro Afonso")</f>
        <v>Pedro Afonso</v>
      </c>
      <c r="C238" t="str">
        <f ca="1">IFERROR(__xludf.DUMMYFUNCTION("""COMPUTED_VALUE"""),"A.A. E. EST.IS.DA REG.DE ENS.DE GUARAI")</f>
        <v>A.A. E. EST.IS.DA REG.DE ENS.DE GUARAI</v>
      </c>
      <c r="D238" t="str">
        <f ca="1">IFERROR(__xludf.DUMMYFUNCTION("""COMPUTED_VALUE"""),"02508361000179")</f>
        <v>02508361000179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IFERROR(__xludf.DUMMYFUNCTION("""COMPUTED_VALUE"""),"110663")</f>
        <v>110663</v>
      </c>
      <c r="H238" s="7">
        <f ca="1">IFERROR(__xludf.DUMMYFUNCTION("""COMPUTED_VALUE"""),1512)</f>
        <v>1512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IFERROR(__xludf.DUMMYFUNCTION("""COMPUTED_VALUE"""),"ASSOCIAÇÃO DE PAIS E AMIGOS DOS EXCEPCIONAIS DE PEDRO AFONSO")</f>
        <v>ASSOCIAÇÃO DE PAIS E AMIGOS DOS EXCEPCIONAIS DE PEDRO AFONSO</v>
      </c>
      <c r="D239" t="str">
        <f ca="1">IFERROR(__xludf.DUMMYFUNCTION("""COMPUTED_VALUE"""),"04406588000139")</f>
        <v>04406588000139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IFERROR(__xludf.DUMMYFUNCTION("""COMPUTED_VALUE"""),"119105")</f>
        <v>119105</v>
      </c>
      <c r="H239" s="7">
        <f ca="1">IFERROR(__xludf.DUMMYFUNCTION("""COMPUTED_VALUE"""),105)</f>
        <v>105</v>
      </c>
      <c r="I239" t="str">
        <v>E.F.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IFERROR(__xludf.DUMMYFUNCTION("""COMPUTED_VALUE"""),"A. DE PAIS E MEST. DA ESC. EST. ANA AMORIM")</f>
        <v>A. DE PAIS E MEST. DA ESC. EST. ANA AMORIM</v>
      </c>
      <c r="D240" t="str">
        <f ca="1">IFERROR(__xludf.DUMMYFUNCTION("""COMPUTED_VALUE"""),"01990364000129")</f>
        <v>01990364000129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IFERROR(__xludf.DUMMYFUNCTION("""COMPUTED_VALUE"""),"59722")</f>
        <v>59722</v>
      </c>
      <c r="H240" s="7">
        <f ca="1">IFERROR(__xludf.DUMMYFUNCTION("""COMPUTED_VALUE"""),10332)</f>
        <v>10332</v>
      </c>
      <c r="I240" t="str">
        <v>E.F.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IFERROR(__xludf.DUMMYFUNCTION("""COMPUTED_VALUE"""),"ASS. DE APOIO A ESCOLA ESTADUAL BOM TEMPO")</f>
        <v>ASS. DE APOIO A ESCOLA ESTADUAL BOM TEMPO</v>
      </c>
      <c r="D241" t="str">
        <f ca="1">IFERROR(__xludf.DUMMYFUNCTION("""COMPUTED_VALUE"""),"44776099000193")</f>
        <v>44776099000193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IFERROR(__xludf.DUMMYFUNCTION("""COMPUTED_VALUE"""),"324981")</f>
        <v>324981</v>
      </c>
      <c r="H241" s="7">
        <f ca="1">IFERROR(__xludf.DUMMYFUNCTION("""COMPUTED_VALUE"""),861)</f>
        <v>861</v>
      </c>
      <c r="I241" t="str">
        <v>E.F.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IFERROR(__xludf.DUMMYFUNCTION("""COMPUTED_VALUE"""),"Recursolandia")</f>
        <v>Recursolandia</v>
      </c>
      <c r="C242" t="str">
        <f ca="1">IFERROR(__xludf.DUMMYFUNCTION("""COMPUTED_VALUE"""),"ASS. DE A. A ESCOLA EST. RECURSO I")</f>
        <v>ASS. DE A. A ESCOLA EST. RECURSO I</v>
      </c>
      <c r="D242" t="str">
        <f ca="1">IFERROR(__xludf.DUMMYFUNCTION("""COMPUTED_VALUE"""),"02021097000144")</f>
        <v>02021097000144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IFERROR(__xludf.DUMMYFUNCTION("""COMPUTED_VALUE"""),"11029")</f>
        <v>11029</v>
      </c>
      <c r="H242" s="7">
        <f ca="1">IFERROR(__xludf.DUMMYFUNCTION("""COMPUTED_VALUE"""),2541)</f>
        <v>2541</v>
      </c>
      <c r="I242" t="str">
        <v>E.F.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IFERROR(__xludf.DUMMYFUNCTION("""COMPUTED_VALUE"""),"Santa Maria do Tocantins")</f>
        <v>Santa Maria do Tocantins</v>
      </c>
      <c r="C243" t="str">
        <f ca="1">IFERROR(__xludf.DUMMYFUNCTION("""COMPUTED_VALUE"""),"A. A.AS ESC.DO COL. EST. SANTA MARIA")</f>
        <v>A. A.AS ESC.DO COL. EST. SANTA MARIA</v>
      </c>
      <c r="D243" t="str">
        <f ca="1">IFERROR(__xludf.DUMMYFUNCTION("""COMPUTED_VALUE"""),"02087933000193")</f>
        <v>02087933000193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IFERROR(__xludf.DUMMYFUNCTION("""COMPUTED_VALUE"""),"83089")</f>
        <v>83089</v>
      </c>
      <c r="H243" s="7">
        <f ca="1">IFERROR(__xludf.DUMMYFUNCTION("""COMPUTED_VALUE"""),2898)</f>
        <v>2898</v>
      </c>
      <c r="I243" t="str">
        <v>E.F.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IFERROR(__xludf.DUMMYFUNCTION("""COMPUTED_VALUE"""),"Fatima")</f>
        <v>Fatima</v>
      </c>
      <c r="C244" t="str">
        <f ca="1">IFERROR(__xludf.DUMMYFUNCTION("""COMPUTED_VALUE"""),"A.A. ESCOLA ESTADUAL CONCEICAO BRITO")</f>
        <v>A.A. ESCOLA ESTADUAL CONCEICAO BRITO</v>
      </c>
      <c r="D244" t="str">
        <f ca="1">IFERROR(__xludf.DUMMYFUNCTION("""COMPUTED_VALUE"""),"01268285000109")</f>
        <v>01268285000109</v>
      </c>
      <c r="E244" t="str">
        <f ca="1">IFERROR(__xludf.DUMMYFUNCTION("""COMPUTED_VALUE"""),"001")</f>
        <v>001</v>
      </c>
      <c r="F244" t="str">
        <f ca="1">IFERROR(__xludf.DUMMYFUNCTION("""COMPUTED_VALUE"""),"4107")</f>
        <v>4107</v>
      </c>
      <c r="G244" t="str">
        <f ca="1">IFERROR(__xludf.DUMMYFUNCTION("""COMPUTED_VALUE"""),"50911")</f>
        <v>50911</v>
      </c>
      <c r="H244" s="7">
        <f ca="1">IFERROR(__xludf.DUMMYFUNCTION("""COMPUTED_VALUE"""),5649)</f>
        <v>5649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IFERROR(__xludf.DUMMYFUNCTION("""COMPUTED_VALUE"""),"Ipueiras")</f>
        <v>Ipueiras</v>
      </c>
      <c r="C245" t="str">
        <f ca="1">IFERROR(__xludf.DUMMYFUNCTION("""COMPUTED_VALUE"""),"ASSOC. DE APOIO DA ESC. EST. FELIX CAMOA")</f>
        <v>ASSOC. DE APOIO DA ESC. EST. FELIX CAMOA</v>
      </c>
      <c r="D245" t="str">
        <f ca="1">IFERROR(__xludf.DUMMYFUNCTION("""COMPUTED_VALUE"""),"01469443000199")</f>
        <v>01469443000199</v>
      </c>
      <c r="E245" t="str">
        <f ca="1">IFERROR(__xludf.DUMMYFUNCTION("""COMPUTED_VALUE"""),"001")</f>
        <v>001</v>
      </c>
      <c r="F245" t="str">
        <f ca="1">IFERROR(__xludf.DUMMYFUNCTION("""COMPUTED_VALUE"""),"1117")</f>
        <v>1117</v>
      </c>
      <c r="G245" t="str">
        <f ca="1">IFERROR(__xludf.DUMMYFUNCTION("""COMPUTED_VALUE"""),"315052")</f>
        <v>315052</v>
      </c>
      <c r="H245" s="7">
        <f ca="1">IFERROR(__xludf.DUMMYFUNCTION("""COMPUTED_VALUE"""),420)</f>
        <v>420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IFERROR(__xludf.DUMMYFUNCTION("""COMPUTED_VALUE"""),"Monte do Carmo")</f>
        <v>Monte do Carmo</v>
      </c>
      <c r="C246" t="str">
        <f ca="1">IFERROR(__xludf.DUMMYFUNCTION("""COMPUTED_VALUE"""),"A.A.  DO COLEGIO EST. PADRE GAMA")</f>
        <v>A.A.  DO COLEGIO EST. PADRE GAMA</v>
      </c>
      <c r="D246" t="str">
        <f ca="1">IFERROR(__xludf.DUMMYFUNCTION("""COMPUTED_VALUE"""),"01071443000136")</f>
        <v>01071443000136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IFERROR(__xludf.DUMMYFUNCTION("""COMPUTED_VALUE"""),"0312878")</f>
        <v>0312878</v>
      </c>
      <c r="H246" s="7">
        <f ca="1">IFERROR(__xludf.DUMMYFUNCTION("""COMPUTED_VALUE"""),3003)</f>
        <v>3003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IFERROR(__xludf.DUMMYFUNCTION("""COMPUTED_VALUE"""),"ASSOC. APOIA A ESC. EST. PROF.DINA DE OLIVEIRA AMORIM")</f>
        <v>ASSOC. APOIA A ESC. EST. PROF.DINA DE OLIVEIRA AMORIM</v>
      </c>
      <c r="D247" t="str">
        <f ca="1">IFERROR(__xludf.DUMMYFUNCTION("""COMPUTED_VALUE"""),"16437349000125")</f>
        <v>16437349000125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IFERROR(__xludf.DUMMYFUNCTION("""COMPUTED_VALUE"""),"339113")</f>
        <v>339113</v>
      </c>
      <c r="H247" s="7">
        <f ca="1">IFERROR(__xludf.DUMMYFUNCTION("""COMPUTED_VALUE"""),1512)</f>
        <v>1512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IFERROR(__xludf.DUMMYFUNCTION("""COMPUTED_VALUE"""),"Natividade")</f>
        <v>Natividade</v>
      </c>
      <c r="C248" t="str">
        <f ca="1">IFERROR(__xludf.DUMMYFUNCTION("""COMPUTED_VALUE"""),"A.A. COL. EST. DR.QUINTILIANO DA SILVA")</f>
        <v>A.A. COL. EST. DR.QUINTILIANO DA SILVA</v>
      </c>
      <c r="D248" t="str">
        <f ca="1">IFERROR(__xludf.DUMMYFUNCTION("""COMPUTED_VALUE"""),"01133702000106")</f>
        <v>01133702000106</v>
      </c>
      <c r="E248" t="str">
        <f ca="1">IFERROR(__xludf.DUMMYFUNCTION("""COMPUTED_VALUE"""),"003")</f>
        <v>003</v>
      </c>
      <c r="F248" t="str">
        <f ca="1">IFERROR(__xludf.DUMMYFUNCTION("""COMPUTED_VALUE"""),"0037")</f>
        <v>0037</v>
      </c>
      <c r="G248" t="str">
        <f ca="1">IFERROR(__xludf.DUMMYFUNCTION("""COMPUTED_VALUE"""),"0702727")</f>
        <v>0702727</v>
      </c>
      <c r="H248" s="7">
        <f ca="1">IFERROR(__xludf.DUMMYFUNCTION("""COMPUTED_VALUE"""),3255)</f>
        <v>3255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IFERROR(__xludf.DUMMYFUNCTION("""COMPUTED_VALUE"""),"ASSOC. DE APOIO A ESC. ESPECIAL TIA CORACI DE SENA FERNANDES")</f>
        <v>ASSOC. DE APOIO A ESC. ESPECIAL TIA CORACI DE SENA FERNANDES</v>
      </c>
      <c r="D249" t="str">
        <f ca="1">IFERROR(__xludf.DUMMYFUNCTION("""COMPUTED_VALUE"""),"17163914000176")</f>
        <v>17163914000176</v>
      </c>
      <c r="E249" t="str">
        <f ca="1">IFERROR(__xludf.DUMMYFUNCTION("""COMPUTED_VALUE"""),"001")</f>
        <v>001</v>
      </c>
      <c r="F249" t="str">
        <f ca="1">IFERROR(__xludf.DUMMYFUNCTION("""COMPUTED_VALUE"""),"2334")</f>
        <v>2334</v>
      </c>
      <c r="G249" t="str">
        <f ca="1">IFERROR(__xludf.DUMMYFUNCTION("""COMPUTED_VALUE"""),"19860")</f>
        <v>19860</v>
      </c>
      <c r="H249" s="7">
        <f ca="1">IFERROR(__xludf.DUMMYFUNCTION("""COMPUTED_VALUE"""),168)</f>
        <v>168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IFERROR(__xludf.DUMMYFUNCTION("""COMPUTED_VALUE"""),"ASS. APOIO ESC. EST. JOAQUIM LINO SUARTE")</f>
        <v>ASS. APOIO ESC. EST. JOAQUIM LINO SUARTE</v>
      </c>
      <c r="D250" t="str">
        <f ca="1">IFERROR(__xludf.DUMMYFUNCTION("""COMPUTED_VALUE"""),"01133708000183")</f>
        <v>01133708000183</v>
      </c>
      <c r="E250" t="str">
        <f ca="1">IFERROR(__xludf.DUMMYFUNCTION("""COMPUTED_VALUE"""),"003")</f>
        <v>003</v>
      </c>
      <c r="F250" t="str">
        <f ca="1">IFERROR(__xludf.DUMMYFUNCTION("""COMPUTED_VALUE"""),"0037")</f>
        <v>0037</v>
      </c>
      <c r="G250" t="str">
        <f ca="1">IFERROR(__xludf.DUMMYFUNCTION("""COMPUTED_VALUE"""),"0702670")</f>
        <v>0702670</v>
      </c>
      <c r="H250" s="7">
        <f ca="1">IFERROR(__xludf.DUMMYFUNCTION("""COMPUTED_VALUE"""),3381)</f>
        <v>3381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IFERROR(__xludf.DUMMYFUNCTION("""COMPUTED_VALUE"""),"A.A. E. EST.NOSSA SENHORA DE FATIMA")</f>
        <v>A.A. E. EST.NOSSA SENHORA DE FATIMA</v>
      </c>
      <c r="D251" t="str">
        <f ca="1">IFERROR(__xludf.DUMMYFUNCTION("""COMPUTED_VALUE"""),"01064860000151")</f>
        <v>01064860000151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IFERROR(__xludf.DUMMYFUNCTION("""COMPUTED_VALUE"""),"0702646")</f>
        <v>0702646</v>
      </c>
      <c r="H251" s="7">
        <f ca="1">IFERROR(__xludf.DUMMYFUNCTION("""COMPUTED_VALUE"""),6300)</f>
        <v>6300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IFERROR(__xludf.DUMMYFUNCTION("""COMPUTED_VALUE"""),"Oliveira de Fatima")</f>
        <v>Oliveira de Fatima</v>
      </c>
      <c r="C252" t="str">
        <f ca="1">IFERROR(__xludf.DUMMYFUNCTION("""COMPUTED_VALUE"""),"ASS. DE APOIO DA ESC. EST.RIACHUELO")</f>
        <v>ASS. DE APOIO DA ESC. EST.RIACHUELO</v>
      </c>
      <c r="D252" t="str">
        <f ca="1">IFERROR(__xludf.DUMMYFUNCTION("""COMPUTED_VALUE"""),"01696068000110")</f>
        <v>01696068000110</v>
      </c>
      <c r="E252" t="str">
        <f ca="1">IFERROR(__xludf.DUMMYFUNCTION("""COMPUTED_VALUE"""),"001")</f>
        <v>001</v>
      </c>
      <c r="F252" t="str">
        <f ca="1">IFERROR(__xludf.DUMMYFUNCTION("""COMPUTED_VALUE"""),"4107")</f>
        <v>4107</v>
      </c>
      <c r="G252" t="str">
        <f ca="1">IFERROR(__xludf.DUMMYFUNCTION("""COMPUTED_VALUE"""),"319511")</f>
        <v>319511</v>
      </c>
      <c r="H252" s="7">
        <f ca="1">IFERROR(__xludf.DUMMYFUNCTION("""COMPUTED_VALUE"""),378)</f>
        <v>378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IFERROR(__xludf.DUMMYFUNCTION("""COMPUTED_VALUE"""),"Pindorama do Tocantins")</f>
        <v>Pindorama do Tocantins</v>
      </c>
      <c r="C253" t="str">
        <f ca="1">IFERROR(__xludf.DUMMYFUNCTION("""COMPUTED_VALUE"""),"A.A. E. E. DEP.JOSE A. DE ASSIS")</f>
        <v>A.A. E. E. DEP.JOSE A. DE ASSIS</v>
      </c>
      <c r="D253" t="str">
        <f ca="1">IFERROR(__xludf.DUMMYFUNCTION("""COMPUTED_VALUE"""),"01066411000142")</f>
        <v>01066411000142</v>
      </c>
      <c r="E253" t="str">
        <f ca="1">IFERROR(__xludf.DUMMYFUNCTION("""COMPUTED_VALUE"""),"001")</f>
        <v>001</v>
      </c>
      <c r="F253" t="str">
        <f ca="1">IFERROR(__xludf.DUMMYFUNCTION("""COMPUTED_VALUE"""),"1117")</f>
        <v>1117</v>
      </c>
      <c r="G253" t="str">
        <f ca="1">IFERROR(__xludf.DUMMYFUNCTION("""COMPUTED_VALUE"""),"312770")</f>
        <v>312770</v>
      </c>
      <c r="H253" s="7">
        <f ca="1">IFERROR(__xludf.DUMMYFUNCTION("""COMPUTED_VALUE"""),3024)</f>
        <v>3024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IFERROR(__xludf.DUMMYFUNCTION("""COMPUTED_VALUE"""),"Ponte Alta do Tocantins")</f>
        <v>Ponte Alta do Tocantins</v>
      </c>
      <c r="C254" t="str">
        <f ca="1">IFERROR(__xludf.DUMMYFUNCTION("""COMPUTED_VALUE"""),"ASS. A. AO COL. EST. ODOLFO SOARES")</f>
        <v>ASS. A. AO COL. EST. ODOLFO SOARES</v>
      </c>
      <c r="D254" t="str">
        <f ca="1">IFERROR(__xludf.DUMMYFUNCTION("""COMPUTED_VALUE"""),"01342866000143")</f>
        <v>01342866000143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IFERROR(__xludf.DUMMYFUNCTION("""COMPUTED_VALUE"""),"333921")</f>
        <v>333921</v>
      </c>
      <c r="H254" s="7">
        <f ca="1">IFERROR(__xludf.DUMMYFUNCTION("""COMPUTED_VALUE"""),12978)</f>
        <v>12978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APOIO DA ESCOLA EST. ALCIDES RUFO")</f>
        <v>ASS. APOIO DA ESCOLA EST. ALCIDES RUFO</v>
      </c>
      <c r="D255" t="str">
        <f ca="1">IFERROR(__xludf.DUMMYFUNCTION("""COMPUTED_VALUE"""),"01192931000100")</f>
        <v>01192931000100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IFERROR(__xludf.DUMMYFUNCTION("""COMPUTED_VALUE"""),"313785")</f>
        <v>313785</v>
      </c>
      <c r="H255" s="7">
        <f ca="1">IFERROR(__xludf.DUMMYFUNCTION("""COMPUTED_VALUE"""),5481)</f>
        <v>5481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DE APOIO A ESCOLA EST. ESPECIAL AMILSON FRAZÃO DOS REIS")</f>
        <v>ASS. DE APOIO A ESCOLA EST. ESPECIAL AMILSON FRAZÃO DOS REIS</v>
      </c>
      <c r="D256" t="str">
        <f ca="1">IFERROR(__xludf.DUMMYFUNCTION("""COMPUTED_VALUE"""),"20309905000155")</f>
        <v>20309905000155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IFERROR(__xludf.DUMMYFUNCTION("""COMPUTED_VALUE"""),"567426")</f>
        <v>567426</v>
      </c>
      <c r="H256" s="7">
        <f ca="1">IFERROR(__xludf.DUMMYFUNCTION("""COMPUTED_VALUE"""),168)</f>
        <v>168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IFERROR(__xludf.DUMMYFUNCTION("""COMPUTED_VALUE"""),"ASSOC. DE A.DO CEM PROFº. FLORÊNCIO AIRES DA SILVA")</f>
        <v>ASSOC. DE A.DO CEM PROFº. FLORÊNCIO AIRES DA SILVA</v>
      </c>
      <c r="D257" t="str">
        <f ca="1">IFERROR(__xludf.DUMMYFUNCTION("""COMPUTED_VALUE"""),"01138326000142")</f>
        <v>01138326000142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IFERROR(__xludf.DUMMYFUNCTION("""COMPUTED_VALUE"""),"5500X")</f>
        <v>5500X</v>
      </c>
      <c r="H257" s="7">
        <f ca="1">IFERROR(__xludf.DUMMYFUNCTION("""COMPUTED_VALUE"""),2142)</f>
        <v>2142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 E. COM. ESC. CONV. ANGELICA R. ARANHA")</f>
        <v>A. E. COM. ESC. CONV. ANGELICA R. ARANHA</v>
      </c>
      <c r="D258" t="str">
        <f ca="1">IFERROR(__xludf.DUMMYFUNCTION("""COMPUTED_VALUE"""),"01075455000139")</f>
        <v>01075455000139</v>
      </c>
      <c r="E258" t="str">
        <f ca="1">IFERROR(__xludf.DUMMYFUNCTION("""COMPUTED_VALUE"""),"104")</f>
        <v>104</v>
      </c>
      <c r="F258" t="str">
        <f ca="1">IFERROR(__xludf.DUMMYFUNCTION("""COMPUTED_VALUE"""),"1829")</f>
        <v>1829</v>
      </c>
      <c r="G258" t="str">
        <f ca="1">IFERROR(__xludf.DUMMYFUNCTION("""COMPUTED_VALUE"""),"307313")</f>
        <v>307313</v>
      </c>
      <c r="H258" s="7">
        <f ca="1">IFERROR(__xludf.DUMMYFUNCTION("""COMPUTED_VALUE"""),3087)</f>
        <v>3087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IFERROR(__xludf.DUMMYFUNCTION("""COMPUTED_VALUE"""),"A.A. ESC. EST. DR.PEDRO LUDOVICO TEIXEIRA")</f>
        <v>A.A. ESC. EST. DR.PEDRO LUDOVICO TEIXEIRA</v>
      </c>
      <c r="D259" t="str">
        <f ca="1">IFERROR(__xludf.DUMMYFUNCTION("""COMPUTED_VALUE"""),"01135997000150")</f>
        <v>01135997000150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IFERROR(__xludf.DUMMYFUNCTION("""COMPUTED_VALUE"""),"305949")</f>
        <v>305949</v>
      </c>
      <c r="H259" s="7">
        <f ca="1">IFERROR(__xludf.DUMMYFUNCTION("""COMPUTED_VALUE"""),20076)</f>
        <v>20076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 ESCOL.COM. ESC. EST. MAL.ARTUR C.E SILVA")</f>
        <v>A. ESCOL.COM. ESC. EST. MAL.ARTUR C.E SILVA</v>
      </c>
      <c r="D260" t="str">
        <f ca="1">IFERROR(__xludf.DUMMYFUNCTION("""COMPUTED_VALUE"""),"01112763000197")</f>
        <v>01112763000197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IFERROR(__xludf.DUMMYFUNCTION("""COMPUTED_VALUE"""),"307364")</f>
        <v>307364</v>
      </c>
      <c r="H260" s="7">
        <f ca="1">IFERROR(__xludf.DUMMYFUNCTION("""COMPUTED_VALUE"""),5019)</f>
        <v>5019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IFERROR(__xludf.DUMMYFUNCTION("""COMPUTED_VALUE"""),"ASSOC.P.A.DOS EXCEP. DE PORTO NACIONAL")</f>
        <v>ASSOC.P.A.DOS EXCEP. DE PORTO NACIONAL</v>
      </c>
      <c r="D261" t="str">
        <f ca="1">IFERROR(__xludf.DUMMYFUNCTION("""COMPUTED_VALUE"""),"26752113000137")</f>
        <v>26752113000137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IFERROR(__xludf.DUMMYFUNCTION("""COMPUTED_VALUE"""),"86657")</f>
        <v>86657</v>
      </c>
      <c r="H261" s="7">
        <f ca="1">IFERROR(__xludf.DUMMYFUNCTION("""COMPUTED_VALUE"""),294)</f>
        <v>294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 ESCOLA ESTADUAL ALFREDO NASSER")</f>
        <v>A.A.  ESCOLA ESTADUAL ALFREDO NASSER</v>
      </c>
      <c r="D262" t="str">
        <f ca="1">IFERROR(__xludf.DUMMYFUNCTION("""COMPUTED_VALUE"""),"01251862000150")</f>
        <v>01251862000150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IFERROR(__xludf.DUMMYFUNCTION("""COMPUTED_VALUE"""),"307410")</f>
        <v>307410</v>
      </c>
      <c r="H262" s="7">
        <f ca="1">IFERROR(__xludf.DUMMYFUNCTION("""COMPUTED_VALUE"""),2961)</f>
        <v>2961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ESCOLA ESTADUAL ANA MACEDO MAIA")</f>
        <v>A.A. ESCOLA ESTADUAL ANA MACEDO MAIA</v>
      </c>
      <c r="D263" t="str">
        <f ca="1">IFERROR(__xludf.DUMMYFUNCTION("""COMPUTED_VALUE"""),"01243662000155")</f>
        <v>01243662000155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IFERROR(__xludf.DUMMYFUNCTION("""COMPUTED_VALUE"""),"306015")</f>
        <v>306015</v>
      </c>
      <c r="H263" s="7">
        <f ca="1">IFERROR(__xludf.DUMMYFUNCTION("""COMPUTED_VALUE"""),6489)</f>
        <v>6489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 ESCOLAR COMUN. DA ESC. CONV. BRASIL")</f>
        <v>A. ESCOLAR COMUN. DA ESC. CONV. BRASIL</v>
      </c>
      <c r="D264" t="str">
        <f ca="1">IFERROR(__xludf.DUMMYFUNCTION("""COMPUTED_VALUE"""),"01112471000154")</f>
        <v>01112471000154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IFERROR(__xludf.DUMMYFUNCTION("""COMPUTED_VALUE"""),"307402")</f>
        <v>307402</v>
      </c>
      <c r="H264" s="7">
        <f ca="1">IFERROR(__xludf.DUMMYFUNCTION("""COMPUTED_VALUE"""),1806)</f>
        <v>1806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IFERROR(__xludf.DUMMYFUNCTION("""COMPUTED_VALUE"""),"A.A.  ESCOLA ESTADUAL CUSTÓDIA DA SILVA PEDREIRA")</f>
        <v>A.A.  ESCOLA ESTADUAL CUSTÓDIA DA SILVA PEDREIRA</v>
      </c>
      <c r="D265" t="str">
        <f ca="1">IFERROR(__xludf.DUMMYFUNCTION("""COMPUTED_VALUE"""),"01192932000146")</f>
        <v>01192932000146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IFERROR(__xludf.DUMMYFUNCTION("""COMPUTED_VALUE"""),"314080")</f>
        <v>314080</v>
      </c>
      <c r="H265" s="7">
        <f ca="1">IFERROR(__xludf.DUMMYFUNCTION("""COMPUTED_VALUE"""),9366)</f>
        <v>9366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 ESC. COM./ESC. EST. D.DOMINGOS CARREROT")</f>
        <v>A. ESC. COM./ESC. EST. D.DOMINGOS CARREROT</v>
      </c>
      <c r="D266" t="str">
        <f ca="1">IFERROR(__xludf.DUMMYFUNCTION("""COMPUTED_VALUE"""),"00900197000115")</f>
        <v>00900197000115</v>
      </c>
      <c r="E266" t="str">
        <f ca="1">IFERROR(__xludf.DUMMYFUNCTION("""COMPUTED_VALUE"""),"104")</f>
        <v>104</v>
      </c>
      <c r="F266" t="str">
        <f ca="1">IFERROR(__xludf.DUMMYFUNCTION("""COMPUTED_VALUE"""),"1829")</f>
        <v>1829</v>
      </c>
      <c r="G266" t="str">
        <f ca="1">IFERROR(__xludf.DUMMYFUNCTION("""COMPUTED_VALUE"""),"305914")</f>
        <v>305914</v>
      </c>
      <c r="H266" s="7">
        <f ca="1">IFERROR(__xludf.DUMMYFUNCTION("""COMPUTED_VALUE"""),7434)</f>
        <v>7434</v>
      </c>
      <c r="I266" t="str">
        <v>E.F.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IFERROR(__xludf.DUMMYFUNCTION("""COMPUTED_VALUE"""),"A.A. ESCOLA ESTADUAL IRMA ASPASIA")</f>
        <v>A.A. ESCOLA ESTADUAL IRMA ASPASIA</v>
      </c>
      <c r="D267" t="str">
        <f ca="1">IFERROR(__xludf.DUMMYFUNCTION("""COMPUTED_VALUE"""),"01136022000146")</f>
        <v>01136022000146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IFERROR(__xludf.DUMMYFUNCTION("""COMPUTED_VALUE"""),"307453")</f>
        <v>307453</v>
      </c>
      <c r="H267" s="7">
        <f ca="1">IFERROR(__xludf.DUMMYFUNCTION("""COMPUTED_VALUE"""),2856)</f>
        <v>2856</v>
      </c>
      <c r="I267" t="str">
        <v>E.F.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DA ESC. EST. ALCIDES RODRIGUES AIRES")</f>
        <v>A.A. DA ESC. EST. ALCIDES RODRIGUES AIRES</v>
      </c>
      <c r="D268" t="str">
        <f ca="1">IFERROR(__xludf.DUMMYFUNCTION("""COMPUTED_VALUE"""),"03495455000113")</f>
        <v>03495455000113</v>
      </c>
      <c r="E268" t="str">
        <f ca="1">IFERROR(__xludf.DUMMYFUNCTION("""COMPUTED_VALUE"""),"001")</f>
        <v>001</v>
      </c>
      <c r="F268" t="str">
        <f ca="1">IFERROR(__xludf.DUMMYFUNCTION("""COMPUTED_VALUE"""),"1117")</f>
        <v>1117</v>
      </c>
      <c r="G268" t="str">
        <f ca="1">IFERROR(__xludf.DUMMYFUNCTION("""COMPUTED_VALUE"""),"77143")</f>
        <v>77143</v>
      </c>
      <c r="H268" s="7">
        <f ca="1">IFERROR(__xludf.DUMMYFUNCTION("""COMPUTED_VALUE"""),7749)</f>
        <v>7749</v>
      </c>
      <c r="I268" t="str">
        <v>E.F.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E. E. PROFA. CARMENIA MATOS MAIA")</f>
        <v>A.A. E. E. PROFA. CARMENIA MATOS MAIA</v>
      </c>
      <c r="D269" t="str">
        <f ca="1">IFERROR(__xludf.DUMMYFUNCTION("""COMPUTED_VALUE"""),"01118897000115")</f>
        <v>01118897000115</v>
      </c>
      <c r="E269" t="str">
        <f ca="1">IFERROR(__xludf.DUMMYFUNCTION("""COMPUTED_VALUE"""),"104")</f>
        <v>104</v>
      </c>
      <c r="F269" t="str">
        <f ca="1">IFERROR(__xludf.DUMMYFUNCTION("""COMPUTED_VALUE"""),"1829")</f>
        <v>1829</v>
      </c>
      <c r="G269" t="str">
        <f ca="1">IFERROR(__xludf.DUMMYFUNCTION("""COMPUTED_VALUE"""),"307399")</f>
        <v>307399</v>
      </c>
      <c r="H269" s="7">
        <f ca="1">IFERROR(__xludf.DUMMYFUNCTION("""COMPUTED_VALUE"""),9366)</f>
        <v>9366</v>
      </c>
      <c r="I269" t="str">
        <v>E.F.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IFERROR(__xludf.DUMMYFUNCTION("""COMPUTED_VALUE"""),"Santa Rita do Tocantins")</f>
        <v>Santa Rita do Tocantins</v>
      </c>
      <c r="C270" t="str">
        <f ca="1">IFERROR(__xludf.DUMMYFUNCTION("""COMPUTED_VALUE"""),"ASS. COM.DE AP.ESC. EST. DE 1 GRAU BOA NOVA")</f>
        <v>ASS. COM.DE AP.ESC. EST. DE 1 GRAU BOA NOVA</v>
      </c>
      <c r="D270" t="str">
        <f ca="1">IFERROR(__xludf.DUMMYFUNCTION("""COMPUTED_VALUE"""),"01856561000150")</f>
        <v>01856561000150</v>
      </c>
      <c r="E270" t="str">
        <f ca="1">IFERROR(__xludf.DUMMYFUNCTION("""COMPUTED_VALUE"""),"001")</f>
        <v>001</v>
      </c>
      <c r="F270" t="str">
        <f ca="1">IFERROR(__xludf.DUMMYFUNCTION("""COMPUTED_VALUE"""),"4107")</f>
        <v>4107</v>
      </c>
      <c r="G270" t="str">
        <f ca="1">IFERROR(__xludf.DUMMYFUNCTION("""COMPUTED_VALUE"""),"320722")</f>
        <v>320722</v>
      </c>
      <c r="H270" s="7">
        <f ca="1">IFERROR(__xludf.DUMMYFUNCTION("""COMPUTED_VALUE"""),1785)</f>
        <v>1785</v>
      </c>
      <c r="I270" t="str">
        <v>E.F.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Rosa do Tocantins")</f>
        <v>Santa Rosa do Tocantins</v>
      </c>
      <c r="C271" t="str">
        <f ca="1">IFERROR(__xludf.DUMMYFUNCTION("""COMPUTED_VALUE"""),"A.A. E. E.PROF.ZACHARIAS NUNES DA SILVEIRA")</f>
        <v>A.A. E. E.PROF.ZACHARIAS NUNES DA SILVEIRA</v>
      </c>
      <c r="D271" t="str">
        <f ca="1">IFERROR(__xludf.DUMMYFUNCTION("""COMPUTED_VALUE"""),"01066420000133")</f>
        <v>01066420000133</v>
      </c>
      <c r="E271" t="str">
        <f ca="1">IFERROR(__xludf.DUMMYFUNCTION("""COMPUTED_VALUE"""),"104")</f>
        <v>104</v>
      </c>
      <c r="F271" t="str">
        <f ca="1">IFERROR(__xludf.DUMMYFUNCTION("""COMPUTED_VALUE"""),"1829")</f>
        <v>1829</v>
      </c>
      <c r="G271" t="str">
        <f ca="1">IFERROR(__xludf.DUMMYFUNCTION("""COMPUTED_VALUE"""),"0307461")</f>
        <v>0307461</v>
      </c>
      <c r="H271" s="7">
        <f ca="1">IFERROR(__xludf.DUMMYFUNCTION("""COMPUTED_VALUE"""),3297)</f>
        <v>3297</v>
      </c>
      <c r="I271" t="str">
        <v>E.F.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 TENENTE SALVADOR RIBEIRO")</f>
        <v>A.A. E. E. TENENTE SALVADOR RIBEIRO</v>
      </c>
      <c r="D272" t="str">
        <f ca="1">IFERROR(__xludf.DUMMYFUNCTION("""COMPUTED_VALUE"""),"01066424000111")</f>
        <v>01066424000111</v>
      </c>
      <c r="E272" t="str">
        <f ca="1">IFERROR(__xludf.DUMMYFUNCTION("""COMPUTED_VALUE"""),"001")</f>
        <v>001</v>
      </c>
      <c r="F272" t="str">
        <f ca="1">IFERROR(__xludf.DUMMYFUNCTION("""COMPUTED_VALUE"""),"1117")</f>
        <v>1117</v>
      </c>
      <c r="G272" t="str">
        <f ca="1">IFERROR(__xludf.DUMMYFUNCTION("""COMPUTED_VALUE"""),"332623")</f>
        <v>332623</v>
      </c>
      <c r="H272" s="7">
        <f ca="1">IFERROR(__xludf.DUMMYFUNCTION("""COMPUTED_VALUE"""),525)</f>
        <v>525</v>
      </c>
      <c r="I272" t="str">
        <v>E.F.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IFERROR(__xludf.DUMMYFUNCTION("""COMPUTED_VALUE"""),"Silvanopolis")</f>
        <v>Silvanopolis</v>
      </c>
      <c r="C273" t="str">
        <f ca="1">IFERROR(__xludf.DUMMYFUNCTION("""COMPUTED_VALUE"""),"A.A. DA ESC. EST. JOAO DA SILVA GUIMARAES")</f>
        <v>A.A. DA ESC. EST. JOAO DA SILVA GUIMARAES</v>
      </c>
      <c r="D273" t="str">
        <f ca="1">IFERROR(__xludf.DUMMYFUNCTION("""COMPUTED_VALUE"""),"01557779000103")</f>
        <v>01557779000103</v>
      </c>
      <c r="E273" t="str">
        <f ca="1">IFERROR(__xludf.DUMMYFUNCTION("""COMPUTED_VALUE"""),"001")</f>
        <v>001</v>
      </c>
      <c r="F273" t="str">
        <f ca="1">IFERROR(__xludf.DUMMYFUNCTION("""COMPUTED_VALUE"""),"3980")</f>
        <v>3980</v>
      </c>
      <c r="G273" t="str">
        <f ca="1">IFERROR(__xludf.DUMMYFUNCTION("""COMPUTED_VALUE"""),"51292")</f>
        <v>51292</v>
      </c>
      <c r="H273" s="7">
        <f ca="1">IFERROR(__xludf.DUMMYFUNCTION("""COMPUTED_VALUE"""),6699)</f>
        <v>6699</v>
      </c>
      <c r="I273" t="str">
        <v>E.F.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IFERROR(__xludf.DUMMYFUNCTION("""COMPUTED_VALUE"""),"Aguiarnopolis")</f>
        <v>Aguiarnopolis</v>
      </c>
      <c r="C274" t="str">
        <f ca="1">IFERROR(__xludf.DUMMYFUNCTION("""COMPUTED_VALUE"""),"A.A. DA ESC. EST. NAZARÉ NUNES DA SILVA (AGUIARNOPOLIS)")</f>
        <v>A.A. DA ESC. EST. NAZARÉ NUNES DA SILVA (AGUIARNOPOLIS)</v>
      </c>
      <c r="D274" t="str">
        <f ca="1">IFERROR(__xludf.DUMMYFUNCTION("""COMPUTED_VALUE"""),"01213519000110")</f>
        <v>01213519000110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IFERROR(__xludf.DUMMYFUNCTION("""COMPUTED_VALUE"""),"217727")</f>
        <v>217727</v>
      </c>
      <c r="H274" s="7">
        <f ca="1">IFERROR(__xludf.DUMMYFUNCTION("""COMPUTED_VALUE"""),3276)</f>
        <v>3276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IFERROR(__xludf.DUMMYFUNCTION("""COMPUTED_VALUE"""),"Angico")</f>
        <v>Angico</v>
      </c>
      <c r="C275" t="str">
        <f ca="1">IFERROR(__xludf.DUMMYFUNCTION("""COMPUTED_VALUE"""),"ASSOCIAÇÃO DE APOIO DO COL. EST. DULCE COELHO DE SOUSA")</f>
        <v>ASSOCIAÇÃO DE APOIO DO COL. EST. DULCE COELHO DE SOUSA</v>
      </c>
      <c r="D275" t="str">
        <f ca="1">IFERROR(__xludf.DUMMYFUNCTION("""COMPUTED_VALUE"""),"10800992000195")</f>
        <v>10800992000195</v>
      </c>
      <c r="E275" t="str">
        <f ca="1">IFERROR(__xludf.DUMMYFUNCTION("""COMPUTED_VALUE"""),"001")</f>
        <v>001</v>
      </c>
      <c r="F275" t="str">
        <f ca="1">IFERROR(__xludf.DUMMYFUNCTION("""COMPUTED_VALUE"""),"3973")</f>
        <v>3973</v>
      </c>
      <c r="G275" t="str">
        <f ca="1">IFERROR(__xludf.DUMMYFUNCTION("""COMPUTED_VALUE"""),"212792")</f>
        <v>212792</v>
      </c>
      <c r="H275" s="7">
        <f ca="1">IFERROR(__xludf.DUMMYFUNCTION("""COMPUTED_VALUE"""),4515)</f>
        <v>4515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IFERROR(__xludf.DUMMYFUNCTION("""COMPUTED_VALUE"""),"Cachoeirinha")</f>
        <v>Cachoeirinha</v>
      </c>
      <c r="C276" t="str">
        <f ca="1">IFERROR(__xludf.DUMMYFUNCTION("""COMPUTED_VALUE"""),"A.A. E. EST. NOVA DA CACHOEIRINHA/RAIMUNDO NONATO TORRES")</f>
        <v>A.A. E. EST. NOVA DA CACHOEIRINHA/RAIMUNDO NONATO TORRES</v>
      </c>
      <c r="D276" t="str">
        <f ca="1">IFERROR(__xludf.DUMMYFUNCTION("""COMPUTED_VALUE"""),"01213535000103")</f>
        <v>01213535000103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IFERROR(__xludf.DUMMYFUNCTION("""COMPUTED_VALUE"""),"0217689")</f>
        <v>0217689</v>
      </c>
      <c r="H276" s="7">
        <f ca="1">IFERROR(__xludf.DUMMYFUNCTION("""COMPUTED_VALUE"""),2520)</f>
        <v>2520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IFERROR(__xludf.DUMMYFUNCTION("""COMPUTED_VALUE"""),"darcinopolis")</f>
        <v>darcinopolis</v>
      </c>
      <c r="C277" t="str">
        <f ca="1">IFERROR(__xludf.DUMMYFUNCTION("""COMPUTED_VALUE"""),"A. APOIO COL. EST. JOSE DE SOUZA PORTO")</f>
        <v>A. APOIO COL. EST. JOSE DE SOUZA PORTO</v>
      </c>
      <c r="D277" t="str">
        <f ca="1">IFERROR(__xludf.DUMMYFUNCTION("""COMPUTED_VALUE"""),"01213532000170")</f>
        <v>01213532000170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IFERROR(__xludf.DUMMYFUNCTION("""COMPUTED_VALUE"""),"25739")</f>
        <v>25739</v>
      </c>
      <c r="H277" s="7">
        <f ca="1">IFERROR(__xludf.DUMMYFUNCTION("""COMPUTED_VALUE"""),10710)</f>
        <v>10710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IFERROR(__xludf.DUMMYFUNCTION("""COMPUTED_VALUE"""),"Itaguatins")</f>
        <v>Itaguatins</v>
      </c>
      <c r="C278" t="str">
        <f ca="1">IFERROR(__xludf.DUMMYFUNCTION("""COMPUTED_VALUE"""),"ASS. DE APOIO ESC. EST. OLAVO BILAC")</f>
        <v>ASS. DE APOIO ESC. EST. OLAVO BILAC</v>
      </c>
      <c r="D278" t="str">
        <f ca="1">IFERROR(__xludf.DUMMYFUNCTION("""COMPUTED_VALUE"""),"01358337000138")</f>
        <v>01358337000138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IFERROR(__xludf.DUMMYFUNCTION("""COMPUTED_VALUE"""),"218391")</f>
        <v>218391</v>
      </c>
      <c r="H278" s="7">
        <f ca="1">IFERROR(__xludf.DUMMYFUNCTION("""COMPUTED_VALUE"""),1323)</f>
        <v>1323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IFERROR(__xludf.DUMMYFUNCTION("""COMPUTED_VALUE"""),"Luzinopolis")</f>
        <v>Luzinopolis</v>
      </c>
      <c r="C279" t="str">
        <f ca="1">IFERROR(__xludf.DUMMYFUNCTION("""COMPUTED_VALUE"""),"ASS. AP.A ESC. EST. JUSCELINO K.DE OLIVEIRA")</f>
        <v>ASS. AP.A ESC. EST. JUSCELINO K.DE OLIVEIRA</v>
      </c>
      <c r="D279" t="str">
        <f ca="1">IFERROR(__xludf.DUMMYFUNCTION("""COMPUTED_VALUE"""),"01230232000107")</f>
        <v>01230232000107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IFERROR(__xludf.DUMMYFUNCTION("""COMPUTED_VALUE"""),"022135X")</f>
        <v>022135X</v>
      </c>
      <c r="H279" s="7">
        <f ca="1">IFERROR(__xludf.DUMMYFUNCTION("""COMPUTED_VALUE"""),5019)</f>
        <v>5019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IFERROR(__xludf.DUMMYFUNCTION("""COMPUTED_VALUE"""),"Maurilandia do Tocantins")</f>
        <v>Maurilandia do Tocantins</v>
      </c>
      <c r="C280" t="str">
        <f ca="1">IFERROR(__xludf.DUMMYFUNCTION("""COMPUTED_VALUE"""),"A.A.  DA ESC. EST.PEDRO LUDOVICO TEIXEIRA")</f>
        <v>A.A.  DA ESC. EST.PEDRO LUDOVICO TEIXEIRA</v>
      </c>
      <c r="D280" t="str">
        <f ca="1">IFERROR(__xludf.DUMMYFUNCTION("""COMPUTED_VALUE"""),"01213528000101")</f>
        <v>01213528000101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IFERROR(__xludf.DUMMYFUNCTION("""COMPUTED_VALUE"""),"0217670")</f>
        <v>0217670</v>
      </c>
      <c r="H280" s="7">
        <f ca="1">IFERROR(__xludf.DUMMYFUNCTION("""COMPUTED_VALUE"""),1197)</f>
        <v>1197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IFERROR(__xludf.DUMMYFUNCTION("""COMPUTED_VALUE"""),"Nazare")</f>
        <v>Nazare</v>
      </c>
      <c r="C281" t="str">
        <f ca="1">IFERROR(__xludf.DUMMYFUNCTION("""COMPUTED_VALUE"""),"A.DO COLEGIO EST.PRES.CASTELO BRANCO")</f>
        <v>A.DO COLEGIO EST.PRES.CASTELO BRANCO</v>
      </c>
      <c r="D281" t="str">
        <f ca="1">IFERROR(__xludf.DUMMYFUNCTION("""COMPUTED_VALUE"""),"01213522000134")</f>
        <v>01213522000134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IFERROR(__xludf.DUMMYFUNCTION("""COMPUTED_VALUE"""),"217859")</f>
        <v>217859</v>
      </c>
      <c r="H281" s="7">
        <f ca="1">IFERROR(__xludf.DUMMYFUNCTION("""COMPUTED_VALUE"""),4263)</f>
        <v>4263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IFERROR(__xludf.DUMMYFUNCTION("""COMPUTED_VALUE"""),"ASSOC. DE APOIO A ESC. EST.ESPECIAL BEM VIVER")</f>
        <v>ASSOC. DE APOIO A ESC. EST.ESPECIAL BEM VIVER</v>
      </c>
      <c r="D282" t="str">
        <f ca="1">IFERROR(__xludf.DUMMYFUNCTION("""COMPUTED_VALUE"""),"10520927000106")</f>
        <v>10520927000106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IFERROR(__xludf.DUMMYFUNCTION("""COMPUTED_VALUE"""),"200336")</f>
        <v>200336</v>
      </c>
      <c r="H282" s="7">
        <f ca="1">IFERROR(__xludf.DUMMYFUNCTION("""COMPUTED_VALUE"""),441)</f>
        <v>441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IFERROR(__xludf.DUMMYFUNCTION("""COMPUTED_VALUE"""),"A.A. ESC. EST. DOM CORNELIO CHIZZINI")</f>
        <v>A.A. ESC. EST. DOM CORNELIO CHIZZINI</v>
      </c>
      <c r="D283" t="str">
        <f ca="1">IFERROR(__xludf.DUMMYFUNCTION("""COMPUTED_VALUE"""),"01230233000143")</f>
        <v>01230233000143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IFERROR(__xludf.DUMMYFUNCTION("""COMPUTED_VALUE"""),"21776X")</f>
        <v>21776X</v>
      </c>
      <c r="H283" s="7">
        <f ca="1">IFERROR(__xludf.DUMMYFUNCTION("""COMPUTED_VALUE"""),1344)</f>
        <v>1344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 DA ESCOLA ESTADUAL PIACAVA")</f>
        <v>A.A.  DA ESCOLA ESTADUAL PIACAVA</v>
      </c>
      <c r="D284" t="str">
        <f ca="1">IFERROR(__xludf.DUMMYFUNCTION("""COMPUTED_VALUE"""),"01230239000110")</f>
        <v>01230239000110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IFERROR(__xludf.DUMMYFUNCTION("""COMPUTED_VALUE"""),"217883")</f>
        <v>217883</v>
      </c>
      <c r="H284" s="7">
        <f ca="1">IFERROR(__xludf.DUMMYFUNCTION("""COMPUTED_VALUE"""),987)</f>
        <v>987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IFERROR(__xludf.DUMMYFUNCTION("""COMPUTED_VALUE"""),"Palmeiras do Tocantins")</f>
        <v>Palmeiras do Tocantins</v>
      </c>
      <c r="C285" t="str">
        <f ca="1">IFERROR(__xludf.DUMMYFUNCTION("""COMPUTED_VALUE"""),"A.A. ESC. EST. RAIMUNDO NEIVA DE CARVALHO")</f>
        <v>A.A. ESC. EST. RAIMUNDO NEIVA DE CARVALHO</v>
      </c>
      <c r="D285" t="str">
        <f ca="1">IFERROR(__xludf.DUMMYFUNCTION("""COMPUTED_VALUE"""),"01213533000114")</f>
        <v>01213533000114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IFERROR(__xludf.DUMMYFUNCTION("""COMPUTED_VALUE"""),"0027529")</f>
        <v>0027529</v>
      </c>
      <c r="H285" s="7">
        <f ca="1">IFERROR(__xludf.DUMMYFUNCTION("""COMPUTED_VALUE"""),4494)</f>
        <v>4494</v>
      </c>
      <c r="I285" t="str">
        <v>E.F.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 DE APOIO DA E. E. PE. CESARE LELLI")</f>
        <v>A. DE APOIO DA E. E. PE. CESARE LELLI</v>
      </c>
      <c r="D286" t="str">
        <f ca="1">IFERROR(__xludf.DUMMYFUNCTION("""COMPUTED_VALUE"""),"03778873000118")</f>
        <v>03778873000118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IFERROR(__xludf.DUMMYFUNCTION("""COMPUTED_VALUE"""),"82007")</f>
        <v>82007</v>
      </c>
      <c r="H286" s="7">
        <f ca="1">IFERROR(__xludf.DUMMYFUNCTION("""COMPUTED_VALUE"""),4095)</f>
        <v>4095</v>
      </c>
      <c r="I286" t="str">
        <v>E.F.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IFERROR(__xludf.DUMMYFUNCTION("""COMPUTED_VALUE"""),"Santa Terezinha do Tocantins")</f>
        <v>Santa Terezinha do Tocantins</v>
      </c>
      <c r="C287" t="str">
        <f ca="1">IFERROR(__xludf.DUMMYFUNCTION("""COMPUTED_VALUE"""),"ASS. A. ESC. EST. DR JOSE FELICIANO FERREIRA")</f>
        <v>ASS. A. ESC. EST. DR JOSE FELICIANO FERREIRA</v>
      </c>
      <c r="D287" t="str">
        <f ca="1">IFERROR(__xludf.DUMMYFUNCTION("""COMPUTED_VALUE"""),"01077441000154")</f>
        <v>01077441000154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IFERROR(__xludf.DUMMYFUNCTION("""COMPUTED_VALUE"""),"0026085")</f>
        <v>0026085</v>
      </c>
      <c r="H287" s="7">
        <f ca="1">IFERROR(__xludf.DUMMYFUNCTION("""COMPUTED_VALUE"""),1281)</f>
        <v>1281</v>
      </c>
      <c r="I287" t="str">
        <v>E.F.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IFERROR(__xludf.DUMMYFUNCTION("""COMPUTED_VALUE"""),"Tocantinopolis")</f>
        <v>Tocantinopolis</v>
      </c>
      <c r="C288" t="str">
        <f ca="1">IFERROR(__xludf.DUMMYFUNCTION("""COMPUTED_VALUE"""),"ASSOC. APOIO AO COLÉGIODOM ORIONE")</f>
        <v>ASSOC. APOIO AO COLÉGIODOM ORIONE</v>
      </c>
      <c r="D288" t="str">
        <f ca="1">IFERROR(__xludf.DUMMYFUNCTION("""COMPUTED_VALUE"""),"13033002000129")</f>
        <v>13033002000129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IFERROR(__xludf.DUMMYFUNCTION("""COMPUTED_VALUE"""),"254193")</f>
        <v>254193</v>
      </c>
      <c r="H288" s="7">
        <f ca="1">IFERROR(__xludf.DUMMYFUNCTION("""COMPUTED_VALUE"""),3885)</f>
        <v>3885</v>
      </c>
      <c r="I288" t="str">
        <v>E.F.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IFERROR(__xludf.DUMMYFUNCTION("""COMPUTED_VALUE"""),"A.A. DO COL.PADRAO/JOSÉ CARNEIRO DE BRITO")</f>
        <v>A.A. DO COL.PADRAO/JOSÉ CARNEIRO DE BRITO</v>
      </c>
      <c r="D289" t="str">
        <f ca="1">IFERROR(__xludf.DUMMYFUNCTION("""COMPUTED_VALUE"""),"03880040000163")</f>
        <v>03880040000163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IFERROR(__xludf.DUMMYFUNCTION("""COMPUTED_VALUE"""),"81884")</f>
        <v>81884</v>
      </c>
      <c r="H289" s="7">
        <f ca="1">IFERROR(__xludf.DUMMYFUNCTION("""COMPUTED_VALUE"""),3675)</f>
        <v>3675</v>
      </c>
      <c r="I289" t="str">
        <v>E.F.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IFERROR(__xludf.DUMMYFUNCTION("""COMPUTED_VALUE"""),"ASSOCIAÇÃO DE APOIO A ESCOLA ESPECIAL UM PASSO DIFERENTE -APAE")</f>
        <v>ASSOCIAÇÃO DE APOIO A ESCOLA ESPECIAL UM PASSO DIFERENTE -APAE</v>
      </c>
      <c r="D290" t="str">
        <f ca="1">IFERROR(__xludf.DUMMYFUNCTION("""COMPUTED_VALUE"""),"08012610000117")</f>
        <v>08012610000117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IFERROR(__xludf.DUMMYFUNCTION("""COMPUTED_VALUE"""),"204250")</f>
        <v>204250</v>
      </c>
      <c r="H290" s="7">
        <f ca="1">IFERROR(__xludf.DUMMYFUNCTION("""COMPUTED_VALUE"""),168)</f>
        <v>168</v>
      </c>
      <c r="I290" t="str">
        <v>E.F.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IFERROR(__xludf.DUMMYFUNCTION("""COMPUTED_VALUE"""),"A. ESCOLAR COM. PE. GIULIANO MORETTI")</f>
        <v>A. ESCOLAR COM. PE. GIULIANO MORETTI</v>
      </c>
      <c r="D291" t="str">
        <f ca="1">IFERROR(__xludf.DUMMYFUNCTION("""COMPUTED_VALUE"""),"00900202000190")</f>
        <v>00900202000190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IFERROR(__xludf.DUMMYFUNCTION("""COMPUTED_VALUE"""),"217484")</f>
        <v>217484</v>
      </c>
      <c r="H291" s="7">
        <f ca="1">IFERROR(__xludf.DUMMYFUNCTION("""COMPUTED_VALUE"""),5670)</f>
        <v>5670</v>
      </c>
      <c r="I291" t="str">
        <v>E.F.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DA ESCOLA PAROQUIAL CRISTO REI")</f>
        <v>A. DA ESCOLA PAROQUIAL CRISTO REI</v>
      </c>
      <c r="D292" t="str">
        <f ca="1">IFERROR(__xludf.DUMMYFUNCTION("""COMPUTED_VALUE"""),"02026329000157")</f>
        <v>02026329000157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IFERROR(__xludf.DUMMYFUNCTION("""COMPUTED_VALUE"""),"58149")</f>
        <v>58149</v>
      </c>
      <c r="H292" s="7">
        <f ca="1">IFERROR(__xludf.DUMMYFUNCTION("""COMPUTED_VALUE"""),9471)</f>
        <v>9471</v>
      </c>
      <c r="I292" t="str">
        <v>E.F. PARCIAL</v>
      </c>
    </row>
    <row r="293" spans="1:9" ht="12.75">
      <c r="I293" t="str">
        <v/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32" t="str">
        <f ca="1">IFERROR(__xludf.DUMMYFUNCTION("QUERY(REP_EST_PARC!A5:Z1000,""SELECT A,B,C,D,E,F,G,K WHERE K&gt;0 label K 'QUILOMB'"")"),"")</f>
        <v/>
      </c>
      <c r="B1" s="232" t="str">
        <f ca="1">IFERROR(__xludf.DUMMYFUNCTION("""COMPUTED_VALUE"""),"")</f>
        <v/>
      </c>
      <c r="C1" s="232" t="str">
        <f ca="1">IFERROR(__xludf.DUMMYFUNCTION("""COMPUTED_VALUE"""),"")</f>
        <v/>
      </c>
      <c r="D1" s="232" t="str">
        <f ca="1">IFERROR(__xludf.DUMMYFUNCTION("""COMPUTED_VALUE"""),"")</f>
        <v/>
      </c>
      <c r="E1" s="232" t="str">
        <f ca="1">IFERROR(__xludf.DUMMYFUNCTION("""COMPUTED_VALUE"""),"")</f>
        <v/>
      </c>
      <c r="F1" s="232" t="str">
        <f ca="1">IFERROR(__xludf.DUMMYFUNCTION("""COMPUTED_VALUE"""),"")</f>
        <v/>
      </c>
      <c r="G1" s="232" t="str">
        <f ca="1">IFERROR(__xludf.DUMMYFUNCTION("""COMPUTED_VALUE"""),"")</f>
        <v/>
      </c>
      <c r="H1" s="232" t="str">
        <f ca="1">IFERROR(__xludf.DUMMYFUNCTION("""COMPUTED_VALUE"""),"QUILOMB")</f>
        <v>QUILOMB</v>
      </c>
      <c r="I1" s="232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IFERROR(__xludf.DUMMYFUNCTION("""COMPUTED_VALUE"""),5040)</f>
        <v>5040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IFERROR(__xludf.DUMMYFUNCTION("""COMPUTED_VALUE"""),2310)</f>
        <v>2310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IFERROR(__xludf.DUMMYFUNCTION("""COMPUTED_VALUE"""),1554)</f>
        <v>1554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IFERROR(__xludf.DUMMYFUNCTION("""COMPUTED_VALUE"""),6867)</f>
        <v>6867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32" t="str">
        <f ca="1">IFERROR(__xludf.DUMMYFUNCTION("QUERY(REP_EST_PARC!A5:Z1000,""SELECT A,B,C,D,E,F,G,L WHERE L&gt;0 label L 'INDIGENA'"")"),"")</f>
        <v/>
      </c>
      <c r="B1" s="232" t="str">
        <f ca="1">IFERROR(__xludf.DUMMYFUNCTION("""COMPUTED_VALUE"""),"")</f>
        <v/>
      </c>
      <c r="C1" s="232" t="str">
        <f ca="1">IFERROR(__xludf.DUMMYFUNCTION("""COMPUTED_VALUE"""),"")</f>
        <v/>
      </c>
      <c r="D1" s="232" t="str">
        <f ca="1">IFERROR(__xludf.DUMMYFUNCTION("""COMPUTED_VALUE"""),"")</f>
        <v/>
      </c>
      <c r="E1" s="232" t="str">
        <f ca="1">IFERROR(__xludf.DUMMYFUNCTION("""COMPUTED_VALUE"""),"")</f>
        <v/>
      </c>
      <c r="F1" s="232" t="str">
        <f ca="1">IFERROR(__xludf.DUMMYFUNCTION("""COMPUTED_VALUE"""),"")</f>
        <v/>
      </c>
      <c r="G1" s="232" t="str">
        <f ca="1">IFERROR(__xludf.DUMMYFUNCTION("""COMPUTED_VALUE"""),"")</f>
        <v/>
      </c>
      <c r="H1" s="230" t="str">
        <f ca="1">IFERROR(__xludf.DUMMYFUNCTION("""COMPUTED_VALUE"""),"INDIGENA")</f>
        <v>INDIGENA</v>
      </c>
      <c r="I1" s="232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IFERROR(__xludf.DUMMYFUNCTION("""COMPUTED_VALUE"""),10815)</f>
        <v>10815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IFERROR(__xludf.DUMMYFUNCTION("""COMPUTED_VALUE"""),2541)</f>
        <v>2541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IFERROR(__xludf.DUMMYFUNCTION("""COMPUTED_VALUE"""),"Formoso do Araguaia")</f>
        <v>Formoso do Araguaia</v>
      </c>
      <c r="C4" t="str">
        <f ca="1">IFERROR(__xludf.DUMMYFUNCTION("""COMPUTED_VALUE"""),"ASSOCIAÇÃO DE APOIO DA ESCOLA INDÍGENA TEMANARE")</f>
        <v>ASSOCIAÇÃO DE APOIO DA ESCOLA INDÍGENA TEMANARE</v>
      </c>
      <c r="D4" t="str">
        <f ca="1">IFERROR(__xludf.DUMMYFUNCTION("""COMPUTED_VALUE"""),"47800676000123")</f>
        <v>47800676000123</v>
      </c>
      <c r="E4" t="str">
        <f ca="1">IFERROR(__xludf.DUMMYFUNCTION("""COMPUTED_VALUE"""),"001")</f>
        <v>001</v>
      </c>
      <c r="F4" t="str">
        <f ca="1">IFERROR(__xludf.DUMMYFUNCTION("""COMPUTED_VALUE"""),"3123")</f>
        <v>3123</v>
      </c>
      <c r="G4" t="str">
        <f ca="1">IFERROR(__xludf.DUMMYFUNCTION("""COMPUTED_VALUE"""),"207160")</f>
        <v>207160</v>
      </c>
      <c r="H4" s="7">
        <f ca="1">IFERROR(__xludf.DUMMYFUNCTION("""COMPUTED_VALUE"""),2058)</f>
        <v>2058</v>
      </c>
      <c r="I4" t="str">
        <v>INDIGENA PARCIAL</v>
      </c>
    </row>
    <row r="5" spans="1:9" ht="12.75">
      <c r="A5" t="str">
        <f ca="1">IFERROR(__xludf.DUMMYFUNCTION("""COMPUTED_VALUE"""),"Gurupi")</f>
        <v>Gurupi</v>
      </c>
      <c r="B5" t="str">
        <f ca="1">IFERROR(__xludf.DUMMYFUNCTION("""COMPUTED_VALUE"""),"Formoso do Araguaia")</f>
        <v>Formoso do Araguaia</v>
      </c>
      <c r="C5" t="str">
        <f ca="1">IFERROR(__xludf.DUMMYFUNCTION("""COMPUTED_VALUE"""),"ASSOCIAÇÃO DE APOIO ESCOLAR DA ESCOLA INDÍGENA TXUIRI HINÃ")</f>
        <v>ASSOCIAÇÃO DE APOIO ESCOLAR DA ESCOLA INDÍGENA TXUIRI HINÃ</v>
      </c>
      <c r="D5" t="str">
        <f ca="1">IFERROR(__xludf.DUMMYFUNCTION("""COMPUTED_VALUE"""),"47801073000146")</f>
        <v>47801073000146</v>
      </c>
      <c r="E5" t="str">
        <f ca="1">IFERROR(__xludf.DUMMYFUNCTION("""COMPUTED_VALUE"""),"001")</f>
        <v>001</v>
      </c>
      <c r="F5" t="str">
        <f ca="1">IFERROR(__xludf.DUMMYFUNCTION("""COMPUTED_VALUE"""),"3123")</f>
        <v>3123</v>
      </c>
      <c r="G5" t="str">
        <f ca="1">IFERROR(__xludf.DUMMYFUNCTION("""COMPUTED_VALUE"""),"206458")</f>
        <v>206458</v>
      </c>
      <c r="H5" s="7">
        <f ca="1">IFERROR(__xludf.DUMMYFUNCTION("""COMPUTED_VALUE"""),1638)</f>
        <v>1638</v>
      </c>
      <c r="I5" t="str">
        <v>INDIGENA PARCIAL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IFERROR(__xludf.DUMMYFUNCTION("""COMPUTED_VALUE"""),"Formoso do Araguaia")</f>
        <v>Formoso do Araguaia</v>
      </c>
      <c r="C6" t="str">
        <f ca="1">IFERROR(__xludf.DUMMYFUNCTION("""COMPUTED_VALUE"""),"ASSOCIAÇÃO DE APOIO ESCOLAR DA ESCOLA INDÍGENA WATAKURI")</f>
        <v>ASSOCIAÇÃO DE APOIO ESCOLAR DA ESCOLA INDÍGENA WATAKURI</v>
      </c>
      <c r="D6" t="str">
        <f ca="1">IFERROR(__xludf.DUMMYFUNCTION("""COMPUTED_VALUE"""),"48057828000102")</f>
        <v>48057828000102</v>
      </c>
      <c r="E6" t="str">
        <f ca="1">IFERROR(__xludf.DUMMYFUNCTION("""COMPUTED_VALUE"""),"001")</f>
        <v>001</v>
      </c>
      <c r="F6" t="str">
        <f ca="1">IFERROR(__xludf.DUMMYFUNCTION("""COMPUTED_VALUE"""),"3123")</f>
        <v>3123</v>
      </c>
      <c r="G6" t="str">
        <f ca="1">IFERROR(__xludf.DUMMYFUNCTION("""COMPUTED_VALUE"""),"206695")</f>
        <v>206695</v>
      </c>
      <c r="H6" s="7">
        <f ca="1">IFERROR(__xludf.DUMMYFUNCTION("""COMPUTED_VALUE"""),1638)</f>
        <v>1638</v>
      </c>
      <c r="I6" t="str">
        <v>INDIGENA PARCIAL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IFERROR(__xludf.DUMMYFUNCTION("""COMPUTED_VALUE"""),"Gurupi")</f>
        <v>Gurupi</v>
      </c>
      <c r="C7" t="str">
        <f ca="1">IFERROR(__xludf.DUMMYFUNCTION("""COMPUTED_VALUE"""),"A.A. ESC. EST.ISOL.E IND.REG.DE GURUPI")</f>
        <v>A.A. ESC. EST.ISOL.E IND.REG.DE GURUPI</v>
      </c>
      <c r="D7" t="str">
        <f ca="1">IFERROR(__xludf.DUMMYFUNCTION("""COMPUTED_VALUE"""),"03011592000135")</f>
        <v>03011592000135</v>
      </c>
      <c r="E7" t="str">
        <f ca="1">IFERROR(__xludf.DUMMYFUNCTION("""COMPUTED_VALUE"""),"001")</f>
        <v>001</v>
      </c>
      <c r="F7" t="str">
        <f ca="1">IFERROR(__xludf.DUMMYFUNCTION("""COMPUTED_VALUE"""),"0794")</f>
        <v>0794</v>
      </c>
      <c r="G7" t="str">
        <f ca="1">IFERROR(__xludf.DUMMYFUNCTION("""COMPUTED_VALUE"""),"67563")</f>
        <v>67563</v>
      </c>
      <c r="H7" s="7">
        <f ca="1">IFERROR(__xludf.DUMMYFUNCTION("""COMPUTED_VALUE"""),1638)</f>
        <v>1638</v>
      </c>
      <c r="I7" t="str">
        <v>INDIGENA PARCIAL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IFERROR(__xludf.DUMMYFUNCTION("""COMPUTED_VALUE"""),"Sandolandia")</f>
        <v>Sandolandia</v>
      </c>
      <c r="C8" t="str">
        <f ca="1">IFERROR(__xludf.DUMMYFUNCTION("""COMPUTED_VALUE"""),"A.A.DE APOIO ESCOLAR DA ESCOLA INDÍGENA IJAWALA")</f>
        <v>A.A.DE APOIO ESCOLAR DA ESCOLA INDÍGENA IJAWALA</v>
      </c>
      <c r="D8" t="str">
        <f ca="1">IFERROR(__xludf.DUMMYFUNCTION("""COMPUTED_VALUE"""),"48240313000143")</f>
        <v>48240313000143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IFERROR(__xludf.DUMMYFUNCTION("""COMPUTED_VALUE"""),"1949810")</f>
        <v>1949810</v>
      </c>
      <c r="H8" s="7">
        <f ca="1">IFERROR(__xludf.DUMMYFUNCTION("""COMPUTED_VALUE"""),1407)</f>
        <v>1407</v>
      </c>
      <c r="I8" t="str">
        <v>INDIGENA PARCIAL</v>
      </c>
    </row>
    <row r="9" spans="1:9" ht="12.75">
      <c r="A9" t="str">
        <f ca="1">IFERROR(__xludf.DUMMYFUNCTION("""COMPUTED_VALUE"""),"Miracema")</f>
        <v>Miracema</v>
      </c>
      <c r="B9" t="str">
        <f ca="1">IFERROR(__xludf.DUMMYFUNCTION("""COMPUTED_VALUE"""),"Miracema do Tocantins")</f>
        <v>Miracema do Tocantins</v>
      </c>
      <c r="C9" t="str">
        <f ca="1">IFERROR(__xludf.DUMMYFUNCTION("""COMPUTED_VALUE"""),"ASSOCIAÇÃO DE APOIO ÀS ESCOLAS INDIGENAS XERENTE")</f>
        <v>ASSOCIAÇÃO DE APOIO ÀS ESCOLAS INDIGENAS XERENTE</v>
      </c>
      <c r="D9" t="str">
        <f ca="1">IFERROR(__xludf.DUMMYFUNCTION("""COMPUTED_VALUE"""),"07671600000120")</f>
        <v>07671600000120</v>
      </c>
      <c r="E9" t="str">
        <f ca="1">IFERROR(__xludf.DUMMYFUNCTION("""COMPUTED_VALUE"""),"001")</f>
        <v>001</v>
      </c>
      <c r="F9" t="str">
        <f ca="1">IFERROR(__xludf.DUMMYFUNCTION("""COMPUTED_VALUE"""),"0862")</f>
        <v>0862</v>
      </c>
      <c r="G9" t="str">
        <f ca="1">IFERROR(__xludf.DUMMYFUNCTION("""COMPUTED_VALUE"""),"185884")</f>
        <v>185884</v>
      </c>
      <c r="H9" s="7">
        <f ca="1">IFERROR(__xludf.DUMMYFUNCTION("""COMPUTED_VALUE"""),22974)</f>
        <v>22974</v>
      </c>
      <c r="I9" t="str">
        <v>INDIGENA PARCIAL</v>
      </c>
    </row>
    <row r="10" spans="1:9" ht="12.75">
      <c r="A10" t="str">
        <f ca="1">IFERROR(__xludf.DUMMYFUNCTION("""COMPUTED_VALUE"""),"Paraíso")</f>
        <v>Paraíso</v>
      </c>
      <c r="B10" t="str">
        <f ca="1">IFERROR(__xludf.DUMMYFUNCTION("""COMPUTED_VALUE"""),"Paraiso do Tocantins")</f>
        <v>Paraiso do Tocantins</v>
      </c>
      <c r="C10" t="str">
        <f ca="1">IFERROR(__xludf.DUMMYFUNCTION("""COMPUTED_VALUE"""),"A.A. ESC. EST.ISOL.INDIG REG PARAISO DO TO")</f>
        <v>A.A. ESC. EST.ISOL.INDIG REG PARAISO DO TO</v>
      </c>
      <c r="D10" t="str">
        <f ca="1">IFERROR(__xludf.DUMMYFUNCTION("""COMPUTED_VALUE"""),"05099542000187")</f>
        <v>05099542000187</v>
      </c>
      <c r="E10" t="str">
        <f ca="1">IFERROR(__xludf.DUMMYFUNCTION("""COMPUTED_VALUE"""),"001")</f>
        <v>001</v>
      </c>
      <c r="F10" t="str">
        <f ca="1">IFERROR(__xludf.DUMMYFUNCTION("""COMPUTED_VALUE"""),"0804")</f>
        <v>0804</v>
      </c>
      <c r="G10" t="str">
        <f ca="1">IFERROR(__xludf.DUMMYFUNCTION("""COMPUTED_VALUE"""),"111678")</f>
        <v>111678</v>
      </c>
      <c r="H10" s="7">
        <f ca="1">IFERROR(__xludf.DUMMYFUNCTION("""COMPUTED_VALUE"""),21693)</f>
        <v>21693</v>
      </c>
      <c r="I10" t="str">
        <v>INDIGENA PARCIAL</v>
      </c>
    </row>
    <row r="11" spans="1:9" ht="12.75">
      <c r="A11" t="str">
        <f ca="1">IFERROR(__xludf.DUMMYFUNCTION("""COMPUTED_VALUE"""),"Pedro Afonso")</f>
        <v>Pedro Afonso</v>
      </c>
      <c r="B11" t="str">
        <f ca="1">IFERROR(__xludf.DUMMYFUNCTION("""COMPUTED_VALUE"""),"Itacajá")</f>
        <v>Itacajá</v>
      </c>
      <c r="C11" t="str">
        <f ca="1">IFERROR(__xludf.DUMMYFUNCTION("""COMPUTED_VALUE"""),"A.A. ESCOLAS ESTADUAIS INDIGENAS DE ITACAJA II")</f>
        <v>A.A. ESCOLAS ESTADUAIS INDIGENAS DE ITACAJA II</v>
      </c>
      <c r="D11" t="str">
        <f ca="1">IFERROR(__xludf.DUMMYFUNCTION("""COMPUTED_VALUE"""),"43551682000133")</f>
        <v>43551682000133</v>
      </c>
      <c r="E11" t="str">
        <f ca="1">IFERROR(__xludf.DUMMYFUNCTION("""COMPUTED_VALUE"""),"001")</f>
        <v>001</v>
      </c>
      <c r="F11" t="str">
        <f ca="1">IFERROR(__xludf.DUMMYFUNCTION("""COMPUTED_VALUE"""),"1595")</f>
        <v>1595</v>
      </c>
      <c r="G11" t="str">
        <f ca="1">IFERROR(__xludf.DUMMYFUNCTION("""COMPUTED_VALUE"""),"327905")</f>
        <v>327905</v>
      </c>
      <c r="H11" s="7">
        <f ca="1">IFERROR(__xludf.DUMMYFUNCTION("""COMPUTED_VALUE"""),3423)</f>
        <v>3423</v>
      </c>
      <c r="I11" t="str">
        <v>INDIGENA PARCIAL</v>
      </c>
    </row>
    <row r="12" spans="1:9" ht="12.75">
      <c r="A12" t="str">
        <f ca="1">IFERROR(__xludf.DUMMYFUNCTION("""COMPUTED_VALUE"""),"Pedro Afonso")</f>
        <v>Pedro Afonso</v>
      </c>
      <c r="B12" t="str">
        <f ca="1">IFERROR(__xludf.DUMMYFUNCTION("""COMPUTED_VALUE"""),"Pedro Afonso")</f>
        <v>Pedro Afonso</v>
      </c>
      <c r="C12" t="str">
        <f ca="1">IFERROR(__xludf.DUMMYFUNCTION("""COMPUTED_VALUE"""),"A.A. EC.INDIGENAS")</f>
        <v>A.A. EC.INDIGENAS</v>
      </c>
      <c r="D12" t="str">
        <f ca="1">IFERROR(__xludf.DUMMYFUNCTION("""COMPUTED_VALUE"""),"06135108000178")</f>
        <v>06135108000178</v>
      </c>
      <c r="E12" t="str">
        <f ca="1">IFERROR(__xludf.DUMMYFUNCTION("""COMPUTED_VALUE"""),"001")</f>
        <v>001</v>
      </c>
      <c r="F12" t="str">
        <f ca="1">IFERROR(__xludf.DUMMYFUNCTION("""COMPUTED_VALUE"""),"1595")</f>
        <v>1595</v>
      </c>
      <c r="G12" t="str">
        <f ca="1">IFERROR(__xludf.DUMMYFUNCTION("""COMPUTED_VALUE"""),"114499")</f>
        <v>114499</v>
      </c>
      <c r="H12" s="7">
        <f ca="1">IFERROR(__xludf.DUMMYFUNCTION("""COMPUTED_VALUE"""),23037)</f>
        <v>23037</v>
      </c>
      <c r="I12" t="str">
        <v>INDIGENA PARCIAL</v>
      </c>
    </row>
    <row r="13" spans="1:9" ht="12.75">
      <c r="A13" t="str">
        <f ca="1">IFERROR(__xludf.DUMMYFUNCTION("""COMPUTED_VALUE"""),"Tocantinópolis")</f>
        <v>Tocantinópolis</v>
      </c>
      <c r="B13" t="str">
        <f ca="1">IFERROR(__xludf.DUMMYFUNCTION("""COMPUTED_VALUE"""),"Tocantinopolis")</f>
        <v>Tocantinopolis</v>
      </c>
      <c r="C13" t="str">
        <f ca="1">IFERROR(__xludf.DUMMYFUNCTION("""COMPUTED_VALUE"""),"A.A ESC. EST.INDIGENAS NRE TOCANTINOPOLIS")</f>
        <v>A.A ESC. EST.INDIGENAS NRE TOCANTINOPOLIS</v>
      </c>
      <c r="D13" t="str">
        <f ca="1">IFERROR(__xludf.DUMMYFUNCTION("""COMPUTED_VALUE"""),"06171083000168")</f>
        <v>06171083000168</v>
      </c>
      <c r="E13" t="str">
        <f ca="1">IFERROR(__xludf.DUMMYFUNCTION("""COMPUTED_VALUE"""),"001")</f>
        <v>001</v>
      </c>
      <c r="F13" t="str">
        <f ca="1">IFERROR(__xludf.DUMMYFUNCTION("""COMPUTED_VALUE"""),"0810")</f>
        <v>0810</v>
      </c>
      <c r="G13" t="str">
        <f ca="1">IFERROR(__xludf.DUMMYFUNCTION("""COMPUTED_VALUE"""),"140538")</f>
        <v>140538</v>
      </c>
      <c r="H13" s="7">
        <f ca="1">IFERROR(__xludf.DUMMYFUNCTION("""COMPUTED_VALUE"""),11823)</f>
        <v>11823</v>
      </c>
      <c r="I13" t="str">
        <v>INDIGENA PARCIAL</v>
      </c>
    </row>
    <row r="14" spans="1:9" ht="12.75">
      <c r="A14" t="str">
        <f ca="1">IFERROR(__xludf.DUMMYFUNCTION("""COMPUTED_VALUE"""),"Tocantinópolis")</f>
        <v>Tocantinópolis</v>
      </c>
      <c r="B14" t="str">
        <f ca="1">IFERROR(__xludf.DUMMYFUNCTION("""COMPUTED_VALUE"""),"Tocantinopolis")</f>
        <v>Tocantinopolis</v>
      </c>
      <c r="C14" t="str">
        <f ca="1">IFERROR(__xludf.DUMMYFUNCTION("""COMPUTED_VALUE"""),"A.A. AS ESC. EST.INDIGENAS MATYK E APORO")</f>
        <v>A.A. AS ESC. EST.INDIGENAS MATYK E APORO</v>
      </c>
      <c r="D14" t="str">
        <f ca="1">IFERROR(__xludf.DUMMYFUNCTION("""COMPUTED_VALUE"""),"03544096000147")</f>
        <v>03544096000147</v>
      </c>
      <c r="E14" t="str">
        <f ca="1">IFERROR(__xludf.DUMMYFUNCTION("""COMPUTED_VALUE"""),"001")</f>
        <v>001</v>
      </c>
      <c r="F14" t="str">
        <f ca="1">IFERROR(__xludf.DUMMYFUNCTION("""COMPUTED_VALUE"""),"0810")</f>
        <v>0810</v>
      </c>
      <c r="G14" t="str">
        <f ca="1">IFERROR(__xludf.DUMMYFUNCTION("""COMPUTED_VALUE"""),"67423")</f>
        <v>67423</v>
      </c>
      <c r="H14" s="7">
        <f ca="1">IFERROR(__xludf.DUMMYFUNCTION("""COMPUTED_VALUE"""),14322)</f>
        <v>14322</v>
      </c>
      <c r="I14" t="str">
        <v>INDIGENA PARCIAL</v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2"/>
      <c r="B1" s="63"/>
      <c r="C1" s="63"/>
      <c r="D1" s="64"/>
      <c r="E1" s="65"/>
      <c r="F1" s="63"/>
      <c r="G1" s="63"/>
      <c r="H1" s="66"/>
      <c r="I1" s="66"/>
      <c r="J1" s="67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9"/>
      <c r="AE1" s="70"/>
      <c r="AF1" s="71"/>
      <c r="AG1" s="72"/>
      <c r="AH1" s="72"/>
      <c r="AI1" s="72"/>
      <c r="AJ1" s="72"/>
      <c r="AK1" s="72"/>
      <c r="AL1" s="73"/>
    </row>
    <row r="2" spans="1:38" ht="7.5" customHeight="1">
      <c r="A2" s="62"/>
      <c r="B2" s="63"/>
      <c r="C2" s="63"/>
      <c r="D2" s="64"/>
      <c r="E2" s="65"/>
      <c r="F2" s="63"/>
      <c r="G2" s="63"/>
      <c r="H2" s="66"/>
      <c r="I2" s="66"/>
      <c r="J2" s="67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9"/>
      <c r="AE2" s="70"/>
      <c r="AF2" s="71"/>
      <c r="AG2" s="72"/>
      <c r="AH2" s="72"/>
      <c r="AI2" s="72"/>
      <c r="AJ2" s="72"/>
      <c r="AK2" s="72"/>
      <c r="AL2" s="73"/>
    </row>
    <row r="3" spans="1:38" ht="23.25" customHeight="1">
      <c r="A3" s="62"/>
      <c r="B3" s="63"/>
      <c r="C3" s="63"/>
      <c r="D3" s="64"/>
      <c r="E3" s="65"/>
      <c r="F3" s="63"/>
      <c r="G3" s="63"/>
      <c r="H3" s="66"/>
      <c r="I3" s="66"/>
      <c r="J3" s="67"/>
      <c r="K3" s="74">
        <v>6</v>
      </c>
      <c r="L3" s="74">
        <v>7</v>
      </c>
      <c r="M3" s="74">
        <v>8</v>
      </c>
      <c r="N3" s="74">
        <v>9</v>
      </c>
      <c r="O3" s="74">
        <v>10</v>
      </c>
      <c r="P3" s="74">
        <v>11</v>
      </c>
      <c r="Q3" s="74">
        <v>12</v>
      </c>
      <c r="R3" s="74">
        <v>13</v>
      </c>
      <c r="S3" s="74">
        <v>14</v>
      </c>
      <c r="T3" s="74">
        <v>15</v>
      </c>
      <c r="U3" s="74">
        <v>16</v>
      </c>
      <c r="V3" s="74">
        <v>17</v>
      </c>
      <c r="W3" s="74">
        <v>18</v>
      </c>
      <c r="X3" s="74">
        <v>19</v>
      </c>
      <c r="Y3" s="74">
        <v>20</v>
      </c>
      <c r="Z3" s="74">
        <v>21</v>
      </c>
      <c r="AA3" s="74"/>
      <c r="AB3" s="74"/>
      <c r="AC3" s="74"/>
      <c r="AD3" s="69"/>
      <c r="AE3" s="70"/>
      <c r="AF3" s="71"/>
      <c r="AG3" s="72"/>
      <c r="AH3" s="72"/>
      <c r="AI3" s="72"/>
      <c r="AJ3" s="72"/>
      <c r="AK3" s="72"/>
      <c r="AL3" s="73"/>
    </row>
    <row r="4" spans="1:38" ht="23.25" customHeight="1">
      <c r="A4" s="62"/>
      <c r="B4" s="63"/>
      <c r="C4" s="63"/>
      <c r="D4" s="64"/>
      <c r="E4" s="65"/>
      <c r="F4" s="63"/>
      <c r="G4" s="63"/>
      <c r="H4" s="66"/>
      <c r="I4" s="66"/>
      <c r="J4" s="67"/>
      <c r="K4" s="75" t="e">
        <f ca="1">SUBTOTAL(9,K7:K1004)</f>
        <v>#REF!</v>
      </c>
      <c r="L4" s="75" t="e">
        <f ca="1">SUBTOTAL(9,L6:L1004)</f>
        <v>#REF!</v>
      </c>
      <c r="M4" s="75" t="e">
        <f ca="1">SUBTOTAL(9,M7:M1004)</f>
        <v>#REF!</v>
      </c>
      <c r="N4" s="75" t="e">
        <f t="shared" ref="N4:Y4" ca="1" si="0">SUBTOTAL(9,N6:N1004)</f>
        <v>#REF!</v>
      </c>
      <c r="O4" s="75" t="e">
        <f t="shared" ca="1" si="0"/>
        <v>#REF!</v>
      </c>
      <c r="P4" s="75" t="e">
        <f t="shared" ca="1" si="0"/>
        <v>#REF!</v>
      </c>
      <c r="Q4" s="75" t="e">
        <f t="shared" ca="1" si="0"/>
        <v>#REF!</v>
      </c>
      <c r="R4" s="75" t="e">
        <f t="shared" ca="1" si="0"/>
        <v>#REF!</v>
      </c>
      <c r="S4" s="75" t="e">
        <f t="shared" ca="1" si="0"/>
        <v>#REF!</v>
      </c>
      <c r="T4" s="75" t="e">
        <f t="shared" ca="1" si="0"/>
        <v>#REF!</v>
      </c>
      <c r="U4" s="75" t="e">
        <f t="shared" ca="1" si="0"/>
        <v>#REF!</v>
      </c>
      <c r="V4" s="75" t="e">
        <f t="shared" ca="1" si="0"/>
        <v>#REF!</v>
      </c>
      <c r="W4" s="75" t="e">
        <f t="shared" ca="1" si="0"/>
        <v>#REF!</v>
      </c>
      <c r="X4" s="75" t="e">
        <f t="shared" ca="1" si="0"/>
        <v>#REF!</v>
      </c>
      <c r="Y4" s="75" t="e">
        <f t="shared" ca="1" si="0"/>
        <v>#REF!</v>
      </c>
      <c r="Z4" s="75" t="e">
        <f ca="1">SUBTOTAL(9,Z7:Z1004)</f>
        <v>#REF!</v>
      </c>
      <c r="AA4" s="74"/>
      <c r="AB4" s="74"/>
      <c r="AC4" s="74"/>
      <c r="AD4" s="76"/>
      <c r="AE4" s="77"/>
      <c r="AF4" s="78"/>
      <c r="AG4" s="79"/>
      <c r="AH4" s="79"/>
      <c r="AI4" s="79"/>
      <c r="AJ4" s="79"/>
      <c r="AK4" s="72"/>
      <c r="AL4" s="73"/>
    </row>
    <row r="5" spans="1:38" ht="63.75" customHeight="1">
      <c r="A5" s="80" t="s">
        <v>4</v>
      </c>
      <c r="B5" s="81" t="s">
        <v>5</v>
      </c>
      <c r="C5" s="81" t="s">
        <v>6</v>
      </c>
      <c r="D5" s="82" t="str">
        <f ca="1">"UNIDADES EXECUTORAS = " &amp; SUBTOTAL(3,D7:D417)</f>
        <v>UNIDADES EXECUTORAS = 411</v>
      </c>
      <c r="E5" s="83" t="s">
        <v>8</v>
      </c>
      <c r="F5" s="81" t="s">
        <v>4</v>
      </c>
      <c r="G5" s="81" t="s">
        <v>9</v>
      </c>
      <c r="H5" s="84" t="s">
        <v>1</v>
      </c>
      <c r="I5" s="84" t="s">
        <v>2</v>
      </c>
      <c r="J5" s="85" t="s">
        <v>3</v>
      </c>
      <c r="K5" s="86" t="s">
        <v>10</v>
      </c>
      <c r="L5" s="86" t="s">
        <v>11</v>
      </c>
      <c r="M5" s="87" t="s">
        <v>12</v>
      </c>
      <c r="N5" s="87" t="s">
        <v>13</v>
      </c>
      <c r="O5" s="88" t="s">
        <v>68</v>
      </c>
      <c r="P5" s="89" t="s">
        <v>14</v>
      </c>
      <c r="Q5" s="89" t="s">
        <v>15</v>
      </c>
      <c r="R5" s="90" t="s">
        <v>16</v>
      </c>
      <c r="S5" s="91" t="s">
        <v>17</v>
      </c>
      <c r="T5" s="92" t="s">
        <v>18</v>
      </c>
      <c r="U5" s="92" t="s">
        <v>19</v>
      </c>
      <c r="V5" s="93" t="s">
        <v>20</v>
      </c>
      <c r="W5" s="94" t="s">
        <v>21</v>
      </c>
      <c r="X5" s="95" t="s">
        <v>22</v>
      </c>
      <c r="Y5" s="96" t="s">
        <v>23</v>
      </c>
      <c r="Z5" s="97" t="s">
        <v>24</v>
      </c>
      <c r="AA5" s="87"/>
      <c r="AB5" s="92"/>
      <c r="AC5" s="98"/>
      <c r="AD5" s="99" t="s">
        <v>25</v>
      </c>
      <c r="AE5" s="100" t="s">
        <v>26</v>
      </c>
      <c r="AF5" s="101" t="s">
        <v>27</v>
      </c>
      <c r="AG5" s="102" t="s">
        <v>28</v>
      </c>
      <c r="AH5" s="102" t="s">
        <v>29</v>
      </c>
      <c r="AI5" s="102" t="s">
        <v>30</v>
      </c>
      <c r="AJ5" s="102" t="s">
        <v>31</v>
      </c>
      <c r="AK5" s="103" t="s">
        <v>32</v>
      </c>
      <c r="AL5" s="104" t="s">
        <v>33</v>
      </c>
    </row>
    <row r="6" spans="1:38" ht="23.25" customHeight="1">
      <c r="A6" s="105" t="str">
        <f ca="1">IFERROR(__xludf.DUMMYFUNCTION("QUERY(BDADOS!A5:AJ1004,""SELECT A,B,C,D,E,F,G,H,I,J"",1)"),"COD. CENSO")</f>
        <v>COD. CENSO</v>
      </c>
      <c r="B6" s="106" t="str">
        <f ca="1">IFERROR(__xludf.DUMMYFUNCTION("""COMPUTED_VALUE"""),"REGIONAL ")</f>
        <v xml:space="preserve">REGIONAL </v>
      </c>
      <c r="C6" s="106" t="str">
        <f ca="1">IFERROR(__xludf.DUMMYFUNCTION("""COMPUTED_VALUE"""),"MUNICÍPIO")</f>
        <v>MUNICÍPIO</v>
      </c>
      <c r="D6" s="106" t="str">
        <f ca="1">IFERROR(__xludf.DUMMYFUNCTION("""COMPUTED_VALUE"""),"")</f>
        <v/>
      </c>
      <c r="E6" s="106" t="str">
        <f ca="1">IFERROR(__xludf.DUMMYFUNCTION("""COMPUTED_VALUE"""),"UNIDADE ESCOLAR")</f>
        <v>UNIDADE ESCOLAR</v>
      </c>
      <c r="F6" s="107" t="str">
        <f ca="1">IFERROR(__xludf.DUMMYFUNCTION("""COMPUTED_VALUE"""),"COD. CENSO")</f>
        <v>COD. CENSO</v>
      </c>
      <c r="G6" s="106" t="str">
        <f ca="1">IFERROR(__xludf.DUMMYFUNCTION("""COMPUTED_VALUE"""),"CNPJ")</f>
        <v>CNPJ</v>
      </c>
      <c r="H6" s="107" t="str">
        <f ca="1">IFERROR(__xludf.DUMMYFUNCTION("""COMPUTED_VALUE"""),"BANCO")</f>
        <v>BANCO</v>
      </c>
      <c r="I6" s="107" t="str">
        <f ca="1">IFERROR(__xludf.DUMMYFUNCTION("""COMPUTED_VALUE"""),"AGENCIA")</f>
        <v>AGENCIA</v>
      </c>
      <c r="J6" s="107" t="str">
        <f ca="1">IFERROR(__xludf.DUMMYFUNCTION("""COMPUTED_VALUE"""),"C. CORRENTE")</f>
        <v>C. CORRENTE</v>
      </c>
      <c r="K6" s="108" t="e">
        <f t="array" ref="K6:K1004" ca="1">IF(ROW($A6:$A1004)=4,K$5,IF($A6:$A1004="","",IF(RIGHT(#REF!,4)="COLA",0,VLOOKUP($F$6:$F1004,#REF!,K$3,0))))</f>
        <v>#REF!</v>
      </c>
      <c r="L6" s="108" t="e">
        <f t="array" ref="L6:L1004" ca="1">IF(ROW($A6:$A1004)=4,L$5,IF($A6:$A1004="","",IF(RIGHT(#REF!,4)="COLA",0,VLOOKUP($F$6:$F1004,#REF!,L$3,0))))</f>
        <v>#REF!</v>
      </c>
      <c r="M6" s="108" t="e">
        <f t="array" ref="M6:M1004" ca="1">IF(ROW($A6:$A1004)=4,M$5,IF($A6:$A1004="","",IF(RIGHT(#REF!,4)="COLA",0,VLOOKUP($F$6:$F1004,#REF!,M$3,0))))</f>
        <v>#REF!</v>
      </c>
      <c r="N6" s="108" t="e">
        <f t="array" ref="N6:N1004" ca="1">IF(ROW($A6:$A1004)=4,N$5,IF($A6:$A1004="","",IF(RIGHT(#REF!,4)="COLA",0,VLOOKUP($F$6:$F1004,#REF!,N$3,0))))</f>
        <v>#REF!</v>
      </c>
      <c r="O6" s="108" t="e">
        <f t="array" ref="O6:O1004" ca="1">IF(ROW($A6:$A1004)=4,O$5,IF($A6:$A1004="","",IF(RIGHT(#REF!,4)="COLA",0,VLOOKUP($F$6:$F1004,#REF!,O$3,0))))</f>
        <v>#REF!</v>
      </c>
      <c r="P6" s="108" t="e">
        <f t="array" ref="P6:P1004" ca="1">IF(ROW($A6:$A1004)=4,P$5,IF($A6:$A1004="","",IF(RIGHT(#REF!,4)="COLA",0,VLOOKUP($F$6:$F1004,#REF!,P$3,0))))</f>
        <v>#REF!</v>
      </c>
      <c r="Q6" s="108" t="e">
        <f t="array" ref="Q6:Q1004" ca="1">IF(ROW($A6:$A1004)=4,Q$5,IF($A6:$A1004="","",IF(RIGHT(#REF!,4)="COLA",0,VLOOKUP($F$6:$F1004,#REF!,Q$3,0))))</f>
        <v>#REF!</v>
      </c>
      <c r="R6" s="108" t="e">
        <f t="array" ref="R6:R1004" ca="1">IF(ROW($A6:$A1004)=4,R$5,IF($A6:$A1004="","",IF(RIGHT(#REF!,4)="COLA",0,VLOOKUP($F$6:$F1004,#REF!,R$3,0))))</f>
        <v>#REF!</v>
      </c>
      <c r="S6" s="108" t="e">
        <f t="array" ref="S6:S1004" ca="1">IF(ROW($A6:$A1004)=4,S$5,IF($A6:$A1004="","",IF(RIGHT(#REF!,4)="COLA",0,VLOOKUP($F$6:$F1004,#REF!,S$3,0))))</f>
        <v>#REF!</v>
      </c>
      <c r="T6" s="108" t="e">
        <f t="array" ref="T6:T1004" ca="1">IF(ROW($A6:$A1004)=4,T$5,IF($A6:$A1004="","",IF(RIGHT(#REF!,4)="COLA",0,VLOOKUP($F$6:$F1004,#REF!,T$3,0))))</f>
        <v>#REF!</v>
      </c>
      <c r="U6" s="108" t="e">
        <f t="array" ref="U6:U1004" ca="1">IF(ROW($A6:$A1004)=4,U$5,IF($A6:$A1004="","",IF(RIGHT(#REF!,4)="COLA",0,VLOOKUP($F$6:$F1004,#REF!,U$3,0))))</f>
        <v>#REF!</v>
      </c>
      <c r="V6" s="108" t="e">
        <f t="array" ref="V6:V1004" ca="1">IF(ROW($A6:$A1004)=4,V$5,IF($A6:$A1004="","",IF(RIGHT(#REF!,4)="COLA",0,VLOOKUP($F$6:$F1004,#REF!,V$3,0))))</f>
        <v>#REF!</v>
      </c>
      <c r="W6" s="108" t="e">
        <f t="array" ref="W6:W1004" ca="1">IF(ROW($A6:$A1004)=4,W$5,IF($A6:$A1004="","",IF(RIGHT(#REF!,4)="COLA",0,VLOOKUP($F$6:$F1004,#REF!,W$3,0))))</f>
        <v>#REF!</v>
      </c>
      <c r="X6" s="108" t="str">
        <f t="array" ref="X6:X1004">IF(ROW($A6:$A1004)=6,X$5,IF($A6:$A1004="","",IF(RIGHT(#REF!,4)="COLA",VLOOKUP($F$6:$F1004,#REF!,X$3,0),0)))</f>
        <v>INTERNATO</v>
      </c>
      <c r="Y6" s="109" t="e">
        <f t="array" ref="Y6:Y1004" ca="1">IF(ROW($A6:$A1004)=4,Y$5,IF($A6:$A1004="","",VLOOKUP($F$6:$F1004,#REF!,Y$3,0)))</f>
        <v>#REF!</v>
      </c>
      <c r="Z6" s="109" t="e">
        <f t="array" ref="Z6:Z1004" ca="1">IF(ROW($A6:$A1004)=4,Z$5,IF($A6:$A1004="","",VLOOKUP($F$6:$F1004,#REF!,Z$3,0)))</f>
        <v>#REF!</v>
      </c>
      <c r="AA6" s="106"/>
      <c r="AB6" s="106"/>
      <c r="AC6" s="106"/>
      <c r="AD6" s="110" t="str">
        <f ca="1">IFERROR(__xludf.DUMMYFUNCTION("QUERY(BDADOS!A5:AJ1004,""SELECT AD,AE,AF,AG,AH,AI,AJ"",1)"),"Tipos de Estabelecimento")</f>
        <v>Tipos de Estabelecimento</v>
      </c>
      <c r="AE6" s="106" t="str">
        <f ca="1">IFERROR(__xludf.DUMMYFUNCTION("""COMPUTED_VALUE"""),"TEMPO")</f>
        <v>TEMPO</v>
      </c>
      <c r="AF6" s="106" t="str">
        <f ca="1">IFERROR(__xludf.DUMMYFUNCTION("""COMPUTED_VALUE"""),"SINAL")</f>
        <v>SINAL</v>
      </c>
      <c r="AG6" s="106" t="str">
        <f ca="1">IFERROR(__xludf.DUMMYFUNCTION("""COMPUTED_VALUE"""),"#REF!")</f>
        <v>#REF!</v>
      </c>
      <c r="AH6" s="106" t="str">
        <f ca="1">IFERROR(__xludf.DUMMYFUNCTION("""COMPUTED_VALUE"""),"#REF!")</f>
        <v>#REF!</v>
      </c>
      <c r="AI6" s="106" t="str">
        <f ca="1">IFERROR(__xludf.DUMMYFUNCTION("""COMPUTED_VALUE"""),"#REF!")</f>
        <v>#REF!</v>
      </c>
      <c r="AJ6" s="106" t="str">
        <f ca="1">IFERROR(__xludf.DUMMYFUNCTION("""COMPUTED_VALUE"""),"#REF!")</f>
        <v>#REF!</v>
      </c>
      <c r="AK6" s="106"/>
      <c r="AL6" s="111"/>
    </row>
    <row r="7" spans="1:38" ht="12.75">
      <c r="A7" s="112" t="str">
        <f ca="1">IFERROR(__xludf.DUMMYFUNCTION("""COMPUTED_VALUE"""),"17052050")</f>
        <v>17052050</v>
      </c>
      <c r="B7" s="113" t="str">
        <f ca="1">IFERROR(__xludf.DUMMYFUNCTION("""COMPUTED_VALUE"""),"Araguaina")</f>
        <v>Araguaina</v>
      </c>
      <c r="C7" s="113" t="str">
        <f ca="1">IFERROR(__xludf.DUMMYFUNCTION("""COMPUTED_VALUE"""),"Ananas")</f>
        <v>Ananas</v>
      </c>
      <c r="D7" s="114" t="str">
        <f ca="1">IFERROR(__xludf.DUMMYFUNCTION("""COMPUTED_VALUE"""),"ASSOC. DE APOIO DO CENTRO DE ENSINO MÉDIO CABO APARICIO ARAÚJO PAZ")</f>
        <v>ASSOC. DE APOIO DO CENTRO DE ENSINO MÉDIO CABO APARICIO ARAÚJO PAZ</v>
      </c>
      <c r="E7" s="113" t="str">
        <f ca="1">IFERROR(__xludf.DUMMYFUNCTION("""COMPUTED_VALUE"""),"Centro de Ensino Médio Cabo Aparicio Araujo Paz")</f>
        <v>Centro de Ensino Médio Cabo Aparicio Araujo Paz</v>
      </c>
      <c r="F7" s="115" t="str">
        <f ca="1">IFERROR(__xludf.DUMMYFUNCTION("""COMPUTED_VALUE"""),"17052050")</f>
        <v>17052050</v>
      </c>
      <c r="G7" s="113" t="str">
        <f ca="1">IFERROR(__xludf.DUMMYFUNCTION("""COMPUTED_VALUE"""),"05537116000188")</f>
        <v>05537116000188</v>
      </c>
      <c r="H7" s="115" t="str">
        <f ca="1">IFERROR(__xludf.DUMMYFUNCTION("""COMPUTED_VALUE"""),"001")</f>
        <v>001</v>
      </c>
      <c r="I7" s="115" t="str">
        <f ca="1">IFERROR(__xludf.DUMMYFUNCTION("""COMPUTED_VALUE"""),"3973")</f>
        <v>3973</v>
      </c>
      <c r="J7" s="115" t="str">
        <f ca="1">IFERROR(__xludf.DUMMYFUNCTION("""COMPUTED_VALUE"""),"114510")</f>
        <v>114510</v>
      </c>
      <c r="K7" s="113" t="e">
        <f ca="1"/>
        <v>#REF!</v>
      </c>
      <c r="L7" s="113" t="e">
        <f ca="1"/>
        <v>#REF!</v>
      </c>
      <c r="M7" s="113" t="e">
        <f ca="1"/>
        <v>#REF!</v>
      </c>
      <c r="N7" s="113" t="e">
        <f ca="1"/>
        <v>#REF!</v>
      </c>
      <c r="O7" s="113" t="e">
        <f ca="1"/>
        <v>#REF!</v>
      </c>
      <c r="P7" s="113" t="e">
        <f ca="1"/>
        <v>#REF!</v>
      </c>
      <c r="Q7" s="113" t="e">
        <f ca="1"/>
        <v>#REF!</v>
      </c>
      <c r="R7" s="113" t="e">
        <f ca="1"/>
        <v>#REF!</v>
      </c>
      <c r="S7" s="113" t="e">
        <f ca="1"/>
        <v>#REF!</v>
      </c>
      <c r="T7" s="113" t="e">
        <f ca="1"/>
        <v>#REF!</v>
      </c>
      <c r="U7" s="113" t="e">
        <f ca="1"/>
        <v>#REF!</v>
      </c>
      <c r="V7" s="113" t="e">
        <f ca="1"/>
        <v>#REF!</v>
      </c>
      <c r="W7" s="113" t="e">
        <f ca="1"/>
        <v>#REF!</v>
      </c>
      <c r="X7" s="113" t="e">
        <f ca="1"/>
        <v>#REF!</v>
      </c>
      <c r="Y7" s="113" t="e">
        <f ca="1"/>
        <v>#REF!</v>
      </c>
      <c r="Z7" s="113" t="e">
        <f ca="1"/>
        <v>#REF!</v>
      </c>
      <c r="AA7" s="113"/>
      <c r="AB7" s="113"/>
      <c r="AC7" s="113"/>
      <c r="AD7" s="113"/>
      <c r="AE7" s="113" t="str">
        <f ca="1">IFERROR(__xludf.DUMMYFUNCTION("""COMPUTED_VALUE"""),"Parcial")</f>
        <v>Parcial</v>
      </c>
      <c r="AF7" s="113" t="str">
        <f ca="1">IFERROR(__xludf.DUMMYFUNCTION("""COMPUTED_VALUE"""),"FE")</f>
        <v>FE</v>
      </c>
      <c r="AG7" s="113"/>
      <c r="AH7" s="113"/>
      <c r="AI7" s="113"/>
      <c r="AJ7" s="113"/>
      <c r="AK7" s="113"/>
      <c r="AL7" s="116"/>
    </row>
    <row r="8" spans="1:38" ht="12.75">
      <c r="A8" s="112" t="str">
        <f ca="1">IFERROR(__xludf.DUMMYFUNCTION("""COMPUTED_VALUE"""),"17000017")</f>
        <v>17000017</v>
      </c>
      <c r="B8" s="113" t="str">
        <f ca="1">IFERROR(__xludf.DUMMYFUNCTION("""COMPUTED_VALUE"""),"Araguaina")</f>
        <v>Araguaina</v>
      </c>
      <c r="C8" s="113" t="str">
        <f ca="1">IFERROR(__xludf.DUMMYFUNCTION("""COMPUTED_VALUE"""),"Ananas")</f>
        <v>Ananas</v>
      </c>
      <c r="D8" s="114" t="str">
        <f ca="1">IFERROR(__xludf.DUMMYFUNCTION("""COMPUTED_VALUE"""),"ASS. APOIO COL. EST. GETULIO VARGAS")</f>
        <v>ASS. APOIO COL. EST. GETULIO VARGAS</v>
      </c>
      <c r="E8" s="113" t="str">
        <f ca="1">IFERROR(__xludf.DUMMYFUNCTION("""COMPUTED_VALUE"""),"Colégio Estadual Getúlio Vargas")</f>
        <v>Colégio Estadual Getúlio Vargas</v>
      </c>
      <c r="F8" s="115" t="str">
        <f ca="1">IFERROR(__xludf.DUMMYFUNCTION("""COMPUTED_VALUE"""),"17000017")</f>
        <v>17000017</v>
      </c>
      <c r="G8" s="113" t="str">
        <f ca="1">IFERROR(__xludf.DUMMYFUNCTION("""COMPUTED_VALUE"""),"01296368000101")</f>
        <v>01296368000101</v>
      </c>
      <c r="H8" s="115" t="str">
        <f ca="1">IFERROR(__xludf.DUMMYFUNCTION("""COMPUTED_VALUE"""),"001")</f>
        <v>001</v>
      </c>
      <c r="I8" s="115" t="str">
        <f ca="1">IFERROR(__xludf.DUMMYFUNCTION("""COMPUTED_VALUE"""),"3973")</f>
        <v>3973</v>
      </c>
      <c r="J8" s="115" t="str">
        <f ca="1">IFERROR(__xludf.DUMMYFUNCTION("""COMPUTED_VALUE"""),"55778")</f>
        <v>55778</v>
      </c>
      <c r="K8" s="113" t="e">
        <f ca="1"/>
        <v>#REF!</v>
      </c>
      <c r="L8" s="113" t="e">
        <f ca="1"/>
        <v>#REF!</v>
      </c>
      <c r="M8" s="113" t="e">
        <f ca="1"/>
        <v>#REF!</v>
      </c>
      <c r="N8" s="113" t="e">
        <f ca="1"/>
        <v>#REF!</v>
      </c>
      <c r="O8" s="113" t="e">
        <f ca="1"/>
        <v>#REF!</v>
      </c>
      <c r="P8" s="113" t="e">
        <f ca="1"/>
        <v>#REF!</v>
      </c>
      <c r="Q8" s="113" t="e">
        <f ca="1"/>
        <v>#REF!</v>
      </c>
      <c r="R8" s="113" t="e">
        <f ca="1"/>
        <v>#REF!</v>
      </c>
      <c r="S8" s="113" t="e">
        <f ca="1"/>
        <v>#REF!</v>
      </c>
      <c r="T8" s="113" t="e">
        <f ca="1"/>
        <v>#REF!</v>
      </c>
      <c r="U8" s="113" t="e">
        <f ca="1"/>
        <v>#REF!</v>
      </c>
      <c r="V8" s="113" t="e">
        <f ca="1"/>
        <v>#REF!</v>
      </c>
      <c r="W8" s="113" t="e">
        <f ca="1"/>
        <v>#REF!</v>
      </c>
      <c r="X8" s="113" t="e">
        <f ca="1"/>
        <v>#REF!</v>
      </c>
      <c r="Y8" s="113" t="e">
        <f ca="1"/>
        <v>#REF!</v>
      </c>
      <c r="Z8" s="113" t="e">
        <f ca="1"/>
        <v>#REF!</v>
      </c>
      <c r="AA8" s="113"/>
      <c r="AB8" s="113"/>
      <c r="AC8" s="113"/>
      <c r="AD8" s="113"/>
      <c r="AE8" s="113" t="str">
        <f ca="1">IFERROR(__xludf.DUMMYFUNCTION("""COMPUTED_VALUE"""),"Parcial")</f>
        <v>Parcial</v>
      </c>
      <c r="AF8" s="113" t="str">
        <f ca="1">IFERROR(__xludf.DUMMYFUNCTION("""COMPUTED_VALUE"""),"FE")</f>
        <v>FE</v>
      </c>
      <c r="AG8" s="113">
        <f ca="1">IFERROR(__xludf.DUMMYFUNCTION("""COMPUTED_VALUE"""),0)</f>
        <v>0</v>
      </c>
      <c r="AH8" s="113">
        <f ca="1">IFERROR(__xludf.DUMMYFUNCTION("""COMPUTED_VALUE"""),0)</f>
        <v>0</v>
      </c>
      <c r="AI8" s="113">
        <f ca="1">IFERROR(__xludf.DUMMYFUNCTION("""COMPUTED_VALUE"""),0)</f>
        <v>0</v>
      </c>
      <c r="AJ8" s="113">
        <f ca="1">IFERROR(__xludf.DUMMYFUNCTION("""COMPUTED_VALUE"""),0)</f>
        <v>0</v>
      </c>
      <c r="AK8" s="113"/>
      <c r="AL8" s="116"/>
    </row>
    <row r="9" spans="1:38" ht="12.75">
      <c r="A9" s="112" t="str">
        <f ca="1">IFERROR(__xludf.DUMMYFUNCTION("""COMPUTED_VALUE"""),"17000041")</f>
        <v>17000041</v>
      </c>
      <c r="B9" s="113" t="str">
        <f ca="1">IFERROR(__xludf.DUMMYFUNCTION("""COMPUTED_VALUE"""),"Araguaina")</f>
        <v>Araguaina</v>
      </c>
      <c r="C9" s="113" t="str">
        <f ca="1">IFERROR(__xludf.DUMMYFUNCTION("""COMPUTED_VALUE"""),"Ananas")</f>
        <v>Ananas</v>
      </c>
      <c r="D9" s="114" t="str">
        <f ca="1">IFERROR(__xludf.DUMMYFUNCTION("""COMPUTED_VALUE"""),"A.A. ESC. EST. PRES. COSTA E SILVA")</f>
        <v>A.A. ESC. EST. PRES. COSTA E SILVA</v>
      </c>
      <c r="E9" s="113" t="str">
        <f ca="1">IFERROR(__xludf.DUMMYFUNCTION("""COMPUTED_VALUE"""),"Escola Estadual Presidente Costa e Silva")</f>
        <v>Escola Estadual Presidente Costa e Silva</v>
      </c>
      <c r="F9" s="115" t="str">
        <f ca="1">IFERROR(__xludf.DUMMYFUNCTION("""COMPUTED_VALUE"""),"17000041")</f>
        <v>17000041</v>
      </c>
      <c r="G9" s="113" t="str">
        <f ca="1">IFERROR(__xludf.DUMMYFUNCTION("""COMPUTED_VALUE"""),"02026325000179")</f>
        <v>02026325000179</v>
      </c>
      <c r="H9" s="115" t="str">
        <f ca="1">IFERROR(__xludf.DUMMYFUNCTION("""COMPUTED_VALUE"""),"001")</f>
        <v>001</v>
      </c>
      <c r="I9" s="115" t="str">
        <f ca="1">IFERROR(__xludf.DUMMYFUNCTION("""COMPUTED_VALUE"""),"3973")</f>
        <v>3973</v>
      </c>
      <c r="J9" s="115" t="str">
        <f ca="1">IFERROR(__xludf.DUMMYFUNCTION("""COMPUTED_VALUE"""),"55786")</f>
        <v>55786</v>
      </c>
      <c r="K9" s="113" t="e">
        <f ca="1"/>
        <v>#REF!</v>
      </c>
      <c r="L9" s="113" t="e">
        <f ca="1"/>
        <v>#REF!</v>
      </c>
      <c r="M9" s="113" t="e">
        <f ca="1"/>
        <v>#REF!</v>
      </c>
      <c r="N9" s="113" t="e">
        <f ca="1"/>
        <v>#REF!</v>
      </c>
      <c r="O9" s="113" t="e">
        <f ca="1"/>
        <v>#REF!</v>
      </c>
      <c r="P9" s="113" t="e">
        <f ca="1"/>
        <v>#REF!</v>
      </c>
      <c r="Q9" s="113" t="e">
        <f ca="1"/>
        <v>#REF!</v>
      </c>
      <c r="R9" s="113" t="e">
        <f ca="1"/>
        <v>#REF!</v>
      </c>
      <c r="S9" s="113" t="e">
        <f ca="1"/>
        <v>#REF!</v>
      </c>
      <c r="T9" s="113" t="e">
        <f ca="1"/>
        <v>#REF!</v>
      </c>
      <c r="U9" s="113" t="e">
        <f ca="1"/>
        <v>#REF!</v>
      </c>
      <c r="V9" s="113" t="e">
        <f ca="1"/>
        <v>#REF!</v>
      </c>
      <c r="W9" s="113" t="e">
        <f ca="1"/>
        <v>#REF!</v>
      </c>
      <c r="X9" s="113" t="e">
        <f ca="1"/>
        <v>#REF!</v>
      </c>
      <c r="Y9" s="113" t="e">
        <f ca="1"/>
        <v>#REF!</v>
      </c>
      <c r="Z9" s="113" t="e">
        <f ca="1"/>
        <v>#REF!</v>
      </c>
      <c r="AA9" s="113"/>
      <c r="AB9" s="113"/>
      <c r="AC9" s="113"/>
      <c r="AD9" s="113"/>
      <c r="AE9" s="113" t="str">
        <f ca="1">IFERROR(__xludf.DUMMYFUNCTION("""COMPUTED_VALUE"""),"Parcial")</f>
        <v>Parcial</v>
      </c>
      <c r="AF9" s="113" t="str">
        <f ca="1">IFERROR(__xludf.DUMMYFUNCTION("""COMPUTED_VALUE"""),"FE")</f>
        <v>FE</v>
      </c>
      <c r="AG9" s="113">
        <f ca="1">IFERROR(__xludf.DUMMYFUNCTION("""COMPUTED_VALUE"""),0)</f>
        <v>0</v>
      </c>
      <c r="AH9" s="113">
        <f ca="1">IFERROR(__xludf.DUMMYFUNCTION("""COMPUTED_VALUE"""),0)</f>
        <v>0</v>
      </c>
      <c r="AI9" s="113">
        <f ca="1">IFERROR(__xludf.DUMMYFUNCTION("""COMPUTED_VALUE"""),0)</f>
        <v>0</v>
      </c>
      <c r="AJ9" s="113">
        <f ca="1">IFERROR(__xludf.DUMMYFUNCTION("""COMPUTED_VALUE"""),0)</f>
        <v>0</v>
      </c>
      <c r="AK9" s="113"/>
      <c r="AL9" s="116"/>
    </row>
    <row r="10" spans="1:38" ht="12.75">
      <c r="A10" s="112" t="str">
        <f ca="1">IFERROR(__xludf.DUMMYFUNCTION("""COMPUTED_VALUE"""),"17000173")</f>
        <v>17000173</v>
      </c>
      <c r="B10" s="113" t="str">
        <f ca="1">IFERROR(__xludf.DUMMYFUNCTION("""COMPUTED_VALUE"""),"Araguaina")</f>
        <v>Araguaina</v>
      </c>
      <c r="C10" s="113" t="str">
        <f ca="1">IFERROR(__xludf.DUMMYFUNCTION("""COMPUTED_VALUE"""),"Ananas")</f>
        <v>Ananas</v>
      </c>
      <c r="D10" s="114" t="str">
        <f ca="1">IFERROR(__xludf.DUMMYFUNCTION("""COMPUTED_VALUE"""),"A.A. DA ESC.PAR.SAO PEDRO/CONVENIADA")</f>
        <v>A.A. DA ESC.PAR.SAO PEDRO/CONVENIADA</v>
      </c>
      <c r="E10" s="113" t="str">
        <f ca="1">IFERROR(__xludf.DUMMYFUNCTION("""COMPUTED_VALUE"""),"Escola Paroquial São Pedro - Conveniada")</f>
        <v>Escola Paroquial São Pedro - Conveniada</v>
      </c>
      <c r="F10" s="115" t="str">
        <f ca="1">IFERROR(__xludf.DUMMYFUNCTION("""COMPUTED_VALUE"""),"17000173")</f>
        <v>17000173</v>
      </c>
      <c r="G10" s="113" t="str">
        <f ca="1">IFERROR(__xludf.DUMMYFUNCTION("""COMPUTED_VALUE"""),"01911081000144")</f>
        <v>01911081000144</v>
      </c>
      <c r="H10" s="115" t="str">
        <f ca="1">IFERROR(__xludf.DUMMYFUNCTION("""COMPUTED_VALUE"""),"001")</f>
        <v>001</v>
      </c>
      <c r="I10" s="115" t="str">
        <f ca="1">IFERROR(__xludf.DUMMYFUNCTION("""COMPUTED_VALUE"""),"3973")</f>
        <v>3973</v>
      </c>
      <c r="J10" s="115" t="str">
        <f ca="1">IFERROR(__xludf.DUMMYFUNCTION("""COMPUTED_VALUE"""),"67350")</f>
        <v>67350</v>
      </c>
      <c r="K10" s="113" t="e">
        <f ca="1"/>
        <v>#REF!</v>
      </c>
      <c r="L10" s="113" t="e">
        <f ca="1"/>
        <v>#REF!</v>
      </c>
      <c r="M10" s="113" t="e">
        <f ca="1"/>
        <v>#REF!</v>
      </c>
      <c r="N10" s="113" t="e">
        <f ca="1"/>
        <v>#REF!</v>
      </c>
      <c r="O10" s="113" t="e">
        <f ca="1"/>
        <v>#REF!</v>
      </c>
      <c r="P10" s="113" t="e">
        <f ca="1"/>
        <v>#REF!</v>
      </c>
      <c r="Q10" s="113" t="e">
        <f ca="1"/>
        <v>#REF!</v>
      </c>
      <c r="R10" s="113" t="e">
        <f ca="1"/>
        <v>#REF!</v>
      </c>
      <c r="S10" s="113" t="e">
        <f ca="1"/>
        <v>#REF!</v>
      </c>
      <c r="T10" s="113" t="e">
        <f ca="1"/>
        <v>#REF!</v>
      </c>
      <c r="U10" s="113" t="e">
        <f ca="1"/>
        <v>#REF!</v>
      </c>
      <c r="V10" s="113" t="e">
        <f ca="1"/>
        <v>#REF!</v>
      </c>
      <c r="W10" s="113" t="e">
        <f ca="1"/>
        <v>#REF!</v>
      </c>
      <c r="X10" s="113" t="e">
        <f ca="1"/>
        <v>#REF!</v>
      </c>
      <c r="Y10" s="113" t="e">
        <f ca="1"/>
        <v>#REF!</v>
      </c>
      <c r="Z10" s="113" t="e">
        <f ca="1"/>
        <v>#REF!</v>
      </c>
      <c r="AA10" s="113"/>
      <c r="AB10" s="113"/>
      <c r="AC10" s="113"/>
      <c r="AD10" s="113"/>
      <c r="AE10" s="113" t="str">
        <f ca="1">IFERROR(__xludf.DUMMYFUNCTION("""COMPUTED_VALUE"""),"Parcial")</f>
        <v>Parcial</v>
      </c>
      <c r="AF10" s="113" t="str">
        <f ca="1">IFERROR(__xludf.DUMMYFUNCTION("""COMPUTED_VALUE"""),"FE")</f>
        <v>FE</v>
      </c>
      <c r="AG10" s="113">
        <f ca="1">IFERROR(__xludf.DUMMYFUNCTION("""COMPUTED_VALUE"""),0)</f>
        <v>0</v>
      </c>
      <c r="AH10" s="113">
        <f ca="1">IFERROR(__xludf.DUMMYFUNCTION("""COMPUTED_VALUE"""),0)</f>
        <v>0</v>
      </c>
      <c r="AI10" s="113">
        <f ca="1">IFERROR(__xludf.DUMMYFUNCTION("""COMPUTED_VALUE"""),0)</f>
        <v>0</v>
      </c>
      <c r="AJ10" s="113">
        <f ca="1">IFERROR(__xludf.DUMMYFUNCTION("""COMPUTED_VALUE"""),0)</f>
        <v>0</v>
      </c>
      <c r="AK10" s="113"/>
      <c r="AL10" s="116"/>
    </row>
    <row r="11" spans="1:38" ht="12.75">
      <c r="A11" s="112" t="str">
        <f ca="1">IFERROR(__xludf.DUMMYFUNCTION("""COMPUTED_VALUE"""),"17004918")</f>
        <v>17004918</v>
      </c>
      <c r="B11" s="113" t="str">
        <f ca="1">IFERROR(__xludf.DUMMYFUNCTION("""COMPUTED_VALUE"""),"Araguaina")</f>
        <v>Araguaina</v>
      </c>
      <c r="C11" s="113" t="str">
        <f ca="1">IFERROR(__xludf.DUMMYFUNCTION("""COMPUTED_VALUE"""),"Aragominas")</f>
        <v>Aragominas</v>
      </c>
      <c r="D11" s="114" t="str">
        <f ca="1">IFERROR(__xludf.DUMMYFUNCTION("""COMPUTED_VALUE"""),"ASSOCIAÇÃO DE APOIO DO COL. EST.GETULIO VARGAS")</f>
        <v>ASSOCIAÇÃO DE APOIO DO COL. EST.GETULIO VARGAS</v>
      </c>
      <c r="E11" s="113" t="str">
        <f ca="1">IFERROR(__xludf.DUMMYFUNCTION("""COMPUTED_VALUE"""),"Colégio Estadual Getúlio Vargas")</f>
        <v>Colégio Estadual Getúlio Vargas</v>
      </c>
      <c r="F11" s="115" t="str">
        <f ca="1">IFERROR(__xludf.DUMMYFUNCTION("""COMPUTED_VALUE"""),"17004918")</f>
        <v>17004918</v>
      </c>
      <c r="G11" s="113" t="str">
        <f ca="1">IFERROR(__xludf.DUMMYFUNCTION("""COMPUTED_VALUE"""),"01918914000107")</f>
        <v>01918914000107</v>
      </c>
      <c r="H11" s="115" t="str">
        <f ca="1">IFERROR(__xludf.DUMMYFUNCTION("""COMPUTED_VALUE"""),"001")</f>
        <v>001</v>
      </c>
      <c r="I11" s="115" t="str">
        <f ca="1">IFERROR(__xludf.DUMMYFUNCTION("""COMPUTED_VALUE"""),"0638")</f>
        <v>0638</v>
      </c>
      <c r="J11" s="115" t="str">
        <f ca="1">IFERROR(__xludf.DUMMYFUNCTION("""COMPUTED_VALUE"""),"83224")</f>
        <v>83224</v>
      </c>
      <c r="K11" s="113" t="e">
        <f ca="1"/>
        <v>#REF!</v>
      </c>
      <c r="L11" s="113" t="e">
        <f ca="1"/>
        <v>#REF!</v>
      </c>
      <c r="M11" s="113" t="e">
        <f ca="1"/>
        <v>#REF!</v>
      </c>
      <c r="N11" s="113" t="e">
        <f ca="1"/>
        <v>#REF!</v>
      </c>
      <c r="O11" s="113" t="e">
        <f ca="1"/>
        <v>#REF!</v>
      </c>
      <c r="P11" s="113" t="e">
        <f ca="1"/>
        <v>#REF!</v>
      </c>
      <c r="Q11" s="113" t="e">
        <f ca="1"/>
        <v>#REF!</v>
      </c>
      <c r="R11" s="113" t="e">
        <f ca="1"/>
        <v>#REF!</v>
      </c>
      <c r="S11" s="113" t="e">
        <f ca="1"/>
        <v>#REF!</v>
      </c>
      <c r="T11" s="113" t="e">
        <f ca="1"/>
        <v>#REF!</v>
      </c>
      <c r="U11" s="113" t="e">
        <f ca="1"/>
        <v>#REF!</v>
      </c>
      <c r="V11" s="113" t="e">
        <f ca="1"/>
        <v>#REF!</v>
      </c>
      <c r="W11" s="113" t="e">
        <f ca="1"/>
        <v>#REF!</v>
      </c>
      <c r="X11" s="113" t="e">
        <f ca="1"/>
        <v>#REF!</v>
      </c>
      <c r="Y11" s="113" t="e">
        <f ca="1"/>
        <v>#REF!</v>
      </c>
      <c r="Z11" s="113" t="e">
        <f ca="1"/>
        <v>#REF!</v>
      </c>
      <c r="AA11" s="113"/>
      <c r="AB11" s="113"/>
      <c r="AC11" s="113"/>
      <c r="AD11" s="113"/>
      <c r="AE11" s="113" t="str">
        <f ca="1">IFERROR(__xludf.DUMMYFUNCTION("""COMPUTED_VALUE"""),"Parcial")</f>
        <v>Parcial</v>
      </c>
      <c r="AF11" s="113" t="str">
        <f ca="1">IFERROR(__xludf.DUMMYFUNCTION("""COMPUTED_VALUE"""),"FE")</f>
        <v>FE</v>
      </c>
      <c r="AG11" s="113">
        <f ca="1">IFERROR(__xludf.DUMMYFUNCTION("""COMPUTED_VALUE"""),0)</f>
        <v>0</v>
      </c>
      <c r="AH11" s="113">
        <f ca="1">IFERROR(__xludf.DUMMYFUNCTION("""COMPUTED_VALUE"""),0)</f>
        <v>0</v>
      </c>
      <c r="AI11" s="113">
        <f ca="1">IFERROR(__xludf.DUMMYFUNCTION("""COMPUTED_VALUE"""),0)</f>
        <v>0</v>
      </c>
      <c r="AJ11" s="113">
        <f ca="1">IFERROR(__xludf.DUMMYFUNCTION("""COMPUTED_VALUE"""),0)</f>
        <v>0</v>
      </c>
      <c r="AK11" s="113"/>
      <c r="AL11" s="116"/>
    </row>
    <row r="12" spans="1:38" ht="12.75">
      <c r="A12" s="112" t="str">
        <f ca="1">IFERROR(__xludf.DUMMYFUNCTION("""COMPUTED_VALUE"""),"17056691")</f>
        <v>17056691</v>
      </c>
      <c r="B12" s="113" t="str">
        <f ca="1">IFERROR(__xludf.DUMMYFUNCTION("""COMPUTED_VALUE"""),"Araguaina")</f>
        <v>Araguaina</v>
      </c>
      <c r="C12" s="113" t="str">
        <f ca="1">IFERROR(__xludf.DUMMYFUNCTION("""COMPUTED_VALUE"""),"Aragominas")</f>
        <v>Aragominas</v>
      </c>
      <c r="D12" s="114" t="str">
        <f ca="1">IFERROR(__xludf.DUMMYFUNCTION("""COMPUTED_VALUE"""),"A.A.DA ESCOLA EST. JOSÉ DOMINGOS CARVALHO BARBOSA")</f>
        <v>A.A.DA ESCOLA EST. JOSÉ DOMINGOS CARVALHO BARBOSA</v>
      </c>
      <c r="E12" s="113" t="str">
        <f ca="1">IFERROR(__xludf.DUMMYFUNCTION("""COMPUTED_VALUE"""),"A.A.da Escola Estadual José Domingos Carvalho Barbosa")</f>
        <v>A.A.da Escola Estadual José Domingos Carvalho Barbosa</v>
      </c>
      <c r="F12" s="115" t="str">
        <f ca="1">IFERROR(__xludf.DUMMYFUNCTION("""COMPUTED_VALUE"""),"17056691")</f>
        <v>17056691</v>
      </c>
      <c r="G12" s="113" t="str">
        <f ca="1">IFERROR(__xludf.DUMMYFUNCTION("""COMPUTED_VALUE"""),"43927472000105")</f>
        <v>43927472000105</v>
      </c>
      <c r="H12" s="115" t="str">
        <f ca="1">IFERROR(__xludf.DUMMYFUNCTION("""COMPUTED_VALUE"""),"001")</f>
        <v>001</v>
      </c>
      <c r="I12" s="115" t="str">
        <f ca="1">IFERROR(__xludf.DUMMYFUNCTION("""COMPUTED_VALUE"""),"0638")</f>
        <v>0638</v>
      </c>
      <c r="J12" s="115" t="str">
        <f ca="1">IFERROR(__xludf.DUMMYFUNCTION("""COMPUTED_VALUE"""),"1098985")</f>
        <v>1098985</v>
      </c>
      <c r="K12" s="113" t="e">
        <f ca="1"/>
        <v>#REF!</v>
      </c>
      <c r="L12" s="113" t="e">
        <f ca="1"/>
        <v>#REF!</v>
      </c>
      <c r="M12" s="113" t="e">
        <f ca="1"/>
        <v>#REF!</v>
      </c>
      <c r="N12" s="113" t="e">
        <f ca="1"/>
        <v>#REF!</v>
      </c>
      <c r="O12" s="113" t="e">
        <f ca="1"/>
        <v>#REF!</v>
      </c>
      <c r="P12" s="113" t="e">
        <f ca="1"/>
        <v>#REF!</v>
      </c>
      <c r="Q12" s="113" t="e">
        <f ca="1"/>
        <v>#REF!</v>
      </c>
      <c r="R12" s="113" t="e">
        <f ca="1"/>
        <v>#REF!</v>
      </c>
      <c r="S12" s="113" t="e">
        <f ca="1"/>
        <v>#REF!</v>
      </c>
      <c r="T12" s="113" t="e">
        <f ca="1"/>
        <v>#REF!</v>
      </c>
      <c r="U12" s="117" t="e">
        <f ca="1"/>
        <v>#REF!</v>
      </c>
      <c r="V12" s="113" t="e">
        <f ca="1"/>
        <v>#REF!</v>
      </c>
      <c r="W12" s="113" t="e">
        <f ca="1"/>
        <v>#REF!</v>
      </c>
      <c r="X12" s="113" t="e">
        <f ca="1"/>
        <v>#REF!</v>
      </c>
      <c r="Y12" s="113" t="e">
        <f ca="1"/>
        <v>#REF!</v>
      </c>
      <c r="Z12" s="113" t="e">
        <f ca="1"/>
        <v>#REF!</v>
      </c>
      <c r="AA12" s="113"/>
      <c r="AB12" s="113"/>
      <c r="AC12" s="113"/>
      <c r="AD12" s="113"/>
      <c r="AE12" s="113" t="str">
        <f ca="1">IFERROR(__xludf.DUMMYFUNCTION("""COMPUTED_VALUE"""),"Parcial")</f>
        <v>Parcial</v>
      </c>
      <c r="AF12" s="113" t="str">
        <f ca="1">IFERROR(__xludf.DUMMYFUNCTION("""COMPUTED_VALUE"""),"FE")</f>
        <v>FE</v>
      </c>
      <c r="AG12" s="113">
        <f ca="1">IFERROR(__xludf.DUMMYFUNCTION("""COMPUTED_VALUE"""),0)</f>
        <v>0</v>
      </c>
      <c r="AH12" s="113">
        <f ca="1">IFERROR(__xludf.DUMMYFUNCTION("""COMPUTED_VALUE"""),0)</f>
        <v>0</v>
      </c>
      <c r="AI12" s="113">
        <f ca="1">IFERROR(__xludf.DUMMYFUNCTION("""COMPUTED_VALUE"""),0)</f>
        <v>0</v>
      </c>
      <c r="AJ12" s="113">
        <f ca="1">IFERROR(__xludf.DUMMYFUNCTION("""COMPUTED_VALUE"""),0)</f>
        <v>0</v>
      </c>
      <c r="AK12" s="113"/>
      <c r="AL12" s="116"/>
    </row>
    <row r="13" spans="1:38" ht="12.75">
      <c r="A13" s="112" t="str">
        <f ca="1">IFERROR(__xludf.DUMMYFUNCTION("""COMPUTED_VALUE"""),"17120802")</f>
        <v>17120802</v>
      </c>
      <c r="B13" s="113" t="str">
        <f ca="1">IFERROR(__xludf.DUMMYFUNCTION("""COMPUTED_VALUE"""),"Araguaina")</f>
        <v>Araguaina</v>
      </c>
      <c r="C13" s="113" t="str">
        <f ca="1">IFERROR(__xludf.DUMMYFUNCTION("""COMPUTED_VALUE"""),"Araguaina")</f>
        <v>Araguaina</v>
      </c>
      <c r="D13" s="114" t="str">
        <f ca="1">IFERROR(__xludf.DUMMYFUNCTION("""COMPUTED_VALUE"""),"A.A. DAS ESCOLAS ISOLADAS E REUNIDAS DA DRE ARAGUAINA")</f>
        <v>A.A. DAS ESCOLAS ISOLADAS E REUNIDAS DA DRE ARAGUAINA</v>
      </c>
      <c r="E13" s="113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5" t="str">
        <f ca="1">IFERROR(__xludf.DUMMYFUNCTION("""COMPUTED_VALUE"""),"17120802")</f>
        <v>17120802</v>
      </c>
      <c r="G13" s="113" t="str">
        <f ca="1">IFERROR(__xludf.DUMMYFUNCTION("""COMPUTED_VALUE"""),"02629601000193")</f>
        <v>02629601000193</v>
      </c>
      <c r="H13" s="115" t="str">
        <f ca="1">IFERROR(__xludf.DUMMYFUNCTION("""COMPUTED_VALUE"""),"001")</f>
        <v>001</v>
      </c>
      <c r="I13" s="115" t="str">
        <f ca="1">IFERROR(__xludf.DUMMYFUNCTION("""COMPUTED_VALUE"""),"0638")</f>
        <v>0638</v>
      </c>
      <c r="J13" s="115" t="str">
        <f ca="1">IFERROR(__xludf.DUMMYFUNCTION("""COMPUTED_VALUE"""),"352403")</f>
        <v>352403</v>
      </c>
      <c r="K13" s="113" t="e">
        <f ca="1"/>
        <v>#REF!</v>
      </c>
      <c r="L13" s="113" t="e">
        <f ca="1"/>
        <v>#REF!</v>
      </c>
      <c r="M13" s="113" t="e">
        <f ca="1"/>
        <v>#REF!</v>
      </c>
      <c r="N13" s="113" t="e">
        <f ca="1"/>
        <v>#REF!</v>
      </c>
      <c r="O13" s="113" t="e">
        <f ca="1"/>
        <v>#REF!</v>
      </c>
      <c r="P13" s="113" t="e">
        <f ca="1"/>
        <v>#REF!</v>
      </c>
      <c r="Q13" s="113" t="e">
        <f ca="1"/>
        <v>#REF!</v>
      </c>
      <c r="R13" s="113" t="e">
        <f ca="1"/>
        <v>#REF!</v>
      </c>
      <c r="S13" s="113" t="e">
        <f ca="1"/>
        <v>#REF!</v>
      </c>
      <c r="T13" s="113" t="e">
        <f ca="1"/>
        <v>#REF!</v>
      </c>
      <c r="U13" s="113" t="e">
        <f ca="1"/>
        <v>#REF!</v>
      </c>
      <c r="V13" s="113" t="e">
        <f ca="1"/>
        <v>#REF!</v>
      </c>
      <c r="W13" s="113" t="e">
        <f ca="1"/>
        <v>#REF!</v>
      </c>
      <c r="X13" s="113" t="e">
        <f ca="1"/>
        <v>#REF!</v>
      </c>
      <c r="Y13" s="113" t="e">
        <f ca="1"/>
        <v>#REF!</v>
      </c>
      <c r="Z13" s="113" t="e">
        <f ca="1"/>
        <v>#REF!</v>
      </c>
      <c r="AA13" s="113"/>
      <c r="AB13" s="113"/>
      <c r="AC13" s="113"/>
      <c r="AD13" s="113"/>
      <c r="AE13" s="113" t="str">
        <f ca="1">IFERROR(__xludf.DUMMYFUNCTION("""COMPUTED_VALUE"""),"Parcial")</f>
        <v>Parcial</v>
      </c>
      <c r="AF13" s="113" t="str">
        <f ca="1">IFERROR(__xludf.DUMMYFUNCTION("""COMPUTED_VALUE"""),"FE")</f>
        <v>FE</v>
      </c>
      <c r="AG13" s="113">
        <f ca="1">IFERROR(__xludf.DUMMYFUNCTION("""COMPUTED_VALUE"""),0)</f>
        <v>0</v>
      </c>
      <c r="AH13" s="113">
        <f ca="1">IFERROR(__xludf.DUMMYFUNCTION("""COMPUTED_VALUE"""),0)</f>
        <v>0</v>
      </c>
      <c r="AI13" s="113">
        <f ca="1">IFERROR(__xludf.DUMMYFUNCTION("""COMPUTED_VALUE"""),0)</f>
        <v>0</v>
      </c>
      <c r="AJ13" s="113">
        <f ca="1">IFERROR(__xludf.DUMMYFUNCTION("""COMPUTED_VALUE"""),0)</f>
        <v>0</v>
      </c>
      <c r="AK13" s="113"/>
      <c r="AL13" s="116"/>
    </row>
    <row r="14" spans="1:38" ht="12.75">
      <c r="A14" s="112" t="str">
        <f ca="1">IFERROR(__xludf.DUMMYFUNCTION("""COMPUTED_VALUE"""),"17039878")</f>
        <v>17039878</v>
      </c>
      <c r="B14" s="113" t="str">
        <f ca="1">IFERROR(__xludf.DUMMYFUNCTION("""COMPUTED_VALUE"""),"Araguaina")</f>
        <v>Araguaina</v>
      </c>
      <c r="C14" s="113" t="str">
        <f ca="1">IFERROR(__xludf.DUMMYFUNCTION("""COMPUTED_VALUE"""),"Araguaina")</f>
        <v>Araguaina</v>
      </c>
      <c r="D14" s="114" t="str">
        <f ca="1">IFERROR(__xludf.DUMMYFUNCTION("""COMPUTED_VALUE"""),"A.A. DO CAIC JORGE HUMBERTO CAMARGO")</f>
        <v>A.A. DO CAIC JORGE HUMBERTO CAMARGO</v>
      </c>
      <c r="E14" s="113" t="str">
        <f ca="1">IFERROR(__xludf.DUMMYFUNCTION("""COMPUTED_VALUE"""),"Caic - Jorge Humberto Camargo")</f>
        <v>Caic - Jorge Humberto Camargo</v>
      </c>
      <c r="F14" s="115" t="str">
        <f ca="1">IFERROR(__xludf.DUMMYFUNCTION("""COMPUTED_VALUE"""),"17039878")</f>
        <v>17039878</v>
      </c>
      <c r="G14" s="113" t="str">
        <f ca="1">IFERROR(__xludf.DUMMYFUNCTION("""COMPUTED_VALUE"""),"01071395000186")</f>
        <v>01071395000186</v>
      </c>
      <c r="H14" s="115" t="str">
        <f ca="1">IFERROR(__xludf.DUMMYFUNCTION("""COMPUTED_VALUE"""),"001")</f>
        <v>001</v>
      </c>
      <c r="I14" s="115" t="str">
        <f ca="1">IFERROR(__xludf.DUMMYFUNCTION("""COMPUTED_VALUE"""),"0638")</f>
        <v>0638</v>
      </c>
      <c r="J14" s="115" t="str">
        <f ca="1">IFERROR(__xludf.DUMMYFUNCTION("""COMPUTED_VALUE"""),"55099X")</f>
        <v>55099X</v>
      </c>
      <c r="K14" s="113" t="e">
        <f ca="1"/>
        <v>#REF!</v>
      </c>
      <c r="L14" s="113" t="e">
        <f ca="1"/>
        <v>#REF!</v>
      </c>
      <c r="M14" s="113" t="e">
        <f ca="1"/>
        <v>#REF!</v>
      </c>
      <c r="N14" s="113" t="e">
        <f ca="1"/>
        <v>#REF!</v>
      </c>
      <c r="O14" s="113" t="e">
        <f ca="1"/>
        <v>#REF!</v>
      </c>
      <c r="P14" s="113" t="e">
        <f ca="1"/>
        <v>#REF!</v>
      </c>
      <c r="Q14" s="113" t="e">
        <f ca="1"/>
        <v>#REF!</v>
      </c>
      <c r="R14" s="113" t="e">
        <f ca="1"/>
        <v>#REF!</v>
      </c>
      <c r="S14" s="113" t="e">
        <f ca="1"/>
        <v>#REF!</v>
      </c>
      <c r="T14" s="113" t="e">
        <f ca="1"/>
        <v>#REF!</v>
      </c>
      <c r="U14" s="113" t="e">
        <f ca="1"/>
        <v>#REF!</v>
      </c>
      <c r="V14" s="113" t="e">
        <f ca="1"/>
        <v>#REF!</v>
      </c>
      <c r="W14" s="113" t="e">
        <f ca="1"/>
        <v>#REF!</v>
      </c>
      <c r="X14" s="113" t="e">
        <f ca="1"/>
        <v>#REF!</v>
      </c>
      <c r="Y14" s="113" t="e">
        <f ca="1"/>
        <v>#REF!</v>
      </c>
      <c r="Z14" s="113" t="e">
        <f ca="1"/>
        <v>#REF!</v>
      </c>
      <c r="AA14" s="113"/>
      <c r="AB14" s="113"/>
      <c r="AC14" s="113"/>
      <c r="AD14" s="113"/>
      <c r="AE14" s="113" t="str">
        <f ca="1">IFERROR(__xludf.DUMMYFUNCTION("""COMPUTED_VALUE"""),"Parcial")</f>
        <v>Parcial</v>
      </c>
      <c r="AF14" s="113" t="str">
        <f ca="1">IFERROR(__xludf.DUMMYFUNCTION("""COMPUTED_VALUE"""),"FE")</f>
        <v>FE</v>
      </c>
      <c r="AG14" s="113">
        <f ca="1">IFERROR(__xludf.DUMMYFUNCTION("""COMPUTED_VALUE"""),0)</f>
        <v>0</v>
      </c>
      <c r="AH14" s="113">
        <f ca="1">IFERROR(__xludf.DUMMYFUNCTION("""COMPUTED_VALUE"""),0)</f>
        <v>0</v>
      </c>
      <c r="AI14" s="113">
        <f ca="1">IFERROR(__xludf.DUMMYFUNCTION("""COMPUTED_VALUE"""),0)</f>
        <v>0</v>
      </c>
      <c r="AJ14" s="113">
        <f ca="1">IFERROR(__xludf.DUMMYFUNCTION("""COMPUTED_VALUE"""),90)</f>
        <v>90</v>
      </c>
      <c r="AK14" s="113"/>
      <c r="AL14" s="116"/>
    </row>
    <row r="15" spans="1:38" ht="12.75">
      <c r="A15" s="112" t="str">
        <f ca="1">IFERROR(__xludf.DUMMYFUNCTION("""COMPUTED_VALUE"""),"17004985")</f>
        <v>17004985</v>
      </c>
      <c r="B15" s="113" t="str">
        <f ca="1">IFERROR(__xludf.DUMMYFUNCTION("""COMPUTED_VALUE"""),"Araguaina")</f>
        <v>Araguaina</v>
      </c>
      <c r="C15" s="113" t="str">
        <f ca="1">IFERROR(__xludf.DUMMYFUNCTION("""COMPUTED_VALUE"""),"Araguaina")</f>
        <v>Araguaina</v>
      </c>
      <c r="D15" s="114" t="str">
        <f ca="1">IFERROR(__xludf.DUMMYFUNCTION("""COMPUTED_VALUE"""),"ASSOC. A. COL. EST. BENJAMIM JOSÉ DE ALMEIDA")</f>
        <v>ASSOC. A. COL. EST. BENJAMIM JOSÉ DE ALMEIDA</v>
      </c>
      <c r="E15" s="113" t="str">
        <f ca="1">IFERROR(__xludf.DUMMYFUNCTION("""COMPUTED_VALUE"""),"Centro de Ensino Médio Benjamim José de Almeida")</f>
        <v>Centro de Ensino Médio Benjamim José de Almeida</v>
      </c>
      <c r="F15" s="115" t="str">
        <f ca="1">IFERROR(__xludf.DUMMYFUNCTION("""COMPUTED_VALUE"""),"17004985")</f>
        <v>17004985</v>
      </c>
      <c r="G15" s="113" t="str">
        <f ca="1">IFERROR(__xludf.DUMMYFUNCTION("""COMPUTED_VALUE"""),"01136023000190")</f>
        <v>01136023000190</v>
      </c>
      <c r="H15" s="115" t="str">
        <f ca="1">IFERROR(__xludf.DUMMYFUNCTION("""COMPUTED_VALUE"""),"001")</f>
        <v>001</v>
      </c>
      <c r="I15" s="115" t="str">
        <f ca="1">IFERROR(__xludf.DUMMYFUNCTION("""COMPUTED_VALUE"""),"0638")</f>
        <v>0638</v>
      </c>
      <c r="J15" s="115" t="str">
        <f ca="1">IFERROR(__xludf.DUMMYFUNCTION("""COMPUTED_VALUE"""),"55149X")</f>
        <v>55149X</v>
      </c>
      <c r="K15" s="113" t="e">
        <f ca="1"/>
        <v>#REF!</v>
      </c>
      <c r="L15" s="113" t="e">
        <f ca="1"/>
        <v>#REF!</v>
      </c>
      <c r="M15" s="113" t="e">
        <f ca="1"/>
        <v>#REF!</v>
      </c>
      <c r="N15" s="113" t="e">
        <f ca="1"/>
        <v>#REF!</v>
      </c>
      <c r="O15" s="113" t="e">
        <f ca="1"/>
        <v>#REF!</v>
      </c>
      <c r="P15" s="113" t="e">
        <f ca="1"/>
        <v>#REF!</v>
      </c>
      <c r="Q15" s="113" t="e">
        <f ca="1"/>
        <v>#REF!</v>
      </c>
      <c r="R15" s="113" t="e">
        <f ca="1"/>
        <v>#REF!</v>
      </c>
      <c r="S15" s="113" t="e">
        <f ca="1"/>
        <v>#REF!</v>
      </c>
      <c r="T15" s="113" t="e">
        <f ca="1"/>
        <v>#REF!</v>
      </c>
      <c r="U15" s="113" t="e">
        <f ca="1"/>
        <v>#REF!</v>
      </c>
      <c r="V15" s="113" t="e">
        <f ca="1"/>
        <v>#REF!</v>
      </c>
      <c r="W15" s="113" t="e">
        <f ca="1"/>
        <v>#REF!</v>
      </c>
      <c r="X15" s="113" t="e">
        <f ca="1"/>
        <v>#REF!</v>
      </c>
      <c r="Y15" s="113" t="e">
        <f ca="1"/>
        <v>#REF!</v>
      </c>
      <c r="Z15" s="113" t="e">
        <f ca="1"/>
        <v>#REF!</v>
      </c>
      <c r="AA15" s="113"/>
      <c r="AB15" s="113"/>
      <c r="AC15" s="113"/>
      <c r="AD15" s="113"/>
      <c r="AE15" s="113" t="str">
        <f ca="1">IFERROR(__xludf.DUMMYFUNCTION("""COMPUTED_VALUE"""),"Parcial")</f>
        <v>Parcial</v>
      </c>
      <c r="AF15" s="113" t="str">
        <f ca="1">IFERROR(__xludf.DUMMYFUNCTION("""COMPUTED_VALUE"""),"FE")</f>
        <v>FE</v>
      </c>
      <c r="AG15" s="113">
        <f ca="1">IFERROR(__xludf.DUMMYFUNCTION("""COMPUTED_VALUE"""),15)</f>
        <v>15</v>
      </c>
      <c r="AH15" s="113">
        <f ca="1">IFERROR(__xludf.DUMMYFUNCTION("""COMPUTED_VALUE"""),0)</f>
        <v>0</v>
      </c>
      <c r="AI15" s="113">
        <f ca="1">IFERROR(__xludf.DUMMYFUNCTION("""COMPUTED_VALUE"""),0)</f>
        <v>0</v>
      </c>
      <c r="AJ15" s="113">
        <f ca="1">IFERROR(__xludf.DUMMYFUNCTION("""COMPUTED_VALUE"""),0)</f>
        <v>0</v>
      </c>
      <c r="AK15" s="113"/>
      <c r="AL15" s="116"/>
    </row>
    <row r="16" spans="1:38" ht="12.75">
      <c r="A16" s="112" t="str">
        <f ca="1">IFERROR(__xludf.DUMMYFUNCTION("""COMPUTED_VALUE"""),"17005000")</f>
        <v>17005000</v>
      </c>
      <c r="B16" s="113" t="str">
        <f ca="1">IFERROR(__xludf.DUMMYFUNCTION("""COMPUTED_VALUE"""),"Araguaina")</f>
        <v>Araguaina</v>
      </c>
      <c r="C16" s="113" t="str">
        <f ca="1">IFERROR(__xludf.DUMMYFUNCTION("""COMPUTED_VALUE"""),"Araguaina")</f>
        <v>Araguaina</v>
      </c>
      <c r="D16" s="114" t="str">
        <f ca="1">IFERROR(__xludf.DUMMYFUNCTION("""COMPUTED_VALUE"""),"ASSOC. DE PAIS, ALUNOS E MESTRES COL. EST. POLIVALENTE CASTELO BRANCO")</f>
        <v>ASSOC. DE PAIS, ALUNOS E MESTRES COL. EST. POLIVALENTE CASTELO BRANCO</v>
      </c>
      <c r="E16" s="113" t="str">
        <f ca="1">IFERROR(__xludf.DUMMYFUNCTION("""COMPUTED_VALUE"""),"Centro de Ensino Médio Castelo Branco")</f>
        <v>Centro de Ensino Médio Castelo Branco</v>
      </c>
      <c r="F16" s="115" t="str">
        <f ca="1">IFERROR(__xludf.DUMMYFUNCTION("""COMPUTED_VALUE"""),"17005000")</f>
        <v>17005000</v>
      </c>
      <c r="G16" s="113" t="str">
        <f ca="1">IFERROR(__xludf.DUMMYFUNCTION("""COMPUTED_VALUE"""),"00918900000112")</f>
        <v>00918900000112</v>
      </c>
      <c r="H16" s="115" t="str">
        <f ca="1">IFERROR(__xludf.DUMMYFUNCTION("""COMPUTED_VALUE"""),"001")</f>
        <v>001</v>
      </c>
      <c r="I16" s="115" t="str">
        <f ca="1">IFERROR(__xludf.DUMMYFUNCTION("""COMPUTED_VALUE"""),"0638")</f>
        <v>0638</v>
      </c>
      <c r="J16" s="115" t="str">
        <f ca="1">IFERROR(__xludf.DUMMYFUNCTION("""COMPUTED_VALUE"""),"12599")</f>
        <v>12599</v>
      </c>
      <c r="K16" s="113" t="e">
        <f ca="1"/>
        <v>#REF!</v>
      </c>
      <c r="L16" s="113" t="e">
        <f ca="1"/>
        <v>#REF!</v>
      </c>
      <c r="M16" s="113" t="e">
        <f ca="1"/>
        <v>#REF!</v>
      </c>
      <c r="N16" s="113" t="e">
        <f ca="1"/>
        <v>#REF!</v>
      </c>
      <c r="O16" s="113" t="e">
        <f ca="1"/>
        <v>#REF!</v>
      </c>
      <c r="P16" s="113" t="e">
        <f ca="1"/>
        <v>#REF!</v>
      </c>
      <c r="Q16" s="113" t="e">
        <f ca="1"/>
        <v>#REF!</v>
      </c>
      <c r="R16" s="113" t="e">
        <f ca="1"/>
        <v>#REF!</v>
      </c>
      <c r="S16" s="113" t="e">
        <f ca="1"/>
        <v>#REF!</v>
      </c>
      <c r="T16" s="113" t="e">
        <f ca="1"/>
        <v>#REF!</v>
      </c>
      <c r="U16" s="113" t="e">
        <f ca="1"/>
        <v>#REF!</v>
      </c>
      <c r="V16" s="113" t="e">
        <f ca="1"/>
        <v>#REF!</v>
      </c>
      <c r="W16" s="113" t="e">
        <f ca="1"/>
        <v>#REF!</v>
      </c>
      <c r="X16" s="113" t="e">
        <f ca="1"/>
        <v>#REF!</v>
      </c>
      <c r="Y16" s="113" t="e">
        <f ca="1"/>
        <v>#REF!</v>
      </c>
      <c r="Z16" s="113" t="e">
        <f ca="1"/>
        <v>#REF!</v>
      </c>
      <c r="AA16" s="113"/>
      <c r="AB16" s="113"/>
      <c r="AC16" s="113"/>
      <c r="AD16" s="113"/>
      <c r="AE16" s="113" t="str">
        <f ca="1">IFERROR(__xludf.DUMMYFUNCTION("""COMPUTED_VALUE"""),"Integral")</f>
        <v>Integral</v>
      </c>
      <c r="AF16" s="113" t="str">
        <f ca="1">IFERROR(__xludf.DUMMYFUNCTION("""COMPUTED_VALUE"""),"FE")</f>
        <v>FE</v>
      </c>
      <c r="AG16" s="113">
        <f ca="1">IFERROR(__xludf.DUMMYFUNCTION("""COMPUTED_VALUE"""),9)</f>
        <v>9</v>
      </c>
      <c r="AH16" s="113">
        <f ca="1">IFERROR(__xludf.DUMMYFUNCTION("""COMPUTED_VALUE"""),0)</f>
        <v>0</v>
      </c>
      <c r="AI16" s="113">
        <f ca="1">IFERROR(__xludf.DUMMYFUNCTION("""COMPUTED_VALUE"""),0)</f>
        <v>0</v>
      </c>
      <c r="AJ16" s="113">
        <f ca="1">IFERROR(__xludf.DUMMYFUNCTION("""COMPUTED_VALUE"""),0)</f>
        <v>0</v>
      </c>
      <c r="AK16" s="113"/>
      <c r="AL16" s="116"/>
    </row>
    <row r="17" spans="1:38" ht="12.75">
      <c r="A17" s="112" t="str">
        <f ca="1">IFERROR(__xludf.DUMMYFUNCTION("""COMPUTED_VALUE"""),"17046270")</f>
        <v>17046270</v>
      </c>
      <c r="B17" s="113" t="str">
        <f ca="1">IFERROR(__xludf.DUMMYFUNCTION("""COMPUTED_VALUE"""),"Araguaina")</f>
        <v>Araguaina</v>
      </c>
      <c r="C17" s="113" t="str">
        <f ca="1">IFERROR(__xludf.DUMMYFUNCTION("""COMPUTED_VALUE"""),"Araguaina")</f>
        <v>Araguaina</v>
      </c>
      <c r="D17" s="114" t="str">
        <f ca="1">IFERROR(__xludf.DUMMYFUNCTION("""COMPUTED_VALUE"""),"ASSOC. A.  DO COLÉGIO DA POLICIA MILITAR - UNIDADE III")</f>
        <v>ASSOC. A.  DO COLÉGIO DA POLICIA MILITAR - UNIDADE III</v>
      </c>
      <c r="E17" s="113" t="str">
        <f ca="1">IFERROR(__xludf.DUMMYFUNCTION("""COMPUTED_VALUE"""),"Centro de Ensino Médio Doutor José Aluísio da Silva Luz")</f>
        <v>Centro de Ensino Médio Doutor José Aluísio da Silva Luz</v>
      </c>
      <c r="F17" s="115" t="str">
        <f ca="1">IFERROR(__xludf.DUMMYFUNCTION("""COMPUTED_VALUE"""),"17046270")</f>
        <v>17046270</v>
      </c>
      <c r="G17" s="113" t="str">
        <f ca="1">IFERROR(__xludf.DUMMYFUNCTION("""COMPUTED_VALUE"""),"02480178000102")</f>
        <v>02480178000102</v>
      </c>
      <c r="H17" s="115" t="str">
        <f ca="1">IFERROR(__xludf.DUMMYFUNCTION("""COMPUTED_VALUE"""),"001")</f>
        <v>001</v>
      </c>
      <c r="I17" s="115" t="str">
        <f ca="1">IFERROR(__xludf.DUMMYFUNCTION("""COMPUTED_VALUE"""),"0638")</f>
        <v>0638</v>
      </c>
      <c r="J17" s="115" t="str">
        <f ca="1">IFERROR(__xludf.DUMMYFUNCTION("""COMPUTED_VALUE"""),"552291")</f>
        <v>552291</v>
      </c>
      <c r="K17" s="113" t="e">
        <f ca="1"/>
        <v>#REF!</v>
      </c>
      <c r="L17" s="113" t="e">
        <f ca="1"/>
        <v>#REF!</v>
      </c>
      <c r="M17" s="113" t="e">
        <f ca="1"/>
        <v>#REF!</v>
      </c>
      <c r="N17" s="113" t="e">
        <f ca="1"/>
        <v>#REF!</v>
      </c>
      <c r="O17" s="113" t="e">
        <f ca="1"/>
        <v>#REF!</v>
      </c>
      <c r="P17" s="113" t="e">
        <f ca="1"/>
        <v>#REF!</v>
      </c>
      <c r="Q17" s="113" t="e">
        <f ca="1"/>
        <v>#REF!</v>
      </c>
      <c r="R17" s="113" t="e">
        <f ca="1"/>
        <v>#REF!</v>
      </c>
      <c r="S17" s="113" t="e">
        <f ca="1"/>
        <v>#REF!</v>
      </c>
      <c r="T17" s="113" t="e">
        <f ca="1"/>
        <v>#REF!</v>
      </c>
      <c r="U17" s="113" t="e">
        <f ca="1"/>
        <v>#REF!</v>
      </c>
      <c r="V17" s="113" t="e">
        <f ca="1"/>
        <v>#REF!</v>
      </c>
      <c r="W17" s="113" t="e">
        <f ca="1"/>
        <v>#REF!</v>
      </c>
      <c r="X17" s="113" t="e">
        <f ca="1"/>
        <v>#REF!</v>
      </c>
      <c r="Y17" s="113" t="e">
        <f ca="1"/>
        <v>#REF!</v>
      </c>
      <c r="Z17" s="113" t="e">
        <f ca="1"/>
        <v>#REF!</v>
      </c>
      <c r="AA17" s="113"/>
      <c r="AB17" s="113"/>
      <c r="AC17" s="113"/>
      <c r="AD17" s="113"/>
      <c r="AE17" s="113" t="str">
        <f ca="1">IFERROR(__xludf.DUMMYFUNCTION("""COMPUTED_VALUE"""),"Parcial")</f>
        <v>Parcial</v>
      </c>
      <c r="AF17" s="113" t="str">
        <f ca="1">IFERROR(__xludf.DUMMYFUNCTION("""COMPUTED_VALUE"""),"FE")</f>
        <v>FE</v>
      </c>
      <c r="AG17" s="113">
        <f ca="1">IFERROR(__xludf.DUMMYFUNCTION("""COMPUTED_VALUE"""),0)</f>
        <v>0</v>
      </c>
      <c r="AH17" s="113">
        <f ca="1">IFERROR(__xludf.DUMMYFUNCTION("""COMPUTED_VALUE"""),0)</f>
        <v>0</v>
      </c>
      <c r="AI17" s="113">
        <f ca="1">IFERROR(__xludf.DUMMYFUNCTION("""COMPUTED_VALUE"""),0)</f>
        <v>0</v>
      </c>
      <c r="AJ17" s="113">
        <f ca="1">IFERROR(__xludf.DUMMYFUNCTION("""COMPUTED_VALUE"""),0)</f>
        <v>0</v>
      </c>
      <c r="AK17" s="113"/>
      <c r="AL17" s="116"/>
    </row>
    <row r="18" spans="1:38" ht="12.75">
      <c r="A18" s="112" t="str">
        <f ca="1">IFERROR(__xludf.DUMMYFUNCTION("""COMPUTED_VALUE"""),"17004950")</f>
        <v>17004950</v>
      </c>
      <c r="B18" s="113" t="str">
        <f ca="1">IFERROR(__xludf.DUMMYFUNCTION("""COMPUTED_VALUE"""),"Araguaina")</f>
        <v>Araguaina</v>
      </c>
      <c r="C18" s="113" t="str">
        <f ca="1">IFERROR(__xludf.DUMMYFUNCTION("""COMPUTED_VALUE"""),"Araguaina")</f>
        <v>Araguaina</v>
      </c>
      <c r="D18" s="114" t="str">
        <f ca="1">IFERROR(__xludf.DUMMYFUNCTION("""COMPUTED_VALUE"""),"ASSOC. APOIO COL. EST. CEM PAULO FREIRE")</f>
        <v>ASSOC. APOIO COL. EST. CEM PAULO FREIRE</v>
      </c>
      <c r="E18" s="113" t="str">
        <f ca="1">IFERROR(__xludf.DUMMYFUNCTION("""COMPUTED_VALUE"""),"Centro de Ensino Médio Paulo Freire")</f>
        <v>Centro de Ensino Médio Paulo Freire</v>
      </c>
      <c r="F18" s="115" t="str">
        <f ca="1">IFERROR(__xludf.DUMMYFUNCTION("""COMPUTED_VALUE"""),"17004950")</f>
        <v>17004950</v>
      </c>
      <c r="G18" s="113" t="str">
        <f ca="1">IFERROR(__xludf.DUMMYFUNCTION("""COMPUTED_VALUE"""),"01738420000132")</f>
        <v>01738420000132</v>
      </c>
      <c r="H18" s="115" t="str">
        <f ca="1">IFERROR(__xludf.DUMMYFUNCTION("""COMPUTED_VALUE"""),"001")</f>
        <v>001</v>
      </c>
      <c r="I18" s="115" t="str">
        <f ca="1">IFERROR(__xludf.DUMMYFUNCTION("""COMPUTED_VALUE"""),"0638")</f>
        <v>0638</v>
      </c>
      <c r="J18" s="115" t="str">
        <f ca="1">IFERROR(__xludf.DUMMYFUNCTION("""COMPUTED_VALUE"""),"551589")</f>
        <v>551589</v>
      </c>
      <c r="K18" s="113" t="e">
        <f ca="1"/>
        <v>#REF!</v>
      </c>
      <c r="L18" s="113" t="e">
        <f ca="1"/>
        <v>#REF!</v>
      </c>
      <c r="M18" s="113" t="e">
        <f ca="1"/>
        <v>#REF!</v>
      </c>
      <c r="N18" s="113" t="e">
        <f ca="1"/>
        <v>#REF!</v>
      </c>
      <c r="O18" s="113" t="e">
        <f ca="1"/>
        <v>#REF!</v>
      </c>
      <c r="P18" s="113" t="e">
        <f ca="1"/>
        <v>#REF!</v>
      </c>
      <c r="Q18" s="113" t="e">
        <f ca="1"/>
        <v>#REF!</v>
      </c>
      <c r="R18" s="113" t="e">
        <f ca="1"/>
        <v>#REF!</v>
      </c>
      <c r="S18" s="113" t="e">
        <f ca="1"/>
        <v>#REF!</v>
      </c>
      <c r="T18" s="113" t="e">
        <f ca="1"/>
        <v>#REF!</v>
      </c>
      <c r="U18" s="113" t="e">
        <f ca="1"/>
        <v>#REF!</v>
      </c>
      <c r="V18" s="113" t="e">
        <f ca="1"/>
        <v>#REF!</v>
      </c>
      <c r="W18" s="113" t="e">
        <f ca="1"/>
        <v>#REF!</v>
      </c>
      <c r="X18" s="113" t="e">
        <f ca="1"/>
        <v>#REF!</v>
      </c>
      <c r="Y18" s="113" t="e">
        <f ca="1"/>
        <v>#REF!</v>
      </c>
      <c r="Z18" s="113" t="e">
        <f ca="1"/>
        <v>#REF!</v>
      </c>
      <c r="AA18" s="113"/>
      <c r="AB18" s="113"/>
      <c r="AC18" s="113"/>
      <c r="AD18" s="113"/>
      <c r="AE18" s="113" t="str">
        <f ca="1">IFERROR(__xludf.DUMMYFUNCTION("""COMPUTED_VALUE"""),"Parcial")</f>
        <v>Parcial</v>
      </c>
      <c r="AF18" s="113" t="str">
        <f ca="1">IFERROR(__xludf.DUMMYFUNCTION("""COMPUTED_VALUE"""),"FE")</f>
        <v>FE</v>
      </c>
      <c r="AG18" s="113">
        <f ca="1">IFERROR(__xludf.DUMMYFUNCTION("""COMPUTED_VALUE"""),14)</f>
        <v>14</v>
      </c>
      <c r="AH18" s="113">
        <f ca="1">IFERROR(__xludf.DUMMYFUNCTION("""COMPUTED_VALUE"""),0)</f>
        <v>0</v>
      </c>
      <c r="AI18" s="113">
        <f ca="1">IFERROR(__xludf.DUMMYFUNCTION("""COMPUTED_VALUE"""),0)</f>
        <v>0</v>
      </c>
      <c r="AJ18" s="113">
        <f ca="1">IFERROR(__xludf.DUMMYFUNCTION("""COMPUTED_VALUE"""),0)</f>
        <v>0</v>
      </c>
      <c r="AK18" s="113"/>
      <c r="AL18" s="116"/>
    </row>
    <row r="19" spans="1:38" ht="12.75">
      <c r="A19" s="112" t="str">
        <f ca="1">IFERROR(__xludf.DUMMYFUNCTION("""COMPUTED_VALUE"""),"17005094")</f>
        <v>17005094</v>
      </c>
      <c r="B19" s="113" t="str">
        <f ca="1">IFERROR(__xludf.DUMMYFUNCTION("""COMPUTED_VALUE"""),"Araguaina")</f>
        <v>Araguaina</v>
      </c>
      <c r="C19" s="113" t="str">
        <f ca="1">IFERROR(__xludf.DUMMYFUNCTION("""COMPUTED_VALUE"""),"Araguaina")</f>
        <v>Araguaina</v>
      </c>
      <c r="D19" s="114" t="str">
        <f ca="1">IFERROR(__xludf.DUMMYFUNCTION("""COMPUTED_VALUE"""),"A. APOIO DO COLEGIO DE APLICACAO")</f>
        <v>A. APOIO DO COLEGIO DE APLICACAO</v>
      </c>
      <c r="E19" s="113" t="str">
        <f ca="1">IFERROR(__xludf.DUMMYFUNCTION("""COMPUTED_VALUE"""),"Colégio de Aplicação")</f>
        <v>Colégio de Aplicação</v>
      </c>
      <c r="F19" s="115" t="str">
        <f ca="1">IFERROR(__xludf.DUMMYFUNCTION("""COMPUTED_VALUE"""),"17005094")</f>
        <v>17005094</v>
      </c>
      <c r="G19" s="113" t="str">
        <f ca="1">IFERROR(__xludf.DUMMYFUNCTION("""COMPUTED_VALUE"""),"01086986000127")</f>
        <v>01086986000127</v>
      </c>
      <c r="H19" s="115" t="str">
        <f ca="1">IFERROR(__xludf.DUMMYFUNCTION("""COMPUTED_VALUE"""),"001")</f>
        <v>001</v>
      </c>
      <c r="I19" s="115" t="str">
        <f ca="1">IFERROR(__xludf.DUMMYFUNCTION("""COMPUTED_VALUE"""),"0638")</f>
        <v>0638</v>
      </c>
      <c r="J19" s="115" t="str">
        <f ca="1">IFERROR(__xludf.DUMMYFUNCTION("""COMPUTED_VALUE"""),"0465275")</f>
        <v>0465275</v>
      </c>
      <c r="K19" s="113" t="e">
        <f ca="1"/>
        <v>#REF!</v>
      </c>
      <c r="L19" s="113" t="e">
        <f ca="1"/>
        <v>#REF!</v>
      </c>
      <c r="M19" s="113" t="e">
        <f ca="1"/>
        <v>#REF!</v>
      </c>
      <c r="N19" s="113" t="e">
        <f ca="1"/>
        <v>#REF!</v>
      </c>
      <c r="O19" s="113" t="e">
        <f ca="1"/>
        <v>#REF!</v>
      </c>
      <c r="P19" s="113" t="e">
        <f ca="1"/>
        <v>#REF!</v>
      </c>
      <c r="Q19" s="113" t="e">
        <f ca="1"/>
        <v>#REF!</v>
      </c>
      <c r="R19" s="113" t="e">
        <f ca="1"/>
        <v>#REF!</v>
      </c>
      <c r="S19" s="113" t="e">
        <f ca="1"/>
        <v>#REF!</v>
      </c>
      <c r="T19" s="113" t="e">
        <f ca="1"/>
        <v>#REF!</v>
      </c>
      <c r="U19" s="113" t="e">
        <f ca="1"/>
        <v>#REF!</v>
      </c>
      <c r="V19" s="113" t="e">
        <f ca="1"/>
        <v>#REF!</v>
      </c>
      <c r="W19" s="113" t="e">
        <f ca="1"/>
        <v>#REF!</v>
      </c>
      <c r="X19" s="113" t="e">
        <f ca="1"/>
        <v>#REF!</v>
      </c>
      <c r="Y19" s="113" t="e">
        <f ca="1"/>
        <v>#REF!</v>
      </c>
      <c r="Z19" s="113" t="e">
        <f ca="1"/>
        <v>#REF!</v>
      </c>
      <c r="AA19" s="113"/>
      <c r="AB19" s="113"/>
      <c r="AC19" s="113"/>
      <c r="AD19" s="113"/>
      <c r="AE19" s="113" t="str">
        <f ca="1">IFERROR(__xludf.DUMMYFUNCTION("""COMPUTED_VALUE"""),"Parcial")</f>
        <v>Parcial</v>
      </c>
      <c r="AF19" s="113" t="str">
        <f ca="1">IFERROR(__xludf.DUMMYFUNCTION("""COMPUTED_VALUE"""),"FE")</f>
        <v>FE</v>
      </c>
      <c r="AG19" s="113">
        <f ca="1">IFERROR(__xludf.DUMMYFUNCTION("""COMPUTED_VALUE"""),0)</f>
        <v>0</v>
      </c>
      <c r="AH19" s="113">
        <f ca="1">IFERROR(__xludf.DUMMYFUNCTION("""COMPUTED_VALUE"""),0)</f>
        <v>0</v>
      </c>
      <c r="AI19" s="113">
        <f ca="1">IFERROR(__xludf.DUMMYFUNCTION("""COMPUTED_VALUE"""),0)</f>
        <v>0</v>
      </c>
      <c r="AJ19" s="113">
        <f ca="1">IFERROR(__xludf.DUMMYFUNCTION("""COMPUTED_VALUE"""),0)</f>
        <v>0</v>
      </c>
      <c r="AK19" s="113"/>
      <c r="AL19" s="116"/>
    </row>
    <row r="20" spans="1:38" ht="12.75">
      <c r="A20" s="112" t="str">
        <f ca="1">IFERROR(__xludf.DUMMYFUNCTION("""COMPUTED_VALUE"""),"17005248")</f>
        <v>17005248</v>
      </c>
      <c r="B20" s="113" t="str">
        <f ca="1">IFERROR(__xludf.DUMMYFUNCTION("""COMPUTED_VALUE"""),"Araguaina")</f>
        <v>Araguaina</v>
      </c>
      <c r="C20" s="113" t="str">
        <f ca="1">IFERROR(__xludf.DUMMYFUNCTION("""COMPUTED_VALUE"""),"Araguaina")</f>
        <v>Araguaina</v>
      </c>
      <c r="D20" s="114" t="str">
        <f ca="1">IFERROR(__xludf.DUMMYFUNCTION("""COMPUTED_VALUE"""),"A.A. C.E. ADEMAR V. FERREIRA SOBRINHO")</f>
        <v>A.A. C.E. ADEMAR V. FERREIRA SOBRINHO</v>
      </c>
      <c r="E20" s="113" t="str">
        <f ca="1">IFERROR(__xludf.DUMMYFUNCTION("""COMPUTED_VALUE"""),"Colégio Estadual Ademar Vicente Ferreira Sobrinho")</f>
        <v>Colégio Estadual Ademar Vicente Ferreira Sobrinho</v>
      </c>
      <c r="F20" s="115" t="str">
        <f ca="1">IFERROR(__xludf.DUMMYFUNCTION("""COMPUTED_VALUE"""),"17005248")</f>
        <v>17005248</v>
      </c>
      <c r="G20" s="113" t="str">
        <f ca="1">IFERROR(__xludf.DUMMYFUNCTION("""COMPUTED_VALUE"""),"01143808000190")</f>
        <v>01143808000190</v>
      </c>
      <c r="H20" s="115" t="str">
        <f ca="1">IFERROR(__xludf.DUMMYFUNCTION("""COMPUTED_VALUE"""),"001")</f>
        <v>001</v>
      </c>
      <c r="I20" s="115" t="str">
        <f ca="1">IFERROR(__xludf.DUMMYFUNCTION("""COMPUTED_VALUE"""),"0638")</f>
        <v>0638</v>
      </c>
      <c r="J20" s="115" t="str">
        <f ca="1">IFERROR(__xludf.DUMMYFUNCTION("""COMPUTED_VALUE"""),"0464244")</f>
        <v>0464244</v>
      </c>
      <c r="K20" s="113" t="e">
        <f ca="1"/>
        <v>#REF!</v>
      </c>
      <c r="L20" s="113" t="e">
        <f ca="1"/>
        <v>#REF!</v>
      </c>
      <c r="M20" s="113" t="e">
        <f ca="1"/>
        <v>#REF!</v>
      </c>
      <c r="N20" s="113" t="e">
        <f ca="1"/>
        <v>#REF!</v>
      </c>
      <c r="O20" s="113" t="e">
        <f ca="1"/>
        <v>#REF!</v>
      </c>
      <c r="P20" s="113" t="e">
        <f ca="1"/>
        <v>#REF!</v>
      </c>
      <c r="Q20" s="113" t="e">
        <f ca="1"/>
        <v>#REF!</v>
      </c>
      <c r="R20" s="113" t="e">
        <f ca="1"/>
        <v>#REF!</v>
      </c>
      <c r="S20" s="113" t="e">
        <f ca="1"/>
        <v>#REF!</v>
      </c>
      <c r="T20" s="113" t="e">
        <f ca="1"/>
        <v>#REF!</v>
      </c>
      <c r="U20" s="113" t="e">
        <f ca="1"/>
        <v>#REF!</v>
      </c>
      <c r="V20" s="113" t="e">
        <f ca="1"/>
        <v>#REF!</v>
      </c>
      <c r="W20" s="113" t="e">
        <f ca="1"/>
        <v>#REF!</v>
      </c>
      <c r="X20" s="113" t="e">
        <f ca="1"/>
        <v>#REF!</v>
      </c>
      <c r="Y20" s="113" t="e">
        <f ca="1"/>
        <v>#REF!</v>
      </c>
      <c r="Z20" s="113" t="e">
        <f ca="1"/>
        <v>#REF!</v>
      </c>
      <c r="AA20" s="113"/>
      <c r="AB20" s="113"/>
      <c r="AC20" s="113"/>
      <c r="AD20" s="113"/>
      <c r="AE20" s="113" t="str">
        <f ca="1">IFERROR(__xludf.DUMMYFUNCTION("""COMPUTED_VALUE"""),"Parcial")</f>
        <v>Parcial</v>
      </c>
      <c r="AF20" s="113" t="str">
        <f ca="1">IFERROR(__xludf.DUMMYFUNCTION("""COMPUTED_VALUE"""),"FE")</f>
        <v>FE</v>
      </c>
      <c r="AG20" s="113">
        <f ca="1">IFERROR(__xludf.DUMMYFUNCTION("""COMPUTED_VALUE"""),0)</f>
        <v>0</v>
      </c>
      <c r="AH20" s="113">
        <f ca="1">IFERROR(__xludf.DUMMYFUNCTION("""COMPUTED_VALUE"""),0)</f>
        <v>0</v>
      </c>
      <c r="AI20" s="113">
        <f ca="1">IFERROR(__xludf.DUMMYFUNCTION("""COMPUTED_VALUE"""),0)</f>
        <v>0</v>
      </c>
      <c r="AJ20" s="113">
        <f ca="1">IFERROR(__xludf.DUMMYFUNCTION("""COMPUTED_VALUE"""),0)</f>
        <v>0</v>
      </c>
      <c r="AK20" s="113"/>
      <c r="AL20" s="116"/>
    </row>
    <row r="21" spans="1:38" ht="12.75">
      <c r="A21" s="112" t="str">
        <f ca="1">IFERROR(__xludf.DUMMYFUNCTION("""COMPUTED_VALUE"""),"17004977")</f>
        <v>17004977</v>
      </c>
      <c r="B21" s="113" t="str">
        <f ca="1">IFERROR(__xludf.DUMMYFUNCTION("""COMPUTED_VALUE"""),"Araguaina")</f>
        <v>Araguaina</v>
      </c>
      <c r="C21" s="113" t="str">
        <f ca="1">IFERROR(__xludf.DUMMYFUNCTION("""COMPUTED_VALUE"""),"Araguaina")</f>
        <v>Araguaina</v>
      </c>
      <c r="D21" s="114" t="str">
        <f ca="1">IFERROR(__xludf.DUMMYFUNCTION("""COMPUTED_VALUE"""),"A.A. C.E.  ADOLFO BEZERRA DE MENEZES")</f>
        <v>A.A. C.E.  ADOLFO BEZERRA DE MENEZES</v>
      </c>
      <c r="E21" s="113" t="str">
        <f ca="1">IFERROR(__xludf.DUMMYFUNCTION("""COMPUTED_VALUE"""),"Colégio Estadual Adolfo Bezerra de Menezes")</f>
        <v>Colégio Estadual Adolfo Bezerra de Menezes</v>
      </c>
      <c r="F21" s="115" t="str">
        <f ca="1">IFERROR(__xludf.DUMMYFUNCTION("""COMPUTED_VALUE"""),"17004977")</f>
        <v>17004977</v>
      </c>
      <c r="G21" s="113" t="str">
        <f ca="1">IFERROR(__xludf.DUMMYFUNCTION("""COMPUTED_VALUE"""),"01071435000190")</f>
        <v>01071435000190</v>
      </c>
      <c r="H21" s="115" t="str">
        <f ca="1">IFERROR(__xludf.DUMMYFUNCTION("""COMPUTED_VALUE"""),"001")</f>
        <v>001</v>
      </c>
      <c r="I21" s="115" t="str">
        <f ca="1">IFERROR(__xludf.DUMMYFUNCTION("""COMPUTED_VALUE"""),"0638")</f>
        <v>0638</v>
      </c>
      <c r="J21" s="115" t="str">
        <f ca="1">IFERROR(__xludf.DUMMYFUNCTION("""COMPUTED_VALUE"""),"463426")</f>
        <v>463426</v>
      </c>
      <c r="K21" s="113" t="e">
        <f ca="1"/>
        <v>#REF!</v>
      </c>
      <c r="L21" s="113" t="e">
        <f ca="1"/>
        <v>#REF!</v>
      </c>
      <c r="M21" s="113" t="e">
        <f ca="1"/>
        <v>#REF!</v>
      </c>
      <c r="N21" s="113" t="e">
        <f ca="1"/>
        <v>#REF!</v>
      </c>
      <c r="O21" s="113" t="e">
        <f ca="1"/>
        <v>#REF!</v>
      </c>
      <c r="P21" s="113" t="e">
        <f ca="1"/>
        <v>#REF!</v>
      </c>
      <c r="Q21" s="113" t="e">
        <f ca="1"/>
        <v>#REF!</v>
      </c>
      <c r="R21" s="113" t="e">
        <f ca="1"/>
        <v>#REF!</v>
      </c>
      <c r="S21" s="113" t="e">
        <f ca="1"/>
        <v>#REF!</v>
      </c>
      <c r="T21" s="113" t="e">
        <f ca="1"/>
        <v>#REF!</v>
      </c>
      <c r="U21" s="113" t="e">
        <f ca="1"/>
        <v>#REF!</v>
      </c>
      <c r="V21" s="113" t="e">
        <f ca="1"/>
        <v>#REF!</v>
      </c>
      <c r="W21" s="113" t="e">
        <f ca="1"/>
        <v>#REF!</v>
      </c>
      <c r="X21" s="113" t="e">
        <f ca="1"/>
        <v>#REF!</v>
      </c>
      <c r="Y21" s="113" t="e">
        <f ca="1"/>
        <v>#REF!</v>
      </c>
      <c r="Z21" s="113" t="e">
        <f ca="1"/>
        <v>#REF!</v>
      </c>
      <c r="AA21" s="113"/>
      <c r="AB21" s="113"/>
      <c r="AC21" s="113"/>
      <c r="AD21" s="113"/>
      <c r="AE21" s="113" t="str">
        <f ca="1">IFERROR(__xludf.DUMMYFUNCTION("""COMPUTED_VALUE"""),"Parcial/Integral")</f>
        <v>Parcial/Integral</v>
      </c>
      <c r="AF21" s="113" t="str">
        <f ca="1">IFERROR(__xludf.DUMMYFUNCTION("""COMPUTED_VALUE"""),"FE")</f>
        <v>FE</v>
      </c>
      <c r="AG21" s="113">
        <f ca="1">IFERROR(__xludf.DUMMYFUNCTION("""COMPUTED_VALUE"""),0)</f>
        <v>0</v>
      </c>
      <c r="AH21" s="113">
        <f ca="1">IFERROR(__xludf.DUMMYFUNCTION("""COMPUTED_VALUE"""),0)</f>
        <v>0</v>
      </c>
      <c r="AI21" s="113">
        <f ca="1">IFERROR(__xludf.DUMMYFUNCTION("""COMPUTED_VALUE"""),0)</f>
        <v>0</v>
      </c>
      <c r="AJ21" s="113">
        <f ca="1">IFERROR(__xludf.DUMMYFUNCTION("""COMPUTED_VALUE"""),0)</f>
        <v>0</v>
      </c>
      <c r="AK21" s="113"/>
      <c r="AL21" s="116"/>
    </row>
    <row r="22" spans="1:38" ht="12.75">
      <c r="A22" s="112" t="str">
        <f ca="1">IFERROR(__xludf.DUMMYFUNCTION("""COMPUTED_VALUE"""),"17005264")</f>
        <v>17005264</v>
      </c>
      <c r="B22" s="113" t="str">
        <f ca="1">IFERROR(__xludf.DUMMYFUNCTION("""COMPUTED_VALUE"""),"Araguaina")</f>
        <v>Araguaina</v>
      </c>
      <c r="C22" s="113" t="str">
        <f ca="1">IFERROR(__xludf.DUMMYFUNCTION("""COMPUTED_VALUE"""),"Araguaina")</f>
        <v>Araguaina</v>
      </c>
      <c r="D22" s="114" t="str">
        <f ca="1">IFERROR(__xludf.DUMMYFUNCTION("""COMPUTED_VALUE"""),"A. APOIO ESCOLA EST. CAMPOS BRASIL")</f>
        <v>A. APOIO ESCOLA EST. CAMPOS BRASIL</v>
      </c>
      <c r="E22" s="113" t="str">
        <f ca="1">IFERROR(__xludf.DUMMYFUNCTION("""COMPUTED_VALUE"""),"Colégio Estadual Campos Brasil")</f>
        <v>Colégio Estadual Campos Brasil</v>
      </c>
      <c r="F22" s="115" t="str">
        <f ca="1">IFERROR(__xludf.DUMMYFUNCTION("""COMPUTED_VALUE"""),"17005264")</f>
        <v>17005264</v>
      </c>
      <c r="G22" s="113" t="str">
        <f ca="1">IFERROR(__xludf.DUMMYFUNCTION("""COMPUTED_VALUE"""),"01291177000157")</f>
        <v>01291177000157</v>
      </c>
      <c r="H22" s="115" t="str">
        <f ca="1">IFERROR(__xludf.DUMMYFUNCTION("""COMPUTED_VALUE"""),"001")</f>
        <v>001</v>
      </c>
      <c r="I22" s="115" t="str">
        <f ca="1">IFERROR(__xludf.DUMMYFUNCTION("""COMPUTED_VALUE"""),"0638")</f>
        <v>0638</v>
      </c>
      <c r="J22" s="115" t="str">
        <f ca="1">IFERROR(__xludf.DUMMYFUNCTION("""COMPUTED_VALUE"""),"466093")</f>
        <v>466093</v>
      </c>
      <c r="K22" s="113" t="e">
        <f ca="1"/>
        <v>#REF!</v>
      </c>
      <c r="L22" s="113" t="e">
        <f ca="1"/>
        <v>#REF!</v>
      </c>
      <c r="M22" s="113" t="e">
        <f ca="1"/>
        <v>#REF!</v>
      </c>
      <c r="N22" s="113" t="e">
        <f ca="1"/>
        <v>#REF!</v>
      </c>
      <c r="O22" s="113" t="e">
        <f ca="1"/>
        <v>#REF!</v>
      </c>
      <c r="P22" s="113" t="e">
        <f ca="1"/>
        <v>#REF!</v>
      </c>
      <c r="Q22" s="113" t="e">
        <f ca="1"/>
        <v>#REF!</v>
      </c>
      <c r="R22" s="113" t="e">
        <f ca="1"/>
        <v>#REF!</v>
      </c>
      <c r="S22" s="113" t="e">
        <f ca="1"/>
        <v>#REF!</v>
      </c>
      <c r="T22" s="113" t="e">
        <f ca="1"/>
        <v>#REF!</v>
      </c>
      <c r="U22" s="113" t="e">
        <f ca="1"/>
        <v>#REF!</v>
      </c>
      <c r="V22" s="113" t="e">
        <f ca="1"/>
        <v>#REF!</v>
      </c>
      <c r="W22" s="113" t="e">
        <f ca="1"/>
        <v>#REF!</v>
      </c>
      <c r="X22" s="113" t="e">
        <f ca="1"/>
        <v>#REF!</v>
      </c>
      <c r="Y22" s="113" t="e">
        <f ca="1"/>
        <v>#REF!</v>
      </c>
      <c r="Z22" s="113" t="e">
        <f ca="1"/>
        <v>#REF!</v>
      </c>
      <c r="AA22" s="113"/>
      <c r="AB22" s="113"/>
      <c r="AC22" s="113"/>
      <c r="AD22" s="113"/>
      <c r="AE22" s="113" t="str">
        <f ca="1">IFERROR(__xludf.DUMMYFUNCTION("""COMPUTED_VALUE"""),"Parcial")</f>
        <v>Parcial</v>
      </c>
      <c r="AF22" s="113" t="str">
        <f ca="1">IFERROR(__xludf.DUMMYFUNCTION("""COMPUTED_VALUE"""),"FE")</f>
        <v>FE</v>
      </c>
      <c r="AG22" s="113">
        <f ca="1">IFERROR(__xludf.DUMMYFUNCTION("""COMPUTED_VALUE"""),0)</f>
        <v>0</v>
      </c>
      <c r="AH22" s="113">
        <f ca="1">IFERROR(__xludf.DUMMYFUNCTION("""COMPUTED_VALUE"""),0)</f>
        <v>0</v>
      </c>
      <c r="AI22" s="113">
        <f ca="1">IFERROR(__xludf.DUMMYFUNCTION("""COMPUTED_VALUE"""),0)</f>
        <v>0</v>
      </c>
      <c r="AJ22" s="113">
        <f ca="1">IFERROR(__xludf.DUMMYFUNCTION("""COMPUTED_VALUE"""),0)</f>
        <v>0</v>
      </c>
      <c r="AK22" s="113"/>
      <c r="AL22" s="116"/>
    </row>
    <row r="23" spans="1:38" ht="12.75">
      <c r="A23" s="112" t="str">
        <f ca="1">IFERROR(__xludf.DUMMYFUNCTION("""COMPUTED_VALUE"""),"17004993")</f>
        <v>17004993</v>
      </c>
      <c r="B23" s="113" t="str">
        <f ca="1">IFERROR(__xludf.DUMMYFUNCTION("""COMPUTED_VALUE"""),"Araguaina")</f>
        <v>Araguaina</v>
      </c>
      <c r="C23" s="113" t="str">
        <f ca="1">IFERROR(__xludf.DUMMYFUNCTION("""COMPUTED_VALUE"""),"Araguaina")</f>
        <v>Araguaina</v>
      </c>
      <c r="D23" s="114" t="str">
        <f ca="1">IFERROR(__xludf.DUMMYFUNCTION("""COMPUTED_VALUE"""),"A.A. COL. ESTADUAL GUILHERME DOURADO")</f>
        <v>A.A. COL. ESTADUAL GUILHERME DOURADO</v>
      </c>
      <c r="E23" s="113" t="str">
        <f ca="1">IFERROR(__xludf.DUMMYFUNCTION("""COMPUTED_VALUE"""),"Colégio Estadual Guilherme dourado")</f>
        <v>Colégio Estadual Guilherme dourado</v>
      </c>
      <c r="F23" s="115" t="str">
        <f ca="1">IFERROR(__xludf.DUMMYFUNCTION("""COMPUTED_VALUE"""),"17004993")</f>
        <v>17004993</v>
      </c>
      <c r="G23" s="113" t="str">
        <f ca="1">IFERROR(__xludf.DUMMYFUNCTION("""COMPUTED_VALUE"""),"01257074000170")</f>
        <v>01257074000170</v>
      </c>
      <c r="H23" s="115" t="str">
        <f ca="1">IFERROR(__xludf.DUMMYFUNCTION("""COMPUTED_VALUE"""),"001")</f>
        <v>001</v>
      </c>
      <c r="I23" s="115" t="str">
        <f ca="1">IFERROR(__xludf.DUMMYFUNCTION("""COMPUTED_VALUE"""),"0638")</f>
        <v>0638</v>
      </c>
      <c r="J23" s="115" t="str">
        <f ca="1">IFERROR(__xludf.DUMMYFUNCTION("""COMPUTED_VALUE"""),"0068659")</f>
        <v>0068659</v>
      </c>
      <c r="K23" s="113" t="e">
        <f ca="1"/>
        <v>#REF!</v>
      </c>
      <c r="L23" s="113" t="e">
        <f ca="1"/>
        <v>#REF!</v>
      </c>
      <c r="M23" s="113" t="e">
        <f ca="1"/>
        <v>#REF!</v>
      </c>
      <c r="N23" s="113" t="e">
        <f ca="1"/>
        <v>#REF!</v>
      </c>
      <c r="O23" s="113" t="e">
        <f ca="1"/>
        <v>#REF!</v>
      </c>
      <c r="P23" s="113" t="e">
        <f ca="1"/>
        <v>#REF!</v>
      </c>
      <c r="Q23" s="113" t="e">
        <f ca="1"/>
        <v>#REF!</v>
      </c>
      <c r="R23" s="113" t="e">
        <f ca="1"/>
        <v>#REF!</v>
      </c>
      <c r="S23" s="113" t="e">
        <f ca="1"/>
        <v>#REF!</v>
      </c>
      <c r="T23" s="113" t="e">
        <f ca="1"/>
        <v>#REF!</v>
      </c>
      <c r="U23" s="113" t="e">
        <f ca="1"/>
        <v>#REF!</v>
      </c>
      <c r="V23" s="113" t="e">
        <f ca="1"/>
        <v>#REF!</v>
      </c>
      <c r="W23" s="113" t="e">
        <f ca="1"/>
        <v>#REF!</v>
      </c>
      <c r="X23" s="113" t="e">
        <f ca="1"/>
        <v>#REF!</v>
      </c>
      <c r="Y23" s="113" t="e">
        <f ca="1"/>
        <v>#REF!</v>
      </c>
      <c r="Z23" s="113" t="e">
        <f ca="1"/>
        <v>#REF!</v>
      </c>
      <c r="AA23" s="113"/>
      <c r="AB23" s="113"/>
      <c r="AC23" s="113"/>
      <c r="AD23" s="113" t="str">
        <f ca="1">IFERROR(__xludf.DUMMYFUNCTION("""COMPUTED_VALUE"""),"INDIGENA /QUILOMBOLA PARCIAL")</f>
        <v>INDIGENA /QUILOMBOLA PARCIAL</v>
      </c>
      <c r="AE23" s="113" t="str">
        <f ca="1">IFERROR(__xludf.DUMMYFUNCTION("""COMPUTED_VALUE"""),"Parcial")</f>
        <v>Parcial</v>
      </c>
      <c r="AF23" s="113" t="str">
        <f ca="1">IFERROR(__xludf.DUMMYFUNCTION("""COMPUTED_VALUE"""),"FE")</f>
        <v>FE</v>
      </c>
      <c r="AG23" s="113">
        <f ca="1">IFERROR(__xludf.DUMMYFUNCTION("""COMPUTED_VALUE"""),0)</f>
        <v>0</v>
      </c>
      <c r="AH23" s="113">
        <f ca="1">IFERROR(__xludf.DUMMYFUNCTION("""COMPUTED_VALUE"""),0)</f>
        <v>0</v>
      </c>
      <c r="AI23" s="113">
        <f ca="1">IFERROR(__xludf.DUMMYFUNCTION("""COMPUTED_VALUE"""),0)</f>
        <v>0</v>
      </c>
      <c r="AJ23" s="113">
        <f ca="1">IFERROR(__xludf.DUMMYFUNCTION("""COMPUTED_VALUE"""),0)</f>
        <v>0</v>
      </c>
      <c r="AK23" s="113"/>
      <c r="AL23" s="116"/>
    </row>
    <row r="24" spans="1:38" ht="12.75">
      <c r="A24" s="112" t="str">
        <f ca="1">IFERROR(__xludf.DUMMYFUNCTION("""COMPUTED_VALUE"""),"17052068")</f>
        <v>17052068</v>
      </c>
      <c r="B24" s="113" t="str">
        <f ca="1">IFERROR(__xludf.DUMMYFUNCTION("""COMPUTED_VALUE"""),"Araguaina")</f>
        <v>Araguaina</v>
      </c>
      <c r="C24" s="113" t="str">
        <f ca="1">IFERROR(__xludf.DUMMYFUNCTION("""COMPUTED_VALUE"""),"Araguaina")</f>
        <v>Araguaina</v>
      </c>
      <c r="D24" s="114" t="str">
        <f ca="1">IFERROR(__xludf.DUMMYFUNCTION("""COMPUTED_VALUE"""),"ASS. APOIO COL. EST. JARDIM PAULISTA")</f>
        <v>ASS. APOIO COL. EST. JARDIM PAULISTA</v>
      </c>
      <c r="E24" s="113" t="str">
        <f ca="1">IFERROR(__xludf.DUMMYFUNCTION("""COMPUTED_VALUE"""),"Colégio Estadual Jardim Paulista")</f>
        <v>Colégio Estadual Jardim Paulista</v>
      </c>
      <c r="F24" s="115" t="str">
        <f ca="1">IFERROR(__xludf.DUMMYFUNCTION("""COMPUTED_VALUE"""),"17052068")</f>
        <v>17052068</v>
      </c>
      <c r="G24" s="113" t="str">
        <f ca="1">IFERROR(__xludf.DUMMYFUNCTION("""COMPUTED_VALUE"""),"05502542000186")</f>
        <v>05502542000186</v>
      </c>
      <c r="H24" s="115" t="str">
        <f ca="1">IFERROR(__xludf.DUMMYFUNCTION("""COMPUTED_VALUE"""),"001")</f>
        <v>001</v>
      </c>
      <c r="I24" s="115" t="str">
        <f ca="1">IFERROR(__xludf.DUMMYFUNCTION("""COMPUTED_VALUE"""),"0638")</f>
        <v>0638</v>
      </c>
      <c r="J24" s="115" t="str">
        <f ca="1">IFERROR(__xludf.DUMMYFUNCTION("""COMPUTED_VALUE"""),"243876")</f>
        <v>243876</v>
      </c>
      <c r="K24" s="113" t="e">
        <f ca="1"/>
        <v>#REF!</v>
      </c>
      <c r="L24" s="113" t="e">
        <f ca="1"/>
        <v>#REF!</v>
      </c>
      <c r="M24" s="113" t="e">
        <f ca="1"/>
        <v>#REF!</v>
      </c>
      <c r="N24" s="113" t="e">
        <f ca="1"/>
        <v>#REF!</v>
      </c>
      <c r="O24" s="113" t="e">
        <f ca="1"/>
        <v>#REF!</v>
      </c>
      <c r="P24" s="113" t="e">
        <f ca="1"/>
        <v>#REF!</v>
      </c>
      <c r="Q24" s="113" t="e">
        <f ca="1"/>
        <v>#REF!</v>
      </c>
      <c r="R24" s="113" t="e">
        <f ca="1"/>
        <v>#REF!</v>
      </c>
      <c r="S24" s="113" t="e">
        <f ca="1"/>
        <v>#REF!</v>
      </c>
      <c r="T24" s="113" t="e">
        <f ca="1"/>
        <v>#REF!</v>
      </c>
      <c r="U24" s="113" t="e">
        <f ca="1"/>
        <v>#REF!</v>
      </c>
      <c r="V24" s="113" t="e">
        <f ca="1"/>
        <v>#REF!</v>
      </c>
      <c r="W24" s="113" t="e">
        <f ca="1"/>
        <v>#REF!</v>
      </c>
      <c r="X24" s="113" t="e">
        <f ca="1"/>
        <v>#REF!</v>
      </c>
      <c r="Y24" s="113" t="e">
        <f ca="1"/>
        <v>#REF!</v>
      </c>
      <c r="Z24" s="113" t="e">
        <f ca="1"/>
        <v>#REF!</v>
      </c>
      <c r="AA24" s="113"/>
      <c r="AB24" s="113"/>
      <c r="AC24" s="113"/>
      <c r="AD24" s="113"/>
      <c r="AE24" s="113" t="str">
        <f ca="1">IFERROR(__xludf.DUMMYFUNCTION("""COMPUTED_VALUE"""),"Integral")</f>
        <v>Integral</v>
      </c>
      <c r="AF24" s="113" t="str">
        <f ca="1">IFERROR(__xludf.DUMMYFUNCTION("""COMPUTED_VALUE"""),"FE")</f>
        <v>FE</v>
      </c>
      <c r="AG24" s="113">
        <f ca="1">IFERROR(__xludf.DUMMYFUNCTION("""COMPUTED_VALUE"""),0)</f>
        <v>0</v>
      </c>
      <c r="AH24" s="113">
        <f ca="1">IFERROR(__xludf.DUMMYFUNCTION("""COMPUTED_VALUE"""),0)</f>
        <v>0</v>
      </c>
      <c r="AI24" s="113">
        <f ca="1">IFERROR(__xludf.DUMMYFUNCTION("""COMPUTED_VALUE"""),0)</f>
        <v>0</v>
      </c>
      <c r="AJ24" s="113">
        <f ca="1">IFERROR(__xludf.DUMMYFUNCTION("""COMPUTED_VALUE"""),0)</f>
        <v>0</v>
      </c>
      <c r="AK24" s="113"/>
      <c r="AL24" s="116"/>
    </row>
    <row r="25" spans="1:38" ht="12.75">
      <c r="A25" s="112" t="str">
        <f ca="1">IFERROR(__xludf.DUMMYFUNCTION("""COMPUTED_VALUE"""),"17005370")</f>
        <v>17005370</v>
      </c>
      <c r="B25" s="113" t="str">
        <f ca="1">IFERROR(__xludf.DUMMYFUNCTION("""COMPUTED_VALUE"""),"Araguaina")</f>
        <v>Araguaina</v>
      </c>
      <c r="C25" s="113" t="str">
        <f ca="1">IFERROR(__xludf.DUMMYFUNCTION("""COMPUTED_VALUE"""),"Araguaina")</f>
        <v>Araguaina</v>
      </c>
      <c r="D25" s="114" t="str">
        <f ca="1">IFERROR(__xludf.DUMMYFUNCTION("""COMPUTED_VALUE"""),"A.APOIO COL. ESTADUAL JORGE AMADO")</f>
        <v>A.APOIO COL. ESTADUAL JORGE AMADO</v>
      </c>
      <c r="E25" s="113" t="str">
        <f ca="1">IFERROR(__xludf.DUMMYFUNCTION("""COMPUTED_VALUE"""),"Colégio Estadual Jorge Amado")</f>
        <v>Colégio Estadual Jorge Amado</v>
      </c>
      <c r="F25" s="115" t="str">
        <f ca="1">IFERROR(__xludf.DUMMYFUNCTION("""COMPUTED_VALUE"""),"17005370")</f>
        <v>17005370</v>
      </c>
      <c r="G25" s="113" t="str">
        <f ca="1">IFERROR(__xludf.DUMMYFUNCTION("""COMPUTED_VALUE"""),"01291218000105")</f>
        <v>01291218000105</v>
      </c>
      <c r="H25" s="115" t="str">
        <f ca="1">IFERROR(__xludf.DUMMYFUNCTION("""COMPUTED_VALUE"""),"001")</f>
        <v>001</v>
      </c>
      <c r="I25" s="115" t="str">
        <f ca="1">IFERROR(__xludf.DUMMYFUNCTION("""COMPUTED_VALUE"""),"0638")</f>
        <v>0638</v>
      </c>
      <c r="J25" s="115" t="str">
        <f ca="1">IFERROR(__xludf.DUMMYFUNCTION("""COMPUTED_VALUE"""),"0467006")</f>
        <v>0467006</v>
      </c>
      <c r="K25" s="113" t="e">
        <f ca="1"/>
        <v>#REF!</v>
      </c>
      <c r="L25" s="113" t="e">
        <f ca="1"/>
        <v>#REF!</v>
      </c>
      <c r="M25" s="113" t="e">
        <f ca="1"/>
        <v>#REF!</v>
      </c>
      <c r="N25" s="113" t="e">
        <f ca="1"/>
        <v>#REF!</v>
      </c>
      <c r="O25" s="113" t="e">
        <f ca="1"/>
        <v>#REF!</v>
      </c>
      <c r="P25" s="113" t="e">
        <f ca="1"/>
        <v>#REF!</v>
      </c>
      <c r="Q25" s="113" t="e">
        <f ca="1"/>
        <v>#REF!</v>
      </c>
      <c r="R25" s="113" t="e">
        <f ca="1"/>
        <v>#REF!</v>
      </c>
      <c r="S25" s="113" t="e">
        <f ca="1"/>
        <v>#REF!</v>
      </c>
      <c r="T25" s="113" t="e">
        <f ca="1"/>
        <v>#REF!</v>
      </c>
      <c r="U25" s="113" t="e">
        <f ca="1"/>
        <v>#REF!</v>
      </c>
      <c r="V25" s="113" t="e">
        <f ca="1"/>
        <v>#REF!</v>
      </c>
      <c r="W25" s="113" t="e">
        <f ca="1"/>
        <v>#REF!</v>
      </c>
      <c r="X25" s="113" t="e">
        <f ca="1"/>
        <v>#REF!</v>
      </c>
      <c r="Y25" s="113" t="e">
        <f ca="1"/>
        <v>#REF!</v>
      </c>
      <c r="Z25" s="113" t="e">
        <f ca="1"/>
        <v>#REF!</v>
      </c>
      <c r="AA25" s="113"/>
      <c r="AB25" s="113"/>
      <c r="AC25" s="113"/>
      <c r="AD25" s="113"/>
      <c r="AE25" s="113" t="str">
        <f ca="1">IFERROR(__xludf.DUMMYFUNCTION("""COMPUTED_VALUE"""),"Parcial")</f>
        <v>Parcial</v>
      </c>
      <c r="AF25" s="113" t="str">
        <f ca="1">IFERROR(__xludf.DUMMYFUNCTION("""COMPUTED_VALUE"""),"FE")</f>
        <v>FE</v>
      </c>
      <c r="AG25" s="113">
        <f ca="1">IFERROR(__xludf.DUMMYFUNCTION("""COMPUTED_VALUE"""),0)</f>
        <v>0</v>
      </c>
      <c r="AH25" s="113">
        <f ca="1">IFERROR(__xludf.DUMMYFUNCTION("""COMPUTED_VALUE"""),0)</f>
        <v>0</v>
      </c>
      <c r="AI25" s="113">
        <f ca="1">IFERROR(__xludf.DUMMYFUNCTION("""COMPUTED_VALUE"""),0)</f>
        <v>0</v>
      </c>
      <c r="AJ25" s="113">
        <f ca="1">IFERROR(__xludf.DUMMYFUNCTION("""COMPUTED_VALUE"""),0)</f>
        <v>0</v>
      </c>
      <c r="AK25" s="113"/>
      <c r="AL25" s="116"/>
    </row>
    <row r="26" spans="1:38" ht="12.75">
      <c r="A26" s="112" t="str">
        <f ca="1">IFERROR(__xludf.DUMMYFUNCTION("""COMPUTED_VALUE"""),"17005337")</f>
        <v>17005337</v>
      </c>
      <c r="B26" s="113" t="str">
        <f ca="1">IFERROR(__xludf.DUMMYFUNCTION("""COMPUTED_VALUE"""),"Araguaina")</f>
        <v>Araguaina</v>
      </c>
      <c r="C26" s="113" t="str">
        <f ca="1">IFERROR(__xludf.DUMMYFUNCTION("""COMPUTED_VALUE"""),"Araguaina")</f>
        <v>Araguaina</v>
      </c>
      <c r="D26" s="114" t="str">
        <f ca="1">IFERROR(__xludf.DUMMYFUNCTION("""COMPUTED_VALUE"""),"A.A. C.E.  PROF. SILVANDIRA SOUSA LIMA")</f>
        <v>A.A. C.E.  PROF. SILVANDIRA SOUSA LIMA</v>
      </c>
      <c r="E26" s="113" t="str">
        <f ca="1">IFERROR(__xludf.DUMMYFUNCTION("""COMPUTED_VALUE"""),"Colégio Estadual Professora Silvandira Sousa Lima")</f>
        <v>Colégio Estadual Professora Silvandira Sousa Lima</v>
      </c>
      <c r="F26" s="115" t="str">
        <f ca="1">IFERROR(__xludf.DUMMYFUNCTION("""COMPUTED_VALUE"""),"17005337")</f>
        <v>17005337</v>
      </c>
      <c r="G26" s="113" t="str">
        <f ca="1">IFERROR(__xludf.DUMMYFUNCTION("""COMPUTED_VALUE"""),"01071403000194")</f>
        <v>01071403000194</v>
      </c>
      <c r="H26" s="115" t="str">
        <f ca="1">IFERROR(__xludf.DUMMYFUNCTION("""COMPUTED_VALUE"""),"001")</f>
        <v>001</v>
      </c>
      <c r="I26" s="115" t="str">
        <f ca="1">IFERROR(__xludf.DUMMYFUNCTION("""COMPUTED_VALUE"""),"0638")</f>
        <v>0638</v>
      </c>
      <c r="J26" s="115" t="str">
        <f ca="1">IFERROR(__xludf.DUMMYFUNCTION("""COMPUTED_VALUE"""),"0463922")</f>
        <v>0463922</v>
      </c>
      <c r="K26" s="113" t="e">
        <f ca="1"/>
        <v>#REF!</v>
      </c>
      <c r="L26" s="113" t="e">
        <f ca="1"/>
        <v>#REF!</v>
      </c>
      <c r="M26" s="113" t="e">
        <f ca="1"/>
        <v>#REF!</v>
      </c>
      <c r="N26" s="113" t="e">
        <f ca="1"/>
        <v>#REF!</v>
      </c>
      <c r="O26" s="113" t="e">
        <f ca="1"/>
        <v>#REF!</v>
      </c>
      <c r="P26" s="113" t="e">
        <f ca="1"/>
        <v>#REF!</v>
      </c>
      <c r="Q26" s="113" t="e">
        <f ca="1"/>
        <v>#REF!</v>
      </c>
      <c r="R26" s="113" t="e">
        <f ca="1"/>
        <v>#REF!</v>
      </c>
      <c r="S26" s="113" t="e">
        <f ca="1"/>
        <v>#REF!</v>
      </c>
      <c r="T26" s="113" t="e">
        <f ca="1"/>
        <v>#REF!</v>
      </c>
      <c r="U26" s="113" t="e">
        <f ca="1"/>
        <v>#REF!</v>
      </c>
      <c r="V26" s="113" t="e">
        <f ca="1"/>
        <v>#REF!</v>
      </c>
      <c r="W26" s="113" t="e">
        <f ca="1"/>
        <v>#REF!</v>
      </c>
      <c r="X26" s="113" t="e">
        <f ca="1"/>
        <v>#REF!</v>
      </c>
      <c r="Y26" s="113" t="e">
        <f ca="1"/>
        <v>#REF!</v>
      </c>
      <c r="Z26" s="113" t="e">
        <f ca="1"/>
        <v>#REF!</v>
      </c>
      <c r="AA26" s="113"/>
      <c r="AB26" s="113"/>
      <c r="AC26" s="113"/>
      <c r="AD26" s="113"/>
      <c r="AE26" s="113" t="str">
        <f ca="1">IFERROR(__xludf.DUMMYFUNCTION("""COMPUTED_VALUE"""),"Parcial")</f>
        <v>Parcial</v>
      </c>
      <c r="AF26" s="113" t="str">
        <f ca="1">IFERROR(__xludf.DUMMYFUNCTION("""COMPUTED_VALUE"""),"FE")</f>
        <v>FE</v>
      </c>
      <c r="AG26" s="113">
        <f ca="1">IFERROR(__xludf.DUMMYFUNCTION("""COMPUTED_VALUE"""),0)</f>
        <v>0</v>
      </c>
      <c r="AH26" s="113">
        <f ca="1">IFERROR(__xludf.DUMMYFUNCTION("""COMPUTED_VALUE"""),0)</f>
        <v>0</v>
      </c>
      <c r="AI26" s="113">
        <f ca="1">IFERROR(__xludf.DUMMYFUNCTION("""COMPUTED_VALUE"""),0)</f>
        <v>0</v>
      </c>
      <c r="AJ26" s="113">
        <f ca="1">IFERROR(__xludf.DUMMYFUNCTION("""COMPUTED_VALUE"""),0)</f>
        <v>0</v>
      </c>
      <c r="AK26" s="113"/>
      <c r="AL26" s="116"/>
    </row>
    <row r="27" spans="1:38" ht="12.75">
      <c r="A27" s="112" t="str">
        <f ca="1">IFERROR(__xludf.DUMMYFUNCTION("""COMPUTED_VALUE"""),"17005019")</f>
        <v>17005019</v>
      </c>
      <c r="B27" s="113" t="str">
        <f ca="1">IFERROR(__xludf.DUMMYFUNCTION("""COMPUTED_VALUE"""),"Araguaina")</f>
        <v>Araguaina</v>
      </c>
      <c r="C27" s="113" t="str">
        <f ca="1">IFERROR(__xludf.DUMMYFUNCTION("""COMPUTED_VALUE"""),"Araguaina")</f>
        <v>Araguaina</v>
      </c>
      <c r="D27" s="114" t="str">
        <f ca="1">IFERROR(__xludf.DUMMYFUNCTION("""COMPUTED_VALUE"""),"A.A. COLEGIO ESTADUAL RUI BARBOSA")</f>
        <v>A.A. COLEGIO ESTADUAL RUI BARBOSA</v>
      </c>
      <c r="E27" s="113" t="str">
        <f ca="1">IFERROR(__xludf.DUMMYFUNCTION("""COMPUTED_VALUE"""),"Colégio Estadual Rui Barbosa")</f>
        <v>Colégio Estadual Rui Barbosa</v>
      </c>
      <c r="F27" s="115" t="str">
        <f ca="1">IFERROR(__xludf.DUMMYFUNCTION("""COMPUTED_VALUE"""),"17005019")</f>
        <v>17005019</v>
      </c>
      <c r="G27" s="113" t="str">
        <f ca="1">IFERROR(__xludf.DUMMYFUNCTION("""COMPUTED_VALUE"""),"01071440000100")</f>
        <v>01071440000100</v>
      </c>
      <c r="H27" s="115" t="str">
        <f ca="1">IFERROR(__xludf.DUMMYFUNCTION("""COMPUTED_VALUE"""),"001")</f>
        <v>001</v>
      </c>
      <c r="I27" s="115" t="str">
        <f ca="1">IFERROR(__xludf.DUMMYFUNCTION("""COMPUTED_VALUE"""),"0638")</f>
        <v>0638</v>
      </c>
      <c r="J27" s="115" t="str">
        <f ca="1">IFERROR(__xludf.DUMMYFUNCTION("""COMPUTED_VALUE"""),"0463787")</f>
        <v>0463787</v>
      </c>
      <c r="K27" s="113" t="e">
        <f ca="1"/>
        <v>#REF!</v>
      </c>
      <c r="L27" s="113" t="e">
        <f ca="1"/>
        <v>#REF!</v>
      </c>
      <c r="M27" s="113" t="e">
        <f ca="1"/>
        <v>#REF!</v>
      </c>
      <c r="N27" s="113" t="e">
        <f ca="1"/>
        <v>#REF!</v>
      </c>
      <c r="O27" s="113" t="e">
        <f ca="1"/>
        <v>#REF!</v>
      </c>
      <c r="P27" s="113" t="e">
        <f ca="1"/>
        <v>#REF!</v>
      </c>
      <c r="Q27" s="113" t="e">
        <f ca="1"/>
        <v>#REF!</v>
      </c>
      <c r="R27" s="113" t="e">
        <f ca="1"/>
        <v>#REF!</v>
      </c>
      <c r="S27" s="113" t="e">
        <f ca="1"/>
        <v>#REF!</v>
      </c>
      <c r="T27" s="113" t="e">
        <f ca="1"/>
        <v>#REF!</v>
      </c>
      <c r="U27" s="113" t="e">
        <f ca="1"/>
        <v>#REF!</v>
      </c>
      <c r="V27" s="113" t="e">
        <f ca="1"/>
        <v>#REF!</v>
      </c>
      <c r="W27" s="113" t="e">
        <f ca="1"/>
        <v>#REF!</v>
      </c>
      <c r="X27" s="113" t="e">
        <f ca="1"/>
        <v>#REF!</v>
      </c>
      <c r="Y27" s="113" t="e">
        <f ca="1"/>
        <v>#REF!</v>
      </c>
      <c r="Z27" s="113" t="e">
        <f ca="1"/>
        <v>#REF!</v>
      </c>
      <c r="AA27" s="113"/>
      <c r="AB27" s="113"/>
      <c r="AC27" s="113"/>
      <c r="AD27" s="113"/>
      <c r="AE27" s="113" t="str">
        <f ca="1">IFERROR(__xludf.DUMMYFUNCTION("""COMPUTED_VALUE"""),"Parcial")</f>
        <v>Parcial</v>
      </c>
      <c r="AF27" s="113" t="str">
        <f ca="1">IFERROR(__xludf.DUMMYFUNCTION("""COMPUTED_VALUE"""),"FE")</f>
        <v>FE</v>
      </c>
      <c r="AG27" s="113">
        <f ca="1">IFERROR(__xludf.DUMMYFUNCTION("""COMPUTED_VALUE"""),9)</f>
        <v>9</v>
      </c>
      <c r="AH27" s="113">
        <f ca="1">IFERROR(__xludf.DUMMYFUNCTION("""COMPUTED_VALUE"""),0)</f>
        <v>0</v>
      </c>
      <c r="AI27" s="113">
        <f ca="1">IFERROR(__xludf.DUMMYFUNCTION("""COMPUTED_VALUE"""),0)</f>
        <v>0</v>
      </c>
      <c r="AJ27" s="113">
        <f ca="1">IFERROR(__xludf.DUMMYFUNCTION("""COMPUTED_VALUE"""),0)</f>
        <v>0</v>
      </c>
      <c r="AK27" s="113"/>
      <c r="AL27" s="116"/>
    </row>
    <row r="28" spans="1:38" ht="12.75">
      <c r="A28" s="112" t="str">
        <f ca="1">IFERROR(__xludf.DUMMYFUNCTION("""COMPUTED_VALUE"""),"17056969")</f>
        <v>17056969</v>
      </c>
      <c r="B28" s="113" t="str">
        <f ca="1">IFERROR(__xludf.DUMMYFUNCTION("""COMPUTED_VALUE"""),"Araguaina")</f>
        <v>Araguaina</v>
      </c>
      <c r="C28" s="113" t="str">
        <f ca="1">IFERROR(__xludf.DUMMYFUNCTION("""COMPUTED_VALUE"""),"Araguaina")</f>
        <v>Araguaina</v>
      </c>
      <c r="D28" s="114" t="str">
        <f ca="1">IFERROR(__xludf.DUMMYFUNCTION("""COMPUTED_VALUE"""),"A.A.ESCOLA TEMPO INTEGRAL JARDENIR JORGE FREDERICO")</f>
        <v>A.A.ESCOLA TEMPO INTEGRAL JARDENIR JORGE FREDERICO</v>
      </c>
      <c r="E28" s="113" t="str">
        <f ca="1">IFERROR(__xludf.DUMMYFUNCTION("""COMPUTED_VALUE"""),"Escola Estadual de Tempo Integral Jardenir Jorge Frederico")</f>
        <v>Escola Estadual de Tempo Integral Jardenir Jorge Frederico</v>
      </c>
      <c r="F28" s="115" t="str">
        <f ca="1">IFERROR(__xludf.DUMMYFUNCTION("""COMPUTED_VALUE"""),"17056969")</f>
        <v>17056969</v>
      </c>
      <c r="G28" s="113" t="str">
        <f ca="1">IFERROR(__xludf.DUMMYFUNCTION("""COMPUTED_VALUE"""),"43361835000180")</f>
        <v>43361835000180</v>
      </c>
      <c r="H28" s="115" t="str">
        <f ca="1">IFERROR(__xludf.DUMMYFUNCTION("""COMPUTED_VALUE"""),"001")</f>
        <v>001</v>
      </c>
      <c r="I28" s="115" t="str">
        <f ca="1">IFERROR(__xludf.DUMMYFUNCTION("""COMPUTED_VALUE"""),"4348")</f>
        <v>4348</v>
      </c>
      <c r="J28" s="115" t="str">
        <f ca="1">IFERROR(__xludf.DUMMYFUNCTION("""COMPUTED_VALUE"""),"434795")</f>
        <v>434795</v>
      </c>
      <c r="K28" s="113" t="e">
        <f ca="1"/>
        <v>#REF!</v>
      </c>
      <c r="L28" s="113" t="e">
        <f ca="1"/>
        <v>#REF!</v>
      </c>
      <c r="M28" s="113" t="e">
        <f ca="1"/>
        <v>#REF!</v>
      </c>
      <c r="N28" s="113" t="e">
        <f ca="1"/>
        <v>#REF!</v>
      </c>
      <c r="O28" s="113" t="e">
        <f ca="1"/>
        <v>#REF!</v>
      </c>
      <c r="P28" s="113" t="e">
        <f ca="1"/>
        <v>#REF!</v>
      </c>
      <c r="Q28" s="113" t="e">
        <f ca="1"/>
        <v>#REF!</v>
      </c>
      <c r="R28" s="113" t="e">
        <f ca="1"/>
        <v>#REF!</v>
      </c>
      <c r="S28" s="113" t="e">
        <f ca="1"/>
        <v>#REF!</v>
      </c>
      <c r="T28" s="113" t="e">
        <f ca="1"/>
        <v>#REF!</v>
      </c>
      <c r="U28" s="113" t="e">
        <f ca="1"/>
        <v>#REF!</v>
      </c>
      <c r="V28" s="113" t="e">
        <f ca="1"/>
        <v>#REF!</v>
      </c>
      <c r="W28" s="113" t="e">
        <f ca="1"/>
        <v>#REF!</v>
      </c>
      <c r="X28" s="113" t="e">
        <f ca="1"/>
        <v>#REF!</v>
      </c>
      <c r="Y28" s="113" t="e">
        <f ca="1"/>
        <v>#REF!</v>
      </c>
      <c r="Z28" s="113" t="e">
        <f ca="1"/>
        <v>#REF!</v>
      </c>
      <c r="AA28" s="113"/>
      <c r="AB28" s="113"/>
      <c r="AC28" s="113"/>
      <c r="AD28" s="113"/>
      <c r="AE28" s="113" t="str">
        <f ca="1">IFERROR(__xludf.DUMMYFUNCTION("""COMPUTED_VALUE"""),"Integral")</f>
        <v>Integral</v>
      </c>
      <c r="AF28" s="113" t="str">
        <f ca="1">IFERROR(__xludf.DUMMYFUNCTION("""COMPUTED_VALUE"""),"FE")</f>
        <v>FE</v>
      </c>
      <c r="AG28" s="113">
        <f ca="1">IFERROR(__xludf.DUMMYFUNCTION("""COMPUTED_VALUE"""),0)</f>
        <v>0</v>
      </c>
      <c r="AH28" s="113">
        <f ca="1">IFERROR(__xludf.DUMMYFUNCTION("""COMPUTED_VALUE"""),0)</f>
        <v>0</v>
      </c>
      <c r="AI28" s="113">
        <f ca="1">IFERROR(__xludf.DUMMYFUNCTION("""COMPUTED_VALUE"""),0)</f>
        <v>0</v>
      </c>
      <c r="AJ28" s="113">
        <f ca="1">IFERROR(__xludf.DUMMYFUNCTION("""COMPUTED_VALUE"""),51)</f>
        <v>51</v>
      </c>
      <c r="AK28" s="113"/>
      <c r="AL28" s="116"/>
    </row>
    <row r="29" spans="1:38" ht="12.75">
      <c r="A29" s="112" t="str">
        <f ca="1">IFERROR(__xludf.DUMMYFUNCTION("""COMPUTED_VALUE"""),"17036918")</f>
        <v>17036918</v>
      </c>
      <c r="B29" s="113" t="str">
        <f ca="1">IFERROR(__xludf.DUMMYFUNCTION("""COMPUTED_VALUE"""),"Araguaina")</f>
        <v>Araguaina</v>
      </c>
      <c r="C29" s="113" t="str">
        <f ca="1">IFERROR(__xludf.DUMMYFUNCTION("""COMPUTED_VALUE"""),"Araguaina")</f>
        <v>Araguaina</v>
      </c>
      <c r="D29" s="114" t="str">
        <f ca="1">IFERROR(__xludf.DUMMYFUNCTION("""COMPUTED_VALUE"""),"A.A. ESCOLA TEMPO INTEGRAL DOMINGOS DA CRUZ MACHADO")</f>
        <v>A.A. ESCOLA TEMPO INTEGRAL DOMINGOS DA CRUZ MACHADO</v>
      </c>
      <c r="E29" s="113" t="str">
        <f ca="1">IFERROR(__xludf.DUMMYFUNCTION("""COMPUTED_VALUE"""),"Escola de Tempo Integral Domingos da Cruz Machado")</f>
        <v>Escola de Tempo Integral Domingos da Cruz Machado</v>
      </c>
      <c r="F29" s="115" t="str">
        <f ca="1">IFERROR(__xludf.DUMMYFUNCTION("""COMPUTED_VALUE"""),"17036918")</f>
        <v>17036918</v>
      </c>
      <c r="G29" s="113" t="str">
        <f ca="1">IFERROR(__xludf.DUMMYFUNCTION("""COMPUTED_VALUE"""),"49868761000159")</f>
        <v>49868761000159</v>
      </c>
      <c r="H29" s="115" t="str">
        <f ca="1">IFERROR(__xludf.DUMMYFUNCTION("""COMPUTED_VALUE"""),"001")</f>
        <v>001</v>
      </c>
      <c r="I29" s="115" t="str">
        <f ca="1">IFERROR(__xludf.DUMMYFUNCTION("""COMPUTED_VALUE"""),"4348")</f>
        <v>4348</v>
      </c>
      <c r="J29" s="115" t="str">
        <f ca="1">IFERROR(__xludf.DUMMYFUNCTION("""COMPUTED_VALUE"""),"460192")</f>
        <v>460192</v>
      </c>
      <c r="K29" s="113" t="e">
        <f ca="1"/>
        <v>#REF!</v>
      </c>
      <c r="L29" s="113" t="e">
        <f ca="1"/>
        <v>#REF!</v>
      </c>
      <c r="M29" s="113" t="e">
        <f ca="1"/>
        <v>#REF!</v>
      </c>
      <c r="N29" s="113" t="e">
        <f ca="1"/>
        <v>#REF!</v>
      </c>
      <c r="O29" s="113" t="e">
        <f ca="1"/>
        <v>#REF!</v>
      </c>
      <c r="P29" s="113" t="e">
        <f ca="1"/>
        <v>#REF!</v>
      </c>
      <c r="Q29" s="113" t="e">
        <f ca="1"/>
        <v>#REF!</v>
      </c>
      <c r="R29" s="113" t="e">
        <f ca="1"/>
        <v>#REF!</v>
      </c>
      <c r="S29" s="113" t="e">
        <f ca="1"/>
        <v>#REF!</v>
      </c>
      <c r="T29" s="113" t="e">
        <f ca="1"/>
        <v>#REF!</v>
      </c>
      <c r="U29" s="113" t="e">
        <f ca="1"/>
        <v>#REF!</v>
      </c>
      <c r="V29" s="113" t="e">
        <f ca="1"/>
        <v>#REF!</v>
      </c>
      <c r="W29" s="113" t="e">
        <f ca="1"/>
        <v>#REF!</v>
      </c>
      <c r="X29" s="113" t="e">
        <f ca="1"/>
        <v>#REF!</v>
      </c>
      <c r="Y29" s="113" t="e">
        <f ca="1"/>
        <v>#REF!</v>
      </c>
      <c r="Z29" s="113" t="e">
        <f ca="1"/>
        <v>#REF!</v>
      </c>
      <c r="AA29" s="113"/>
      <c r="AB29" s="113"/>
      <c r="AC29" s="113"/>
      <c r="AD29" s="113"/>
      <c r="AE29" s="113" t="str">
        <f ca="1">IFERROR(__xludf.DUMMYFUNCTION("""COMPUTED_VALUE"""),"Integral")</f>
        <v>Integral</v>
      </c>
      <c r="AF29" s="113" t="str">
        <f ca="1">IFERROR(__xludf.DUMMYFUNCTION("""COMPUTED_VALUE"""),"FE")</f>
        <v>FE</v>
      </c>
      <c r="AG29" s="113">
        <f ca="1">IFERROR(__xludf.DUMMYFUNCTION("""COMPUTED_VALUE"""),0)</f>
        <v>0</v>
      </c>
      <c r="AH29" s="113">
        <f ca="1">IFERROR(__xludf.DUMMYFUNCTION("""COMPUTED_VALUE"""),0)</f>
        <v>0</v>
      </c>
      <c r="AI29" s="113">
        <f ca="1">IFERROR(__xludf.DUMMYFUNCTION("""COMPUTED_VALUE"""),0)</f>
        <v>0</v>
      </c>
      <c r="AJ29" s="113">
        <f ca="1">IFERROR(__xludf.DUMMYFUNCTION("""COMPUTED_VALUE"""),30)</f>
        <v>30</v>
      </c>
      <c r="AK29" s="113"/>
      <c r="AL29" s="116"/>
    </row>
    <row r="30" spans="1:38" ht="12.75">
      <c r="A30" s="112" t="str">
        <f ca="1">IFERROR(__xludf.DUMMYFUNCTION("""COMPUTED_VALUE"""),"17005299")</f>
        <v>17005299</v>
      </c>
      <c r="B30" s="113" t="str">
        <f ca="1">IFERROR(__xludf.DUMMYFUNCTION("""COMPUTED_VALUE"""),"Araguaina")</f>
        <v>Araguaina</v>
      </c>
      <c r="C30" s="113" t="str">
        <f ca="1">IFERROR(__xludf.DUMMYFUNCTION("""COMPUTED_VALUE"""),"Araguaina")</f>
        <v>Araguaina</v>
      </c>
      <c r="D30" s="114" t="str">
        <f ca="1">IFERROR(__xludf.DUMMYFUNCTION("""COMPUTED_VALUE"""),"A.A. ESC. EST. DEP.FED.JOSE A. DE ASSIS")</f>
        <v>A.A. ESC. EST. DEP.FED.JOSE A. DE ASSIS</v>
      </c>
      <c r="E30" s="113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5" t="str">
        <f ca="1">IFERROR(__xludf.DUMMYFUNCTION("""COMPUTED_VALUE"""),"17005299")</f>
        <v>17005299</v>
      </c>
      <c r="G30" s="113" t="str">
        <f ca="1">IFERROR(__xludf.DUMMYFUNCTION("""COMPUTED_VALUE"""),"01186464000105")</f>
        <v>01186464000105</v>
      </c>
      <c r="H30" s="115" t="str">
        <f ca="1">IFERROR(__xludf.DUMMYFUNCTION("""COMPUTED_VALUE"""),"001")</f>
        <v>001</v>
      </c>
      <c r="I30" s="115" t="str">
        <f ca="1">IFERROR(__xludf.DUMMYFUNCTION("""COMPUTED_VALUE"""),"0638")</f>
        <v>0638</v>
      </c>
      <c r="J30" s="115" t="str">
        <f ca="1">IFERROR(__xludf.DUMMYFUNCTION("""COMPUTED_VALUE"""),"465089")</f>
        <v>465089</v>
      </c>
      <c r="K30" s="113" t="e">
        <f ca="1"/>
        <v>#REF!</v>
      </c>
      <c r="L30" s="113" t="e">
        <f ca="1"/>
        <v>#REF!</v>
      </c>
      <c r="M30" s="113" t="e">
        <f ca="1"/>
        <v>#REF!</v>
      </c>
      <c r="N30" s="113" t="e">
        <f ca="1"/>
        <v>#REF!</v>
      </c>
      <c r="O30" s="113" t="e">
        <f ca="1"/>
        <v>#REF!</v>
      </c>
      <c r="P30" s="113" t="e">
        <f ca="1"/>
        <v>#REF!</v>
      </c>
      <c r="Q30" s="113" t="e">
        <f ca="1"/>
        <v>#REF!</v>
      </c>
      <c r="R30" s="113" t="e">
        <f ca="1"/>
        <v>#REF!</v>
      </c>
      <c r="S30" s="113" t="e">
        <f ca="1"/>
        <v>#REF!</v>
      </c>
      <c r="T30" s="113" t="e">
        <f ca="1"/>
        <v>#REF!</v>
      </c>
      <c r="U30" s="113" t="e">
        <f ca="1"/>
        <v>#REF!</v>
      </c>
      <c r="V30" s="113" t="e">
        <f ca="1"/>
        <v>#REF!</v>
      </c>
      <c r="W30" s="113" t="e">
        <f ca="1"/>
        <v>#REF!</v>
      </c>
      <c r="X30" s="113" t="e">
        <f ca="1"/>
        <v>#REF!</v>
      </c>
      <c r="Y30" s="113" t="e">
        <f ca="1"/>
        <v>#REF!</v>
      </c>
      <c r="Z30" s="113" t="e">
        <f ca="1"/>
        <v>#REF!</v>
      </c>
      <c r="AA30" s="113"/>
      <c r="AB30" s="113"/>
      <c r="AC30" s="113"/>
      <c r="AD30" s="113" t="str">
        <f ca="1">IFERROR(__xludf.DUMMYFUNCTION("""COMPUTED_VALUE"""),"E.M. INTEGRADO")</f>
        <v>E.M. INTEGRADO</v>
      </c>
      <c r="AE30" s="113" t="str">
        <f ca="1">IFERROR(__xludf.DUMMYFUNCTION("""COMPUTED_VALUE"""),"Parcial")</f>
        <v>Parcial</v>
      </c>
      <c r="AF30" s="113" t="str">
        <f ca="1">IFERROR(__xludf.DUMMYFUNCTION("""COMPUTED_VALUE"""),"FE")</f>
        <v>FE</v>
      </c>
      <c r="AG30" s="113">
        <f ca="1">IFERROR(__xludf.DUMMYFUNCTION("""COMPUTED_VALUE"""),0)</f>
        <v>0</v>
      </c>
      <c r="AH30" s="113">
        <f ca="1">IFERROR(__xludf.DUMMYFUNCTION("""COMPUTED_VALUE"""),0)</f>
        <v>0</v>
      </c>
      <c r="AI30" s="113">
        <f ca="1">IFERROR(__xludf.DUMMYFUNCTION("""COMPUTED_VALUE"""),0)</f>
        <v>0</v>
      </c>
      <c r="AJ30" s="113">
        <f ca="1">IFERROR(__xludf.DUMMYFUNCTION("""COMPUTED_VALUE"""),0)</f>
        <v>0</v>
      </c>
      <c r="AK30" s="113"/>
      <c r="AL30" s="116"/>
    </row>
    <row r="31" spans="1:38" ht="12.75">
      <c r="A31" s="112" t="str">
        <f ca="1">IFERROR(__xludf.DUMMYFUNCTION("""COMPUTED_VALUE"""),"17004942")</f>
        <v>17004942</v>
      </c>
      <c r="B31" s="113" t="str">
        <f ca="1">IFERROR(__xludf.DUMMYFUNCTION("""COMPUTED_VALUE"""),"Araguaina")</f>
        <v>Araguaina</v>
      </c>
      <c r="C31" s="113" t="str">
        <f ca="1">IFERROR(__xludf.DUMMYFUNCTION("""COMPUTED_VALUE"""),"Araguaina")</f>
        <v>Araguaina</v>
      </c>
      <c r="D31" s="114" t="str">
        <f ca="1">IFERROR(__xludf.DUMMYFUNCTION("""COMPUTED_VALUE"""),"ASSOCIAÇÃO DE APOIO DA ESCOLA ESPECIAL RAIO DE LUZ APAE ARAGUAÍNA")</f>
        <v>ASSOCIAÇÃO DE APOIO DA ESCOLA ESPECIAL RAIO DE LUZ APAE ARAGUAÍNA</v>
      </c>
      <c r="E31" s="113" t="str">
        <f ca="1">IFERROR(__xludf.DUMMYFUNCTION("""COMPUTED_VALUE"""),"Escola Especial Raios de Luz - Apae")</f>
        <v>Escola Especial Raios de Luz - Apae</v>
      </c>
      <c r="F31" s="115" t="str">
        <f ca="1">IFERROR(__xludf.DUMMYFUNCTION("""COMPUTED_VALUE"""),"17004942")</f>
        <v>17004942</v>
      </c>
      <c r="G31" s="113" t="str">
        <f ca="1">IFERROR(__xludf.DUMMYFUNCTION("""COMPUTED_VALUE"""),"07953043000130")</f>
        <v>07953043000130</v>
      </c>
      <c r="H31" s="115" t="str">
        <f ca="1">IFERROR(__xludf.DUMMYFUNCTION("""COMPUTED_VALUE"""),"001")</f>
        <v>001</v>
      </c>
      <c r="I31" s="115" t="str">
        <f ca="1">IFERROR(__xludf.DUMMYFUNCTION("""COMPUTED_VALUE"""),"0638")</f>
        <v>0638</v>
      </c>
      <c r="J31" s="115" t="str">
        <f ca="1">IFERROR(__xludf.DUMMYFUNCTION("""COMPUTED_VALUE"""),"379921")</f>
        <v>379921</v>
      </c>
      <c r="K31" s="113" t="e">
        <f ca="1"/>
        <v>#REF!</v>
      </c>
      <c r="L31" s="113" t="e">
        <f ca="1"/>
        <v>#REF!</v>
      </c>
      <c r="M31" s="113" t="e">
        <f ca="1"/>
        <v>#REF!</v>
      </c>
      <c r="N31" s="113" t="e">
        <f ca="1"/>
        <v>#REF!</v>
      </c>
      <c r="O31" s="113" t="e">
        <f ca="1"/>
        <v>#REF!</v>
      </c>
      <c r="P31" s="113" t="e">
        <f ca="1"/>
        <v>#REF!</v>
      </c>
      <c r="Q31" s="113" t="e">
        <f ca="1"/>
        <v>#REF!</v>
      </c>
      <c r="R31" s="113" t="e">
        <f ca="1"/>
        <v>#REF!</v>
      </c>
      <c r="S31" s="113" t="e">
        <f ca="1"/>
        <v>#REF!</v>
      </c>
      <c r="T31" s="113" t="e">
        <f ca="1"/>
        <v>#REF!</v>
      </c>
      <c r="U31" s="113" t="e">
        <f ca="1"/>
        <v>#REF!</v>
      </c>
      <c r="V31" s="113" t="e">
        <f ca="1"/>
        <v>#REF!</v>
      </c>
      <c r="W31" s="113" t="e">
        <f ca="1"/>
        <v>#REF!</v>
      </c>
      <c r="X31" s="113" t="e">
        <f ca="1"/>
        <v>#REF!</v>
      </c>
      <c r="Y31" s="113" t="e">
        <f ca="1"/>
        <v>#REF!</v>
      </c>
      <c r="Z31" s="113" t="e">
        <f ca="1"/>
        <v>#REF!</v>
      </c>
      <c r="AA31" s="113"/>
      <c r="AB31" s="113"/>
      <c r="AC31" s="113"/>
      <c r="AD31" s="113"/>
      <c r="AE31" s="113" t="str">
        <f ca="1">IFERROR(__xludf.DUMMYFUNCTION("""COMPUTED_VALUE"""),"Parcial")</f>
        <v>Parcial</v>
      </c>
      <c r="AF31" s="113" t="str">
        <f ca="1">IFERROR(__xludf.DUMMYFUNCTION("""COMPUTED_VALUE"""),"FE")</f>
        <v>FE</v>
      </c>
      <c r="AG31" s="113">
        <f ca="1">IFERROR(__xludf.DUMMYFUNCTION("""COMPUTED_VALUE"""),0)</f>
        <v>0</v>
      </c>
      <c r="AH31" s="113">
        <f ca="1">IFERROR(__xludf.DUMMYFUNCTION("""COMPUTED_VALUE"""),0)</f>
        <v>0</v>
      </c>
      <c r="AI31" s="113">
        <f ca="1">IFERROR(__xludf.DUMMYFUNCTION("""COMPUTED_VALUE"""),0)</f>
        <v>0</v>
      </c>
      <c r="AJ31" s="113">
        <f ca="1">IFERROR(__xludf.DUMMYFUNCTION("""COMPUTED_VALUE"""),0)</f>
        <v>0</v>
      </c>
      <c r="AK31" s="113"/>
      <c r="AL31" s="116"/>
    </row>
    <row r="32" spans="1:38" ht="12.75">
      <c r="A32" s="112" t="str">
        <f ca="1">IFERROR(__xludf.DUMMYFUNCTION("""COMPUTED_VALUE"""),"17005230")</f>
        <v>17005230</v>
      </c>
      <c r="B32" s="113" t="str">
        <f ca="1">IFERROR(__xludf.DUMMYFUNCTION("""COMPUTED_VALUE"""),"Araguaina")</f>
        <v>Araguaina</v>
      </c>
      <c r="C32" s="113" t="str">
        <f ca="1">IFERROR(__xludf.DUMMYFUNCTION("""COMPUTED_VALUE"""),"Araguaina")</f>
        <v>Araguaina</v>
      </c>
      <c r="D32" s="114" t="str">
        <f ca="1">IFERROR(__xludf.DUMMYFUNCTION("""COMPUTED_VALUE"""),"A.A.  ESCOLA ESPIRITA ANDRE LUIZ")</f>
        <v>A.A.  ESCOLA ESPIRITA ANDRE LUIZ</v>
      </c>
      <c r="E32" s="113" t="str">
        <f ca="1">IFERROR(__xludf.DUMMYFUNCTION("""COMPUTED_VALUE"""),"Escola Espírita André Luiz")</f>
        <v>Escola Espírita André Luiz</v>
      </c>
      <c r="F32" s="115" t="str">
        <f ca="1">IFERROR(__xludf.DUMMYFUNCTION("""COMPUTED_VALUE"""),"17005230")</f>
        <v>17005230</v>
      </c>
      <c r="G32" s="113" t="str">
        <f ca="1">IFERROR(__xludf.DUMMYFUNCTION("""COMPUTED_VALUE"""),"01066416000175")</f>
        <v>01066416000175</v>
      </c>
      <c r="H32" s="115" t="str">
        <f ca="1">IFERROR(__xludf.DUMMYFUNCTION("""COMPUTED_VALUE"""),"001")</f>
        <v>001</v>
      </c>
      <c r="I32" s="115" t="str">
        <f ca="1">IFERROR(__xludf.DUMMYFUNCTION("""COMPUTED_VALUE"""),"0638")</f>
        <v>0638</v>
      </c>
      <c r="J32" s="115" t="str">
        <f ca="1">IFERROR(__xludf.DUMMYFUNCTION("""COMPUTED_VALUE"""),"463582")</f>
        <v>463582</v>
      </c>
      <c r="K32" s="113" t="e">
        <f ca="1"/>
        <v>#REF!</v>
      </c>
      <c r="L32" s="113" t="e">
        <f ca="1"/>
        <v>#REF!</v>
      </c>
      <c r="M32" s="113" t="e">
        <f ca="1"/>
        <v>#REF!</v>
      </c>
      <c r="N32" s="113" t="e">
        <f ca="1"/>
        <v>#REF!</v>
      </c>
      <c r="O32" s="113" t="e">
        <f ca="1"/>
        <v>#REF!</v>
      </c>
      <c r="P32" s="113" t="e">
        <f ca="1"/>
        <v>#REF!</v>
      </c>
      <c r="Q32" s="113" t="e">
        <f ca="1"/>
        <v>#REF!</v>
      </c>
      <c r="R32" s="113" t="e">
        <f ca="1"/>
        <v>#REF!</v>
      </c>
      <c r="S32" s="113" t="e">
        <f ca="1"/>
        <v>#REF!</v>
      </c>
      <c r="T32" s="113" t="e">
        <f ca="1"/>
        <v>#REF!</v>
      </c>
      <c r="U32" s="113" t="e">
        <f ca="1"/>
        <v>#REF!</v>
      </c>
      <c r="V32" s="113" t="e">
        <f ca="1"/>
        <v>#REF!</v>
      </c>
      <c r="W32" s="113" t="e">
        <f ca="1"/>
        <v>#REF!</v>
      </c>
      <c r="X32" s="113" t="e">
        <f ca="1"/>
        <v>#REF!</v>
      </c>
      <c r="Y32" s="113" t="e">
        <f ca="1"/>
        <v>#REF!</v>
      </c>
      <c r="Z32" s="113" t="e">
        <f ca="1"/>
        <v>#REF!</v>
      </c>
      <c r="AA32" s="113"/>
      <c r="AB32" s="113"/>
      <c r="AC32" s="113"/>
      <c r="AD32" s="113"/>
      <c r="AE32" s="113" t="str">
        <f ca="1">IFERROR(__xludf.DUMMYFUNCTION("""COMPUTED_VALUE"""),"Parcial")</f>
        <v>Parcial</v>
      </c>
      <c r="AF32" s="113" t="str">
        <f ca="1">IFERROR(__xludf.DUMMYFUNCTION("""COMPUTED_VALUE"""),"FE")</f>
        <v>FE</v>
      </c>
      <c r="AG32" s="113">
        <f ca="1">IFERROR(__xludf.DUMMYFUNCTION("""COMPUTED_VALUE"""),0)</f>
        <v>0</v>
      </c>
      <c r="AH32" s="113">
        <f ca="1">IFERROR(__xludf.DUMMYFUNCTION("""COMPUTED_VALUE"""),0)</f>
        <v>0</v>
      </c>
      <c r="AI32" s="113">
        <f ca="1">IFERROR(__xludf.DUMMYFUNCTION("""COMPUTED_VALUE"""),0)</f>
        <v>0</v>
      </c>
      <c r="AJ32" s="113">
        <f ca="1">IFERROR(__xludf.DUMMYFUNCTION("""COMPUTED_VALUE"""),14)</f>
        <v>14</v>
      </c>
      <c r="AK32" s="113"/>
      <c r="AL32" s="116"/>
    </row>
    <row r="33" spans="1:38" ht="12.75">
      <c r="A33" s="112" t="str">
        <f ca="1">IFERROR(__xludf.DUMMYFUNCTION("""COMPUTED_VALUE"""),"17005329")</f>
        <v>17005329</v>
      </c>
      <c r="B33" s="113" t="str">
        <f ca="1">IFERROR(__xludf.DUMMYFUNCTION("""COMPUTED_VALUE"""),"Araguaina")</f>
        <v>Araguaina</v>
      </c>
      <c r="C33" s="113" t="str">
        <f ca="1">IFERROR(__xludf.DUMMYFUNCTION("""COMPUTED_VALUE"""),"Araguaina")</f>
        <v>Araguaina</v>
      </c>
      <c r="D33" s="114" t="str">
        <f ca="1">IFERROR(__xludf.DUMMYFUNCTION("""COMPUTED_VALUE"""),"A.A. ESC. E.FRANCISCO MAXIMO DE SOUZA")</f>
        <v>A.A. ESC. E.FRANCISCO MAXIMO DE SOUZA</v>
      </c>
      <c r="E33" s="113" t="str">
        <f ca="1">IFERROR(__xludf.DUMMYFUNCTION("""COMPUTED_VALUE"""),"Escola Estadual Francisco Máximo de Sousa")</f>
        <v>Escola Estadual Francisco Máximo de Sousa</v>
      </c>
      <c r="F33" s="115" t="str">
        <f ca="1">IFERROR(__xludf.DUMMYFUNCTION("""COMPUTED_VALUE"""),"17005329")</f>
        <v>17005329</v>
      </c>
      <c r="G33" s="113" t="str">
        <f ca="1">IFERROR(__xludf.DUMMYFUNCTION("""COMPUTED_VALUE"""),"01345127000105")</f>
        <v>01345127000105</v>
      </c>
      <c r="H33" s="115" t="str">
        <f ca="1">IFERROR(__xludf.DUMMYFUNCTION("""COMPUTED_VALUE"""),"001")</f>
        <v>001</v>
      </c>
      <c r="I33" s="115" t="str">
        <f ca="1">IFERROR(__xludf.DUMMYFUNCTION("""COMPUTED_VALUE"""),"0638")</f>
        <v>0638</v>
      </c>
      <c r="J33" s="115" t="str">
        <f ca="1">IFERROR(__xludf.DUMMYFUNCTION("""COMPUTED_VALUE"""),"0463167")</f>
        <v>0463167</v>
      </c>
      <c r="K33" s="113" t="e">
        <f ca="1"/>
        <v>#REF!</v>
      </c>
      <c r="L33" s="113" t="e">
        <f ca="1"/>
        <v>#REF!</v>
      </c>
      <c r="M33" s="113" t="e">
        <f ca="1"/>
        <v>#REF!</v>
      </c>
      <c r="N33" s="113" t="e">
        <f ca="1"/>
        <v>#REF!</v>
      </c>
      <c r="O33" s="113" t="e">
        <f ca="1"/>
        <v>#REF!</v>
      </c>
      <c r="P33" s="113" t="e">
        <f ca="1"/>
        <v>#REF!</v>
      </c>
      <c r="Q33" s="113" t="e">
        <f ca="1"/>
        <v>#REF!</v>
      </c>
      <c r="R33" s="113" t="e">
        <f ca="1"/>
        <v>#REF!</v>
      </c>
      <c r="S33" s="113" t="e">
        <f ca="1"/>
        <v>#REF!</v>
      </c>
      <c r="T33" s="113" t="e">
        <f ca="1"/>
        <v>#REF!</v>
      </c>
      <c r="U33" s="113" t="e">
        <f ca="1"/>
        <v>#REF!</v>
      </c>
      <c r="V33" s="113" t="e">
        <f ca="1"/>
        <v>#REF!</v>
      </c>
      <c r="W33" s="113" t="e">
        <f ca="1"/>
        <v>#REF!</v>
      </c>
      <c r="X33" s="113" t="e">
        <f ca="1"/>
        <v>#REF!</v>
      </c>
      <c r="Y33" s="113" t="e">
        <f ca="1"/>
        <v>#REF!</v>
      </c>
      <c r="Z33" s="113" t="e">
        <f ca="1"/>
        <v>#REF!</v>
      </c>
      <c r="AA33" s="113"/>
      <c r="AB33" s="113"/>
      <c r="AC33" s="113"/>
      <c r="AD33" s="113"/>
      <c r="AE33" s="113" t="str">
        <f ca="1">IFERROR(__xludf.DUMMYFUNCTION("""COMPUTED_VALUE"""),"Parcial")</f>
        <v>Parcial</v>
      </c>
      <c r="AF33" s="113" t="str">
        <f ca="1">IFERROR(__xludf.DUMMYFUNCTION("""COMPUTED_VALUE"""),"FE")</f>
        <v>FE</v>
      </c>
      <c r="AG33" s="113">
        <f ca="1">IFERROR(__xludf.DUMMYFUNCTION("""COMPUTED_VALUE"""),0)</f>
        <v>0</v>
      </c>
      <c r="AH33" s="113">
        <f ca="1">IFERROR(__xludf.DUMMYFUNCTION("""COMPUTED_VALUE"""),0)</f>
        <v>0</v>
      </c>
      <c r="AI33" s="113">
        <f ca="1">IFERROR(__xludf.DUMMYFUNCTION("""COMPUTED_VALUE"""),0)</f>
        <v>0</v>
      </c>
      <c r="AJ33" s="113">
        <f ca="1">IFERROR(__xludf.DUMMYFUNCTION("""COMPUTED_VALUE"""),0)</f>
        <v>0</v>
      </c>
      <c r="AK33" s="113"/>
      <c r="AL33" s="116"/>
    </row>
    <row r="34" spans="1:38" ht="12.75">
      <c r="A34" s="112" t="str">
        <f ca="1">IFERROR(__xludf.DUMMYFUNCTION("""COMPUTED_VALUE"""),"17005027")</f>
        <v>17005027</v>
      </c>
      <c r="B34" s="113" t="str">
        <f ca="1">IFERROR(__xludf.DUMMYFUNCTION("""COMPUTED_VALUE"""),"Araguaina")</f>
        <v>Araguaina</v>
      </c>
      <c r="C34" s="113" t="str">
        <f ca="1">IFERROR(__xludf.DUMMYFUNCTION("""COMPUTED_VALUE"""),"Araguaina")</f>
        <v>Araguaina</v>
      </c>
      <c r="D34" s="114" t="str">
        <f ca="1">IFERROR(__xludf.DUMMYFUNCTION("""COMPUTED_VALUE"""),"ASS. COM. COL EST. SANCHA FERREIRA")</f>
        <v>ASS. COM. COL EST. SANCHA FERREIRA</v>
      </c>
      <c r="E34" s="113" t="str">
        <f ca="1">IFERROR(__xludf.DUMMYFUNCTION("""COMPUTED_VALUE"""),"Escola Estadual Girassol de Tempo Integral Sancha Ferreira")</f>
        <v>Escola Estadual Girassol de Tempo Integral Sancha Ferreira</v>
      </c>
      <c r="F34" s="115" t="str">
        <f ca="1">IFERROR(__xludf.DUMMYFUNCTION("""COMPUTED_VALUE"""),"17005027")</f>
        <v>17005027</v>
      </c>
      <c r="G34" s="113" t="str">
        <f ca="1">IFERROR(__xludf.DUMMYFUNCTION("""COMPUTED_VALUE"""),"01338702000142")</f>
        <v>01338702000142</v>
      </c>
      <c r="H34" s="115" t="str">
        <f ca="1">IFERROR(__xludf.DUMMYFUNCTION("""COMPUTED_VALUE"""),"001")</f>
        <v>001</v>
      </c>
      <c r="I34" s="115" t="str">
        <f ca="1">IFERROR(__xludf.DUMMYFUNCTION("""COMPUTED_VALUE"""),"0638")</f>
        <v>0638</v>
      </c>
      <c r="J34" s="115" t="str">
        <f ca="1">IFERROR(__xludf.DUMMYFUNCTION("""COMPUTED_VALUE"""),"0466913")</f>
        <v>0466913</v>
      </c>
      <c r="K34" s="113" t="e">
        <f ca="1"/>
        <v>#REF!</v>
      </c>
      <c r="L34" s="113" t="e">
        <f ca="1"/>
        <v>#REF!</v>
      </c>
      <c r="M34" s="113" t="e">
        <f ca="1"/>
        <v>#REF!</v>
      </c>
      <c r="N34" s="113" t="e">
        <f ca="1"/>
        <v>#REF!</v>
      </c>
      <c r="O34" s="113" t="e">
        <f ca="1"/>
        <v>#REF!</v>
      </c>
      <c r="P34" s="113" t="e">
        <f ca="1"/>
        <v>#REF!</v>
      </c>
      <c r="Q34" s="113" t="e">
        <f ca="1"/>
        <v>#REF!</v>
      </c>
      <c r="R34" s="113" t="e">
        <f ca="1"/>
        <v>#REF!</v>
      </c>
      <c r="S34" s="113" t="e">
        <f ca="1"/>
        <v>#REF!</v>
      </c>
      <c r="T34" s="113" t="e">
        <f ca="1"/>
        <v>#REF!</v>
      </c>
      <c r="U34" s="113" t="e">
        <f ca="1"/>
        <v>#REF!</v>
      </c>
      <c r="V34" s="113" t="e">
        <f ca="1"/>
        <v>#REF!</v>
      </c>
      <c r="W34" s="113" t="e">
        <f ca="1"/>
        <v>#REF!</v>
      </c>
      <c r="X34" s="113" t="e">
        <f ca="1"/>
        <v>#REF!</v>
      </c>
      <c r="Y34" s="113" t="e">
        <f ca="1"/>
        <v>#REF!</v>
      </c>
      <c r="Z34" s="113" t="e">
        <f ca="1"/>
        <v>#REF!</v>
      </c>
      <c r="AA34" s="113"/>
      <c r="AB34" s="113"/>
      <c r="AC34" s="113"/>
      <c r="AD34" s="113"/>
      <c r="AE34" s="113" t="str">
        <f ca="1">IFERROR(__xludf.DUMMYFUNCTION("""COMPUTED_VALUE"""),"Parcial")</f>
        <v>Parcial</v>
      </c>
      <c r="AF34" s="113" t="str">
        <f ca="1">IFERROR(__xludf.DUMMYFUNCTION("""COMPUTED_VALUE"""),"FE")</f>
        <v>FE</v>
      </c>
      <c r="AG34" s="113">
        <f ca="1">IFERROR(__xludf.DUMMYFUNCTION("""COMPUTED_VALUE"""),0)</f>
        <v>0</v>
      </c>
      <c r="AH34" s="113">
        <f ca="1">IFERROR(__xludf.DUMMYFUNCTION("""COMPUTED_VALUE"""),0)</f>
        <v>0</v>
      </c>
      <c r="AI34" s="113">
        <f ca="1">IFERROR(__xludf.DUMMYFUNCTION("""COMPUTED_VALUE"""),0)</f>
        <v>0</v>
      </c>
      <c r="AJ34" s="113">
        <f ca="1">IFERROR(__xludf.DUMMYFUNCTION("""COMPUTED_VALUE"""),12)</f>
        <v>12</v>
      </c>
      <c r="AK34" s="113"/>
      <c r="AL34" s="116"/>
    </row>
    <row r="35" spans="1:38" ht="12.75">
      <c r="A35" s="112" t="str">
        <f ca="1">IFERROR(__xludf.DUMMYFUNCTION("""COMPUTED_VALUE"""),"17005345")</f>
        <v>17005345</v>
      </c>
      <c r="B35" s="113" t="str">
        <f ca="1">IFERROR(__xludf.DUMMYFUNCTION("""COMPUTED_VALUE"""),"Araguaina")</f>
        <v>Araguaina</v>
      </c>
      <c r="C35" s="113" t="str">
        <f ca="1">IFERROR(__xludf.DUMMYFUNCTION("""COMPUTED_VALUE"""),"Araguaina")</f>
        <v>Araguaina</v>
      </c>
      <c r="D35" s="114" t="str">
        <f ca="1">IFERROR(__xludf.DUMMYFUNCTION("""COMPUTED_VALUE"""),"A.A. ESC. HENRIQUE CIRQUEIRA AMORIM")</f>
        <v>A.A. ESC. HENRIQUE CIRQUEIRA AMORIM</v>
      </c>
      <c r="E35" s="113" t="str">
        <f ca="1">IFERROR(__xludf.DUMMYFUNCTION("""COMPUTED_VALUE"""),"Escola Estadual Henrique Cirqueira Amorim")</f>
        <v>Escola Estadual Henrique Cirqueira Amorim</v>
      </c>
      <c r="F35" s="115" t="str">
        <f ca="1">IFERROR(__xludf.DUMMYFUNCTION("""COMPUTED_VALUE"""),"17005345")</f>
        <v>17005345</v>
      </c>
      <c r="G35" s="113" t="str">
        <f ca="1">IFERROR(__xludf.DUMMYFUNCTION("""COMPUTED_VALUE"""),"01088234000103")</f>
        <v>01088234000103</v>
      </c>
      <c r="H35" s="115" t="str">
        <f ca="1">IFERROR(__xludf.DUMMYFUNCTION("""COMPUTED_VALUE"""),"001")</f>
        <v>001</v>
      </c>
      <c r="I35" s="115" t="str">
        <f ca="1">IFERROR(__xludf.DUMMYFUNCTION("""COMPUTED_VALUE"""),"0638")</f>
        <v>0638</v>
      </c>
      <c r="J35" s="115" t="str">
        <f ca="1">IFERROR(__xludf.DUMMYFUNCTION("""COMPUTED_VALUE"""),"0465194")</f>
        <v>0465194</v>
      </c>
      <c r="K35" s="113" t="e">
        <f ca="1"/>
        <v>#REF!</v>
      </c>
      <c r="L35" s="113" t="e">
        <f ca="1"/>
        <v>#REF!</v>
      </c>
      <c r="M35" s="113" t="e">
        <f ca="1"/>
        <v>#REF!</v>
      </c>
      <c r="N35" s="113" t="e">
        <f ca="1"/>
        <v>#REF!</v>
      </c>
      <c r="O35" s="113" t="e">
        <f ca="1"/>
        <v>#REF!</v>
      </c>
      <c r="P35" s="113" t="e">
        <f ca="1"/>
        <v>#REF!</v>
      </c>
      <c r="Q35" s="113" t="e">
        <f ca="1"/>
        <v>#REF!</v>
      </c>
      <c r="R35" s="113" t="e">
        <f ca="1"/>
        <v>#REF!</v>
      </c>
      <c r="S35" s="113" t="e">
        <f ca="1"/>
        <v>#REF!</v>
      </c>
      <c r="T35" s="113" t="e">
        <f ca="1"/>
        <v>#REF!</v>
      </c>
      <c r="U35" s="113" t="e">
        <f ca="1"/>
        <v>#REF!</v>
      </c>
      <c r="V35" s="113" t="e">
        <f ca="1"/>
        <v>#REF!</v>
      </c>
      <c r="W35" s="113" t="e">
        <f ca="1"/>
        <v>#REF!</v>
      </c>
      <c r="X35" s="113" t="e">
        <f ca="1"/>
        <v>#REF!</v>
      </c>
      <c r="Y35" s="113" t="e">
        <f ca="1"/>
        <v>#REF!</v>
      </c>
      <c r="Z35" s="113" t="e">
        <f ca="1"/>
        <v>#REF!</v>
      </c>
      <c r="AA35" s="113"/>
      <c r="AB35" s="113"/>
      <c r="AC35" s="113"/>
      <c r="AD35" s="113"/>
      <c r="AE35" s="113" t="str">
        <f ca="1">IFERROR(__xludf.DUMMYFUNCTION("""COMPUTED_VALUE"""),"Parcial")</f>
        <v>Parcial</v>
      </c>
      <c r="AF35" s="113" t="str">
        <f ca="1">IFERROR(__xludf.DUMMYFUNCTION("""COMPUTED_VALUE"""),"FE")</f>
        <v>FE</v>
      </c>
      <c r="AG35" s="113">
        <f ca="1">IFERROR(__xludf.DUMMYFUNCTION("""COMPUTED_VALUE"""),0)</f>
        <v>0</v>
      </c>
      <c r="AH35" s="113">
        <f ca="1">IFERROR(__xludf.DUMMYFUNCTION("""COMPUTED_VALUE"""),0)</f>
        <v>0</v>
      </c>
      <c r="AI35" s="113">
        <f ca="1">IFERROR(__xludf.DUMMYFUNCTION("""COMPUTED_VALUE"""),0)</f>
        <v>0</v>
      </c>
      <c r="AJ35" s="113">
        <f ca="1">IFERROR(__xludf.DUMMYFUNCTION("""COMPUTED_VALUE"""),0)</f>
        <v>0</v>
      </c>
      <c r="AK35" s="113"/>
      <c r="AL35" s="116"/>
    </row>
    <row r="36" spans="1:38" ht="12.75">
      <c r="A36" s="112" t="str">
        <f ca="1">IFERROR(__xludf.DUMMYFUNCTION("""COMPUTED_VALUE"""),"17005353")</f>
        <v>17005353</v>
      </c>
      <c r="B36" s="113" t="str">
        <f ca="1">IFERROR(__xludf.DUMMYFUNCTION("""COMPUTED_VALUE"""),"Araguaina")</f>
        <v>Araguaina</v>
      </c>
      <c r="C36" s="113" t="str">
        <f ca="1">IFERROR(__xludf.DUMMYFUNCTION("""COMPUTED_VALUE"""),"Araguaina")</f>
        <v>Araguaina</v>
      </c>
      <c r="D36" s="114" t="str">
        <f ca="1">IFERROR(__xludf.DUMMYFUNCTION("""COMPUTED_VALUE"""),"A.A. ESC. EST. JOAO GUILHERME L. KUNZE")</f>
        <v>A.A. ESC. EST. JOAO GUILHERME L. KUNZE</v>
      </c>
      <c r="E36" s="113" t="str">
        <f ca="1">IFERROR(__xludf.DUMMYFUNCTION("""COMPUTED_VALUE"""),"Escola Estadual João Guilherme Leite Kunze")</f>
        <v>Escola Estadual João Guilherme Leite Kunze</v>
      </c>
      <c r="F36" s="115" t="str">
        <f ca="1">IFERROR(__xludf.DUMMYFUNCTION("""COMPUTED_VALUE"""),"17005353")</f>
        <v>17005353</v>
      </c>
      <c r="G36" s="113" t="str">
        <f ca="1">IFERROR(__xludf.DUMMYFUNCTION("""COMPUTED_VALUE"""),"01071400000150")</f>
        <v>01071400000150</v>
      </c>
      <c r="H36" s="115" t="str">
        <f ca="1">IFERROR(__xludf.DUMMYFUNCTION("""COMPUTED_VALUE"""),"001")</f>
        <v>001</v>
      </c>
      <c r="I36" s="115" t="str">
        <f ca="1">IFERROR(__xludf.DUMMYFUNCTION("""COMPUTED_VALUE"""),"0638")</f>
        <v>0638</v>
      </c>
      <c r="J36" s="115" t="str">
        <f ca="1">IFERROR(__xludf.DUMMYFUNCTION("""COMPUTED_VALUE"""),"0463639")</f>
        <v>0463639</v>
      </c>
      <c r="K36" s="113" t="e">
        <f ca="1"/>
        <v>#REF!</v>
      </c>
      <c r="L36" s="113" t="e">
        <f ca="1"/>
        <v>#REF!</v>
      </c>
      <c r="M36" s="113" t="e">
        <f ca="1"/>
        <v>#REF!</v>
      </c>
      <c r="N36" s="113" t="e">
        <f ca="1"/>
        <v>#REF!</v>
      </c>
      <c r="O36" s="113" t="e">
        <f ca="1"/>
        <v>#REF!</v>
      </c>
      <c r="P36" s="113" t="e">
        <f ca="1"/>
        <v>#REF!</v>
      </c>
      <c r="Q36" s="113" t="e">
        <f ca="1"/>
        <v>#REF!</v>
      </c>
      <c r="R36" s="113" t="e">
        <f ca="1"/>
        <v>#REF!</v>
      </c>
      <c r="S36" s="113" t="e">
        <f ca="1"/>
        <v>#REF!</v>
      </c>
      <c r="T36" s="113" t="e">
        <f ca="1"/>
        <v>#REF!</v>
      </c>
      <c r="U36" s="113" t="e">
        <f ca="1"/>
        <v>#REF!</v>
      </c>
      <c r="V36" s="113" t="e">
        <f ca="1"/>
        <v>#REF!</v>
      </c>
      <c r="W36" s="113" t="e">
        <f ca="1"/>
        <v>#REF!</v>
      </c>
      <c r="X36" s="113" t="e">
        <f ca="1"/>
        <v>#REF!</v>
      </c>
      <c r="Y36" s="113" t="e">
        <f ca="1"/>
        <v>#REF!</v>
      </c>
      <c r="Z36" s="113" t="e">
        <f ca="1"/>
        <v>#REF!</v>
      </c>
      <c r="AA36" s="113"/>
      <c r="AB36" s="113"/>
      <c r="AC36" s="113"/>
      <c r="AD36" s="113"/>
      <c r="AE36" s="113" t="str">
        <f ca="1">IFERROR(__xludf.DUMMYFUNCTION("""COMPUTED_VALUE"""),"Parcial")</f>
        <v>Parcial</v>
      </c>
      <c r="AF36" s="113" t="str">
        <f ca="1">IFERROR(__xludf.DUMMYFUNCTION("""COMPUTED_VALUE"""),"FE")</f>
        <v>FE</v>
      </c>
      <c r="AG36" s="113">
        <f ca="1">IFERROR(__xludf.DUMMYFUNCTION("""COMPUTED_VALUE"""),0)</f>
        <v>0</v>
      </c>
      <c r="AH36" s="113">
        <f ca="1">IFERROR(__xludf.DUMMYFUNCTION("""COMPUTED_VALUE"""),0)</f>
        <v>0</v>
      </c>
      <c r="AI36" s="113">
        <f ca="1">IFERROR(__xludf.DUMMYFUNCTION("""COMPUTED_VALUE"""),0)</f>
        <v>0</v>
      </c>
      <c r="AJ36" s="113">
        <f ca="1">IFERROR(__xludf.DUMMYFUNCTION("""COMPUTED_VALUE"""),0)</f>
        <v>0</v>
      </c>
      <c r="AK36" s="113"/>
      <c r="AL36" s="116"/>
    </row>
    <row r="37" spans="1:38" ht="12.75">
      <c r="A37" s="112" t="str">
        <f ca="1">IFERROR(__xludf.DUMMYFUNCTION("""COMPUTED_VALUE"""),"17005400")</f>
        <v>17005400</v>
      </c>
      <c r="B37" s="113" t="str">
        <f ca="1">IFERROR(__xludf.DUMMYFUNCTION("""COMPUTED_VALUE"""),"Araguaina")</f>
        <v>Araguaina</v>
      </c>
      <c r="C37" s="113" t="str">
        <f ca="1">IFERROR(__xludf.DUMMYFUNCTION("""COMPUTED_VALUE"""),"Araguaina")</f>
        <v>Araguaina</v>
      </c>
      <c r="D37" s="114" t="str">
        <f ca="1">IFERROR(__xludf.DUMMYFUNCTION("""COMPUTED_VALUE"""),"A.A. ESC. EST. MANOEL GOMES DA CUNHA")</f>
        <v>A.A. ESC. EST. MANOEL GOMES DA CUNHA</v>
      </c>
      <c r="E37" s="113" t="str">
        <f ca="1">IFERROR(__xludf.DUMMYFUNCTION("""COMPUTED_VALUE"""),"Escola Estadual Manoel Gomes da Cunha")</f>
        <v>Escola Estadual Manoel Gomes da Cunha</v>
      </c>
      <c r="F37" s="115" t="str">
        <f ca="1">IFERROR(__xludf.DUMMYFUNCTION("""COMPUTED_VALUE"""),"17005400")</f>
        <v>17005400</v>
      </c>
      <c r="G37" s="113" t="str">
        <f ca="1">IFERROR(__xludf.DUMMYFUNCTION("""COMPUTED_VALUE"""),"01443216000194")</f>
        <v>01443216000194</v>
      </c>
      <c r="H37" s="115" t="str">
        <f ca="1">IFERROR(__xludf.DUMMYFUNCTION("""COMPUTED_VALUE"""),"001")</f>
        <v>001</v>
      </c>
      <c r="I37" s="115" t="str">
        <f ca="1">IFERROR(__xludf.DUMMYFUNCTION("""COMPUTED_VALUE"""),"0638")</f>
        <v>0638</v>
      </c>
      <c r="J37" s="115" t="str">
        <f ca="1">IFERROR(__xludf.DUMMYFUNCTION("""COMPUTED_VALUE"""),"0468355")</f>
        <v>0468355</v>
      </c>
      <c r="K37" s="113" t="e">
        <f ca="1"/>
        <v>#REF!</v>
      </c>
      <c r="L37" s="113" t="e">
        <f ca="1"/>
        <v>#REF!</v>
      </c>
      <c r="M37" s="113" t="e">
        <f ca="1"/>
        <v>#REF!</v>
      </c>
      <c r="N37" s="113" t="e">
        <f ca="1"/>
        <v>#REF!</v>
      </c>
      <c r="O37" s="113" t="e">
        <f ca="1"/>
        <v>#REF!</v>
      </c>
      <c r="P37" s="113" t="e">
        <f ca="1"/>
        <v>#REF!</v>
      </c>
      <c r="Q37" s="113" t="e">
        <f ca="1"/>
        <v>#REF!</v>
      </c>
      <c r="R37" s="113" t="e">
        <f ca="1"/>
        <v>#REF!</v>
      </c>
      <c r="S37" s="113" t="e">
        <f ca="1"/>
        <v>#REF!</v>
      </c>
      <c r="T37" s="113" t="e">
        <f ca="1"/>
        <v>#REF!</v>
      </c>
      <c r="U37" s="113" t="e">
        <f ca="1"/>
        <v>#REF!</v>
      </c>
      <c r="V37" s="113" t="e">
        <f ca="1"/>
        <v>#REF!</v>
      </c>
      <c r="W37" s="113" t="e">
        <f ca="1"/>
        <v>#REF!</v>
      </c>
      <c r="X37" s="113" t="e">
        <f ca="1"/>
        <v>#REF!</v>
      </c>
      <c r="Y37" s="113" t="e">
        <f ca="1"/>
        <v>#REF!</v>
      </c>
      <c r="Z37" s="113" t="e">
        <f ca="1"/>
        <v>#REF!</v>
      </c>
      <c r="AA37" s="113"/>
      <c r="AB37" s="113"/>
      <c r="AC37" s="113"/>
      <c r="AD37" s="113"/>
      <c r="AE37" s="113" t="str">
        <f ca="1">IFERROR(__xludf.DUMMYFUNCTION("""COMPUTED_VALUE"""),"Integral")</f>
        <v>Integral</v>
      </c>
      <c r="AF37" s="113" t="str">
        <f ca="1">IFERROR(__xludf.DUMMYFUNCTION("""COMPUTED_VALUE"""),"FE")</f>
        <v>FE</v>
      </c>
      <c r="AG37" s="113">
        <f ca="1">IFERROR(__xludf.DUMMYFUNCTION("""COMPUTED_VALUE"""),0)</f>
        <v>0</v>
      </c>
      <c r="AH37" s="113">
        <f ca="1">IFERROR(__xludf.DUMMYFUNCTION("""COMPUTED_VALUE"""),0)</f>
        <v>0</v>
      </c>
      <c r="AI37" s="113">
        <f ca="1">IFERROR(__xludf.DUMMYFUNCTION("""COMPUTED_VALUE"""),0)</f>
        <v>0</v>
      </c>
      <c r="AJ37" s="113">
        <f ca="1">IFERROR(__xludf.DUMMYFUNCTION("""COMPUTED_VALUE"""),0)</f>
        <v>0</v>
      </c>
      <c r="AK37" s="113"/>
      <c r="AL37" s="116"/>
    </row>
    <row r="38" spans="1:38" ht="12.75">
      <c r="A38" s="112" t="str">
        <f ca="1">IFERROR(__xludf.DUMMYFUNCTION("""COMPUTED_VALUE"""),"17005396")</f>
        <v>17005396</v>
      </c>
      <c r="B38" s="113" t="str">
        <f ca="1">IFERROR(__xludf.DUMMYFUNCTION("""COMPUTED_VALUE"""),"Araguaina")</f>
        <v>Araguaina</v>
      </c>
      <c r="C38" s="113" t="str">
        <f ca="1">IFERROR(__xludf.DUMMYFUNCTION("""COMPUTED_VALUE"""),"Araguaina")</f>
        <v>Araguaina</v>
      </c>
      <c r="D38" s="114" t="str">
        <f ca="1">IFERROR(__xludf.DUMMYFUNCTION("""COMPUTED_VALUE"""),"A.A. ESCOLA ESTADUAL MAL. RONDON")</f>
        <v>A.A. ESCOLA ESTADUAL MAL. RONDON</v>
      </c>
      <c r="E38" s="113" t="str">
        <f ca="1">IFERROR(__xludf.DUMMYFUNCTION("""COMPUTED_VALUE"""),"Escola Estadual Marechal Rondon")</f>
        <v>Escola Estadual Marechal Rondon</v>
      </c>
      <c r="F38" s="115" t="str">
        <f ca="1">IFERROR(__xludf.DUMMYFUNCTION("""COMPUTED_VALUE"""),"17005396")</f>
        <v>17005396</v>
      </c>
      <c r="G38" s="113" t="str">
        <f ca="1">IFERROR(__xludf.DUMMYFUNCTION("""COMPUTED_VALUE"""),"01068349000128")</f>
        <v>01068349000128</v>
      </c>
      <c r="H38" s="115" t="str">
        <f ca="1">IFERROR(__xludf.DUMMYFUNCTION("""COMPUTED_VALUE"""),"001")</f>
        <v>001</v>
      </c>
      <c r="I38" s="115" t="str">
        <f ca="1">IFERROR(__xludf.DUMMYFUNCTION("""COMPUTED_VALUE"""),"0638")</f>
        <v>0638</v>
      </c>
      <c r="J38" s="115" t="str">
        <f ca="1">IFERROR(__xludf.DUMMYFUNCTION("""COMPUTED_VALUE"""),"046368X")</f>
        <v>046368X</v>
      </c>
      <c r="K38" s="113" t="e">
        <f ca="1"/>
        <v>#REF!</v>
      </c>
      <c r="L38" s="113" t="e">
        <f ca="1"/>
        <v>#REF!</v>
      </c>
      <c r="M38" s="113" t="e">
        <f ca="1"/>
        <v>#REF!</v>
      </c>
      <c r="N38" s="113" t="e">
        <f ca="1"/>
        <v>#REF!</v>
      </c>
      <c r="O38" s="113" t="e">
        <f ca="1"/>
        <v>#REF!</v>
      </c>
      <c r="P38" s="113" t="e">
        <f ca="1"/>
        <v>#REF!</v>
      </c>
      <c r="Q38" s="113" t="e">
        <f ca="1"/>
        <v>#REF!</v>
      </c>
      <c r="R38" s="113" t="e">
        <f ca="1"/>
        <v>#REF!</v>
      </c>
      <c r="S38" s="113" t="e">
        <f ca="1"/>
        <v>#REF!</v>
      </c>
      <c r="T38" s="113" t="e">
        <f ca="1"/>
        <v>#REF!</v>
      </c>
      <c r="U38" s="113" t="e">
        <f ca="1"/>
        <v>#REF!</v>
      </c>
      <c r="V38" s="113" t="e">
        <f ca="1"/>
        <v>#REF!</v>
      </c>
      <c r="W38" s="113" t="e">
        <f ca="1"/>
        <v>#REF!</v>
      </c>
      <c r="X38" s="113" t="e">
        <f ca="1"/>
        <v>#REF!</v>
      </c>
      <c r="Y38" s="113" t="e">
        <f ca="1"/>
        <v>#REF!</v>
      </c>
      <c r="Z38" s="113" t="e">
        <f ca="1"/>
        <v>#REF!</v>
      </c>
      <c r="AA38" s="113"/>
      <c r="AB38" s="113"/>
      <c r="AC38" s="113"/>
      <c r="AD38" s="113"/>
      <c r="AE38" s="113" t="str">
        <f ca="1">IFERROR(__xludf.DUMMYFUNCTION("""COMPUTED_VALUE"""),"Parcial")</f>
        <v>Parcial</v>
      </c>
      <c r="AF38" s="113" t="str">
        <f ca="1">IFERROR(__xludf.DUMMYFUNCTION("""COMPUTED_VALUE"""),"FE")</f>
        <v>FE</v>
      </c>
      <c r="AG38" s="113">
        <f ca="1">IFERROR(__xludf.DUMMYFUNCTION("""COMPUTED_VALUE"""),0)</f>
        <v>0</v>
      </c>
      <c r="AH38" s="113">
        <f ca="1">IFERROR(__xludf.DUMMYFUNCTION("""COMPUTED_VALUE"""),0)</f>
        <v>0</v>
      </c>
      <c r="AI38" s="113">
        <f ca="1">IFERROR(__xludf.DUMMYFUNCTION("""COMPUTED_VALUE"""),0)</f>
        <v>0</v>
      </c>
      <c r="AJ38" s="113">
        <f ca="1">IFERROR(__xludf.DUMMYFUNCTION("""COMPUTED_VALUE"""),0)</f>
        <v>0</v>
      </c>
      <c r="AK38" s="113"/>
      <c r="AL38" s="116"/>
    </row>
    <row r="39" spans="1:38" ht="12.75">
      <c r="A39" s="112" t="str">
        <f ca="1">IFERROR(__xludf.DUMMYFUNCTION("""COMPUTED_VALUE"""),"17005426")</f>
        <v>17005426</v>
      </c>
      <c r="B39" s="113" t="str">
        <f ca="1">IFERROR(__xludf.DUMMYFUNCTION("""COMPUTED_VALUE"""),"Araguaina")</f>
        <v>Araguaina</v>
      </c>
      <c r="C39" s="113" t="str">
        <f ca="1">IFERROR(__xludf.DUMMYFUNCTION("""COMPUTED_VALUE"""),"Araguaina")</f>
        <v>Araguaina</v>
      </c>
      <c r="D39" s="114" t="str">
        <f ca="1">IFERROR(__xludf.DUMMYFUNCTION("""COMPUTED_VALUE"""),"A. DE A.DA ESCOLA ESTADUAL MODELO")</f>
        <v>A. DE A.DA ESCOLA ESTADUAL MODELO</v>
      </c>
      <c r="E39" s="113" t="str">
        <f ca="1">IFERROR(__xludf.DUMMYFUNCTION("""COMPUTED_VALUE"""),"Escola Estadual Modelo")</f>
        <v>Escola Estadual Modelo</v>
      </c>
      <c r="F39" s="115" t="str">
        <f ca="1">IFERROR(__xludf.DUMMYFUNCTION("""COMPUTED_VALUE"""),"17005426")</f>
        <v>17005426</v>
      </c>
      <c r="G39" s="113" t="str">
        <f ca="1">IFERROR(__xludf.DUMMYFUNCTION("""COMPUTED_VALUE"""),"01133696000197")</f>
        <v>01133696000197</v>
      </c>
      <c r="H39" s="115" t="str">
        <f ca="1">IFERROR(__xludf.DUMMYFUNCTION("""COMPUTED_VALUE"""),"001")</f>
        <v>001</v>
      </c>
      <c r="I39" s="115" t="str">
        <f ca="1">IFERROR(__xludf.DUMMYFUNCTION("""COMPUTED_VALUE"""),"0638")</f>
        <v>0638</v>
      </c>
      <c r="J39" s="115" t="str">
        <f ca="1">IFERROR(__xludf.DUMMYFUNCTION("""COMPUTED_VALUE"""),"484520")</f>
        <v>484520</v>
      </c>
      <c r="K39" s="113" t="e">
        <f ca="1"/>
        <v>#REF!</v>
      </c>
      <c r="L39" s="113" t="e">
        <f ca="1"/>
        <v>#REF!</v>
      </c>
      <c r="M39" s="113" t="e">
        <f ca="1"/>
        <v>#REF!</v>
      </c>
      <c r="N39" s="113" t="e">
        <f ca="1"/>
        <v>#REF!</v>
      </c>
      <c r="O39" s="113" t="e">
        <f ca="1"/>
        <v>#REF!</v>
      </c>
      <c r="P39" s="113" t="e">
        <f ca="1"/>
        <v>#REF!</v>
      </c>
      <c r="Q39" s="113" t="e">
        <f ca="1"/>
        <v>#REF!</v>
      </c>
      <c r="R39" s="113" t="e">
        <f ca="1"/>
        <v>#REF!</v>
      </c>
      <c r="S39" s="113" t="e">
        <f ca="1"/>
        <v>#REF!</v>
      </c>
      <c r="T39" s="113" t="e">
        <f ca="1"/>
        <v>#REF!</v>
      </c>
      <c r="U39" s="113" t="e">
        <f ca="1"/>
        <v>#REF!</v>
      </c>
      <c r="V39" s="113" t="e">
        <f ca="1"/>
        <v>#REF!</v>
      </c>
      <c r="W39" s="113" t="e">
        <f ca="1"/>
        <v>#REF!</v>
      </c>
      <c r="X39" s="113" t="e">
        <f ca="1"/>
        <v>#REF!</v>
      </c>
      <c r="Y39" s="113" t="e">
        <f ca="1"/>
        <v>#REF!</v>
      </c>
      <c r="Z39" s="113" t="e">
        <f ca="1"/>
        <v>#REF!</v>
      </c>
      <c r="AA39" s="113"/>
      <c r="AB39" s="113"/>
      <c r="AC39" s="113"/>
      <c r="AD39" s="113"/>
      <c r="AE39" s="113" t="str">
        <f ca="1">IFERROR(__xludf.DUMMYFUNCTION("""COMPUTED_VALUE"""),"Parcial")</f>
        <v>Parcial</v>
      </c>
      <c r="AF39" s="113" t="str">
        <f ca="1">IFERROR(__xludf.DUMMYFUNCTION("""COMPUTED_VALUE"""),"FE")</f>
        <v>FE</v>
      </c>
      <c r="AG39" s="113">
        <f ca="1">IFERROR(__xludf.DUMMYFUNCTION("""COMPUTED_VALUE"""),0)</f>
        <v>0</v>
      </c>
      <c r="AH39" s="113">
        <f ca="1">IFERROR(__xludf.DUMMYFUNCTION("""COMPUTED_VALUE"""),0)</f>
        <v>0</v>
      </c>
      <c r="AI39" s="113">
        <f ca="1">IFERROR(__xludf.DUMMYFUNCTION("""COMPUTED_VALUE"""),0)</f>
        <v>0</v>
      </c>
      <c r="AJ39" s="113">
        <f ca="1">IFERROR(__xludf.DUMMYFUNCTION("""COMPUTED_VALUE"""),0)</f>
        <v>0</v>
      </c>
      <c r="AK39" s="113"/>
      <c r="AL39" s="116"/>
    </row>
    <row r="40" spans="1:38" ht="12.75">
      <c r="A40" s="112" t="str">
        <f ca="1">IFERROR(__xludf.DUMMYFUNCTION("""COMPUTED_VALUE"""),"17005442")</f>
        <v>17005442</v>
      </c>
      <c r="B40" s="113" t="str">
        <f ca="1">IFERROR(__xludf.DUMMYFUNCTION("""COMPUTED_VALUE"""),"Araguaina")</f>
        <v>Araguaina</v>
      </c>
      <c r="C40" s="113" t="str">
        <f ca="1">IFERROR(__xludf.DUMMYFUNCTION("""COMPUTED_VALUE"""),"Araguaina")</f>
        <v>Araguaina</v>
      </c>
      <c r="D40" s="114" t="str">
        <f ca="1">IFERROR(__xludf.DUMMYFUNCTION("""COMPUTED_VALUE"""),"A.A. ESC. E.NORTE GOIANO DE ARAGUAINA")</f>
        <v>A.A. ESC. E.NORTE GOIANO DE ARAGUAINA</v>
      </c>
      <c r="E40" s="113" t="str">
        <f ca="1">IFERROR(__xludf.DUMMYFUNCTION("""COMPUTED_VALUE"""),"Escola Estadual Norte Goiano")</f>
        <v>Escola Estadual Norte Goiano</v>
      </c>
      <c r="F40" s="115" t="str">
        <f ca="1">IFERROR(__xludf.DUMMYFUNCTION("""COMPUTED_VALUE"""),"17005442")</f>
        <v>17005442</v>
      </c>
      <c r="G40" s="113" t="str">
        <f ca="1">IFERROR(__xludf.DUMMYFUNCTION("""COMPUTED_VALUE"""),"01195483000190")</f>
        <v>01195483000190</v>
      </c>
      <c r="H40" s="115" t="str">
        <f ca="1">IFERROR(__xludf.DUMMYFUNCTION("""COMPUTED_VALUE"""),"001")</f>
        <v>001</v>
      </c>
      <c r="I40" s="115" t="str">
        <f ca="1">IFERROR(__xludf.DUMMYFUNCTION("""COMPUTED_VALUE"""),"0638")</f>
        <v>0638</v>
      </c>
      <c r="J40" s="115" t="str">
        <f ca="1">IFERROR(__xludf.DUMMYFUNCTION("""COMPUTED_VALUE"""),"0464724")</f>
        <v>0464724</v>
      </c>
      <c r="K40" s="113" t="e">
        <f ca="1"/>
        <v>#REF!</v>
      </c>
      <c r="L40" s="113" t="e">
        <f ca="1"/>
        <v>#REF!</v>
      </c>
      <c r="M40" s="113" t="e">
        <f ca="1"/>
        <v>#REF!</v>
      </c>
      <c r="N40" s="113" t="e">
        <f ca="1"/>
        <v>#REF!</v>
      </c>
      <c r="O40" s="113" t="e">
        <f ca="1"/>
        <v>#REF!</v>
      </c>
      <c r="P40" s="113" t="e">
        <f ca="1"/>
        <v>#REF!</v>
      </c>
      <c r="Q40" s="113" t="e">
        <f ca="1"/>
        <v>#REF!</v>
      </c>
      <c r="R40" s="113" t="e">
        <f ca="1"/>
        <v>#REF!</v>
      </c>
      <c r="S40" s="113" t="e">
        <f ca="1"/>
        <v>#REF!</v>
      </c>
      <c r="T40" s="113" t="e">
        <f ca="1"/>
        <v>#REF!</v>
      </c>
      <c r="U40" s="113" t="e">
        <f ca="1"/>
        <v>#REF!</v>
      </c>
      <c r="V40" s="113" t="e">
        <f ca="1"/>
        <v>#REF!</v>
      </c>
      <c r="W40" s="113" t="e">
        <f ca="1"/>
        <v>#REF!</v>
      </c>
      <c r="X40" s="113" t="e">
        <f ca="1"/>
        <v>#REF!</v>
      </c>
      <c r="Y40" s="113" t="e">
        <f ca="1"/>
        <v>#REF!</v>
      </c>
      <c r="Z40" s="113" t="e">
        <f ca="1"/>
        <v>#REF!</v>
      </c>
      <c r="AA40" s="113"/>
      <c r="AB40" s="113"/>
      <c r="AC40" s="113"/>
      <c r="AD40" s="113"/>
      <c r="AE40" s="113" t="str">
        <f ca="1">IFERROR(__xludf.DUMMYFUNCTION("""COMPUTED_VALUE"""),"Integral")</f>
        <v>Integral</v>
      </c>
      <c r="AF40" s="113" t="str">
        <f ca="1">IFERROR(__xludf.DUMMYFUNCTION("""COMPUTED_VALUE"""),"FE")</f>
        <v>FE</v>
      </c>
      <c r="AG40" s="113">
        <f ca="1">IFERROR(__xludf.DUMMYFUNCTION("""COMPUTED_VALUE"""),0)</f>
        <v>0</v>
      </c>
      <c r="AH40" s="113">
        <f ca="1">IFERROR(__xludf.DUMMYFUNCTION("""COMPUTED_VALUE"""),0)</f>
        <v>0</v>
      </c>
      <c r="AI40" s="113">
        <f ca="1">IFERROR(__xludf.DUMMYFUNCTION("""COMPUTED_VALUE"""),0)</f>
        <v>0</v>
      </c>
      <c r="AJ40" s="113">
        <f ca="1">IFERROR(__xludf.DUMMYFUNCTION("""COMPUTED_VALUE"""),0)</f>
        <v>0</v>
      </c>
      <c r="AK40" s="113"/>
      <c r="AL40" s="116"/>
    </row>
    <row r="41" spans="1:38" ht="12.75">
      <c r="A41" s="112" t="str">
        <f ca="1">IFERROR(__xludf.DUMMYFUNCTION("""COMPUTED_VALUE"""),"17005477")</f>
        <v>17005477</v>
      </c>
      <c r="B41" s="113" t="str">
        <f ca="1">IFERROR(__xludf.DUMMYFUNCTION("""COMPUTED_VALUE"""),"Araguaina")</f>
        <v>Araguaina</v>
      </c>
      <c r="C41" s="113" t="str">
        <f ca="1">IFERROR(__xludf.DUMMYFUNCTION("""COMPUTED_VALUE"""),"Araguaina")</f>
        <v>Araguaina</v>
      </c>
      <c r="D41" s="114" t="str">
        <f ca="1">IFERROR(__xludf.DUMMYFUNCTION("""COMPUTED_VALUE"""),"A.A. ESCOLA EST.PROF.ALFREDO NASSER")</f>
        <v>A.A. ESCOLA EST.PROF.ALFREDO NASSER</v>
      </c>
      <c r="E41" s="113" t="str">
        <f ca="1">IFERROR(__xludf.DUMMYFUNCTION("""COMPUTED_VALUE"""),"Escola Estadual Professor Alfredo Nasser")</f>
        <v>Escola Estadual Professor Alfredo Nasser</v>
      </c>
      <c r="F41" s="115" t="str">
        <f ca="1">IFERROR(__xludf.DUMMYFUNCTION("""COMPUTED_VALUE"""),"17005477")</f>
        <v>17005477</v>
      </c>
      <c r="G41" s="113" t="str">
        <f ca="1">IFERROR(__xludf.DUMMYFUNCTION("""COMPUTED_VALUE"""),"01223632000187")</f>
        <v>01223632000187</v>
      </c>
      <c r="H41" s="115" t="str">
        <f ca="1">IFERROR(__xludf.DUMMYFUNCTION("""COMPUTED_VALUE"""),"001")</f>
        <v>001</v>
      </c>
      <c r="I41" s="115" t="str">
        <f ca="1">IFERROR(__xludf.DUMMYFUNCTION("""COMPUTED_VALUE"""),"0638")</f>
        <v>0638</v>
      </c>
      <c r="J41" s="115" t="str">
        <f ca="1">IFERROR(__xludf.DUMMYFUNCTION("""COMPUTED_VALUE"""),"0465135")</f>
        <v>0465135</v>
      </c>
      <c r="K41" s="113" t="e">
        <f ca="1"/>
        <v>#REF!</v>
      </c>
      <c r="L41" s="113" t="e">
        <f ca="1"/>
        <v>#REF!</v>
      </c>
      <c r="M41" s="113" t="e">
        <f ca="1"/>
        <v>#REF!</v>
      </c>
      <c r="N41" s="113" t="e">
        <f ca="1"/>
        <v>#REF!</v>
      </c>
      <c r="O41" s="113" t="e">
        <f ca="1"/>
        <v>#REF!</v>
      </c>
      <c r="P41" s="113" t="e">
        <f ca="1"/>
        <v>#REF!</v>
      </c>
      <c r="Q41" s="113" t="e">
        <f ca="1"/>
        <v>#REF!</v>
      </c>
      <c r="R41" s="113" t="e">
        <f ca="1"/>
        <v>#REF!</v>
      </c>
      <c r="S41" s="113" t="e">
        <f ca="1"/>
        <v>#REF!</v>
      </c>
      <c r="T41" s="113" t="e">
        <f ca="1"/>
        <v>#REF!</v>
      </c>
      <c r="U41" s="113" t="e">
        <f ca="1"/>
        <v>#REF!</v>
      </c>
      <c r="V41" s="113" t="e">
        <f ca="1"/>
        <v>#REF!</v>
      </c>
      <c r="W41" s="113" t="e">
        <f ca="1"/>
        <v>#REF!</v>
      </c>
      <c r="X41" s="113" t="e">
        <f ca="1"/>
        <v>#REF!</v>
      </c>
      <c r="Y41" s="113" t="e">
        <f ca="1"/>
        <v>#REF!</v>
      </c>
      <c r="Z41" s="113" t="e">
        <f ca="1"/>
        <v>#REF!</v>
      </c>
      <c r="AA41" s="113"/>
      <c r="AB41" s="113"/>
      <c r="AC41" s="113"/>
      <c r="AD41" s="113" t="str">
        <f ca="1">IFERROR(__xludf.DUMMYFUNCTION("""COMPUTED_VALUE"""),"E. M. JOVEM EM AÇÃO")</f>
        <v>E. M. JOVEM EM AÇÃO</v>
      </c>
      <c r="AE41" s="113" t="str">
        <f ca="1">IFERROR(__xludf.DUMMYFUNCTION("""COMPUTED_VALUE"""),"Parcial/Integral")</f>
        <v>Parcial/Integral</v>
      </c>
      <c r="AF41" s="113" t="str">
        <f ca="1">IFERROR(__xludf.DUMMYFUNCTION("""COMPUTED_VALUE"""),"FE")</f>
        <v>FE</v>
      </c>
      <c r="AG41" s="113">
        <f ca="1">IFERROR(__xludf.DUMMYFUNCTION("""COMPUTED_VALUE"""),0)</f>
        <v>0</v>
      </c>
      <c r="AH41" s="113">
        <f ca="1">IFERROR(__xludf.DUMMYFUNCTION("""COMPUTED_VALUE"""),0)</f>
        <v>0</v>
      </c>
      <c r="AI41" s="113">
        <f ca="1">IFERROR(__xludf.DUMMYFUNCTION("""COMPUTED_VALUE"""),0)</f>
        <v>0</v>
      </c>
      <c r="AJ41" s="113">
        <f ca="1">IFERROR(__xludf.DUMMYFUNCTION("""COMPUTED_VALUE"""),0)</f>
        <v>0</v>
      </c>
      <c r="AK41" s="113"/>
      <c r="AL41" s="116"/>
    </row>
    <row r="42" spans="1:38" ht="12.75">
      <c r="A42" s="112" t="str">
        <f ca="1">IFERROR(__xludf.DUMMYFUNCTION("""COMPUTED_VALUE"""),"17005280")</f>
        <v>17005280</v>
      </c>
      <c r="B42" s="113" t="str">
        <f ca="1">IFERROR(__xludf.DUMMYFUNCTION("""COMPUTED_VALUE"""),"Araguaina")</f>
        <v>Araguaina</v>
      </c>
      <c r="C42" s="113" t="str">
        <f ca="1">IFERROR(__xludf.DUMMYFUNCTION("""COMPUTED_VALUE"""),"Araguaina")</f>
        <v>Araguaina</v>
      </c>
      <c r="D42" s="114" t="str">
        <f ca="1">IFERROR(__xludf.DUMMYFUNCTION("""COMPUTED_VALUE"""),"A.A. ESC. EST. DE ARAGUAINA / PROF. JOÃO ALVES BATISTA")</f>
        <v>A.A. ESC. EST. DE ARAGUAINA / PROF. JOÃO ALVES BATISTA</v>
      </c>
      <c r="E42" s="113" t="str">
        <f ca="1">IFERROR(__xludf.DUMMYFUNCTION("""COMPUTED_VALUE"""),"Escola Estadual Professor João Alves Batista")</f>
        <v>Escola Estadual Professor João Alves Batista</v>
      </c>
      <c r="F42" s="115" t="str">
        <f ca="1">IFERROR(__xludf.DUMMYFUNCTION("""COMPUTED_VALUE"""),"17005280")</f>
        <v>17005280</v>
      </c>
      <c r="G42" s="113" t="str">
        <f ca="1">IFERROR(__xludf.DUMMYFUNCTION("""COMPUTED_VALUE"""),"25062332000121")</f>
        <v>25062332000121</v>
      </c>
      <c r="H42" s="115" t="str">
        <f ca="1">IFERROR(__xludf.DUMMYFUNCTION("""COMPUTED_VALUE"""),"001")</f>
        <v>001</v>
      </c>
      <c r="I42" s="115" t="str">
        <f ca="1">IFERROR(__xludf.DUMMYFUNCTION("""COMPUTED_VALUE"""),"0638")</f>
        <v>0638</v>
      </c>
      <c r="J42" s="115" t="str">
        <f ca="1">IFERROR(__xludf.DUMMYFUNCTION("""COMPUTED_VALUE"""),"463116")</f>
        <v>463116</v>
      </c>
      <c r="K42" s="113" t="e">
        <f ca="1"/>
        <v>#REF!</v>
      </c>
      <c r="L42" s="113" t="e">
        <f ca="1"/>
        <v>#REF!</v>
      </c>
      <c r="M42" s="113" t="e">
        <f ca="1"/>
        <v>#REF!</v>
      </c>
      <c r="N42" s="113" t="e">
        <f ca="1"/>
        <v>#REF!</v>
      </c>
      <c r="O42" s="113" t="e">
        <f ca="1"/>
        <v>#REF!</v>
      </c>
      <c r="P42" s="113" t="e">
        <f ca="1"/>
        <v>#REF!</v>
      </c>
      <c r="Q42" s="113" t="e">
        <f ca="1"/>
        <v>#REF!</v>
      </c>
      <c r="R42" s="113" t="e">
        <f ca="1"/>
        <v>#REF!</v>
      </c>
      <c r="S42" s="113" t="e">
        <f ca="1"/>
        <v>#REF!</v>
      </c>
      <c r="T42" s="113" t="e">
        <f ca="1"/>
        <v>#REF!</v>
      </c>
      <c r="U42" s="113" t="e">
        <f ca="1"/>
        <v>#REF!</v>
      </c>
      <c r="V42" s="113" t="e">
        <f ca="1"/>
        <v>#REF!</v>
      </c>
      <c r="W42" s="113" t="e">
        <f ca="1"/>
        <v>#REF!</v>
      </c>
      <c r="X42" s="113" t="e">
        <f ca="1"/>
        <v>#REF!</v>
      </c>
      <c r="Y42" s="113" t="e">
        <f ca="1"/>
        <v>#REF!</v>
      </c>
      <c r="Z42" s="113" t="e">
        <f ca="1"/>
        <v>#REF!</v>
      </c>
      <c r="AA42" s="113"/>
      <c r="AB42" s="113"/>
      <c r="AC42" s="113"/>
      <c r="AD42" s="113"/>
      <c r="AE42" s="113" t="str">
        <f ca="1">IFERROR(__xludf.DUMMYFUNCTION("""COMPUTED_VALUE"""),"Parcial")</f>
        <v>Parcial</v>
      </c>
      <c r="AF42" s="113" t="str">
        <f ca="1">IFERROR(__xludf.DUMMYFUNCTION("""COMPUTED_VALUE"""),"FE")</f>
        <v>FE</v>
      </c>
      <c r="AG42" s="113">
        <f ca="1">IFERROR(__xludf.DUMMYFUNCTION("""COMPUTED_VALUE"""),0)</f>
        <v>0</v>
      </c>
      <c r="AH42" s="113">
        <f ca="1">IFERROR(__xludf.DUMMYFUNCTION("""COMPUTED_VALUE"""),0)</f>
        <v>0</v>
      </c>
      <c r="AI42" s="113">
        <f ca="1">IFERROR(__xludf.DUMMYFUNCTION("""COMPUTED_VALUE"""),0)</f>
        <v>0</v>
      </c>
      <c r="AJ42" s="113">
        <f ca="1">IFERROR(__xludf.DUMMYFUNCTION("""COMPUTED_VALUE"""),0)</f>
        <v>0</v>
      </c>
      <c r="AK42" s="113"/>
      <c r="AL42" s="116"/>
    </row>
    <row r="43" spans="1:38" ht="12.75">
      <c r="A43" s="112" t="str">
        <f ca="1">IFERROR(__xludf.DUMMYFUNCTION("""COMPUTED_VALUE"""),"17005485")</f>
        <v>17005485</v>
      </c>
      <c r="B43" s="113" t="str">
        <f ca="1">IFERROR(__xludf.DUMMYFUNCTION("""COMPUTED_VALUE"""),"Araguaina")</f>
        <v>Araguaina</v>
      </c>
      <c r="C43" s="113" t="str">
        <f ca="1">IFERROR(__xludf.DUMMYFUNCTION("""COMPUTED_VALUE"""),"Araguaina")</f>
        <v>Araguaina</v>
      </c>
      <c r="D43" s="114" t="str">
        <f ca="1">IFERROR(__xludf.DUMMYFUNCTION("""COMPUTED_VALUE"""),"A.A. ESCOLA ESTADUAL VILA NOVA")</f>
        <v>A.A. ESCOLA ESTADUAL VILA NOVA</v>
      </c>
      <c r="E43" s="113" t="str">
        <f ca="1">IFERROR(__xludf.DUMMYFUNCTION("""COMPUTED_VALUE"""),"Escola Estadual Vila Nova")</f>
        <v>Escola Estadual Vila Nova</v>
      </c>
      <c r="F43" s="115" t="str">
        <f ca="1">IFERROR(__xludf.DUMMYFUNCTION("""COMPUTED_VALUE"""),"17005485")</f>
        <v>17005485</v>
      </c>
      <c r="G43" s="113" t="str">
        <f ca="1">IFERROR(__xludf.DUMMYFUNCTION("""COMPUTED_VALUE"""),"01071404000139")</f>
        <v>01071404000139</v>
      </c>
      <c r="H43" s="115" t="str">
        <f ca="1">IFERROR(__xludf.DUMMYFUNCTION("""COMPUTED_VALUE"""),"001")</f>
        <v>001</v>
      </c>
      <c r="I43" s="115" t="str">
        <f ca="1">IFERROR(__xludf.DUMMYFUNCTION("""COMPUTED_VALUE"""),"0638")</f>
        <v>0638</v>
      </c>
      <c r="J43" s="115" t="str">
        <f ca="1">IFERROR(__xludf.DUMMYFUNCTION("""COMPUTED_VALUE"""),"0463744")</f>
        <v>0463744</v>
      </c>
      <c r="K43" s="113" t="e">
        <f ca="1"/>
        <v>#REF!</v>
      </c>
      <c r="L43" s="113" t="e">
        <f ca="1"/>
        <v>#REF!</v>
      </c>
      <c r="M43" s="113" t="e">
        <f ca="1"/>
        <v>#REF!</v>
      </c>
      <c r="N43" s="113" t="e">
        <f ca="1"/>
        <v>#REF!</v>
      </c>
      <c r="O43" s="113" t="e">
        <f ca="1"/>
        <v>#REF!</v>
      </c>
      <c r="P43" s="113" t="e">
        <f ca="1"/>
        <v>#REF!</v>
      </c>
      <c r="Q43" s="113" t="e">
        <f ca="1"/>
        <v>#REF!</v>
      </c>
      <c r="R43" s="113" t="e">
        <f ca="1"/>
        <v>#REF!</v>
      </c>
      <c r="S43" s="113" t="e">
        <f ca="1"/>
        <v>#REF!</v>
      </c>
      <c r="T43" s="113" t="e">
        <f ca="1"/>
        <v>#REF!</v>
      </c>
      <c r="U43" s="113" t="e">
        <f ca="1"/>
        <v>#REF!</v>
      </c>
      <c r="V43" s="113" t="e">
        <f ca="1"/>
        <v>#REF!</v>
      </c>
      <c r="W43" s="113" t="e">
        <f ca="1"/>
        <v>#REF!</v>
      </c>
      <c r="X43" s="113" t="e">
        <f ca="1"/>
        <v>#REF!</v>
      </c>
      <c r="Y43" s="113" t="e">
        <f ca="1"/>
        <v>#REF!</v>
      </c>
      <c r="Z43" s="113" t="e">
        <f ca="1"/>
        <v>#REF!</v>
      </c>
      <c r="AA43" s="113"/>
      <c r="AB43" s="113"/>
      <c r="AC43" s="113"/>
      <c r="AD43" s="113"/>
      <c r="AE43" s="113" t="str">
        <f ca="1">IFERROR(__xludf.DUMMYFUNCTION("""COMPUTED_VALUE"""),"Parcial/Integral")</f>
        <v>Parcial/Integral</v>
      </c>
      <c r="AF43" s="113" t="str">
        <f ca="1">IFERROR(__xludf.DUMMYFUNCTION("""COMPUTED_VALUE"""),"FE")</f>
        <v>FE</v>
      </c>
      <c r="AG43" s="113">
        <f ca="1">IFERROR(__xludf.DUMMYFUNCTION("""COMPUTED_VALUE"""),0)</f>
        <v>0</v>
      </c>
      <c r="AH43" s="113">
        <f ca="1">IFERROR(__xludf.DUMMYFUNCTION("""COMPUTED_VALUE"""),0)</f>
        <v>0</v>
      </c>
      <c r="AI43" s="113">
        <f ca="1">IFERROR(__xludf.DUMMYFUNCTION("""COMPUTED_VALUE"""),0)</f>
        <v>0</v>
      </c>
      <c r="AJ43" s="113">
        <f ca="1">IFERROR(__xludf.DUMMYFUNCTION("""COMPUTED_VALUE"""),0)</f>
        <v>0</v>
      </c>
      <c r="AK43" s="113"/>
      <c r="AL43" s="116"/>
    </row>
    <row r="44" spans="1:38" ht="12.75">
      <c r="A44" s="112" t="str">
        <f ca="1">IFERROR(__xludf.DUMMYFUNCTION("""COMPUTED_VALUE"""),"17005493")</f>
        <v>17005493</v>
      </c>
      <c r="B44" s="113" t="str">
        <f ca="1">IFERROR(__xludf.DUMMYFUNCTION("""COMPUTED_VALUE"""),"Araguaina")</f>
        <v>Araguaina</v>
      </c>
      <c r="C44" s="113" t="str">
        <f ca="1">IFERROR(__xludf.DUMMYFUNCTION("""COMPUTED_VALUE"""),"Araguaina")</f>
        <v>Araguaina</v>
      </c>
      <c r="D44" s="114" t="str">
        <f ca="1">IFERROR(__xludf.DUMMYFUNCTION("""COMPUTED_VALUE"""),"A.A. ESC. EST.WELDER M.ABREU SALES")</f>
        <v>A.A. ESC. EST.WELDER M.ABREU SALES</v>
      </c>
      <c r="E44" s="113" t="str">
        <f ca="1">IFERROR(__xludf.DUMMYFUNCTION("""COMPUTED_VALUE"""),"Escola Estadual Welder Maria de Abreu Sales")</f>
        <v>Escola Estadual Welder Maria de Abreu Sales</v>
      </c>
      <c r="F44" s="115" t="str">
        <f ca="1">IFERROR(__xludf.DUMMYFUNCTION("""COMPUTED_VALUE"""),"17005493")</f>
        <v>17005493</v>
      </c>
      <c r="G44" s="113" t="str">
        <f ca="1">IFERROR(__xludf.DUMMYFUNCTION("""COMPUTED_VALUE"""),"01190182000173")</f>
        <v>01190182000173</v>
      </c>
      <c r="H44" s="115" t="str">
        <f ca="1">IFERROR(__xludf.DUMMYFUNCTION("""COMPUTED_VALUE"""),"001")</f>
        <v>001</v>
      </c>
      <c r="I44" s="115" t="str">
        <f ca="1">IFERROR(__xludf.DUMMYFUNCTION("""COMPUTED_VALUE"""),"0638")</f>
        <v>0638</v>
      </c>
      <c r="J44" s="115" t="str">
        <f ca="1">IFERROR(__xludf.DUMMYFUNCTION("""COMPUTED_VALUE"""),"0465054")</f>
        <v>0465054</v>
      </c>
      <c r="K44" s="113" t="e">
        <f ca="1"/>
        <v>#REF!</v>
      </c>
      <c r="L44" s="113" t="e">
        <f ca="1"/>
        <v>#REF!</v>
      </c>
      <c r="M44" s="113" t="e">
        <f ca="1"/>
        <v>#REF!</v>
      </c>
      <c r="N44" s="113" t="e">
        <f ca="1"/>
        <v>#REF!</v>
      </c>
      <c r="O44" s="113" t="e">
        <f ca="1"/>
        <v>#REF!</v>
      </c>
      <c r="P44" s="113" t="e">
        <f ca="1"/>
        <v>#REF!</v>
      </c>
      <c r="Q44" s="113" t="e">
        <f ca="1"/>
        <v>#REF!</v>
      </c>
      <c r="R44" s="113" t="e">
        <f ca="1"/>
        <v>#REF!</v>
      </c>
      <c r="S44" s="113" t="e">
        <f ca="1"/>
        <v>#REF!</v>
      </c>
      <c r="T44" s="113" t="e">
        <f ca="1"/>
        <v>#REF!</v>
      </c>
      <c r="U44" s="113" t="e">
        <f ca="1"/>
        <v>#REF!</v>
      </c>
      <c r="V44" s="113" t="e">
        <f ca="1"/>
        <v>#REF!</v>
      </c>
      <c r="W44" s="113" t="e">
        <f ca="1"/>
        <v>#REF!</v>
      </c>
      <c r="X44" s="113" t="e">
        <f ca="1"/>
        <v>#REF!</v>
      </c>
      <c r="Y44" s="113" t="e">
        <f ca="1"/>
        <v>#REF!</v>
      </c>
      <c r="Z44" s="113" t="e">
        <f ca="1"/>
        <v>#REF!</v>
      </c>
      <c r="AA44" s="113"/>
      <c r="AB44" s="113"/>
      <c r="AC44" s="113"/>
      <c r="AD44" s="113"/>
      <c r="AE44" s="113" t="str">
        <f ca="1">IFERROR(__xludf.DUMMYFUNCTION("""COMPUTED_VALUE"""),"Parcial")</f>
        <v>Parcial</v>
      </c>
      <c r="AF44" s="113" t="str">
        <f ca="1">IFERROR(__xludf.DUMMYFUNCTION("""COMPUTED_VALUE"""),"FE")</f>
        <v>FE</v>
      </c>
      <c r="AG44" s="113">
        <f ca="1">IFERROR(__xludf.DUMMYFUNCTION("""COMPUTED_VALUE"""),0)</f>
        <v>0</v>
      </c>
      <c r="AH44" s="113">
        <f ca="1">IFERROR(__xludf.DUMMYFUNCTION("""COMPUTED_VALUE"""),0)</f>
        <v>0</v>
      </c>
      <c r="AI44" s="113">
        <f ca="1">IFERROR(__xludf.DUMMYFUNCTION("""COMPUTED_VALUE"""),0)</f>
        <v>0</v>
      </c>
      <c r="AJ44" s="113">
        <f ca="1">IFERROR(__xludf.DUMMYFUNCTION("""COMPUTED_VALUE"""),0)</f>
        <v>0</v>
      </c>
      <c r="AK44" s="113"/>
      <c r="AL44" s="116"/>
    </row>
    <row r="45" spans="1:38" ht="12.75">
      <c r="A45" s="112" t="str">
        <f ca="1">IFERROR(__xludf.DUMMYFUNCTION("""COMPUTED_VALUE"""),"17006279")</f>
        <v>17006279</v>
      </c>
      <c r="B45" s="113" t="str">
        <f ca="1">IFERROR(__xludf.DUMMYFUNCTION("""COMPUTED_VALUE"""),"Araguaina")</f>
        <v>Araguaina</v>
      </c>
      <c r="C45" s="113" t="str">
        <f ca="1">IFERROR(__xludf.DUMMYFUNCTION("""COMPUTED_VALUE"""),"Araguaina")</f>
        <v>Araguaina</v>
      </c>
      <c r="D45" s="114" t="str">
        <f ca="1">IFERROR(__xludf.DUMMYFUNCTION("""COMPUTED_VALUE"""),"A. DE AP. DA E.PAROQUIAL LUIZ AUGUSTO")</f>
        <v>A. DE AP. DA E.PAROQUIAL LUIZ AUGUSTO</v>
      </c>
      <c r="E45" s="113" t="str">
        <f ca="1">IFERROR(__xludf.DUMMYFUNCTION("""COMPUTED_VALUE"""),"Escola Paroquial Luiz Augusto")</f>
        <v>Escola Paroquial Luiz Augusto</v>
      </c>
      <c r="F45" s="115" t="str">
        <f ca="1">IFERROR(__xludf.DUMMYFUNCTION("""COMPUTED_VALUE"""),"17006279")</f>
        <v>17006279</v>
      </c>
      <c r="G45" s="113" t="str">
        <f ca="1">IFERROR(__xludf.DUMMYFUNCTION("""COMPUTED_VALUE"""),"01912262000195")</f>
        <v>01912262000195</v>
      </c>
      <c r="H45" s="115" t="str">
        <f ca="1">IFERROR(__xludf.DUMMYFUNCTION("""COMPUTED_VALUE"""),"001")</f>
        <v>001</v>
      </c>
      <c r="I45" s="115" t="str">
        <f ca="1">IFERROR(__xludf.DUMMYFUNCTION("""COMPUTED_VALUE"""),"0638")</f>
        <v>0638</v>
      </c>
      <c r="J45" s="115" t="str">
        <f ca="1">IFERROR(__xludf.DUMMYFUNCTION("""COMPUTED_VALUE"""),"486000")</f>
        <v>486000</v>
      </c>
      <c r="K45" s="113" t="e">
        <f ca="1"/>
        <v>#REF!</v>
      </c>
      <c r="L45" s="113" t="e">
        <f ca="1"/>
        <v>#REF!</v>
      </c>
      <c r="M45" s="113" t="e">
        <f ca="1"/>
        <v>#REF!</v>
      </c>
      <c r="N45" s="113" t="e">
        <f ca="1"/>
        <v>#REF!</v>
      </c>
      <c r="O45" s="113" t="e">
        <f ca="1"/>
        <v>#REF!</v>
      </c>
      <c r="P45" s="113" t="e">
        <f ca="1"/>
        <v>#REF!</v>
      </c>
      <c r="Q45" s="113" t="e">
        <f ca="1"/>
        <v>#REF!</v>
      </c>
      <c r="R45" s="113" t="e">
        <f ca="1"/>
        <v>#REF!</v>
      </c>
      <c r="S45" s="113" t="e">
        <f ca="1"/>
        <v>#REF!</v>
      </c>
      <c r="T45" s="113" t="e">
        <f ca="1"/>
        <v>#REF!</v>
      </c>
      <c r="U45" s="113" t="e">
        <f ca="1"/>
        <v>#REF!</v>
      </c>
      <c r="V45" s="113" t="e">
        <f ca="1"/>
        <v>#REF!</v>
      </c>
      <c r="W45" s="113" t="e">
        <f ca="1"/>
        <v>#REF!</v>
      </c>
      <c r="X45" s="113" t="e">
        <f ca="1"/>
        <v>#REF!</v>
      </c>
      <c r="Y45" s="113" t="e">
        <f ca="1"/>
        <v>#REF!</v>
      </c>
      <c r="Z45" s="113" t="e">
        <f ca="1"/>
        <v>#REF!</v>
      </c>
      <c r="AA45" s="113"/>
      <c r="AB45" s="113"/>
      <c r="AC45" s="113"/>
      <c r="AD45" s="113" t="str">
        <f ca="1">IFERROR(__xludf.DUMMYFUNCTION("""COMPUTED_VALUE"""),"CRECHE")</f>
        <v>CRECHE</v>
      </c>
      <c r="AE45" s="113" t="str">
        <f ca="1">IFERROR(__xludf.DUMMYFUNCTION("""COMPUTED_VALUE"""),"Parcial")</f>
        <v>Parcial</v>
      </c>
      <c r="AF45" s="113" t="str">
        <f ca="1">IFERROR(__xludf.DUMMYFUNCTION("""COMPUTED_VALUE"""),"FE")</f>
        <v>FE</v>
      </c>
      <c r="AG45" s="113">
        <f ca="1">IFERROR(__xludf.DUMMYFUNCTION("""COMPUTED_VALUE"""),0)</f>
        <v>0</v>
      </c>
      <c r="AH45" s="113">
        <f ca="1">IFERROR(__xludf.DUMMYFUNCTION("""COMPUTED_VALUE"""),0)</f>
        <v>0</v>
      </c>
      <c r="AI45" s="113">
        <f ca="1">IFERROR(__xludf.DUMMYFUNCTION("""COMPUTED_VALUE"""),0)</f>
        <v>0</v>
      </c>
      <c r="AJ45" s="113">
        <f ca="1">IFERROR(__xludf.DUMMYFUNCTION("""COMPUTED_VALUE"""),0)</f>
        <v>0</v>
      </c>
      <c r="AK45" s="113"/>
      <c r="AL45" s="116"/>
    </row>
    <row r="46" spans="1:38" ht="12.75">
      <c r="A46" s="112" t="str">
        <f ca="1">IFERROR(__xludf.DUMMYFUNCTION("""COMPUTED_VALUE"""),"17006422")</f>
        <v>17006422</v>
      </c>
      <c r="B46" s="113" t="str">
        <f ca="1">IFERROR(__xludf.DUMMYFUNCTION("""COMPUTED_VALUE"""),"Araguaina")</f>
        <v>Araguaina</v>
      </c>
      <c r="C46" s="113" t="str">
        <f ca="1">IFERROR(__xludf.DUMMYFUNCTION("""COMPUTED_VALUE"""),"Araguana")</f>
        <v>Araguana</v>
      </c>
      <c r="D46" s="114" t="str">
        <f ca="1">IFERROR(__xludf.DUMMYFUNCTION("""COMPUTED_VALUE"""),"ASS. APOIO ESC. EST. MACHADO DE ASSIS")</f>
        <v>ASS. APOIO ESC. EST. MACHADO DE ASSIS</v>
      </c>
      <c r="E46" s="113" t="str">
        <f ca="1">IFERROR(__xludf.DUMMYFUNCTION("""COMPUTED_VALUE"""),"Escola Estadual Machado de Assis")</f>
        <v>Escola Estadual Machado de Assis</v>
      </c>
      <c r="F46" s="115" t="str">
        <f ca="1">IFERROR(__xludf.DUMMYFUNCTION("""COMPUTED_VALUE"""),"17006422")</f>
        <v>17006422</v>
      </c>
      <c r="G46" s="113" t="str">
        <f ca="1">IFERROR(__xludf.DUMMYFUNCTION("""COMPUTED_VALUE"""),"01243663000108")</f>
        <v>01243663000108</v>
      </c>
      <c r="H46" s="115" t="str">
        <f ca="1">IFERROR(__xludf.DUMMYFUNCTION("""COMPUTED_VALUE"""),"001")</f>
        <v>001</v>
      </c>
      <c r="I46" s="115" t="str">
        <f ca="1">IFERROR(__xludf.DUMMYFUNCTION("""COMPUTED_VALUE"""),"3773")</f>
        <v>3773</v>
      </c>
      <c r="J46" s="115" t="str">
        <f ca="1">IFERROR(__xludf.DUMMYFUNCTION("""COMPUTED_VALUE"""),"322091")</f>
        <v>322091</v>
      </c>
      <c r="K46" s="113" t="e">
        <f ca="1"/>
        <v>#REF!</v>
      </c>
      <c r="L46" s="113" t="e">
        <f ca="1"/>
        <v>#REF!</v>
      </c>
      <c r="M46" s="113" t="e">
        <f ca="1"/>
        <v>#REF!</v>
      </c>
      <c r="N46" s="113" t="e">
        <f ca="1"/>
        <v>#REF!</v>
      </c>
      <c r="O46" s="113" t="e">
        <f ca="1"/>
        <v>#REF!</v>
      </c>
      <c r="P46" s="113" t="e">
        <f ca="1"/>
        <v>#REF!</v>
      </c>
      <c r="Q46" s="113" t="e">
        <f ca="1"/>
        <v>#REF!</v>
      </c>
      <c r="R46" s="113" t="e">
        <f ca="1"/>
        <v>#REF!</v>
      </c>
      <c r="S46" s="113" t="e">
        <f ca="1"/>
        <v>#REF!</v>
      </c>
      <c r="T46" s="113" t="e">
        <f ca="1"/>
        <v>#REF!</v>
      </c>
      <c r="U46" s="113" t="e">
        <f ca="1"/>
        <v>#REF!</v>
      </c>
      <c r="V46" s="113" t="e">
        <f ca="1"/>
        <v>#REF!</v>
      </c>
      <c r="W46" s="113" t="e">
        <f ca="1"/>
        <v>#REF!</v>
      </c>
      <c r="X46" s="113" t="e">
        <f ca="1"/>
        <v>#REF!</v>
      </c>
      <c r="Y46" s="113" t="e">
        <f ca="1"/>
        <v>#REF!</v>
      </c>
      <c r="Z46" s="113" t="e">
        <f ca="1"/>
        <v>#REF!</v>
      </c>
      <c r="AA46" s="113"/>
      <c r="AB46" s="113"/>
      <c r="AC46" s="113"/>
      <c r="AD46" s="113"/>
      <c r="AE46" s="113" t="str">
        <f ca="1">IFERROR(__xludf.DUMMYFUNCTION("""COMPUTED_VALUE"""),"Parcial")</f>
        <v>Parcial</v>
      </c>
      <c r="AF46" s="113" t="str">
        <f ca="1">IFERROR(__xludf.DUMMYFUNCTION("""COMPUTED_VALUE"""),"FE")</f>
        <v>FE</v>
      </c>
      <c r="AG46" s="113">
        <f ca="1">IFERROR(__xludf.DUMMYFUNCTION("""COMPUTED_VALUE"""),0)</f>
        <v>0</v>
      </c>
      <c r="AH46" s="113">
        <f ca="1">IFERROR(__xludf.DUMMYFUNCTION("""COMPUTED_VALUE"""),0)</f>
        <v>0</v>
      </c>
      <c r="AI46" s="113">
        <f ca="1">IFERROR(__xludf.DUMMYFUNCTION("""COMPUTED_VALUE"""),0)</f>
        <v>0</v>
      </c>
      <c r="AJ46" s="113">
        <f ca="1">IFERROR(__xludf.DUMMYFUNCTION("""COMPUTED_VALUE"""),0)</f>
        <v>0</v>
      </c>
      <c r="AK46" s="113"/>
      <c r="AL46" s="116"/>
    </row>
    <row r="47" spans="1:38" ht="12.75">
      <c r="A47" s="112" t="str">
        <f ca="1">IFERROR(__xludf.DUMMYFUNCTION("""COMPUTED_VALUE"""),"17006430")</f>
        <v>17006430</v>
      </c>
      <c r="B47" s="113" t="str">
        <f ca="1">IFERROR(__xludf.DUMMYFUNCTION("""COMPUTED_VALUE"""),"Araguaina")</f>
        <v>Araguaina</v>
      </c>
      <c r="C47" s="113" t="str">
        <f ca="1">IFERROR(__xludf.DUMMYFUNCTION("""COMPUTED_VALUE"""),"Araguana")</f>
        <v>Araguana</v>
      </c>
      <c r="D47" s="114" t="str">
        <f ca="1">IFERROR(__xludf.DUMMYFUNCTION("""COMPUTED_VALUE"""),"A.A. ESC. EST. SAO PEDRO")</f>
        <v>A.A. ESC. EST. SAO PEDRO</v>
      </c>
      <c r="E47" s="113" t="str">
        <f ca="1">IFERROR(__xludf.DUMMYFUNCTION("""COMPUTED_VALUE"""),"Escola Estadual São Pedro")</f>
        <v>Escola Estadual São Pedro</v>
      </c>
      <c r="F47" s="115" t="str">
        <f ca="1">IFERROR(__xludf.DUMMYFUNCTION("""COMPUTED_VALUE"""),"17006430")</f>
        <v>17006430</v>
      </c>
      <c r="G47" s="113" t="str">
        <f ca="1">IFERROR(__xludf.DUMMYFUNCTION("""COMPUTED_VALUE"""),"01230353000140")</f>
        <v>01230353000140</v>
      </c>
      <c r="H47" s="115" t="str">
        <f ca="1">IFERROR(__xludf.DUMMYFUNCTION("""COMPUTED_VALUE"""),"001")</f>
        <v>001</v>
      </c>
      <c r="I47" s="115" t="str">
        <f ca="1">IFERROR(__xludf.DUMMYFUNCTION("""COMPUTED_VALUE"""),"0638")</f>
        <v>0638</v>
      </c>
      <c r="J47" s="115" t="str">
        <f ca="1">IFERROR(__xludf.DUMMYFUNCTION("""COMPUTED_VALUE"""),"73903")</f>
        <v>73903</v>
      </c>
      <c r="K47" s="113" t="e">
        <f ca="1"/>
        <v>#REF!</v>
      </c>
      <c r="L47" s="113" t="e">
        <f ca="1"/>
        <v>#REF!</v>
      </c>
      <c r="M47" s="113" t="e">
        <f ca="1"/>
        <v>#REF!</v>
      </c>
      <c r="N47" s="113" t="e">
        <f ca="1"/>
        <v>#REF!</v>
      </c>
      <c r="O47" s="113" t="e">
        <f ca="1"/>
        <v>#REF!</v>
      </c>
      <c r="P47" s="113" t="e">
        <f ca="1"/>
        <v>#REF!</v>
      </c>
      <c r="Q47" s="113" t="e">
        <f ca="1"/>
        <v>#REF!</v>
      </c>
      <c r="R47" s="113" t="e">
        <f ca="1"/>
        <v>#REF!</v>
      </c>
      <c r="S47" s="113" t="e">
        <f ca="1"/>
        <v>#REF!</v>
      </c>
      <c r="T47" s="113" t="e">
        <f ca="1"/>
        <v>#REF!</v>
      </c>
      <c r="U47" s="113" t="e">
        <f ca="1"/>
        <v>#REF!</v>
      </c>
      <c r="V47" s="113" t="e">
        <f ca="1"/>
        <v>#REF!</v>
      </c>
      <c r="W47" s="113" t="e">
        <f ca="1"/>
        <v>#REF!</v>
      </c>
      <c r="X47" s="113" t="e">
        <f ca="1"/>
        <v>#REF!</v>
      </c>
      <c r="Y47" s="113" t="e">
        <f ca="1"/>
        <v>#REF!</v>
      </c>
      <c r="Z47" s="113" t="e">
        <f ca="1"/>
        <v>#REF!</v>
      </c>
      <c r="AA47" s="113"/>
      <c r="AB47" s="113"/>
      <c r="AC47" s="113"/>
      <c r="AD47" s="113"/>
      <c r="AE47" s="113" t="str">
        <f ca="1">IFERROR(__xludf.DUMMYFUNCTION("""COMPUTED_VALUE"""),"Parcial")</f>
        <v>Parcial</v>
      </c>
      <c r="AF47" s="113" t="str">
        <f ca="1">IFERROR(__xludf.DUMMYFUNCTION("""COMPUTED_VALUE"""),"FE")</f>
        <v>FE</v>
      </c>
      <c r="AG47" s="113">
        <f ca="1">IFERROR(__xludf.DUMMYFUNCTION("""COMPUTED_VALUE"""),0)</f>
        <v>0</v>
      </c>
      <c r="AH47" s="113">
        <f ca="1">IFERROR(__xludf.DUMMYFUNCTION("""COMPUTED_VALUE"""),0)</f>
        <v>0</v>
      </c>
      <c r="AI47" s="113">
        <f ca="1">IFERROR(__xludf.DUMMYFUNCTION("""COMPUTED_VALUE"""),0)</f>
        <v>0</v>
      </c>
      <c r="AJ47" s="113">
        <f ca="1">IFERROR(__xludf.DUMMYFUNCTION("""COMPUTED_VALUE"""),0)</f>
        <v>0</v>
      </c>
      <c r="AK47" s="113"/>
      <c r="AL47" s="116"/>
    </row>
    <row r="48" spans="1:38" ht="12.75">
      <c r="A48" s="112" t="str">
        <f ca="1">IFERROR(__xludf.DUMMYFUNCTION("""COMPUTED_VALUE"""),"17006848")</f>
        <v>17006848</v>
      </c>
      <c r="B48" s="113" t="str">
        <f ca="1">IFERROR(__xludf.DUMMYFUNCTION("""COMPUTED_VALUE"""),"Araguaina")</f>
        <v>Araguaina</v>
      </c>
      <c r="C48" s="113" t="str">
        <f ca="1">IFERROR(__xludf.DUMMYFUNCTION("""COMPUTED_VALUE"""),"Babaculandia")</f>
        <v>Babaculandia</v>
      </c>
      <c r="D48" s="114" t="str">
        <f ca="1">IFERROR(__xludf.DUMMYFUNCTION("""COMPUTED_VALUE"""),"A.PAIS E M.C.E.LEOPOLDO DE BULHOES")</f>
        <v>A.PAIS E M.C.E.LEOPOLDO DE BULHOES</v>
      </c>
      <c r="E48" s="113" t="str">
        <f ca="1">IFERROR(__xludf.DUMMYFUNCTION("""COMPUTED_VALUE"""),"Colégio Estadual Leopoldo de Bulhões")</f>
        <v>Colégio Estadual Leopoldo de Bulhões</v>
      </c>
      <c r="F48" s="115" t="str">
        <f ca="1">IFERROR(__xludf.DUMMYFUNCTION("""COMPUTED_VALUE"""),"17006848")</f>
        <v>17006848</v>
      </c>
      <c r="G48" s="113" t="str">
        <f ca="1">IFERROR(__xludf.DUMMYFUNCTION("""COMPUTED_VALUE"""),"01146116000104")</f>
        <v>01146116000104</v>
      </c>
      <c r="H48" s="115" t="str">
        <f ca="1">IFERROR(__xludf.DUMMYFUNCTION("""COMPUTED_VALUE"""),"001")</f>
        <v>001</v>
      </c>
      <c r="I48" s="115" t="str">
        <f ca="1">IFERROR(__xludf.DUMMYFUNCTION("""COMPUTED_VALUE"""),"0638")</f>
        <v>0638</v>
      </c>
      <c r="J48" s="115" t="str">
        <f ca="1">IFERROR(__xludf.DUMMYFUNCTION("""COMPUTED_VALUE"""),"465232")</f>
        <v>465232</v>
      </c>
      <c r="K48" s="113" t="e">
        <f ca="1"/>
        <v>#REF!</v>
      </c>
      <c r="L48" s="113" t="e">
        <f ca="1"/>
        <v>#REF!</v>
      </c>
      <c r="M48" s="113" t="e">
        <f ca="1"/>
        <v>#REF!</v>
      </c>
      <c r="N48" s="113" t="e">
        <f ca="1"/>
        <v>#REF!</v>
      </c>
      <c r="O48" s="113" t="e">
        <f ca="1"/>
        <v>#REF!</v>
      </c>
      <c r="P48" s="113" t="e">
        <f ca="1"/>
        <v>#REF!</v>
      </c>
      <c r="Q48" s="113" t="e">
        <f ca="1"/>
        <v>#REF!</v>
      </c>
      <c r="R48" s="113" t="e">
        <f ca="1"/>
        <v>#REF!</v>
      </c>
      <c r="S48" s="113" t="e">
        <f ca="1"/>
        <v>#REF!</v>
      </c>
      <c r="T48" s="113" t="e">
        <f ca="1"/>
        <v>#REF!</v>
      </c>
      <c r="U48" s="113" t="e">
        <f ca="1"/>
        <v>#REF!</v>
      </c>
      <c r="V48" s="113" t="e">
        <f ca="1"/>
        <v>#REF!</v>
      </c>
      <c r="W48" s="113" t="e">
        <f ca="1"/>
        <v>#REF!</v>
      </c>
      <c r="X48" s="113" t="e">
        <f ca="1"/>
        <v>#REF!</v>
      </c>
      <c r="Y48" s="113" t="e">
        <f ca="1"/>
        <v>#REF!</v>
      </c>
      <c r="Z48" s="113" t="e">
        <f ca="1"/>
        <v>#REF!</v>
      </c>
      <c r="AA48" s="113"/>
      <c r="AB48" s="113"/>
      <c r="AC48" s="113"/>
      <c r="AD48" s="113"/>
      <c r="AE48" s="113" t="str">
        <f ca="1">IFERROR(__xludf.DUMMYFUNCTION("""COMPUTED_VALUE"""),"Parcial")</f>
        <v>Parcial</v>
      </c>
      <c r="AF48" s="113" t="str">
        <f ca="1">IFERROR(__xludf.DUMMYFUNCTION("""COMPUTED_VALUE"""),"FE")</f>
        <v>FE</v>
      </c>
      <c r="AG48" s="113">
        <f ca="1">IFERROR(__xludf.DUMMYFUNCTION("""COMPUTED_VALUE"""),0)</f>
        <v>0</v>
      </c>
      <c r="AH48" s="113">
        <f ca="1">IFERROR(__xludf.DUMMYFUNCTION("""COMPUTED_VALUE"""),0)</f>
        <v>0</v>
      </c>
      <c r="AI48" s="113">
        <f ca="1">IFERROR(__xludf.DUMMYFUNCTION("""COMPUTED_VALUE"""),0)</f>
        <v>0</v>
      </c>
      <c r="AJ48" s="113">
        <f ca="1">IFERROR(__xludf.DUMMYFUNCTION("""COMPUTED_VALUE"""),0)</f>
        <v>0</v>
      </c>
      <c r="AK48" s="113"/>
      <c r="AL48" s="116"/>
    </row>
    <row r="49" spans="1:38" ht="12.75">
      <c r="A49" s="112" t="str">
        <f ca="1">IFERROR(__xludf.DUMMYFUNCTION("""COMPUTED_VALUE"""),"17006872")</f>
        <v>17006872</v>
      </c>
      <c r="B49" s="113" t="str">
        <f ca="1">IFERROR(__xludf.DUMMYFUNCTION("""COMPUTED_VALUE"""),"Araguaina")</f>
        <v>Araguaina</v>
      </c>
      <c r="C49" s="113" t="str">
        <f ca="1">IFERROR(__xludf.DUMMYFUNCTION("""COMPUTED_VALUE"""),"Babaculandia")</f>
        <v>Babaculandia</v>
      </c>
      <c r="D49" s="114" t="str">
        <f ca="1">IFERROR(__xludf.DUMMYFUNCTION("""COMPUTED_VALUE"""),"A.A. ESCOLA ESTADUAL RUI BARBOSA")</f>
        <v>A.A. ESCOLA ESTADUAL RUI BARBOSA</v>
      </c>
      <c r="E49" s="113" t="str">
        <f ca="1">IFERROR(__xludf.DUMMYFUNCTION("""COMPUTED_VALUE"""),"Escola Estadual Rui Barbosa")</f>
        <v>Escola Estadual Rui Barbosa</v>
      </c>
      <c r="F49" s="115" t="str">
        <f ca="1">IFERROR(__xludf.DUMMYFUNCTION("""COMPUTED_VALUE"""),"17006872")</f>
        <v>17006872</v>
      </c>
      <c r="G49" s="113" t="str">
        <f ca="1">IFERROR(__xludf.DUMMYFUNCTION("""COMPUTED_VALUE"""),"01181184000104")</f>
        <v>01181184000104</v>
      </c>
      <c r="H49" s="115" t="str">
        <f ca="1">IFERROR(__xludf.DUMMYFUNCTION("""COMPUTED_VALUE"""),"001")</f>
        <v>001</v>
      </c>
      <c r="I49" s="115" t="str">
        <f ca="1">IFERROR(__xludf.DUMMYFUNCTION("""COMPUTED_VALUE"""),"0638")</f>
        <v>0638</v>
      </c>
      <c r="J49" s="115" t="str">
        <f ca="1">IFERROR(__xludf.DUMMYFUNCTION("""COMPUTED_VALUE"""),"477117")</f>
        <v>477117</v>
      </c>
      <c r="K49" s="113" t="e">
        <f ca="1"/>
        <v>#REF!</v>
      </c>
      <c r="L49" s="113" t="e">
        <f ca="1"/>
        <v>#REF!</v>
      </c>
      <c r="M49" s="113" t="e">
        <f ca="1"/>
        <v>#REF!</v>
      </c>
      <c r="N49" s="113" t="e">
        <f ca="1"/>
        <v>#REF!</v>
      </c>
      <c r="O49" s="113" t="e">
        <f ca="1"/>
        <v>#REF!</v>
      </c>
      <c r="P49" s="113" t="e">
        <f ca="1"/>
        <v>#REF!</v>
      </c>
      <c r="Q49" s="113" t="e">
        <f ca="1"/>
        <v>#REF!</v>
      </c>
      <c r="R49" s="113" t="e">
        <f ca="1"/>
        <v>#REF!</v>
      </c>
      <c r="S49" s="113" t="e">
        <f ca="1"/>
        <v>#REF!</v>
      </c>
      <c r="T49" s="113" t="e">
        <f ca="1"/>
        <v>#REF!</v>
      </c>
      <c r="U49" s="113" t="e">
        <f ca="1"/>
        <v>#REF!</v>
      </c>
      <c r="V49" s="113" t="e">
        <f ca="1"/>
        <v>#REF!</v>
      </c>
      <c r="W49" s="113" t="e">
        <f ca="1"/>
        <v>#REF!</v>
      </c>
      <c r="X49" s="113" t="e">
        <f ca="1"/>
        <v>#REF!</v>
      </c>
      <c r="Y49" s="113" t="e">
        <f ca="1"/>
        <v>#REF!</v>
      </c>
      <c r="Z49" s="113" t="e">
        <f ca="1"/>
        <v>#REF!</v>
      </c>
      <c r="AA49" s="113"/>
      <c r="AB49" s="113"/>
      <c r="AC49" s="113"/>
      <c r="AD49" s="113"/>
      <c r="AE49" s="113" t="str">
        <f ca="1">IFERROR(__xludf.DUMMYFUNCTION("""COMPUTED_VALUE"""),"Parcial")</f>
        <v>Parcial</v>
      </c>
      <c r="AF49" s="113" t="str">
        <f ca="1">IFERROR(__xludf.DUMMYFUNCTION("""COMPUTED_VALUE"""),"FE")</f>
        <v>FE</v>
      </c>
      <c r="AG49" s="113">
        <f ca="1">IFERROR(__xludf.DUMMYFUNCTION("""COMPUTED_VALUE"""),0)</f>
        <v>0</v>
      </c>
      <c r="AH49" s="113">
        <f ca="1">IFERROR(__xludf.DUMMYFUNCTION("""COMPUTED_VALUE"""),0)</f>
        <v>0</v>
      </c>
      <c r="AI49" s="113">
        <f ca="1">IFERROR(__xludf.DUMMYFUNCTION("""COMPUTED_VALUE"""),0)</f>
        <v>0</v>
      </c>
      <c r="AJ49" s="113">
        <f ca="1">IFERROR(__xludf.DUMMYFUNCTION("""COMPUTED_VALUE"""),0)</f>
        <v>0</v>
      </c>
      <c r="AK49" s="113"/>
      <c r="AL49" s="116"/>
    </row>
    <row r="50" spans="1:38" ht="12.75">
      <c r="A50" s="112" t="str">
        <f ca="1">IFERROR(__xludf.DUMMYFUNCTION("""COMPUTED_VALUE"""),"17028027")</f>
        <v>17028027</v>
      </c>
      <c r="B50" s="113" t="str">
        <f ca="1">IFERROR(__xludf.DUMMYFUNCTION("""COMPUTED_VALUE"""),"Araguaina")</f>
        <v>Araguaina</v>
      </c>
      <c r="C50" s="113" t="str">
        <f ca="1">IFERROR(__xludf.DUMMYFUNCTION("""COMPUTED_VALUE"""),"Barra do Ouro")</f>
        <v>Barra do Ouro</v>
      </c>
      <c r="D50" s="114" t="str">
        <f ca="1">IFERROR(__xludf.DUMMYFUNCTION("""COMPUTED_VALUE"""),"A.A. A ESCOLA ESTADUAL BREJAO")</f>
        <v>A.A. A ESCOLA ESTADUAL BREJAO</v>
      </c>
      <c r="E50" s="113" t="str">
        <f ca="1">IFERROR(__xludf.DUMMYFUNCTION("""COMPUTED_VALUE"""),"Escola Estadual Brejão")</f>
        <v>Escola Estadual Brejão</v>
      </c>
      <c r="F50" s="115" t="str">
        <f ca="1">IFERROR(__xludf.DUMMYFUNCTION("""COMPUTED_VALUE"""),"17028027")</f>
        <v>17028027</v>
      </c>
      <c r="G50" s="113" t="str">
        <f ca="1">IFERROR(__xludf.DUMMYFUNCTION("""COMPUTED_VALUE"""),"02392799000134")</f>
        <v>02392799000134</v>
      </c>
      <c r="H50" s="115" t="str">
        <f ca="1">IFERROR(__xludf.DUMMYFUNCTION("""COMPUTED_VALUE"""),"001")</f>
        <v>001</v>
      </c>
      <c r="I50" s="115" t="str">
        <f ca="1">IFERROR(__xludf.DUMMYFUNCTION("""COMPUTED_VALUE"""),"0638")</f>
        <v>0638</v>
      </c>
      <c r="J50" s="115" t="str">
        <f ca="1">IFERROR(__xludf.DUMMYFUNCTION("""COMPUTED_VALUE"""),"83615")</f>
        <v>83615</v>
      </c>
      <c r="K50" s="113" t="e">
        <f ca="1"/>
        <v>#REF!</v>
      </c>
      <c r="L50" s="113" t="e">
        <f ca="1"/>
        <v>#REF!</v>
      </c>
      <c r="M50" s="113" t="e">
        <f ca="1"/>
        <v>#REF!</v>
      </c>
      <c r="N50" s="113" t="e">
        <f ca="1"/>
        <v>#REF!</v>
      </c>
      <c r="O50" s="113" t="e">
        <f ca="1"/>
        <v>#REF!</v>
      </c>
      <c r="P50" s="113" t="e">
        <f ca="1"/>
        <v>#REF!</v>
      </c>
      <c r="Q50" s="113" t="e">
        <f ca="1"/>
        <v>#REF!</v>
      </c>
      <c r="R50" s="113" t="e">
        <f ca="1"/>
        <v>#REF!</v>
      </c>
      <c r="S50" s="113" t="e">
        <f ca="1"/>
        <v>#REF!</v>
      </c>
      <c r="T50" s="113" t="e">
        <f ca="1"/>
        <v>#REF!</v>
      </c>
      <c r="U50" s="113" t="e">
        <f ca="1"/>
        <v>#REF!</v>
      </c>
      <c r="V50" s="113" t="e">
        <f ca="1"/>
        <v>#REF!</v>
      </c>
      <c r="W50" s="113" t="e">
        <f ca="1"/>
        <v>#REF!</v>
      </c>
      <c r="X50" s="113" t="e">
        <f ca="1"/>
        <v>#REF!</v>
      </c>
      <c r="Y50" s="113" t="e">
        <f ca="1"/>
        <v>#REF!</v>
      </c>
      <c r="Z50" s="113" t="e">
        <f ca="1"/>
        <v>#REF!</v>
      </c>
      <c r="AA50" s="113"/>
      <c r="AB50" s="113"/>
      <c r="AC50" s="113"/>
      <c r="AD50" s="113"/>
      <c r="AE50" s="113" t="str">
        <f ca="1">IFERROR(__xludf.DUMMYFUNCTION("""COMPUTED_VALUE"""),"Parcial")</f>
        <v>Parcial</v>
      </c>
      <c r="AF50" s="113" t="str">
        <f ca="1">IFERROR(__xludf.DUMMYFUNCTION("""COMPUTED_VALUE"""),"FE")</f>
        <v>FE</v>
      </c>
      <c r="AG50" s="113">
        <f ca="1">IFERROR(__xludf.DUMMYFUNCTION("""COMPUTED_VALUE"""),0)</f>
        <v>0</v>
      </c>
      <c r="AH50" s="113">
        <f ca="1">IFERROR(__xludf.DUMMYFUNCTION("""COMPUTED_VALUE"""),0)</f>
        <v>0</v>
      </c>
      <c r="AI50" s="113">
        <f ca="1">IFERROR(__xludf.DUMMYFUNCTION("""COMPUTED_VALUE"""),0)</f>
        <v>0</v>
      </c>
      <c r="AJ50" s="113">
        <f ca="1">IFERROR(__xludf.DUMMYFUNCTION("""COMPUTED_VALUE"""),0)</f>
        <v>0</v>
      </c>
      <c r="AK50" s="113"/>
      <c r="AL50" s="116"/>
    </row>
    <row r="51" spans="1:38" ht="12.75">
      <c r="A51" s="112" t="str">
        <f ca="1">IFERROR(__xludf.DUMMYFUNCTION("""COMPUTED_VALUE"""),"17028000")</f>
        <v>17028000</v>
      </c>
      <c r="B51" s="113" t="str">
        <f ca="1">IFERROR(__xludf.DUMMYFUNCTION("""COMPUTED_VALUE"""),"Araguaina")</f>
        <v>Araguaina</v>
      </c>
      <c r="C51" s="113" t="str">
        <f ca="1">IFERROR(__xludf.DUMMYFUNCTION("""COMPUTED_VALUE"""),"Barra do Ouro")</f>
        <v>Barra do Ouro</v>
      </c>
      <c r="D51" s="114" t="str">
        <f ca="1">IFERROR(__xludf.DUMMYFUNCTION("""COMPUTED_VALUE"""),"A.COM. ESC. EST. BARRA DO OURO/PROF. VICENTE JOSÉ VIEIRA")</f>
        <v>A.COM. ESC. EST. BARRA DO OURO/PROF. VICENTE JOSÉ VIEIRA</v>
      </c>
      <c r="E51" s="113" t="str">
        <f ca="1">IFERROR(__xludf.DUMMYFUNCTION("""COMPUTED_VALUE"""),"Escola Estadual Professor Vicente José Vieira")</f>
        <v>Escola Estadual Professor Vicente José Vieira</v>
      </c>
      <c r="F51" s="115" t="str">
        <f ca="1">IFERROR(__xludf.DUMMYFUNCTION("""COMPUTED_VALUE"""),"17028000")</f>
        <v>17028000</v>
      </c>
      <c r="G51" s="113" t="str">
        <f ca="1">IFERROR(__xludf.DUMMYFUNCTION("""COMPUTED_VALUE"""),"01341481000161")</f>
        <v>01341481000161</v>
      </c>
      <c r="H51" s="115" t="str">
        <f ca="1">IFERROR(__xludf.DUMMYFUNCTION("""COMPUTED_VALUE"""),"001")</f>
        <v>001</v>
      </c>
      <c r="I51" s="115" t="str">
        <f ca="1">IFERROR(__xludf.DUMMYFUNCTION("""COMPUTED_VALUE"""),"0638")</f>
        <v>0638</v>
      </c>
      <c r="J51" s="115" t="str">
        <f ca="1">IFERROR(__xludf.DUMMYFUNCTION("""COMPUTED_VALUE"""),"0069973")</f>
        <v>0069973</v>
      </c>
      <c r="K51" s="113" t="e">
        <f ca="1"/>
        <v>#REF!</v>
      </c>
      <c r="L51" s="113" t="e">
        <f ca="1"/>
        <v>#REF!</v>
      </c>
      <c r="M51" s="113" t="e">
        <f ca="1"/>
        <v>#REF!</v>
      </c>
      <c r="N51" s="113" t="e">
        <f ca="1"/>
        <v>#REF!</v>
      </c>
      <c r="O51" s="113" t="e">
        <f ca="1"/>
        <v>#REF!</v>
      </c>
      <c r="P51" s="113" t="e">
        <f ca="1"/>
        <v>#REF!</v>
      </c>
      <c r="Q51" s="113" t="e">
        <f ca="1"/>
        <v>#REF!</v>
      </c>
      <c r="R51" s="113" t="e">
        <f ca="1"/>
        <v>#REF!</v>
      </c>
      <c r="S51" s="113" t="e">
        <f ca="1"/>
        <v>#REF!</v>
      </c>
      <c r="T51" s="113" t="e">
        <f ca="1"/>
        <v>#REF!</v>
      </c>
      <c r="U51" s="113" t="e">
        <f ca="1"/>
        <v>#REF!</v>
      </c>
      <c r="V51" s="113" t="e">
        <f ca="1"/>
        <v>#REF!</v>
      </c>
      <c r="W51" s="113" t="e">
        <f ca="1"/>
        <v>#REF!</v>
      </c>
      <c r="X51" s="113" t="e">
        <f ca="1"/>
        <v>#REF!</v>
      </c>
      <c r="Y51" s="113" t="e">
        <f ca="1"/>
        <v>#REF!</v>
      </c>
      <c r="Z51" s="113" t="e">
        <f ca="1"/>
        <v>#REF!</v>
      </c>
      <c r="AA51" s="113"/>
      <c r="AB51" s="113"/>
      <c r="AC51" s="113"/>
      <c r="AD51" s="113"/>
      <c r="AE51" s="113" t="str">
        <f ca="1">IFERROR(__xludf.DUMMYFUNCTION("""COMPUTED_VALUE"""),"Parcial")</f>
        <v>Parcial</v>
      </c>
      <c r="AF51" s="113" t="str">
        <f ca="1">IFERROR(__xludf.DUMMYFUNCTION("""COMPUTED_VALUE"""),"FE")</f>
        <v>FE</v>
      </c>
      <c r="AG51" s="113">
        <f ca="1">IFERROR(__xludf.DUMMYFUNCTION("""COMPUTED_VALUE"""),0)</f>
        <v>0</v>
      </c>
      <c r="AH51" s="113">
        <f ca="1">IFERROR(__xludf.DUMMYFUNCTION("""COMPUTED_VALUE"""),0)</f>
        <v>0</v>
      </c>
      <c r="AI51" s="113">
        <f ca="1">IFERROR(__xludf.DUMMYFUNCTION("""COMPUTED_VALUE"""),0)</f>
        <v>0</v>
      </c>
      <c r="AJ51" s="113">
        <f ca="1">IFERROR(__xludf.DUMMYFUNCTION("""COMPUTED_VALUE"""),0)</f>
        <v>0</v>
      </c>
      <c r="AK51" s="113"/>
      <c r="AL51" s="116"/>
    </row>
    <row r="52" spans="1:38" ht="12.75">
      <c r="A52" s="112" t="str">
        <f ca="1">IFERROR(__xludf.DUMMYFUNCTION("""COMPUTED_VALUE"""),"17027608")</f>
        <v>17027608</v>
      </c>
      <c r="B52" s="113" t="str">
        <f ca="1">IFERROR(__xludf.DUMMYFUNCTION("""COMPUTED_VALUE"""),"Araguaina")</f>
        <v>Araguaina</v>
      </c>
      <c r="C52" s="113" t="str">
        <f ca="1">IFERROR(__xludf.DUMMYFUNCTION("""COMPUTED_VALUE"""),"Campos Lindos")</f>
        <v>Campos Lindos</v>
      </c>
      <c r="D52" s="114" t="str">
        <f ca="1">IFERROR(__xludf.DUMMYFUNCTION("""COMPUTED_VALUE"""),"A.A. DA ESC. EST. MANOEL ALVES GRANDE")</f>
        <v>A.A. DA ESC. EST. MANOEL ALVES GRANDE</v>
      </c>
      <c r="E52" s="113" t="str">
        <f ca="1">IFERROR(__xludf.DUMMYFUNCTION("""COMPUTED_VALUE"""),"Escola Estadual Manoel Alves Grande")</f>
        <v>Escola Estadual Manoel Alves Grande</v>
      </c>
      <c r="F52" s="115" t="str">
        <f ca="1">IFERROR(__xludf.DUMMYFUNCTION("""COMPUTED_VALUE"""),"17027608")</f>
        <v>17027608</v>
      </c>
      <c r="G52" s="113" t="str">
        <f ca="1">IFERROR(__xludf.DUMMYFUNCTION("""COMPUTED_VALUE"""),"02199744000102")</f>
        <v>02199744000102</v>
      </c>
      <c r="H52" s="115" t="str">
        <f ca="1">IFERROR(__xludf.DUMMYFUNCTION("""COMPUTED_VALUE"""),"001")</f>
        <v>001</v>
      </c>
      <c r="I52" s="115" t="str">
        <f ca="1">IFERROR(__xludf.DUMMYFUNCTION("""COMPUTED_VALUE"""),"2064")</f>
        <v>2064</v>
      </c>
      <c r="J52" s="115" t="str">
        <f ca="1">IFERROR(__xludf.DUMMYFUNCTION("""COMPUTED_VALUE"""),"0130117")</f>
        <v>0130117</v>
      </c>
      <c r="K52" s="113" t="e">
        <f ca="1"/>
        <v>#REF!</v>
      </c>
      <c r="L52" s="113" t="e">
        <f ca="1"/>
        <v>#REF!</v>
      </c>
      <c r="M52" s="113" t="e">
        <f ca="1"/>
        <v>#REF!</v>
      </c>
      <c r="N52" s="113" t="e">
        <f ca="1"/>
        <v>#REF!</v>
      </c>
      <c r="O52" s="113" t="e">
        <f ca="1"/>
        <v>#REF!</v>
      </c>
      <c r="P52" s="113" t="e">
        <f ca="1"/>
        <v>#REF!</v>
      </c>
      <c r="Q52" s="113" t="e">
        <f ca="1"/>
        <v>#REF!</v>
      </c>
      <c r="R52" s="113" t="e">
        <f ca="1"/>
        <v>#REF!</v>
      </c>
      <c r="S52" s="113" t="e">
        <f ca="1"/>
        <v>#REF!</v>
      </c>
      <c r="T52" s="113" t="e">
        <f ca="1"/>
        <v>#REF!</v>
      </c>
      <c r="U52" s="113" t="e">
        <f ca="1"/>
        <v>#REF!</v>
      </c>
      <c r="V52" s="113" t="e">
        <f ca="1"/>
        <v>#REF!</v>
      </c>
      <c r="W52" s="113" t="e">
        <f ca="1"/>
        <v>#REF!</v>
      </c>
      <c r="X52" s="113" t="e">
        <f ca="1"/>
        <v>#REF!</v>
      </c>
      <c r="Y52" s="113" t="e">
        <f ca="1"/>
        <v>#REF!</v>
      </c>
      <c r="Z52" s="113" t="e">
        <f ca="1"/>
        <v>#REF!</v>
      </c>
      <c r="AA52" s="113"/>
      <c r="AB52" s="113"/>
      <c r="AC52" s="113"/>
      <c r="AD52" s="113"/>
      <c r="AE52" s="113" t="str">
        <f ca="1">IFERROR(__xludf.DUMMYFUNCTION("""COMPUTED_VALUE"""),"Parcial")</f>
        <v>Parcial</v>
      </c>
      <c r="AF52" s="113" t="str">
        <f ca="1">IFERROR(__xludf.DUMMYFUNCTION("""COMPUTED_VALUE"""),"FE")</f>
        <v>FE</v>
      </c>
      <c r="AG52" s="113">
        <f ca="1">IFERROR(__xludf.DUMMYFUNCTION("""COMPUTED_VALUE"""),0)</f>
        <v>0</v>
      </c>
      <c r="AH52" s="113">
        <f ca="1">IFERROR(__xludf.DUMMYFUNCTION("""COMPUTED_VALUE"""),0)</f>
        <v>0</v>
      </c>
      <c r="AI52" s="113">
        <f ca="1">IFERROR(__xludf.DUMMYFUNCTION("""COMPUTED_VALUE"""),0)</f>
        <v>0</v>
      </c>
      <c r="AJ52" s="113">
        <f ca="1">IFERROR(__xludf.DUMMYFUNCTION("""COMPUTED_VALUE"""),0)</f>
        <v>0</v>
      </c>
      <c r="AK52" s="113"/>
      <c r="AL52" s="116"/>
    </row>
    <row r="53" spans="1:38" ht="12.75">
      <c r="A53" s="112" t="str">
        <f ca="1">IFERROR(__xludf.DUMMYFUNCTION("""COMPUTED_VALUE"""),"17007429")</f>
        <v>17007429</v>
      </c>
      <c r="B53" s="113" t="str">
        <f ca="1">IFERROR(__xludf.DUMMYFUNCTION("""COMPUTED_VALUE"""),"Araguaina")</f>
        <v>Araguaina</v>
      </c>
      <c r="C53" s="113" t="str">
        <f ca="1">IFERROR(__xludf.DUMMYFUNCTION("""COMPUTED_VALUE"""),"Carmolandia")</f>
        <v>Carmolandia</v>
      </c>
      <c r="D53" s="114" t="str">
        <f ca="1">IFERROR(__xludf.DUMMYFUNCTION("""COMPUTED_VALUE"""),"A.A. E. EST. BARTOLOMEU BUENO DA SILVA")</f>
        <v>A.A. E. EST. BARTOLOMEU BUENO DA SILVA</v>
      </c>
      <c r="E53" s="113" t="str">
        <f ca="1">IFERROR(__xludf.DUMMYFUNCTION("""COMPUTED_VALUE"""),"Escola Estadual Bartolomeu Bueno da Silva")</f>
        <v>Escola Estadual Bartolomeu Bueno da Silva</v>
      </c>
      <c r="F53" s="115" t="str">
        <f ca="1">IFERROR(__xludf.DUMMYFUNCTION("""COMPUTED_VALUE"""),"17007429")</f>
        <v>17007429</v>
      </c>
      <c r="G53" s="113" t="str">
        <f ca="1">IFERROR(__xludf.DUMMYFUNCTION("""COMPUTED_VALUE"""),"01181172000171")</f>
        <v>01181172000171</v>
      </c>
      <c r="H53" s="115" t="str">
        <f ca="1">IFERROR(__xludf.DUMMYFUNCTION("""COMPUTED_VALUE"""),"001")</f>
        <v>001</v>
      </c>
      <c r="I53" s="115" t="str">
        <f ca="1">IFERROR(__xludf.DUMMYFUNCTION("""COMPUTED_VALUE"""),"0638")</f>
        <v>0638</v>
      </c>
      <c r="J53" s="115" t="str">
        <f ca="1">IFERROR(__xludf.DUMMYFUNCTION("""COMPUTED_VALUE"""),"0465038")</f>
        <v>0465038</v>
      </c>
      <c r="K53" s="113" t="e">
        <f ca="1"/>
        <v>#REF!</v>
      </c>
      <c r="L53" s="113" t="e">
        <f ca="1"/>
        <v>#REF!</v>
      </c>
      <c r="M53" s="113" t="e">
        <f ca="1"/>
        <v>#REF!</v>
      </c>
      <c r="N53" s="113" t="e">
        <f ca="1"/>
        <v>#REF!</v>
      </c>
      <c r="O53" s="113" t="e">
        <f ca="1"/>
        <v>#REF!</v>
      </c>
      <c r="P53" s="113" t="e">
        <f ca="1"/>
        <v>#REF!</v>
      </c>
      <c r="Q53" s="113" t="e">
        <f ca="1"/>
        <v>#REF!</v>
      </c>
      <c r="R53" s="113" t="e">
        <f ca="1"/>
        <v>#REF!</v>
      </c>
      <c r="S53" s="113" t="e">
        <f ca="1"/>
        <v>#REF!</v>
      </c>
      <c r="T53" s="113" t="e">
        <f ca="1"/>
        <v>#REF!</v>
      </c>
      <c r="U53" s="113" t="e">
        <f ca="1"/>
        <v>#REF!</v>
      </c>
      <c r="V53" s="113" t="e">
        <f ca="1"/>
        <v>#REF!</v>
      </c>
      <c r="W53" s="113" t="e">
        <f ca="1"/>
        <v>#REF!</v>
      </c>
      <c r="X53" s="113" t="e">
        <f ca="1"/>
        <v>#REF!</v>
      </c>
      <c r="Y53" s="113" t="e">
        <f ca="1"/>
        <v>#REF!</v>
      </c>
      <c r="Z53" s="113" t="e">
        <f ca="1"/>
        <v>#REF!</v>
      </c>
      <c r="AA53" s="113"/>
      <c r="AB53" s="113"/>
      <c r="AC53" s="113"/>
      <c r="AD53" s="113"/>
      <c r="AE53" s="113" t="str">
        <f ca="1">IFERROR(__xludf.DUMMYFUNCTION("""COMPUTED_VALUE"""),"Parcial")</f>
        <v>Parcial</v>
      </c>
      <c r="AF53" s="113" t="str">
        <f ca="1">IFERROR(__xludf.DUMMYFUNCTION("""COMPUTED_VALUE"""),"FE")</f>
        <v>FE</v>
      </c>
      <c r="AG53" s="113">
        <f ca="1">IFERROR(__xludf.DUMMYFUNCTION("""COMPUTED_VALUE"""),0)</f>
        <v>0</v>
      </c>
      <c r="AH53" s="113">
        <f ca="1">IFERROR(__xludf.DUMMYFUNCTION("""COMPUTED_VALUE"""),0)</f>
        <v>0</v>
      </c>
      <c r="AI53" s="113">
        <f ca="1">IFERROR(__xludf.DUMMYFUNCTION("""COMPUTED_VALUE"""),0)</f>
        <v>0</v>
      </c>
      <c r="AJ53" s="113">
        <f ca="1">IFERROR(__xludf.DUMMYFUNCTION("""COMPUTED_VALUE"""),0)</f>
        <v>0</v>
      </c>
      <c r="AK53" s="113"/>
      <c r="AL53" s="116"/>
    </row>
    <row r="54" spans="1:38" ht="12.75">
      <c r="A54" s="112" t="str">
        <f ca="1">IFERROR(__xludf.DUMMYFUNCTION("""COMPUTED_VALUE"""),"17007887")</f>
        <v>17007887</v>
      </c>
      <c r="B54" s="113" t="str">
        <f ca="1">IFERROR(__xludf.DUMMYFUNCTION("""COMPUTED_VALUE"""),"Araguaina")</f>
        <v>Araguaina</v>
      </c>
      <c r="C54" s="113" t="str">
        <f ca="1">IFERROR(__xludf.DUMMYFUNCTION("""COMPUTED_VALUE"""),"Filadelfia")</f>
        <v>Filadelfia</v>
      </c>
      <c r="D54" s="114" t="str">
        <f ca="1">IFERROR(__xludf.DUMMYFUNCTION("""COMPUTED_VALUE"""),"A.A. DO COL.MUNICIPAL DE FILADELFIA")</f>
        <v>A.A. DO COL.MUNICIPAL DE FILADELFIA</v>
      </c>
      <c r="E54" s="113" t="str">
        <f ca="1">IFERROR(__xludf.DUMMYFUNCTION("""COMPUTED_VALUE"""),"Colegio Estadual de Filadelfia")</f>
        <v>Colegio Estadual de Filadelfia</v>
      </c>
      <c r="F54" s="115" t="str">
        <f ca="1">IFERROR(__xludf.DUMMYFUNCTION("""COMPUTED_VALUE"""),"17007887")</f>
        <v>17007887</v>
      </c>
      <c r="G54" s="113" t="str">
        <f ca="1">IFERROR(__xludf.DUMMYFUNCTION("""COMPUTED_VALUE"""),"02189621000190")</f>
        <v>02189621000190</v>
      </c>
      <c r="H54" s="115" t="str">
        <f ca="1">IFERROR(__xludf.DUMMYFUNCTION("""COMPUTED_VALUE"""),"001")</f>
        <v>001</v>
      </c>
      <c r="I54" s="115" t="str">
        <f ca="1">IFERROR(__xludf.DUMMYFUNCTION("""COMPUTED_VALUE"""),"2064")</f>
        <v>2064</v>
      </c>
      <c r="J54" s="115" t="str">
        <f ca="1">IFERROR(__xludf.DUMMYFUNCTION("""COMPUTED_VALUE"""),"54127")</f>
        <v>54127</v>
      </c>
      <c r="K54" s="113" t="e">
        <f ca="1"/>
        <v>#REF!</v>
      </c>
      <c r="L54" s="113" t="e">
        <f ca="1"/>
        <v>#REF!</v>
      </c>
      <c r="M54" s="113" t="e">
        <f ca="1"/>
        <v>#REF!</v>
      </c>
      <c r="N54" s="113" t="e">
        <f ca="1"/>
        <v>#REF!</v>
      </c>
      <c r="O54" s="113" t="e">
        <f ca="1"/>
        <v>#REF!</v>
      </c>
      <c r="P54" s="113" t="e">
        <f ca="1"/>
        <v>#REF!</v>
      </c>
      <c r="Q54" s="113" t="e">
        <f ca="1"/>
        <v>#REF!</v>
      </c>
      <c r="R54" s="113" t="e">
        <f ca="1"/>
        <v>#REF!</v>
      </c>
      <c r="S54" s="113" t="e">
        <f ca="1"/>
        <v>#REF!</v>
      </c>
      <c r="T54" s="113" t="e">
        <f ca="1"/>
        <v>#REF!</v>
      </c>
      <c r="U54" s="113" t="e">
        <f ca="1"/>
        <v>#REF!</v>
      </c>
      <c r="V54" s="113" t="e">
        <f ca="1"/>
        <v>#REF!</v>
      </c>
      <c r="W54" s="113" t="e">
        <f ca="1"/>
        <v>#REF!</v>
      </c>
      <c r="X54" s="113" t="e">
        <f ca="1"/>
        <v>#REF!</v>
      </c>
      <c r="Y54" s="113" t="e">
        <f ca="1"/>
        <v>#REF!</v>
      </c>
      <c r="Z54" s="113" t="e">
        <f ca="1"/>
        <v>#REF!</v>
      </c>
      <c r="AA54" s="113"/>
      <c r="AB54" s="113"/>
      <c r="AC54" s="113"/>
      <c r="AD54" s="113"/>
      <c r="AE54" s="113" t="str">
        <f ca="1">IFERROR(__xludf.DUMMYFUNCTION("""COMPUTED_VALUE"""),"Parcial")</f>
        <v>Parcial</v>
      </c>
      <c r="AF54" s="113" t="str">
        <f ca="1">IFERROR(__xludf.DUMMYFUNCTION("""COMPUTED_VALUE"""),"FE")</f>
        <v>FE</v>
      </c>
      <c r="AG54" s="113">
        <f ca="1">IFERROR(__xludf.DUMMYFUNCTION("""COMPUTED_VALUE"""),0)</f>
        <v>0</v>
      </c>
      <c r="AH54" s="113">
        <f ca="1">IFERROR(__xludf.DUMMYFUNCTION("""COMPUTED_VALUE"""),0)</f>
        <v>0</v>
      </c>
      <c r="AI54" s="113">
        <f ca="1">IFERROR(__xludf.DUMMYFUNCTION("""COMPUTED_VALUE"""),0)</f>
        <v>0</v>
      </c>
      <c r="AJ54" s="113">
        <f ca="1">IFERROR(__xludf.DUMMYFUNCTION("""COMPUTED_VALUE"""),0)</f>
        <v>0</v>
      </c>
      <c r="AK54" s="113"/>
      <c r="AL54" s="116"/>
    </row>
    <row r="55" spans="1:38" ht="12.75">
      <c r="A55" s="112" t="str">
        <f ca="1">IFERROR(__xludf.DUMMYFUNCTION("""COMPUTED_VALUE"""),"17007895")</f>
        <v>17007895</v>
      </c>
      <c r="B55" s="113" t="str">
        <f ca="1">IFERROR(__xludf.DUMMYFUNCTION("""COMPUTED_VALUE"""),"Araguaina")</f>
        <v>Araguaina</v>
      </c>
      <c r="C55" s="113" t="str">
        <f ca="1">IFERROR(__xludf.DUMMYFUNCTION("""COMPUTED_VALUE"""),"Filadelfia")</f>
        <v>Filadelfia</v>
      </c>
      <c r="D55" s="114" t="str">
        <f ca="1">IFERROR(__xludf.DUMMYFUNCTION("""COMPUTED_VALUE"""),"A.P. E M. ESC. EST. ADEUVALDO O.MORAES")</f>
        <v>A.P. E M. ESC. EST. ADEUVALDO O.MORAES</v>
      </c>
      <c r="E55" s="113" t="str">
        <f ca="1">IFERROR(__xludf.DUMMYFUNCTION("""COMPUTED_VALUE"""),"Escola Estadual Adeuvaldo de Oliveira Moraes")</f>
        <v>Escola Estadual Adeuvaldo de Oliveira Moraes</v>
      </c>
      <c r="F55" s="115" t="str">
        <f ca="1">IFERROR(__xludf.DUMMYFUNCTION("""COMPUTED_VALUE"""),"17007895")</f>
        <v>17007895</v>
      </c>
      <c r="G55" s="113" t="str">
        <f ca="1">IFERROR(__xludf.DUMMYFUNCTION("""COMPUTED_VALUE"""),"01912087000136")</f>
        <v>01912087000136</v>
      </c>
      <c r="H55" s="115" t="str">
        <f ca="1">IFERROR(__xludf.DUMMYFUNCTION("""COMPUTED_VALUE"""),"001")</f>
        <v>001</v>
      </c>
      <c r="I55" s="115" t="str">
        <f ca="1">IFERROR(__xludf.DUMMYFUNCTION("""COMPUTED_VALUE"""),"2064")</f>
        <v>2064</v>
      </c>
      <c r="J55" s="115" t="str">
        <f ca="1">IFERROR(__xludf.DUMMYFUNCTION("""COMPUTED_VALUE"""),"127434")</f>
        <v>127434</v>
      </c>
      <c r="K55" s="113" t="e">
        <f ca="1"/>
        <v>#REF!</v>
      </c>
      <c r="L55" s="113" t="e">
        <f ca="1"/>
        <v>#REF!</v>
      </c>
      <c r="M55" s="113" t="e">
        <f ca="1"/>
        <v>#REF!</v>
      </c>
      <c r="N55" s="113" t="e">
        <f ca="1"/>
        <v>#REF!</v>
      </c>
      <c r="O55" s="113" t="e">
        <f ca="1"/>
        <v>#REF!</v>
      </c>
      <c r="P55" s="113" t="e">
        <f ca="1"/>
        <v>#REF!</v>
      </c>
      <c r="Q55" s="113" t="e">
        <f ca="1"/>
        <v>#REF!</v>
      </c>
      <c r="R55" s="113" t="e">
        <f ca="1"/>
        <v>#REF!</v>
      </c>
      <c r="S55" s="113" t="e">
        <f ca="1"/>
        <v>#REF!</v>
      </c>
      <c r="T55" s="113" t="e">
        <f ca="1"/>
        <v>#REF!</v>
      </c>
      <c r="U55" s="113" t="e">
        <f ca="1"/>
        <v>#REF!</v>
      </c>
      <c r="V55" s="113" t="e">
        <f ca="1"/>
        <v>#REF!</v>
      </c>
      <c r="W55" s="113" t="e">
        <f ca="1"/>
        <v>#REF!</v>
      </c>
      <c r="X55" s="113" t="e">
        <f ca="1"/>
        <v>#REF!</v>
      </c>
      <c r="Y55" s="113" t="e">
        <f ca="1"/>
        <v>#REF!</v>
      </c>
      <c r="Z55" s="113" t="e">
        <f ca="1"/>
        <v>#REF!</v>
      </c>
      <c r="AA55" s="113"/>
      <c r="AB55" s="113"/>
      <c r="AC55" s="113"/>
      <c r="AD55" s="113"/>
      <c r="AE55" s="113" t="str">
        <f ca="1">IFERROR(__xludf.DUMMYFUNCTION("""COMPUTED_VALUE"""),"Parcial")</f>
        <v>Parcial</v>
      </c>
      <c r="AF55" s="113" t="str">
        <f ca="1">IFERROR(__xludf.DUMMYFUNCTION("""COMPUTED_VALUE"""),"FE")</f>
        <v>FE</v>
      </c>
      <c r="AG55" s="113">
        <f ca="1">IFERROR(__xludf.DUMMYFUNCTION("""COMPUTED_VALUE"""),0)</f>
        <v>0</v>
      </c>
      <c r="AH55" s="113">
        <f ca="1">IFERROR(__xludf.DUMMYFUNCTION("""COMPUTED_VALUE"""),0)</f>
        <v>0</v>
      </c>
      <c r="AI55" s="113">
        <f ca="1">IFERROR(__xludf.DUMMYFUNCTION("""COMPUTED_VALUE"""),0)</f>
        <v>0</v>
      </c>
      <c r="AJ55" s="113">
        <f ca="1">IFERROR(__xludf.DUMMYFUNCTION("""COMPUTED_VALUE"""),0)</f>
        <v>0</v>
      </c>
      <c r="AK55" s="113"/>
      <c r="AL55" s="116"/>
    </row>
    <row r="56" spans="1:38" ht="12.75">
      <c r="A56" s="112" t="str">
        <f ca="1">IFERROR(__xludf.DUMMYFUNCTION("""COMPUTED_VALUE"""),"17056012")</f>
        <v>17056012</v>
      </c>
      <c r="B56" s="113" t="str">
        <f ca="1">IFERROR(__xludf.DUMMYFUNCTION("""COMPUTED_VALUE"""),"Araguaina")</f>
        <v>Araguaina</v>
      </c>
      <c r="C56" s="113" t="str">
        <f ca="1">IFERROR(__xludf.DUMMYFUNCTION("""COMPUTED_VALUE"""),"Filadelfia")</f>
        <v>Filadelfia</v>
      </c>
      <c r="D56" s="114" t="str">
        <f ca="1">IFERROR(__xludf.DUMMYFUNCTION("""COMPUTED_VALUE"""),"A.A. ESC EST PROFESSOR JOSÉ FRANCISCO DOS MONTES")</f>
        <v>A.A. ESC EST PROFESSOR JOSÉ FRANCISCO DOS MONTES</v>
      </c>
      <c r="E56" s="113" t="str">
        <f ca="1">IFERROR(__xludf.DUMMYFUNCTION("""COMPUTED_VALUE"""),"Escola Estadual Professor José Francisco dos Montes")</f>
        <v>Escola Estadual Professor José Francisco dos Montes</v>
      </c>
      <c r="F56" s="115" t="str">
        <f ca="1">IFERROR(__xludf.DUMMYFUNCTION("""COMPUTED_VALUE"""),"17056012")</f>
        <v>17056012</v>
      </c>
      <c r="G56" s="113" t="str">
        <f ca="1">IFERROR(__xludf.DUMMYFUNCTION("""COMPUTED_VALUE"""),"27853677000129")</f>
        <v>27853677000129</v>
      </c>
      <c r="H56" s="115" t="str">
        <f ca="1">IFERROR(__xludf.DUMMYFUNCTION("""COMPUTED_VALUE"""),"001")</f>
        <v>001</v>
      </c>
      <c r="I56" s="115" t="str">
        <f ca="1">IFERROR(__xludf.DUMMYFUNCTION("""COMPUTED_VALUE"""),"2064")</f>
        <v>2064</v>
      </c>
      <c r="J56" s="115" t="str">
        <f ca="1">IFERROR(__xludf.DUMMYFUNCTION("""COMPUTED_VALUE"""),"198315")</f>
        <v>198315</v>
      </c>
      <c r="K56" s="113" t="e">
        <f ca="1"/>
        <v>#REF!</v>
      </c>
      <c r="L56" s="113" t="e">
        <f ca="1"/>
        <v>#REF!</v>
      </c>
      <c r="M56" s="113" t="e">
        <f ca="1"/>
        <v>#REF!</v>
      </c>
      <c r="N56" s="113" t="e">
        <f ca="1"/>
        <v>#REF!</v>
      </c>
      <c r="O56" s="113" t="e">
        <f ca="1"/>
        <v>#REF!</v>
      </c>
      <c r="P56" s="113" t="e">
        <f ca="1"/>
        <v>#REF!</v>
      </c>
      <c r="Q56" s="113" t="e">
        <f ca="1"/>
        <v>#REF!</v>
      </c>
      <c r="R56" s="113" t="e">
        <f ca="1"/>
        <v>#REF!</v>
      </c>
      <c r="S56" s="113" t="e">
        <f ca="1"/>
        <v>#REF!</v>
      </c>
      <c r="T56" s="113" t="e">
        <f ca="1"/>
        <v>#REF!</v>
      </c>
      <c r="U56" s="113" t="e">
        <f ca="1"/>
        <v>#REF!</v>
      </c>
      <c r="V56" s="113" t="e">
        <f ca="1"/>
        <v>#REF!</v>
      </c>
      <c r="W56" s="113" t="e">
        <f ca="1"/>
        <v>#REF!</v>
      </c>
      <c r="X56" s="113" t="e">
        <f ca="1"/>
        <v>#REF!</v>
      </c>
      <c r="Y56" s="113" t="e">
        <f ca="1"/>
        <v>#REF!</v>
      </c>
      <c r="Z56" s="113" t="e">
        <f ca="1"/>
        <v>#REF!</v>
      </c>
      <c r="AA56" s="113"/>
      <c r="AB56" s="113"/>
      <c r="AC56" s="113"/>
      <c r="AD56" s="113"/>
      <c r="AE56" s="113" t="str">
        <f ca="1">IFERROR(__xludf.DUMMYFUNCTION("""COMPUTED_VALUE"""),"Parcial")</f>
        <v>Parcial</v>
      </c>
      <c r="AF56" s="113" t="str">
        <f ca="1">IFERROR(__xludf.DUMMYFUNCTION("""COMPUTED_VALUE"""),"FE")</f>
        <v>FE</v>
      </c>
      <c r="AG56" s="113">
        <f ca="1">IFERROR(__xludf.DUMMYFUNCTION("""COMPUTED_VALUE"""),0)</f>
        <v>0</v>
      </c>
      <c r="AH56" s="113">
        <f ca="1">IFERROR(__xludf.DUMMYFUNCTION("""COMPUTED_VALUE"""),0)</f>
        <v>0</v>
      </c>
      <c r="AI56" s="113">
        <f ca="1">IFERROR(__xludf.DUMMYFUNCTION("""COMPUTED_VALUE"""),0)</f>
        <v>0</v>
      </c>
      <c r="AJ56" s="113">
        <f ca="1">IFERROR(__xludf.DUMMYFUNCTION("""COMPUTED_VALUE"""),0)</f>
        <v>0</v>
      </c>
      <c r="AK56" s="113"/>
      <c r="AL56" s="116"/>
    </row>
    <row r="57" spans="1:38" ht="12.75">
      <c r="A57" s="112" t="str">
        <f ca="1">IFERROR(__xludf.DUMMYFUNCTION("""COMPUTED_VALUE"""),"17027993")</f>
        <v>17027993</v>
      </c>
      <c r="B57" s="113" t="str">
        <f ca="1">IFERROR(__xludf.DUMMYFUNCTION("""COMPUTED_VALUE"""),"Araguaina")</f>
        <v>Araguaina</v>
      </c>
      <c r="C57" s="113" t="str">
        <f ca="1">IFERROR(__xludf.DUMMYFUNCTION("""COMPUTED_VALUE"""),"Goiatins")</f>
        <v>Goiatins</v>
      </c>
      <c r="D57" s="114" t="str">
        <f ca="1">IFERROR(__xludf.DUMMYFUNCTION("""COMPUTED_VALUE"""),"ASS. COM.COL. EST. ADA ASSIS TEIXEIRA")</f>
        <v>ASS. COM.COL. EST. ADA ASSIS TEIXEIRA</v>
      </c>
      <c r="E57" s="113" t="str">
        <f ca="1">IFERROR(__xludf.DUMMYFUNCTION("""COMPUTED_VALUE"""),"Colégio Estadual Adá de Assis Teixeira")</f>
        <v>Colégio Estadual Adá de Assis Teixeira</v>
      </c>
      <c r="F57" s="115" t="str">
        <f ca="1">IFERROR(__xludf.DUMMYFUNCTION("""COMPUTED_VALUE"""),"17027993")</f>
        <v>17027993</v>
      </c>
      <c r="G57" s="113" t="str">
        <f ca="1">IFERROR(__xludf.DUMMYFUNCTION("""COMPUTED_VALUE"""),"01440731000110")</f>
        <v>01440731000110</v>
      </c>
      <c r="H57" s="115" t="str">
        <f ca="1">IFERROR(__xludf.DUMMYFUNCTION("""COMPUTED_VALUE"""),"001")</f>
        <v>001</v>
      </c>
      <c r="I57" s="115" t="str">
        <f ca="1">IFERROR(__xludf.DUMMYFUNCTION("""COMPUTED_VALUE"""),"2064")</f>
        <v>2064</v>
      </c>
      <c r="J57" s="115" t="str">
        <f ca="1">IFERROR(__xludf.DUMMYFUNCTION("""COMPUTED_VALUE"""),"0013323")</f>
        <v>0013323</v>
      </c>
      <c r="K57" s="113" t="e">
        <f ca="1"/>
        <v>#REF!</v>
      </c>
      <c r="L57" s="113" t="e">
        <f ca="1"/>
        <v>#REF!</v>
      </c>
      <c r="M57" s="113" t="e">
        <f ca="1"/>
        <v>#REF!</v>
      </c>
      <c r="N57" s="113" t="e">
        <f ca="1"/>
        <v>#REF!</v>
      </c>
      <c r="O57" s="113" t="e">
        <f ca="1"/>
        <v>#REF!</v>
      </c>
      <c r="P57" s="113" t="e">
        <f ca="1"/>
        <v>#REF!</v>
      </c>
      <c r="Q57" s="113" t="e">
        <f ca="1"/>
        <v>#REF!</v>
      </c>
      <c r="R57" s="113" t="e">
        <f ca="1"/>
        <v>#REF!</v>
      </c>
      <c r="S57" s="113" t="e">
        <f ca="1"/>
        <v>#REF!</v>
      </c>
      <c r="T57" s="113" t="e">
        <f ca="1"/>
        <v>#REF!</v>
      </c>
      <c r="U57" s="113" t="e">
        <f ca="1"/>
        <v>#REF!</v>
      </c>
      <c r="V57" s="113" t="e">
        <f ca="1"/>
        <v>#REF!</v>
      </c>
      <c r="W57" s="113" t="e">
        <f ca="1"/>
        <v>#REF!</v>
      </c>
      <c r="X57" s="113" t="e">
        <f ca="1"/>
        <v>#REF!</v>
      </c>
      <c r="Y57" s="113" t="e">
        <f ca="1"/>
        <v>#REF!</v>
      </c>
      <c r="Z57" s="113" t="e">
        <f ca="1"/>
        <v>#REF!</v>
      </c>
      <c r="AA57" s="113"/>
      <c r="AB57" s="113"/>
      <c r="AC57" s="113"/>
      <c r="AD57" s="113"/>
      <c r="AE57" s="113" t="str">
        <f ca="1">IFERROR(__xludf.DUMMYFUNCTION("""COMPUTED_VALUE"""),"Parcial")</f>
        <v>Parcial</v>
      </c>
      <c r="AF57" s="113" t="str">
        <f ca="1">IFERROR(__xludf.DUMMYFUNCTION("""COMPUTED_VALUE"""),"FE")</f>
        <v>FE</v>
      </c>
      <c r="AG57" s="113">
        <f ca="1">IFERROR(__xludf.DUMMYFUNCTION("""COMPUTED_VALUE"""),0)</f>
        <v>0</v>
      </c>
      <c r="AH57" s="113">
        <f ca="1">IFERROR(__xludf.DUMMYFUNCTION("""COMPUTED_VALUE"""),0)</f>
        <v>0</v>
      </c>
      <c r="AI57" s="113">
        <f ca="1">IFERROR(__xludf.DUMMYFUNCTION("""COMPUTED_VALUE"""),0)</f>
        <v>0</v>
      </c>
      <c r="AJ57" s="113">
        <f ca="1">IFERROR(__xludf.DUMMYFUNCTION("""COMPUTED_VALUE"""),0)</f>
        <v>0</v>
      </c>
      <c r="AK57" s="113"/>
      <c r="AL57" s="116"/>
    </row>
    <row r="58" spans="1:38" ht="12.75">
      <c r="A58" s="112" t="str">
        <f ca="1">IFERROR(__xludf.DUMMYFUNCTION("""COMPUTED_VALUE"""),"17008794")</f>
        <v>17008794</v>
      </c>
      <c r="B58" s="113" t="str">
        <f ca="1">IFERROR(__xludf.DUMMYFUNCTION("""COMPUTED_VALUE"""),"Araguaina")</f>
        <v>Araguaina</v>
      </c>
      <c r="C58" s="113" t="str">
        <f ca="1">IFERROR(__xludf.DUMMYFUNCTION("""COMPUTED_VALUE"""),"Muricilandia")</f>
        <v>Muricilandia</v>
      </c>
      <c r="D58" s="114" t="str">
        <f ca="1">IFERROR(__xludf.DUMMYFUNCTION("""COMPUTED_VALUE"""),"A.A. DA ESC. EST. MAL. COSTA E SILVA")</f>
        <v>A.A. DA ESC. EST. MAL. COSTA E SILVA</v>
      </c>
      <c r="E58" s="113" t="str">
        <f ca="1">IFERROR(__xludf.DUMMYFUNCTION("""COMPUTED_VALUE"""),"Colégio Estadual Marechal Costa E Silva")</f>
        <v>Colégio Estadual Marechal Costa E Silva</v>
      </c>
      <c r="F58" s="115" t="str">
        <f ca="1">IFERROR(__xludf.DUMMYFUNCTION("""COMPUTED_VALUE"""),"17008794")</f>
        <v>17008794</v>
      </c>
      <c r="G58" s="113" t="str">
        <f ca="1">IFERROR(__xludf.DUMMYFUNCTION("""COMPUTED_VALUE"""),"02032269000185")</f>
        <v>02032269000185</v>
      </c>
      <c r="H58" s="115" t="str">
        <f ca="1">IFERROR(__xludf.DUMMYFUNCTION("""COMPUTED_VALUE"""),"001")</f>
        <v>001</v>
      </c>
      <c r="I58" s="115" t="str">
        <f ca="1">IFERROR(__xludf.DUMMYFUNCTION("""COMPUTED_VALUE"""),"0638")</f>
        <v>0638</v>
      </c>
      <c r="J58" s="115" t="str">
        <f ca="1">IFERROR(__xludf.DUMMYFUNCTION("""COMPUTED_VALUE"""),"83550")</f>
        <v>83550</v>
      </c>
      <c r="K58" s="113" t="e">
        <f ca="1"/>
        <v>#REF!</v>
      </c>
      <c r="L58" s="113" t="e">
        <f ca="1"/>
        <v>#REF!</v>
      </c>
      <c r="M58" s="113" t="e">
        <f ca="1"/>
        <v>#REF!</v>
      </c>
      <c r="N58" s="113" t="e">
        <f ca="1"/>
        <v>#REF!</v>
      </c>
      <c r="O58" s="113" t="e">
        <f ca="1"/>
        <v>#REF!</v>
      </c>
      <c r="P58" s="113" t="e">
        <f ca="1"/>
        <v>#REF!</v>
      </c>
      <c r="Q58" s="113" t="e">
        <f ca="1"/>
        <v>#REF!</v>
      </c>
      <c r="R58" s="113" t="e">
        <f ca="1"/>
        <v>#REF!</v>
      </c>
      <c r="S58" s="113" t="e">
        <f ca="1"/>
        <v>#REF!</v>
      </c>
      <c r="T58" s="113" t="e">
        <f ca="1"/>
        <v>#REF!</v>
      </c>
      <c r="U58" s="113" t="e">
        <f ca="1"/>
        <v>#REF!</v>
      </c>
      <c r="V58" s="113" t="e">
        <f ca="1"/>
        <v>#REF!</v>
      </c>
      <c r="W58" s="113" t="e">
        <f ca="1"/>
        <v>#REF!</v>
      </c>
      <c r="X58" s="113" t="e">
        <f ca="1"/>
        <v>#REF!</v>
      </c>
      <c r="Y58" s="113" t="e">
        <f ca="1"/>
        <v>#REF!</v>
      </c>
      <c r="Z58" s="113" t="e">
        <f ca="1"/>
        <v>#REF!</v>
      </c>
      <c r="AA58" s="113"/>
      <c r="AB58" s="113"/>
      <c r="AC58" s="113"/>
      <c r="AD58" s="113" t="str">
        <f ca="1">IFERROR(__xludf.DUMMYFUNCTION("""COMPUTED_VALUE"""),"INDIGENA /QUILOMBOLA PARCIAL")</f>
        <v>INDIGENA /QUILOMBOLA PARCIAL</v>
      </c>
      <c r="AE58" s="113" t="str">
        <f ca="1">IFERROR(__xludf.DUMMYFUNCTION("""COMPUTED_VALUE"""),"Parcial")</f>
        <v>Parcial</v>
      </c>
      <c r="AF58" s="113" t="str">
        <f ca="1">IFERROR(__xludf.DUMMYFUNCTION("""COMPUTED_VALUE"""),"FE")</f>
        <v>FE</v>
      </c>
      <c r="AG58" s="113">
        <f ca="1">IFERROR(__xludf.DUMMYFUNCTION("""COMPUTED_VALUE"""),0)</f>
        <v>0</v>
      </c>
      <c r="AH58" s="113">
        <f ca="1">IFERROR(__xludf.DUMMYFUNCTION("""COMPUTED_VALUE"""),0)</f>
        <v>0</v>
      </c>
      <c r="AI58" s="113">
        <f ca="1">IFERROR(__xludf.DUMMYFUNCTION("""COMPUTED_VALUE"""),0)</f>
        <v>0</v>
      </c>
      <c r="AJ58" s="113">
        <f ca="1">IFERROR(__xludf.DUMMYFUNCTION("""COMPUTED_VALUE"""),0)</f>
        <v>0</v>
      </c>
      <c r="AK58" s="113"/>
      <c r="AL58" s="116"/>
    </row>
    <row r="59" spans="1:38" ht="12.75">
      <c r="A59" s="112" t="str">
        <f ca="1">IFERROR(__xludf.DUMMYFUNCTION("""COMPUTED_VALUE"""),"17008786")</f>
        <v>17008786</v>
      </c>
      <c r="B59" s="113" t="str">
        <f ca="1">IFERROR(__xludf.DUMMYFUNCTION("""COMPUTED_VALUE"""),"Araguaina")</f>
        <v>Araguaina</v>
      </c>
      <c r="C59" s="113" t="str">
        <f ca="1">IFERROR(__xludf.DUMMYFUNCTION("""COMPUTED_VALUE"""),"Muricilandia")</f>
        <v>Muricilandia</v>
      </c>
      <c r="D59" s="114" t="str">
        <f ca="1">IFERROR(__xludf.DUMMYFUNCTION("""COMPUTED_VALUE"""),"A.COM. DE AP. COL. EST. DE MURICILANDIA")</f>
        <v>A.COM. DE AP. COL. EST. DE MURICILANDIA</v>
      </c>
      <c r="E59" s="113" t="str">
        <f ca="1">IFERROR(__xludf.DUMMYFUNCTION("""COMPUTED_VALUE"""),"Escola Estadual de Muricilandia")</f>
        <v>Escola Estadual de Muricilandia</v>
      </c>
      <c r="F59" s="115" t="str">
        <f ca="1">IFERROR(__xludf.DUMMYFUNCTION("""COMPUTED_VALUE"""),"17008786")</f>
        <v>17008786</v>
      </c>
      <c r="G59" s="113" t="str">
        <f ca="1">IFERROR(__xludf.DUMMYFUNCTION("""COMPUTED_VALUE"""),"01911084000188")</f>
        <v>01911084000188</v>
      </c>
      <c r="H59" s="115" t="str">
        <f ca="1">IFERROR(__xludf.DUMMYFUNCTION("""COMPUTED_VALUE"""),"001")</f>
        <v>001</v>
      </c>
      <c r="I59" s="115" t="str">
        <f ca="1">IFERROR(__xludf.DUMMYFUNCTION("""COMPUTED_VALUE"""),"0638")</f>
        <v>0638</v>
      </c>
      <c r="J59" s="115" t="str">
        <f ca="1">IFERROR(__xludf.DUMMYFUNCTION("""COMPUTED_VALUE"""),"8350X")</f>
        <v>8350X</v>
      </c>
      <c r="K59" s="113" t="e">
        <f ca="1"/>
        <v>#REF!</v>
      </c>
      <c r="L59" s="113" t="e">
        <f ca="1"/>
        <v>#REF!</v>
      </c>
      <c r="M59" s="113" t="e">
        <f ca="1"/>
        <v>#REF!</v>
      </c>
      <c r="N59" s="113" t="e">
        <f ca="1"/>
        <v>#REF!</v>
      </c>
      <c r="O59" s="113" t="e">
        <f ca="1"/>
        <v>#REF!</v>
      </c>
      <c r="P59" s="113" t="e">
        <f ca="1"/>
        <v>#REF!</v>
      </c>
      <c r="Q59" s="113" t="e">
        <f ca="1"/>
        <v>#REF!</v>
      </c>
      <c r="R59" s="113" t="e">
        <f ca="1"/>
        <v>#REF!</v>
      </c>
      <c r="S59" s="113" t="e">
        <f ca="1"/>
        <v>#REF!</v>
      </c>
      <c r="T59" s="113" t="e">
        <f ca="1"/>
        <v>#REF!</v>
      </c>
      <c r="U59" s="113" t="e">
        <f ca="1"/>
        <v>#REF!</v>
      </c>
      <c r="V59" s="113" t="e">
        <f ca="1"/>
        <v>#REF!</v>
      </c>
      <c r="W59" s="113" t="e">
        <f ca="1"/>
        <v>#REF!</v>
      </c>
      <c r="X59" s="113" t="e">
        <f ca="1"/>
        <v>#REF!</v>
      </c>
      <c r="Y59" s="113" t="e">
        <f ca="1"/>
        <v>#REF!</v>
      </c>
      <c r="Z59" s="113" t="e">
        <f ca="1"/>
        <v>#REF!</v>
      </c>
      <c r="AA59" s="113"/>
      <c r="AB59" s="113"/>
      <c r="AC59" s="113"/>
      <c r="AD59" s="113" t="str">
        <f ca="1">IFERROR(__xludf.DUMMYFUNCTION("""COMPUTED_VALUE"""),"INDIGENA /QUILOMBOLA PARCIAL")</f>
        <v>INDIGENA /QUILOMBOLA PARCIAL</v>
      </c>
      <c r="AE59" s="113" t="str">
        <f ca="1">IFERROR(__xludf.DUMMYFUNCTION("""COMPUTED_VALUE"""),"Parcial")</f>
        <v>Parcial</v>
      </c>
      <c r="AF59" s="113" t="str">
        <f ca="1">IFERROR(__xludf.DUMMYFUNCTION("""COMPUTED_VALUE"""),"FE")</f>
        <v>FE</v>
      </c>
      <c r="AG59" s="113">
        <f ca="1">IFERROR(__xludf.DUMMYFUNCTION("""COMPUTED_VALUE"""),0)</f>
        <v>0</v>
      </c>
      <c r="AH59" s="113">
        <f ca="1">IFERROR(__xludf.DUMMYFUNCTION("""COMPUTED_VALUE"""),0)</f>
        <v>0</v>
      </c>
      <c r="AI59" s="113">
        <f ca="1">IFERROR(__xludf.DUMMYFUNCTION("""COMPUTED_VALUE"""),0)</f>
        <v>0</v>
      </c>
      <c r="AJ59" s="113">
        <f ca="1">IFERROR(__xludf.DUMMYFUNCTION("""COMPUTED_VALUE"""),0)</f>
        <v>0</v>
      </c>
      <c r="AK59" s="113"/>
      <c r="AL59" s="116"/>
    </row>
    <row r="60" spans="1:38" ht="12.75">
      <c r="A60" s="112" t="str">
        <f ca="1">IFERROR(__xludf.DUMMYFUNCTION("""COMPUTED_VALUE"""),"17008867")</f>
        <v>17008867</v>
      </c>
      <c r="B60" s="113" t="str">
        <f ca="1">IFERROR(__xludf.DUMMYFUNCTION("""COMPUTED_VALUE"""),"Araguaina")</f>
        <v>Araguaina</v>
      </c>
      <c r="C60" s="113" t="str">
        <f ca="1">IFERROR(__xludf.DUMMYFUNCTION("""COMPUTED_VALUE"""),"Nova Olinda")</f>
        <v>Nova Olinda</v>
      </c>
      <c r="D60" s="114" t="str">
        <f ca="1">IFERROR(__xludf.DUMMYFUNCTION("""COMPUTED_VALUE"""),"A.A. ESC. COL. E. HELIO DE SOUZA BUENO")</f>
        <v>A.A. ESC. COL. E. HELIO DE SOUZA BUENO</v>
      </c>
      <c r="E60" s="113" t="str">
        <f ca="1">IFERROR(__xludf.DUMMYFUNCTION("""COMPUTED_VALUE"""),"Colégio Estadual Doutor Hélio Souza Bueno")</f>
        <v>Colégio Estadual Doutor Hélio Souza Bueno</v>
      </c>
      <c r="F60" s="115" t="str">
        <f ca="1">IFERROR(__xludf.DUMMYFUNCTION("""COMPUTED_VALUE"""),"17008867")</f>
        <v>17008867</v>
      </c>
      <c r="G60" s="113" t="str">
        <f ca="1">IFERROR(__xludf.DUMMYFUNCTION("""COMPUTED_VALUE"""),"01186466000196")</f>
        <v>01186466000196</v>
      </c>
      <c r="H60" s="115" t="str">
        <f ca="1">IFERROR(__xludf.DUMMYFUNCTION("""COMPUTED_VALUE"""),"001")</f>
        <v>001</v>
      </c>
      <c r="I60" s="115" t="str">
        <f ca="1">IFERROR(__xludf.DUMMYFUNCTION("""COMPUTED_VALUE"""),"0638")</f>
        <v>0638</v>
      </c>
      <c r="J60" s="115" t="str">
        <f ca="1">IFERROR(__xludf.DUMMYFUNCTION("""COMPUTED_VALUE"""),"0462985")</f>
        <v>0462985</v>
      </c>
      <c r="K60" s="113" t="e">
        <f ca="1"/>
        <v>#REF!</v>
      </c>
      <c r="L60" s="113" t="e">
        <f ca="1"/>
        <v>#REF!</v>
      </c>
      <c r="M60" s="113" t="e">
        <f ca="1"/>
        <v>#REF!</v>
      </c>
      <c r="N60" s="113" t="e">
        <f ca="1"/>
        <v>#REF!</v>
      </c>
      <c r="O60" s="113" t="e">
        <f ca="1"/>
        <v>#REF!</v>
      </c>
      <c r="P60" s="113" t="e">
        <f ca="1"/>
        <v>#REF!</v>
      </c>
      <c r="Q60" s="113" t="e">
        <f ca="1"/>
        <v>#REF!</v>
      </c>
      <c r="R60" s="113" t="e">
        <f ca="1"/>
        <v>#REF!</v>
      </c>
      <c r="S60" s="113" t="e">
        <f ca="1"/>
        <v>#REF!</v>
      </c>
      <c r="T60" s="113" t="e">
        <f ca="1"/>
        <v>#REF!</v>
      </c>
      <c r="U60" s="113" t="e">
        <f ca="1"/>
        <v>#REF!</v>
      </c>
      <c r="V60" s="113" t="e">
        <f ca="1"/>
        <v>#REF!</v>
      </c>
      <c r="W60" s="113" t="e">
        <f ca="1"/>
        <v>#REF!</v>
      </c>
      <c r="X60" s="113" t="e">
        <f ca="1"/>
        <v>#REF!</v>
      </c>
      <c r="Y60" s="113" t="e">
        <f ca="1"/>
        <v>#REF!</v>
      </c>
      <c r="Z60" s="113" t="e">
        <f ca="1"/>
        <v>#REF!</v>
      </c>
      <c r="AA60" s="113"/>
      <c r="AB60" s="113"/>
      <c r="AC60" s="113"/>
      <c r="AD60" s="113"/>
      <c r="AE60" s="113" t="str">
        <f ca="1">IFERROR(__xludf.DUMMYFUNCTION("""COMPUTED_VALUE"""),"Parcial")</f>
        <v>Parcial</v>
      </c>
      <c r="AF60" s="113" t="str">
        <f ca="1">IFERROR(__xludf.DUMMYFUNCTION("""COMPUTED_VALUE"""),"FE")</f>
        <v>FE</v>
      </c>
      <c r="AG60" s="113">
        <f ca="1">IFERROR(__xludf.DUMMYFUNCTION("""COMPUTED_VALUE"""),0)</f>
        <v>0</v>
      </c>
      <c r="AH60" s="113">
        <f ca="1">IFERROR(__xludf.DUMMYFUNCTION("""COMPUTED_VALUE"""),0)</f>
        <v>0</v>
      </c>
      <c r="AI60" s="113">
        <f ca="1">IFERROR(__xludf.DUMMYFUNCTION("""COMPUTED_VALUE"""),0)</f>
        <v>0</v>
      </c>
      <c r="AJ60" s="113">
        <f ca="1">IFERROR(__xludf.DUMMYFUNCTION("""COMPUTED_VALUE"""),0)</f>
        <v>0</v>
      </c>
      <c r="AK60" s="113"/>
      <c r="AL60" s="116"/>
    </row>
    <row r="61" spans="1:38" ht="12.75">
      <c r="A61" s="112" t="str">
        <f ca="1">IFERROR(__xludf.DUMMYFUNCTION("""COMPUTED_VALUE"""),"17047218")</f>
        <v>17047218</v>
      </c>
      <c r="B61" s="113" t="str">
        <f ca="1">IFERROR(__xludf.DUMMYFUNCTION("""COMPUTED_VALUE"""),"Araguaina")</f>
        <v>Araguaina</v>
      </c>
      <c r="C61" s="113" t="str">
        <f ca="1">IFERROR(__xludf.DUMMYFUNCTION("""COMPUTED_VALUE"""),"Nova Olinda")</f>
        <v>Nova Olinda</v>
      </c>
      <c r="D61" s="114" t="str">
        <f ca="1">IFERROR(__xludf.DUMMYFUNCTION("""COMPUTED_VALUE"""),"ASSOCIAÇÃO DE APOIO A ESCOLA ESPECIAL RENASCER")</f>
        <v>ASSOCIAÇÃO DE APOIO A ESCOLA ESPECIAL RENASCER</v>
      </c>
      <c r="E61" s="113" t="str">
        <f ca="1">IFERROR(__xludf.DUMMYFUNCTION("""COMPUTED_VALUE"""),"Escola de Educação Especial Renascer")</f>
        <v>Escola de Educação Especial Renascer</v>
      </c>
      <c r="F61" s="115" t="str">
        <f ca="1">IFERROR(__xludf.DUMMYFUNCTION("""COMPUTED_VALUE"""),"17047218")</f>
        <v>17047218</v>
      </c>
      <c r="G61" s="113" t="str">
        <f ca="1">IFERROR(__xludf.DUMMYFUNCTION("""COMPUTED_VALUE"""),"07951646000101")</f>
        <v>07951646000101</v>
      </c>
      <c r="H61" s="115" t="str">
        <f ca="1">IFERROR(__xludf.DUMMYFUNCTION("""COMPUTED_VALUE"""),"001")</f>
        <v>001</v>
      </c>
      <c r="I61" s="115" t="str">
        <f ca="1">IFERROR(__xludf.DUMMYFUNCTION("""COMPUTED_VALUE"""),"0638")</f>
        <v>0638</v>
      </c>
      <c r="J61" s="115" t="str">
        <f ca="1">IFERROR(__xludf.DUMMYFUNCTION("""COMPUTED_VALUE"""),"541028")</f>
        <v>541028</v>
      </c>
      <c r="K61" s="113" t="e">
        <f ca="1"/>
        <v>#REF!</v>
      </c>
      <c r="L61" s="113" t="e">
        <f ca="1"/>
        <v>#REF!</v>
      </c>
      <c r="M61" s="113" t="e">
        <f ca="1"/>
        <v>#REF!</v>
      </c>
      <c r="N61" s="113" t="e">
        <f ca="1"/>
        <v>#REF!</v>
      </c>
      <c r="O61" s="113" t="e">
        <f ca="1"/>
        <v>#REF!</v>
      </c>
      <c r="P61" s="113" t="e">
        <f ca="1"/>
        <v>#REF!</v>
      </c>
      <c r="Q61" s="113" t="e">
        <f ca="1"/>
        <v>#REF!</v>
      </c>
      <c r="R61" s="113" t="e">
        <f ca="1"/>
        <v>#REF!</v>
      </c>
      <c r="S61" s="113" t="e">
        <f ca="1"/>
        <v>#REF!</v>
      </c>
      <c r="T61" s="113" t="e">
        <f ca="1"/>
        <v>#REF!</v>
      </c>
      <c r="U61" s="113" t="e">
        <f ca="1"/>
        <v>#REF!</v>
      </c>
      <c r="V61" s="113" t="e">
        <f ca="1"/>
        <v>#REF!</v>
      </c>
      <c r="W61" s="113" t="e">
        <f ca="1"/>
        <v>#REF!</v>
      </c>
      <c r="X61" s="113" t="e">
        <f ca="1"/>
        <v>#REF!</v>
      </c>
      <c r="Y61" s="113" t="e">
        <f ca="1"/>
        <v>#REF!</v>
      </c>
      <c r="Z61" s="113" t="e">
        <f ca="1"/>
        <v>#REF!</v>
      </c>
      <c r="AA61" s="113"/>
      <c r="AB61" s="113"/>
      <c r="AC61" s="113"/>
      <c r="AD61" s="113"/>
      <c r="AE61" s="113" t="str">
        <f ca="1">IFERROR(__xludf.DUMMYFUNCTION("""COMPUTED_VALUE"""),"Parcial")</f>
        <v>Parcial</v>
      </c>
      <c r="AF61" s="113" t="str">
        <f ca="1">IFERROR(__xludf.DUMMYFUNCTION("""COMPUTED_VALUE"""),"FE")</f>
        <v>FE</v>
      </c>
      <c r="AG61" s="113">
        <f ca="1">IFERROR(__xludf.DUMMYFUNCTION("""COMPUTED_VALUE"""),0)</f>
        <v>0</v>
      </c>
      <c r="AH61" s="113">
        <f ca="1">IFERROR(__xludf.DUMMYFUNCTION("""COMPUTED_VALUE"""),0)</f>
        <v>0</v>
      </c>
      <c r="AI61" s="113">
        <f ca="1">IFERROR(__xludf.DUMMYFUNCTION("""COMPUTED_VALUE"""),0)</f>
        <v>0</v>
      </c>
      <c r="AJ61" s="113">
        <f ca="1">IFERROR(__xludf.DUMMYFUNCTION("""COMPUTED_VALUE"""),0)</f>
        <v>0</v>
      </c>
      <c r="AK61" s="113"/>
      <c r="AL61" s="116"/>
    </row>
    <row r="62" spans="1:38" ht="12.75">
      <c r="A62" s="112" t="str">
        <f ca="1">IFERROR(__xludf.DUMMYFUNCTION("""COMPUTED_VALUE"""),"17008905")</f>
        <v>17008905</v>
      </c>
      <c r="B62" s="113" t="str">
        <f ca="1">IFERROR(__xludf.DUMMYFUNCTION("""COMPUTED_VALUE"""),"Araguaina")</f>
        <v>Araguaina</v>
      </c>
      <c r="C62" s="113" t="str">
        <f ca="1">IFERROR(__xludf.DUMMYFUNCTION("""COMPUTED_VALUE"""),"Nova Olinda")</f>
        <v>Nova Olinda</v>
      </c>
      <c r="D62" s="114" t="str">
        <f ca="1">IFERROR(__xludf.DUMMYFUNCTION("""COMPUTED_VALUE"""),"A.A. E. E. PROFA. HAMEDY CURY QUEIROZ")</f>
        <v>A.A. E. E. PROFA. HAMEDY CURY QUEIROZ</v>
      </c>
      <c r="E62" s="113" t="str">
        <f ca="1">IFERROR(__xludf.DUMMYFUNCTION("""COMPUTED_VALUE"""),"Escola Estadual Professora Hamedy Cury Queiroz")</f>
        <v>Escola Estadual Professora Hamedy Cury Queiroz</v>
      </c>
      <c r="F62" s="115" t="str">
        <f ca="1">IFERROR(__xludf.DUMMYFUNCTION("""COMPUTED_VALUE"""),"17008905")</f>
        <v>17008905</v>
      </c>
      <c r="G62" s="113" t="str">
        <f ca="1">IFERROR(__xludf.DUMMYFUNCTION("""COMPUTED_VALUE"""),"01431375000179")</f>
        <v>01431375000179</v>
      </c>
      <c r="H62" s="115" t="str">
        <f ca="1">IFERROR(__xludf.DUMMYFUNCTION("""COMPUTED_VALUE"""),"001")</f>
        <v>001</v>
      </c>
      <c r="I62" s="115" t="str">
        <f ca="1">IFERROR(__xludf.DUMMYFUNCTION("""COMPUTED_VALUE"""),"0638")</f>
        <v>0638</v>
      </c>
      <c r="J62" s="115" t="str">
        <f ca="1">IFERROR(__xludf.DUMMYFUNCTION("""COMPUTED_VALUE"""),"0468010")</f>
        <v>0468010</v>
      </c>
      <c r="K62" s="113" t="e">
        <f ca="1"/>
        <v>#REF!</v>
      </c>
      <c r="L62" s="113" t="e">
        <f ca="1"/>
        <v>#REF!</v>
      </c>
      <c r="M62" s="113" t="e">
        <f ca="1"/>
        <v>#REF!</v>
      </c>
      <c r="N62" s="113" t="e">
        <f ca="1"/>
        <v>#REF!</v>
      </c>
      <c r="O62" s="113" t="e">
        <f ca="1"/>
        <v>#REF!</v>
      </c>
      <c r="P62" s="113" t="e">
        <f ca="1"/>
        <v>#REF!</v>
      </c>
      <c r="Q62" s="113" t="e">
        <f ca="1"/>
        <v>#REF!</v>
      </c>
      <c r="R62" s="113" t="e">
        <f ca="1"/>
        <v>#REF!</v>
      </c>
      <c r="S62" s="113" t="e">
        <f ca="1"/>
        <v>#REF!</v>
      </c>
      <c r="T62" s="113" t="e">
        <f ca="1"/>
        <v>#REF!</v>
      </c>
      <c r="U62" s="113" t="e">
        <f ca="1"/>
        <v>#REF!</v>
      </c>
      <c r="V62" s="113" t="e">
        <f ca="1"/>
        <v>#REF!</v>
      </c>
      <c r="W62" s="113" t="e">
        <f ca="1"/>
        <v>#REF!</v>
      </c>
      <c r="X62" s="113" t="e">
        <f ca="1"/>
        <v>#REF!</v>
      </c>
      <c r="Y62" s="113" t="e">
        <f ca="1"/>
        <v>#REF!</v>
      </c>
      <c r="Z62" s="113" t="e">
        <f ca="1"/>
        <v>#REF!</v>
      </c>
      <c r="AA62" s="113"/>
      <c r="AB62" s="113"/>
      <c r="AC62" s="113"/>
      <c r="AD62" s="113" t="str">
        <f ca="1">IFERROR(__xludf.DUMMYFUNCTION("""COMPUTED_VALUE"""),"CRECHE")</f>
        <v>CRECHE</v>
      </c>
      <c r="AE62" s="113" t="str">
        <f ca="1">IFERROR(__xludf.DUMMYFUNCTION("""COMPUTED_VALUE"""),"Parcial")</f>
        <v>Parcial</v>
      </c>
      <c r="AF62" s="113" t="str">
        <f ca="1">IFERROR(__xludf.DUMMYFUNCTION("""COMPUTED_VALUE"""),"FE")</f>
        <v>FE</v>
      </c>
      <c r="AG62" s="113">
        <f ca="1">IFERROR(__xludf.DUMMYFUNCTION("""COMPUTED_VALUE"""),0)</f>
        <v>0</v>
      </c>
      <c r="AH62" s="113">
        <f ca="1">IFERROR(__xludf.DUMMYFUNCTION("""COMPUTED_VALUE"""),0)</f>
        <v>0</v>
      </c>
      <c r="AI62" s="113">
        <f ca="1">IFERROR(__xludf.DUMMYFUNCTION("""COMPUTED_VALUE"""),0)</f>
        <v>0</v>
      </c>
      <c r="AJ62" s="113">
        <f ca="1">IFERROR(__xludf.DUMMYFUNCTION("""COMPUTED_VALUE"""),0)</f>
        <v>0</v>
      </c>
      <c r="AK62" s="113"/>
      <c r="AL62" s="116"/>
    </row>
    <row r="63" spans="1:38" ht="12.75">
      <c r="A63" s="112" t="str">
        <f ca="1">IFERROR(__xludf.DUMMYFUNCTION("""COMPUTED_VALUE"""),"17009774")</f>
        <v>17009774</v>
      </c>
      <c r="B63" s="113" t="str">
        <f ca="1">IFERROR(__xludf.DUMMYFUNCTION("""COMPUTED_VALUE"""),"Araguaina")</f>
        <v>Araguaina</v>
      </c>
      <c r="C63" s="113" t="str">
        <f ca="1">IFERROR(__xludf.DUMMYFUNCTION("""COMPUTED_VALUE"""),"Piraque")</f>
        <v>Piraque</v>
      </c>
      <c r="D63" s="114" t="str">
        <f ca="1">IFERROR(__xludf.DUMMYFUNCTION("""COMPUTED_VALUE"""),"A.A.  ESCOLA ESTADUAL SAO JOSE")</f>
        <v>A.A.  ESCOLA ESTADUAL SAO JOSE</v>
      </c>
      <c r="E63" s="113" t="str">
        <f ca="1">IFERROR(__xludf.DUMMYFUNCTION("""COMPUTED_VALUE"""),"Escola Estadual São José")</f>
        <v>Escola Estadual São José</v>
      </c>
      <c r="F63" s="115" t="str">
        <f ca="1">IFERROR(__xludf.DUMMYFUNCTION("""COMPUTED_VALUE"""),"17009774")</f>
        <v>17009774</v>
      </c>
      <c r="G63" s="113" t="str">
        <f ca="1">IFERROR(__xludf.DUMMYFUNCTION("""COMPUTED_VALUE"""),"01243654000109")</f>
        <v>01243654000109</v>
      </c>
      <c r="H63" s="115" t="str">
        <f ca="1">IFERROR(__xludf.DUMMYFUNCTION("""COMPUTED_VALUE"""),"001")</f>
        <v>001</v>
      </c>
      <c r="I63" s="115" t="str">
        <f ca="1">IFERROR(__xludf.DUMMYFUNCTION("""COMPUTED_VALUE"""),"0638")</f>
        <v>0638</v>
      </c>
      <c r="J63" s="115" t="str">
        <f ca="1">IFERROR(__xludf.DUMMYFUNCTION("""COMPUTED_VALUE"""),"465283")</f>
        <v>465283</v>
      </c>
      <c r="K63" s="113" t="e">
        <f ca="1"/>
        <v>#REF!</v>
      </c>
      <c r="L63" s="113" t="e">
        <f ca="1"/>
        <v>#REF!</v>
      </c>
      <c r="M63" s="113" t="e">
        <f ca="1"/>
        <v>#REF!</v>
      </c>
      <c r="N63" s="113" t="e">
        <f ca="1"/>
        <v>#REF!</v>
      </c>
      <c r="O63" s="113" t="e">
        <f ca="1"/>
        <v>#REF!</v>
      </c>
      <c r="P63" s="113" t="e">
        <f ca="1"/>
        <v>#REF!</v>
      </c>
      <c r="Q63" s="113" t="e">
        <f ca="1"/>
        <v>#REF!</v>
      </c>
      <c r="R63" s="113" t="e">
        <f ca="1"/>
        <v>#REF!</v>
      </c>
      <c r="S63" s="113" t="e">
        <f ca="1"/>
        <v>#REF!</v>
      </c>
      <c r="T63" s="113" t="e">
        <f ca="1"/>
        <v>#REF!</v>
      </c>
      <c r="U63" s="113" t="e">
        <f ca="1"/>
        <v>#REF!</v>
      </c>
      <c r="V63" s="113" t="e">
        <f ca="1"/>
        <v>#REF!</v>
      </c>
      <c r="W63" s="113" t="e">
        <f ca="1"/>
        <v>#REF!</v>
      </c>
      <c r="X63" s="113" t="e">
        <f ca="1"/>
        <v>#REF!</v>
      </c>
      <c r="Y63" s="113" t="e">
        <f ca="1"/>
        <v>#REF!</v>
      </c>
      <c r="Z63" s="113" t="e">
        <f ca="1"/>
        <v>#REF!</v>
      </c>
      <c r="AA63" s="113"/>
      <c r="AB63" s="113"/>
      <c r="AC63" s="113"/>
      <c r="AD63" s="113"/>
      <c r="AE63" s="113" t="str">
        <f ca="1">IFERROR(__xludf.DUMMYFUNCTION("""COMPUTED_VALUE"""),"Parcial")</f>
        <v>Parcial</v>
      </c>
      <c r="AF63" s="113" t="str">
        <f ca="1">IFERROR(__xludf.DUMMYFUNCTION("""COMPUTED_VALUE"""),"FE")</f>
        <v>FE</v>
      </c>
      <c r="AG63" s="113">
        <f ca="1">IFERROR(__xludf.DUMMYFUNCTION("""COMPUTED_VALUE"""),0)</f>
        <v>0</v>
      </c>
      <c r="AH63" s="113">
        <f ca="1">IFERROR(__xludf.DUMMYFUNCTION("""COMPUTED_VALUE"""),0)</f>
        <v>0</v>
      </c>
      <c r="AI63" s="113">
        <f ca="1">IFERROR(__xludf.DUMMYFUNCTION("""COMPUTED_VALUE"""),0)</f>
        <v>0</v>
      </c>
      <c r="AJ63" s="113">
        <f ca="1">IFERROR(__xludf.DUMMYFUNCTION("""COMPUTED_VALUE"""),0)</f>
        <v>0</v>
      </c>
      <c r="AK63" s="113"/>
      <c r="AL63" s="116"/>
    </row>
    <row r="64" spans="1:38" ht="12.75">
      <c r="A64" s="112" t="str">
        <f ca="1">IFERROR(__xludf.DUMMYFUNCTION("""COMPUTED_VALUE"""),"17003261")</f>
        <v>17003261</v>
      </c>
      <c r="B64" s="113" t="str">
        <f ca="1">IFERROR(__xludf.DUMMYFUNCTION("""COMPUTED_VALUE"""),"Araguaina")</f>
        <v>Araguaina</v>
      </c>
      <c r="C64" s="113" t="str">
        <f ca="1">IFERROR(__xludf.DUMMYFUNCTION("""COMPUTED_VALUE"""),"Riachinho")</f>
        <v>Riachinho</v>
      </c>
      <c r="D64" s="114" t="str">
        <f ca="1">IFERROR(__xludf.DUMMYFUNCTION("""COMPUTED_VALUE"""),"ASSOC. DE APOIO ESC. EST. JOAO XXIII")</f>
        <v>ASSOC. DE APOIO ESC. EST. JOAO XXIII</v>
      </c>
      <c r="E64" s="113" t="str">
        <f ca="1">IFERROR(__xludf.DUMMYFUNCTION("""COMPUTED_VALUE"""),"Escola Estadual João XXIII")</f>
        <v>Escola Estadual João XXIII</v>
      </c>
      <c r="F64" s="115" t="str">
        <f ca="1">IFERROR(__xludf.DUMMYFUNCTION("""COMPUTED_VALUE"""),"17003261")</f>
        <v>17003261</v>
      </c>
      <c r="G64" s="113" t="str">
        <f ca="1">IFERROR(__xludf.DUMMYFUNCTION("""COMPUTED_VALUE"""),"01136006000153")</f>
        <v>01136006000153</v>
      </c>
      <c r="H64" s="115" t="str">
        <f ca="1">IFERROR(__xludf.DUMMYFUNCTION("""COMPUTED_VALUE"""),"001")</f>
        <v>001</v>
      </c>
      <c r="I64" s="115" t="str">
        <f ca="1">IFERROR(__xludf.DUMMYFUNCTION("""COMPUTED_VALUE"""),"3973")</f>
        <v>3973</v>
      </c>
      <c r="J64" s="115" t="str">
        <f ca="1">IFERROR(__xludf.DUMMYFUNCTION("""COMPUTED_VALUE"""),"51969")</f>
        <v>51969</v>
      </c>
      <c r="K64" s="113" t="e">
        <f ca="1"/>
        <v>#REF!</v>
      </c>
      <c r="L64" s="113" t="e">
        <f ca="1"/>
        <v>#REF!</v>
      </c>
      <c r="M64" s="113" t="e">
        <f ca="1"/>
        <v>#REF!</v>
      </c>
      <c r="N64" s="113" t="e">
        <f ca="1"/>
        <v>#REF!</v>
      </c>
      <c r="O64" s="113" t="e">
        <f ca="1"/>
        <v>#REF!</v>
      </c>
      <c r="P64" s="113" t="e">
        <f ca="1"/>
        <v>#REF!</v>
      </c>
      <c r="Q64" s="113" t="e">
        <f ca="1"/>
        <v>#REF!</v>
      </c>
      <c r="R64" s="113" t="e">
        <f ca="1"/>
        <v>#REF!</v>
      </c>
      <c r="S64" s="113" t="e">
        <f ca="1"/>
        <v>#REF!</v>
      </c>
      <c r="T64" s="113" t="e">
        <f ca="1"/>
        <v>#REF!</v>
      </c>
      <c r="U64" s="113" t="e">
        <f ca="1"/>
        <v>#REF!</v>
      </c>
      <c r="V64" s="113" t="e">
        <f ca="1"/>
        <v>#REF!</v>
      </c>
      <c r="W64" s="113" t="e">
        <f ca="1"/>
        <v>#REF!</v>
      </c>
      <c r="X64" s="113" t="e">
        <f ca="1"/>
        <v>#REF!</v>
      </c>
      <c r="Y64" s="113" t="e">
        <f ca="1"/>
        <v>#REF!</v>
      </c>
      <c r="Z64" s="113" t="e">
        <f ca="1"/>
        <v>#REF!</v>
      </c>
      <c r="AA64" s="113"/>
      <c r="AB64" s="113"/>
      <c r="AC64" s="113"/>
      <c r="AD64" s="113"/>
      <c r="AE64" s="113" t="str">
        <f ca="1">IFERROR(__xludf.DUMMYFUNCTION("""COMPUTED_VALUE"""),"Parcial")</f>
        <v>Parcial</v>
      </c>
      <c r="AF64" s="113" t="str">
        <f ca="1">IFERROR(__xludf.DUMMYFUNCTION("""COMPUTED_VALUE"""),"FE")</f>
        <v>FE</v>
      </c>
      <c r="AG64" s="113">
        <f ca="1">IFERROR(__xludf.DUMMYFUNCTION("""COMPUTED_VALUE"""),0)</f>
        <v>0</v>
      </c>
      <c r="AH64" s="113">
        <f ca="1">IFERROR(__xludf.DUMMYFUNCTION("""COMPUTED_VALUE"""),0)</f>
        <v>0</v>
      </c>
      <c r="AI64" s="113">
        <f ca="1">IFERROR(__xludf.DUMMYFUNCTION("""COMPUTED_VALUE"""),0)</f>
        <v>0</v>
      </c>
      <c r="AJ64" s="113">
        <f ca="1">IFERROR(__xludf.DUMMYFUNCTION("""COMPUTED_VALUE"""),0)</f>
        <v>0</v>
      </c>
      <c r="AK64" s="113"/>
      <c r="AL64" s="116"/>
    </row>
    <row r="65" spans="1:38" ht="12.75">
      <c r="A65" s="112" t="str">
        <f ca="1">IFERROR(__xludf.DUMMYFUNCTION("""COMPUTED_VALUE"""),"17009880")</f>
        <v>17009880</v>
      </c>
      <c r="B65" s="113" t="str">
        <f ca="1">IFERROR(__xludf.DUMMYFUNCTION("""COMPUTED_VALUE"""),"Araguaina")</f>
        <v>Araguaina</v>
      </c>
      <c r="C65" s="113" t="str">
        <f ca="1">IFERROR(__xludf.DUMMYFUNCTION("""COMPUTED_VALUE"""),"Santa Fe do Araguaia")</f>
        <v>Santa Fe do Araguaia</v>
      </c>
      <c r="D65" s="114" t="str">
        <f ca="1">IFERROR(__xludf.DUMMYFUNCTION("""COMPUTED_VALUE"""),"A.A. ESC. EST. ANAIDES BRITO MIRANDA")</f>
        <v>A.A. ESC. EST. ANAIDES BRITO MIRANDA</v>
      </c>
      <c r="E65" s="113" t="str">
        <f ca="1">IFERROR(__xludf.DUMMYFUNCTION("""COMPUTED_VALUE"""),"Escola Estadual Anaídes Brito Miranda")</f>
        <v>Escola Estadual Anaídes Brito Miranda</v>
      </c>
      <c r="F65" s="115" t="str">
        <f ca="1">IFERROR(__xludf.DUMMYFUNCTION("""COMPUTED_VALUE"""),"17009880")</f>
        <v>17009880</v>
      </c>
      <c r="G65" s="113" t="str">
        <f ca="1">IFERROR(__xludf.DUMMYFUNCTION("""COMPUTED_VALUE"""),"01919025000156")</f>
        <v>01919025000156</v>
      </c>
      <c r="H65" s="115" t="str">
        <f ca="1">IFERROR(__xludf.DUMMYFUNCTION("""COMPUTED_VALUE"""),"001")</f>
        <v>001</v>
      </c>
      <c r="I65" s="115" t="str">
        <f ca="1">IFERROR(__xludf.DUMMYFUNCTION("""COMPUTED_VALUE"""),"4791")</f>
        <v>4791</v>
      </c>
      <c r="J65" s="115" t="str">
        <f ca="1">IFERROR(__xludf.DUMMYFUNCTION("""COMPUTED_VALUE"""),"54682")</f>
        <v>54682</v>
      </c>
      <c r="K65" s="113" t="e">
        <f ca="1"/>
        <v>#REF!</v>
      </c>
      <c r="L65" s="113" t="e">
        <f ca="1"/>
        <v>#REF!</v>
      </c>
      <c r="M65" s="113" t="e">
        <f ca="1"/>
        <v>#REF!</v>
      </c>
      <c r="N65" s="113" t="e">
        <f ca="1"/>
        <v>#REF!</v>
      </c>
      <c r="O65" s="113" t="e">
        <f ca="1"/>
        <v>#REF!</v>
      </c>
      <c r="P65" s="113" t="e">
        <f ca="1"/>
        <v>#REF!</v>
      </c>
      <c r="Q65" s="113" t="e">
        <f ca="1"/>
        <v>#REF!</v>
      </c>
      <c r="R65" s="113" t="e">
        <f ca="1"/>
        <v>#REF!</v>
      </c>
      <c r="S65" s="113" t="e">
        <f ca="1"/>
        <v>#REF!</v>
      </c>
      <c r="T65" s="113" t="e">
        <f ca="1"/>
        <v>#REF!</v>
      </c>
      <c r="U65" s="113" t="e">
        <f ca="1"/>
        <v>#REF!</v>
      </c>
      <c r="V65" s="113" t="e">
        <f ca="1"/>
        <v>#REF!</v>
      </c>
      <c r="W65" s="113" t="e">
        <f ca="1"/>
        <v>#REF!</v>
      </c>
      <c r="X65" s="113" t="e">
        <f ca="1"/>
        <v>#REF!</v>
      </c>
      <c r="Y65" s="113" t="e">
        <f ca="1"/>
        <v>#REF!</v>
      </c>
      <c r="Z65" s="113" t="e">
        <f ca="1"/>
        <v>#REF!</v>
      </c>
      <c r="AA65" s="113"/>
      <c r="AB65" s="113"/>
      <c r="AC65" s="113"/>
      <c r="AD65" s="113"/>
      <c r="AE65" s="113" t="str">
        <f ca="1">IFERROR(__xludf.DUMMYFUNCTION("""COMPUTED_VALUE"""),"Parcial")</f>
        <v>Parcial</v>
      </c>
      <c r="AF65" s="113" t="str">
        <f ca="1">IFERROR(__xludf.DUMMYFUNCTION("""COMPUTED_VALUE"""),"FE")</f>
        <v>FE</v>
      </c>
      <c r="AG65" s="113">
        <f ca="1">IFERROR(__xludf.DUMMYFUNCTION("""COMPUTED_VALUE"""),0)</f>
        <v>0</v>
      </c>
      <c r="AH65" s="113">
        <f ca="1">IFERROR(__xludf.DUMMYFUNCTION("""COMPUTED_VALUE"""),0)</f>
        <v>0</v>
      </c>
      <c r="AI65" s="113">
        <f ca="1">IFERROR(__xludf.DUMMYFUNCTION("""COMPUTED_VALUE"""),0)</f>
        <v>0</v>
      </c>
      <c r="AJ65" s="113">
        <f ca="1">IFERROR(__xludf.DUMMYFUNCTION("""COMPUTED_VALUE"""),0)</f>
        <v>0</v>
      </c>
      <c r="AK65" s="113"/>
      <c r="AL65" s="116"/>
    </row>
    <row r="66" spans="1:38" ht="12.75">
      <c r="A66" s="112" t="str">
        <f ca="1">IFERROR(__xludf.DUMMYFUNCTION("""COMPUTED_VALUE"""),"17009898")</f>
        <v>17009898</v>
      </c>
      <c r="B66" s="113" t="str">
        <f ca="1">IFERROR(__xludf.DUMMYFUNCTION("""COMPUTED_VALUE"""),"Araguaina")</f>
        <v>Araguaina</v>
      </c>
      <c r="C66" s="113" t="str">
        <f ca="1">IFERROR(__xludf.DUMMYFUNCTION("""COMPUTED_VALUE"""),"Santa Fe do Araguaia")</f>
        <v>Santa Fe do Araguaia</v>
      </c>
      <c r="D66" s="114" t="str">
        <f ca="1">IFERROR(__xludf.DUMMYFUNCTION("""COMPUTED_VALUE"""),"A. DE AP. DA ESCOLA EST. CASTRO ALVES")</f>
        <v>A. DE AP. DA ESCOLA EST. CASTRO ALVES</v>
      </c>
      <c r="E66" s="113" t="str">
        <f ca="1">IFERROR(__xludf.DUMMYFUNCTION("""COMPUTED_VALUE"""),"Escola Estadual Castro Alves")</f>
        <v>Escola Estadual Castro Alves</v>
      </c>
      <c r="F66" s="115" t="str">
        <f ca="1">IFERROR(__xludf.DUMMYFUNCTION("""COMPUTED_VALUE"""),"17009898")</f>
        <v>17009898</v>
      </c>
      <c r="G66" s="113" t="str">
        <f ca="1">IFERROR(__xludf.DUMMYFUNCTION("""COMPUTED_VALUE"""),"01673181000180")</f>
        <v>01673181000180</v>
      </c>
      <c r="H66" s="115" t="str">
        <f ca="1">IFERROR(__xludf.DUMMYFUNCTION("""COMPUTED_VALUE"""),"001")</f>
        <v>001</v>
      </c>
      <c r="I66" s="115" t="str">
        <f ca="1">IFERROR(__xludf.DUMMYFUNCTION("""COMPUTED_VALUE"""),"4791")</f>
        <v>4791</v>
      </c>
      <c r="J66" s="115" t="str">
        <f ca="1">IFERROR(__xludf.DUMMYFUNCTION("""COMPUTED_VALUE"""),"54739")</f>
        <v>54739</v>
      </c>
      <c r="K66" s="113" t="e">
        <f ca="1"/>
        <v>#REF!</v>
      </c>
      <c r="L66" s="113" t="e">
        <f ca="1"/>
        <v>#REF!</v>
      </c>
      <c r="M66" s="113" t="e">
        <f ca="1"/>
        <v>#REF!</v>
      </c>
      <c r="N66" s="113" t="e">
        <f ca="1"/>
        <v>#REF!</v>
      </c>
      <c r="O66" s="113" t="e">
        <f ca="1"/>
        <v>#REF!</v>
      </c>
      <c r="P66" s="113" t="e">
        <f ca="1"/>
        <v>#REF!</v>
      </c>
      <c r="Q66" s="113" t="e">
        <f ca="1"/>
        <v>#REF!</v>
      </c>
      <c r="R66" s="113" t="e">
        <f ca="1"/>
        <v>#REF!</v>
      </c>
      <c r="S66" s="113" t="e">
        <f ca="1"/>
        <v>#REF!</v>
      </c>
      <c r="T66" s="113" t="e">
        <f ca="1"/>
        <v>#REF!</v>
      </c>
      <c r="U66" s="113" t="e">
        <f ca="1"/>
        <v>#REF!</v>
      </c>
      <c r="V66" s="113" t="e">
        <f ca="1"/>
        <v>#REF!</v>
      </c>
      <c r="W66" s="113" t="e">
        <f ca="1"/>
        <v>#REF!</v>
      </c>
      <c r="X66" s="113" t="e">
        <f ca="1"/>
        <v>#REF!</v>
      </c>
      <c r="Y66" s="113" t="e">
        <f ca="1"/>
        <v>#REF!</v>
      </c>
      <c r="Z66" s="113" t="e">
        <f ca="1"/>
        <v>#REF!</v>
      </c>
      <c r="AA66" s="113"/>
      <c r="AB66" s="113"/>
      <c r="AC66" s="113"/>
      <c r="AD66" s="113"/>
      <c r="AE66" s="113" t="str">
        <f ca="1">IFERROR(__xludf.DUMMYFUNCTION("""COMPUTED_VALUE"""),"Parcial")</f>
        <v>Parcial</v>
      </c>
      <c r="AF66" s="113" t="str">
        <f ca="1">IFERROR(__xludf.DUMMYFUNCTION("""COMPUTED_VALUE"""),"FE")</f>
        <v>FE</v>
      </c>
      <c r="AG66" s="113">
        <f ca="1">IFERROR(__xludf.DUMMYFUNCTION("""COMPUTED_VALUE"""),0)</f>
        <v>0</v>
      </c>
      <c r="AH66" s="113">
        <f ca="1">IFERROR(__xludf.DUMMYFUNCTION("""COMPUTED_VALUE"""),0)</f>
        <v>0</v>
      </c>
      <c r="AI66" s="113">
        <f ca="1">IFERROR(__xludf.DUMMYFUNCTION("""COMPUTED_VALUE"""),0)</f>
        <v>0</v>
      </c>
      <c r="AJ66" s="113">
        <f ca="1">IFERROR(__xludf.DUMMYFUNCTION("""COMPUTED_VALUE"""),0)</f>
        <v>0</v>
      </c>
      <c r="AK66" s="113"/>
      <c r="AL66" s="116"/>
    </row>
    <row r="67" spans="1:38" ht="12.75">
      <c r="A67" s="112" t="str">
        <f ca="1">IFERROR(__xludf.DUMMYFUNCTION("""COMPUTED_VALUE"""),"17010020")</f>
        <v>17010020</v>
      </c>
      <c r="B67" s="113" t="str">
        <f ca="1">IFERROR(__xludf.DUMMYFUNCTION("""COMPUTED_VALUE"""),"Araguaina")</f>
        <v>Araguaina</v>
      </c>
      <c r="C67" s="113" t="str">
        <f ca="1">IFERROR(__xludf.DUMMYFUNCTION("""COMPUTED_VALUE"""),"Wanderlandia")</f>
        <v>Wanderlandia</v>
      </c>
      <c r="D67" s="114" t="str">
        <f ca="1">IFERROR(__xludf.DUMMYFUNCTION("""COMPUTED_VALUE"""),"A.A. COL. ESTADUAL JOSE LUIZ SIQUEIRA")</f>
        <v>A.A. COL. ESTADUAL JOSE LUIZ SIQUEIRA</v>
      </c>
      <c r="E67" s="113" t="str">
        <f ca="1">IFERROR(__xludf.DUMMYFUNCTION("""COMPUTED_VALUE"""),"Colégio Estadual José Luiz Siqueira")</f>
        <v>Colégio Estadual José Luiz Siqueira</v>
      </c>
      <c r="F67" s="115" t="str">
        <f ca="1">IFERROR(__xludf.DUMMYFUNCTION("""COMPUTED_VALUE"""),"17010020")</f>
        <v>17010020</v>
      </c>
      <c r="G67" s="113" t="str">
        <f ca="1">IFERROR(__xludf.DUMMYFUNCTION("""COMPUTED_VALUE"""),"01257082000117")</f>
        <v>01257082000117</v>
      </c>
      <c r="H67" s="115" t="str">
        <f ca="1">IFERROR(__xludf.DUMMYFUNCTION("""COMPUTED_VALUE"""),"001")</f>
        <v>001</v>
      </c>
      <c r="I67" s="115" t="str">
        <f ca="1">IFERROR(__xludf.DUMMYFUNCTION("""COMPUTED_VALUE"""),"0638")</f>
        <v>0638</v>
      </c>
      <c r="J67" s="115" t="str">
        <f ca="1">IFERROR(__xludf.DUMMYFUNCTION("""COMPUTED_VALUE"""),"0465291")</f>
        <v>0465291</v>
      </c>
      <c r="K67" s="113" t="e">
        <f ca="1"/>
        <v>#REF!</v>
      </c>
      <c r="L67" s="113" t="e">
        <f ca="1"/>
        <v>#REF!</v>
      </c>
      <c r="M67" s="113" t="e">
        <f ca="1"/>
        <v>#REF!</v>
      </c>
      <c r="N67" s="113" t="e">
        <f ca="1"/>
        <v>#REF!</v>
      </c>
      <c r="O67" s="113" t="e">
        <f ca="1"/>
        <v>#REF!</v>
      </c>
      <c r="P67" s="113" t="e">
        <f ca="1"/>
        <v>#REF!</v>
      </c>
      <c r="Q67" s="113" t="e">
        <f ca="1"/>
        <v>#REF!</v>
      </c>
      <c r="R67" s="113" t="e">
        <f ca="1"/>
        <v>#REF!</v>
      </c>
      <c r="S67" s="113" t="e">
        <f ca="1"/>
        <v>#REF!</v>
      </c>
      <c r="T67" s="113" t="e">
        <f ca="1"/>
        <v>#REF!</v>
      </c>
      <c r="U67" s="113" t="e">
        <f ca="1"/>
        <v>#REF!</v>
      </c>
      <c r="V67" s="113" t="e">
        <f ca="1"/>
        <v>#REF!</v>
      </c>
      <c r="W67" s="113" t="e">
        <f ca="1"/>
        <v>#REF!</v>
      </c>
      <c r="X67" s="113" t="e">
        <f ca="1"/>
        <v>#REF!</v>
      </c>
      <c r="Y67" s="113" t="e">
        <f ca="1"/>
        <v>#REF!</v>
      </c>
      <c r="Z67" s="113" t="e">
        <f ca="1"/>
        <v>#REF!</v>
      </c>
      <c r="AA67" s="113"/>
      <c r="AB67" s="113"/>
      <c r="AC67" s="113"/>
      <c r="AD67" s="113"/>
      <c r="AE67" s="113" t="str">
        <f ca="1">IFERROR(__xludf.DUMMYFUNCTION("""COMPUTED_VALUE"""),"Parcial")</f>
        <v>Parcial</v>
      </c>
      <c r="AF67" s="113" t="str">
        <f ca="1">IFERROR(__xludf.DUMMYFUNCTION("""COMPUTED_VALUE"""),"FE")</f>
        <v>FE</v>
      </c>
      <c r="AG67" s="113">
        <f ca="1">IFERROR(__xludf.DUMMYFUNCTION("""COMPUTED_VALUE"""),0)</f>
        <v>0</v>
      </c>
      <c r="AH67" s="113">
        <f ca="1">IFERROR(__xludf.DUMMYFUNCTION("""COMPUTED_VALUE"""),0)</f>
        <v>0</v>
      </c>
      <c r="AI67" s="113">
        <f ca="1">IFERROR(__xludf.DUMMYFUNCTION("""COMPUTED_VALUE"""),0)</f>
        <v>0</v>
      </c>
      <c r="AJ67" s="113">
        <f ca="1">IFERROR(__xludf.DUMMYFUNCTION("""COMPUTED_VALUE"""),0)</f>
        <v>0</v>
      </c>
      <c r="AK67" s="113"/>
      <c r="AL67" s="116"/>
    </row>
    <row r="68" spans="1:38" ht="12.75">
      <c r="A68" s="112" t="str">
        <f ca="1">IFERROR(__xludf.DUMMYFUNCTION("""COMPUTED_VALUE"""),"17048176")</f>
        <v>17048176</v>
      </c>
      <c r="B68" s="113" t="str">
        <f ca="1">IFERROR(__xludf.DUMMYFUNCTION("""COMPUTED_VALUE"""),"Araguaina")</f>
        <v>Araguaina</v>
      </c>
      <c r="C68" s="113" t="str">
        <f ca="1">IFERROR(__xludf.DUMMYFUNCTION("""COMPUTED_VALUE"""),"Wanderlandia")</f>
        <v>Wanderlandia</v>
      </c>
      <c r="D68" s="114" t="str">
        <f ca="1">IFERROR(__xludf.DUMMYFUNCTION("""COMPUTED_VALUE"""),"ASSOCIAÇÃO DE APOIO DA ESCOLA ESPECIAL MORADA DO SOL")</f>
        <v>ASSOCIAÇÃO DE APOIO DA ESCOLA ESPECIAL MORADA DO SOL</v>
      </c>
      <c r="E68" s="113" t="str">
        <f ca="1">IFERROR(__xludf.DUMMYFUNCTION("""COMPUTED_VALUE"""),"Escola Especial Morada do Sol")</f>
        <v>Escola Especial Morada do Sol</v>
      </c>
      <c r="F68" s="115" t="str">
        <f ca="1">IFERROR(__xludf.DUMMYFUNCTION("""COMPUTED_VALUE"""),"17048176")</f>
        <v>17048176</v>
      </c>
      <c r="G68" s="113" t="str">
        <f ca="1">IFERROR(__xludf.DUMMYFUNCTION("""COMPUTED_VALUE"""),"07941368000101")</f>
        <v>07941368000101</v>
      </c>
      <c r="H68" s="115" t="str">
        <f ca="1">IFERROR(__xludf.DUMMYFUNCTION("""COMPUTED_VALUE"""),"001")</f>
        <v>001</v>
      </c>
      <c r="I68" s="115" t="str">
        <f ca="1">IFERROR(__xludf.DUMMYFUNCTION("""COMPUTED_VALUE"""),"0638")</f>
        <v>0638</v>
      </c>
      <c r="J68" s="115" t="str">
        <f ca="1">IFERROR(__xludf.DUMMYFUNCTION("""COMPUTED_VALUE"""),"537349")</f>
        <v>537349</v>
      </c>
      <c r="K68" s="113" t="e">
        <f ca="1"/>
        <v>#REF!</v>
      </c>
      <c r="L68" s="113" t="e">
        <f ca="1"/>
        <v>#REF!</v>
      </c>
      <c r="M68" s="113" t="e">
        <f ca="1"/>
        <v>#REF!</v>
      </c>
      <c r="N68" s="113" t="e">
        <f ca="1"/>
        <v>#REF!</v>
      </c>
      <c r="O68" s="113" t="e">
        <f ca="1"/>
        <v>#REF!</v>
      </c>
      <c r="P68" s="113" t="e">
        <f ca="1"/>
        <v>#REF!</v>
      </c>
      <c r="Q68" s="113" t="e">
        <f ca="1"/>
        <v>#REF!</v>
      </c>
      <c r="R68" s="113" t="e">
        <f ca="1"/>
        <v>#REF!</v>
      </c>
      <c r="S68" s="113" t="e">
        <f ca="1"/>
        <v>#REF!</v>
      </c>
      <c r="T68" s="113" t="e">
        <f ca="1"/>
        <v>#REF!</v>
      </c>
      <c r="U68" s="113" t="e">
        <f ca="1"/>
        <v>#REF!</v>
      </c>
      <c r="V68" s="113" t="e">
        <f ca="1"/>
        <v>#REF!</v>
      </c>
      <c r="W68" s="113" t="e">
        <f ca="1"/>
        <v>#REF!</v>
      </c>
      <c r="X68" s="113" t="e">
        <f ca="1"/>
        <v>#REF!</v>
      </c>
      <c r="Y68" s="113" t="e">
        <f ca="1"/>
        <v>#REF!</v>
      </c>
      <c r="Z68" s="113" t="e">
        <f ca="1"/>
        <v>#REF!</v>
      </c>
      <c r="AA68" s="113"/>
      <c r="AB68" s="113"/>
      <c r="AC68" s="113"/>
      <c r="AD68" s="113"/>
      <c r="AE68" s="113" t="str">
        <f ca="1">IFERROR(__xludf.DUMMYFUNCTION("""COMPUTED_VALUE"""),"Parcial")</f>
        <v>Parcial</v>
      </c>
      <c r="AF68" s="113" t="str">
        <f ca="1">IFERROR(__xludf.DUMMYFUNCTION("""COMPUTED_VALUE"""),"FE")</f>
        <v>FE</v>
      </c>
      <c r="AG68" s="113">
        <f ca="1">IFERROR(__xludf.DUMMYFUNCTION("""COMPUTED_VALUE"""),0)</f>
        <v>0</v>
      </c>
      <c r="AH68" s="113">
        <f ca="1">IFERROR(__xludf.DUMMYFUNCTION("""COMPUTED_VALUE"""),0)</f>
        <v>0</v>
      </c>
      <c r="AI68" s="113">
        <f ca="1">IFERROR(__xludf.DUMMYFUNCTION("""COMPUTED_VALUE"""),0)</f>
        <v>0</v>
      </c>
      <c r="AJ68" s="113">
        <f ca="1">IFERROR(__xludf.DUMMYFUNCTION("""COMPUTED_VALUE"""),0)</f>
        <v>0</v>
      </c>
      <c r="AK68" s="113"/>
      <c r="AL68" s="116"/>
    </row>
    <row r="69" spans="1:38" ht="12.75">
      <c r="A69" s="112" t="str">
        <f ca="1">IFERROR(__xludf.DUMMYFUNCTION("""COMPUTED_VALUE"""),"17010012")</f>
        <v>17010012</v>
      </c>
      <c r="B69" s="113" t="str">
        <f ca="1">IFERROR(__xludf.DUMMYFUNCTION("""COMPUTED_VALUE"""),"Araguaina")</f>
        <v>Araguaina</v>
      </c>
      <c r="C69" s="113" t="str">
        <f ca="1">IFERROR(__xludf.DUMMYFUNCTION("""COMPUTED_VALUE"""),"Wanderlandia")</f>
        <v>Wanderlandia</v>
      </c>
      <c r="D69" s="114" t="str">
        <f ca="1">IFERROR(__xludf.DUMMYFUNCTION("""COMPUTED_VALUE"""),"A.APOIO ESCOLA ESTADUAL D. PEDRO II")</f>
        <v>A.APOIO ESCOLA ESTADUAL D. PEDRO II</v>
      </c>
      <c r="E69" s="113" t="str">
        <f ca="1">IFERROR(__xludf.DUMMYFUNCTION("""COMPUTED_VALUE"""),"Escola Estadual dom Pedro II")</f>
        <v>Escola Estadual dom Pedro II</v>
      </c>
      <c r="F69" s="115" t="str">
        <f ca="1">IFERROR(__xludf.DUMMYFUNCTION("""COMPUTED_VALUE"""),"17010012")</f>
        <v>17010012</v>
      </c>
      <c r="G69" s="113" t="str">
        <f ca="1">IFERROR(__xludf.DUMMYFUNCTION("""COMPUTED_VALUE"""),"01186465000141")</f>
        <v>01186465000141</v>
      </c>
      <c r="H69" s="115" t="str">
        <f ca="1">IFERROR(__xludf.DUMMYFUNCTION("""COMPUTED_VALUE"""),"001")</f>
        <v>001</v>
      </c>
      <c r="I69" s="115" t="str">
        <f ca="1">IFERROR(__xludf.DUMMYFUNCTION("""COMPUTED_VALUE"""),"0638")</f>
        <v>0638</v>
      </c>
      <c r="J69" s="115" t="str">
        <f ca="1">IFERROR(__xludf.DUMMYFUNCTION("""COMPUTED_VALUE"""),"0463108")</f>
        <v>0463108</v>
      </c>
      <c r="K69" s="113" t="e">
        <f ca="1"/>
        <v>#REF!</v>
      </c>
      <c r="L69" s="113" t="e">
        <f ca="1"/>
        <v>#REF!</v>
      </c>
      <c r="M69" s="113" t="e">
        <f ca="1"/>
        <v>#REF!</v>
      </c>
      <c r="N69" s="113" t="e">
        <f ca="1"/>
        <v>#REF!</v>
      </c>
      <c r="O69" s="113" t="e">
        <f ca="1"/>
        <v>#REF!</v>
      </c>
      <c r="P69" s="113" t="e">
        <f ca="1"/>
        <v>#REF!</v>
      </c>
      <c r="Q69" s="113" t="e">
        <f ca="1"/>
        <v>#REF!</v>
      </c>
      <c r="R69" s="113" t="e">
        <f ca="1"/>
        <v>#REF!</v>
      </c>
      <c r="S69" s="113" t="e">
        <f ca="1"/>
        <v>#REF!</v>
      </c>
      <c r="T69" s="113" t="e">
        <f ca="1"/>
        <v>#REF!</v>
      </c>
      <c r="U69" s="113" t="e">
        <f ca="1"/>
        <v>#REF!</v>
      </c>
      <c r="V69" s="113" t="e">
        <f ca="1"/>
        <v>#REF!</v>
      </c>
      <c r="W69" s="113" t="e">
        <f ca="1"/>
        <v>#REF!</v>
      </c>
      <c r="X69" s="113" t="e">
        <f ca="1"/>
        <v>#REF!</v>
      </c>
      <c r="Y69" s="113" t="e">
        <f ca="1"/>
        <v>#REF!</v>
      </c>
      <c r="Z69" s="113" t="e">
        <f ca="1"/>
        <v>#REF!</v>
      </c>
      <c r="AA69" s="113"/>
      <c r="AB69" s="113"/>
      <c r="AC69" s="113"/>
      <c r="AD69" s="113"/>
      <c r="AE69" s="113" t="str">
        <f ca="1">IFERROR(__xludf.DUMMYFUNCTION("""COMPUTED_VALUE"""),"Parcial")</f>
        <v>Parcial</v>
      </c>
      <c r="AF69" s="113" t="str">
        <f ca="1">IFERROR(__xludf.DUMMYFUNCTION("""COMPUTED_VALUE"""),"FE")</f>
        <v>FE</v>
      </c>
      <c r="AG69" s="113">
        <f ca="1">IFERROR(__xludf.DUMMYFUNCTION("""COMPUTED_VALUE"""),0)</f>
        <v>0</v>
      </c>
      <c r="AH69" s="113">
        <f ca="1">IFERROR(__xludf.DUMMYFUNCTION("""COMPUTED_VALUE"""),0)</f>
        <v>0</v>
      </c>
      <c r="AI69" s="113">
        <f ca="1">IFERROR(__xludf.DUMMYFUNCTION("""COMPUTED_VALUE"""),0)</f>
        <v>0</v>
      </c>
      <c r="AJ69" s="113">
        <f ca="1">IFERROR(__xludf.DUMMYFUNCTION("""COMPUTED_VALUE"""),0)</f>
        <v>0</v>
      </c>
      <c r="AK69" s="113"/>
      <c r="AL69" s="116"/>
    </row>
    <row r="70" spans="1:38" ht="12.75">
      <c r="A70" s="112" t="str">
        <f ca="1">IFERROR(__xludf.DUMMYFUNCTION("""COMPUTED_VALUE"""),"17010462")</f>
        <v>17010462</v>
      </c>
      <c r="B70" s="113" t="str">
        <f ca="1">IFERROR(__xludf.DUMMYFUNCTION("""COMPUTED_VALUE"""),"Araguaina")</f>
        <v>Araguaina</v>
      </c>
      <c r="C70" s="113" t="str">
        <f ca="1">IFERROR(__xludf.DUMMYFUNCTION("""COMPUTED_VALUE"""),"Xambioa")</f>
        <v>Xambioa</v>
      </c>
      <c r="D70" s="114" t="str">
        <f ca="1">IFERROR(__xludf.DUMMYFUNCTION("""COMPUTED_VALUE"""),"A.A. COL. MUL. PROFA. JULIANA BARROS")</f>
        <v>A.A. COL. MUL. PROFA. JULIANA BARROS</v>
      </c>
      <c r="E70" s="113" t="str">
        <f ca="1">IFERROR(__xludf.DUMMYFUNCTION("""COMPUTED_VALUE"""),"Colégio Estadual Professora Juliana Barros")</f>
        <v>Colégio Estadual Professora Juliana Barros</v>
      </c>
      <c r="F70" s="115" t="str">
        <f ca="1">IFERROR(__xludf.DUMMYFUNCTION("""COMPUTED_VALUE"""),"17010462")</f>
        <v>17010462</v>
      </c>
      <c r="G70" s="113" t="str">
        <f ca="1">IFERROR(__xludf.DUMMYFUNCTION("""COMPUTED_VALUE"""),"01136047000140")</f>
        <v>01136047000140</v>
      </c>
      <c r="H70" s="115" t="str">
        <f ca="1">IFERROR(__xludf.DUMMYFUNCTION("""COMPUTED_VALUE"""),"001")</f>
        <v>001</v>
      </c>
      <c r="I70" s="115" t="str">
        <f ca="1">IFERROR(__xludf.DUMMYFUNCTION("""COMPUTED_VALUE"""),"3773")</f>
        <v>3773</v>
      </c>
      <c r="J70" s="115" t="str">
        <f ca="1">IFERROR(__xludf.DUMMYFUNCTION("""COMPUTED_VALUE"""),"0330027")</f>
        <v>0330027</v>
      </c>
      <c r="K70" s="113" t="e">
        <f ca="1"/>
        <v>#REF!</v>
      </c>
      <c r="L70" s="113" t="e">
        <f ca="1"/>
        <v>#REF!</v>
      </c>
      <c r="M70" s="113" t="e">
        <f ca="1"/>
        <v>#REF!</v>
      </c>
      <c r="N70" s="113" t="e">
        <f ca="1"/>
        <v>#REF!</v>
      </c>
      <c r="O70" s="113" t="e">
        <f ca="1"/>
        <v>#REF!</v>
      </c>
      <c r="P70" s="113" t="e">
        <f ca="1"/>
        <v>#REF!</v>
      </c>
      <c r="Q70" s="113" t="e">
        <f ca="1"/>
        <v>#REF!</v>
      </c>
      <c r="R70" s="113" t="e">
        <f ca="1"/>
        <v>#REF!</v>
      </c>
      <c r="S70" s="113" t="e">
        <f ca="1"/>
        <v>#REF!</v>
      </c>
      <c r="T70" s="113" t="e">
        <f ca="1"/>
        <v>#REF!</v>
      </c>
      <c r="U70" s="113" t="e">
        <f ca="1"/>
        <v>#REF!</v>
      </c>
      <c r="V70" s="113" t="e">
        <f ca="1"/>
        <v>#REF!</v>
      </c>
      <c r="W70" s="113" t="e">
        <f ca="1"/>
        <v>#REF!</v>
      </c>
      <c r="X70" s="113" t="e">
        <f ca="1"/>
        <v>#REF!</v>
      </c>
      <c r="Y70" s="113" t="e">
        <f ca="1"/>
        <v>#REF!</v>
      </c>
      <c r="Z70" s="113" t="e">
        <f ca="1"/>
        <v>#REF!</v>
      </c>
      <c r="AA70" s="113"/>
      <c r="AB70" s="113"/>
      <c r="AC70" s="113"/>
      <c r="AD70" s="113"/>
      <c r="AE70" s="113" t="str">
        <f ca="1">IFERROR(__xludf.DUMMYFUNCTION("""COMPUTED_VALUE"""),"Parcial")</f>
        <v>Parcial</v>
      </c>
      <c r="AF70" s="113" t="str">
        <f ca="1">IFERROR(__xludf.DUMMYFUNCTION("""COMPUTED_VALUE"""),"FE")</f>
        <v>FE</v>
      </c>
      <c r="AG70" s="113">
        <f ca="1">IFERROR(__xludf.DUMMYFUNCTION("""COMPUTED_VALUE"""),0)</f>
        <v>0</v>
      </c>
      <c r="AH70" s="113">
        <f ca="1">IFERROR(__xludf.DUMMYFUNCTION("""COMPUTED_VALUE"""),0)</f>
        <v>0</v>
      </c>
      <c r="AI70" s="113">
        <f ca="1">IFERROR(__xludf.DUMMYFUNCTION("""COMPUTED_VALUE"""),0)</f>
        <v>0</v>
      </c>
      <c r="AJ70" s="113">
        <f ca="1">IFERROR(__xludf.DUMMYFUNCTION("""COMPUTED_VALUE"""),0)</f>
        <v>0</v>
      </c>
      <c r="AK70" s="113"/>
      <c r="AL70" s="116"/>
    </row>
    <row r="71" spans="1:38" ht="12.75">
      <c r="A71" s="112" t="str">
        <f ca="1">IFERROR(__xludf.DUMMYFUNCTION("""COMPUTED_VALUE"""),"17010330")</f>
        <v>17010330</v>
      </c>
      <c r="B71" s="113" t="str">
        <f ca="1">IFERROR(__xludf.DUMMYFUNCTION("""COMPUTED_VALUE"""),"Araguaina")</f>
        <v>Araguaina</v>
      </c>
      <c r="C71" s="113" t="str">
        <f ca="1">IFERROR(__xludf.DUMMYFUNCTION("""COMPUTED_VALUE"""),"Xambioa")</f>
        <v>Xambioa</v>
      </c>
      <c r="D71" s="114" t="str">
        <f ca="1">IFERROR(__xludf.DUMMYFUNCTION("""COMPUTED_VALUE"""),"A. COM. DA ESC. EST. EURICO MOTA")</f>
        <v>A. COM. DA ESC. EST. EURICO MOTA</v>
      </c>
      <c r="E71" s="113" t="str">
        <f ca="1">IFERROR(__xludf.DUMMYFUNCTION("""COMPUTED_VALUE"""),"Escola Estadual Euríco Mota")</f>
        <v>Escola Estadual Euríco Mota</v>
      </c>
      <c r="F71" s="115" t="str">
        <f ca="1">IFERROR(__xludf.DUMMYFUNCTION("""COMPUTED_VALUE"""),"17010330")</f>
        <v>17010330</v>
      </c>
      <c r="G71" s="113" t="str">
        <f ca="1">IFERROR(__xludf.DUMMYFUNCTION("""COMPUTED_VALUE"""),"01718086000155")</f>
        <v>01718086000155</v>
      </c>
      <c r="H71" s="115" t="str">
        <f ca="1">IFERROR(__xludf.DUMMYFUNCTION("""COMPUTED_VALUE"""),"001")</f>
        <v>001</v>
      </c>
      <c r="I71" s="115" t="str">
        <f ca="1">IFERROR(__xludf.DUMMYFUNCTION("""COMPUTED_VALUE"""),"3773")</f>
        <v>3773</v>
      </c>
      <c r="J71" s="115" t="str">
        <f ca="1">IFERROR(__xludf.DUMMYFUNCTION("""COMPUTED_VALUE"""),"0324744")</f>
        <v>0324744</v>
      </c>
      <c r="K71" s="113" t="e">
        <f ca="1"/>
        <v>#REF!</v>
      </c>
      <c r="L71" s="113" t="e">
        <f ca="1"/>
        <v>#REF!</v>
      </c>
      <c r="M71" s="113" t="e">
        <f ca="1"/>
        <v>#REF!</v>
      </c>
      <c r="N71" s="113" t="e">
        <f ca="1"/>
        <v>#REF!</v>
      </c>
      <c r="O71" s="113" t="e">
        <f ca="1"/>
        <v>#REF!</v>
      </c>
      <c r="P71" s="113" t="e">
        <f ca="1"/>
        <v>#REF!</v>
      </c>
      <c r="Q71" s="113" t="e">
        <f ca="1"/>
        <v>#REF!</v>
      </c>
      <c r="R71" s="113" t="e">
        <f ca="1"/>
        <v>#REF!</v>
      </c>
      <c r="S71" s="113" t="e">
        <f ca="1"/>
        <v>#REF!</v>
      </c>
      <c r="T71" s="113" t="e">
        <f ca="1"/>
        <v>#REF!</v>
      </c>
      <c r="U71" s="113" t="e">
        <f ca="1"/>
        <v>#REF!</v>
      </c>
      <c r="V71" s="113" t="e">
        <f ca="1"/>
        <v>#REF!</v>
      </c>
      <c r="W71" s="113" t="e">
        <f ca="1"/>
        <v>#REF!</v>
      </c>
      <c r="X71" s="113" t="e">
        <f ca="1"/>
        <v>#REF!</v>
      </c>
      <c r="Y71" s="113" t="e">
        <f ca="1"/>
        <v>#REF!</v>
      </c>
      <c r="Z71" s="113" t="e">
        <f ca="1"/>
        <v>#REF!</v>
      </c>
      <c r="AA71" s="113"/>
      <c r="AB71" s="113"/>
      <c r="AC71" s="113"/>
      <c r="AD71" s="113" t="str">
        <f ca="1">IFERROR(__xludf.DUMMYFUNCTION("""COMPUTED_VALUE"""),"E.M. INTEGRADO")</f>
        <v>E.M. INTEGRADO</v>
      </c>
      <c r="AE71" s="113" t="str">
        <f ca="1">IFERROR(__xludf.DUMMYFUNCTION("""COMPUTED_VALUE"""),"Parcial")</f>
        <v>Parcial</v>
      </c>
      <c r="AF71" s="113" t="str">
        <f ca="1">IFERROR(__xludf.DUMMYFUNCTION("""COMPUTED_VALUE"""),"FE")</f>
        <v>FE</v>
      </c>
      <c r="AG71" s="113">
        <f ca="1">IFERROR(__xludf.DUMMYFUNCTION("""COMPUTED_VALUE"""),0)</f>
        <v>0</v>
      </c>
      <c r="AH71" s="113">
        <f ca="1">IFERROR(__xludf.DUMMYFUNCTION("""COMPUTED_VALUE"""),0)</f>
        <v>0</v>
      </c>
      <c r="AI71" s="113">
        <f ca="1">IFERROR(__xludf.DUMMYFUNCTION("""COMPUTED_VALUE"""),0)</f>
        <v>0</v>
      </c>
      <c r="AJ71" s="113">
        <f ca="1">IFERROR(__xludf.DUMMYFUNCTION("""COMPUTED_VALUE"""),0)</f>
        <v>0</v>
      </c>
      <c r="AK71" s="113"/>
      <c r="AL71" s="116"/>
    </row>
    <row r="72" spans="1:38" ht="12.75">
      <c r="A72" s="112" t="str">
        <f ca="1">IFERROR(__xludf.DUMMYFUNCTION("""COMPUTED_VALUE"""),"17010365")</f>
        <v>17010365</v>
      </c>
      <c r="B72" s="113" t="str">
        <f ca="1">IFERROR(__xludf.DUMMYFUNCTION("""COMPUTED_VALUE"""),"Araguaina")</f>
        <v>Araguaina</v>
      </c>
      <c r="C72" s="113" t="str">
        <f ca="1">IFERROR(__xludf.DUMMYFUNCTION("""COMPUTED_VALUE"""),"Xambioa")</f>
        <v>Xambioa</v>
      </c>
      <c r="D72" s="114" t="str">
        <f ca="1">IFERROR(__xludf.DUMMYFUNCTION("""COMPUTED_VALUE"""),"AS. DE A. A ESC.PAROQUIAL SAO MIGUEL")</f>
        <v>AS. DE A. A ESC.PAROQUIAL SAO MIGUEL</v>
      </c>
      <c r="E72" s="113" t="str">
        <f ca="1">IFERROR(__xludf.DUMMYFUNCTION("""COMPUTED_VALUE"""),"Escola Paroquial São Miguel")</f>
        <v>Escola Paroquial São Miguel</v>
      </c>
      <c r="F72" s="115" t="str">
        <f ca="1">IFERROR(__xludf.DUMMYFUNCTION("""COMPUTED_VALUE"""),"17010365")</f>
        <v>17010365</v>
      </c>
      <c r="G72" s="113" t="str">
        <f ca="1">IFERROR(__xludf.DUMMYFUNCTION("""COMPUTED_VALUE"""),"01133698000186")</f>
        <v>01133698000186</v>
      </c>
      <c r="H72" s="115" t="str">
        <f ca="1">IFERROR(__xludf.DUMMYFUNCTION("""COMPUTED_VALUE"""),"001")</f>
        <v>001</v>
      </c>
      <c r="I72" s="115" t="str">
        <f ca="1">IFERROR(__xludf.DUMMYFUNCTION("""COMPUTED_VALUE"""),"3773")</f>
        <v>3773</v>
      </c>
      <c r="J72" s="115" t="str">
        <f ca="1">IFERROR(__xludf.DUMMYFUNCTION("""COMPUTED_VALUE"""),"330035")</f>
        <v>330035</v>
      </c>
      <c r="K72" s="113" t="e">
        <f ca="1"/>
        <v>#REF!</v>
      </c>
      <c r="L72" s="113" t="e">
        <f ca="1"/>
        <v>#REF!</v>
      </c>
      <c r="M72" s="113" t="e">
        <f ca="1"/>
        <v>#REF!</v>
      </c>
      <c r="N72" s="113" t="e">
        <f ca="1"/>
        <v>#REF!</v>
      </c>
      <c r="O72" s="113" t="e">
        <f ca="1"/>
        <v>#REF!</v>
      </c>
      <c r="P72" s="113" t="e">
        <f ca="1"/>
        <v>#REF!</v>
      </c>
      <c r="Q72" s="113" t="e">
        <f ca="1"/>
        <v>#REF!</v>
      </c>
      <c r="R72" s="113" t="e">
        <f ca="1"/>
        <v>#REF!</v>
      </c>
      <c r="S72" s="113" t="e">
        <f ca="1"/>
        <v>#REF!</v>
      </c>
      <c r="T72" s="113" t="e">
        <f ca="1"/>
        <v>#REF!</v>
      </c>
      <c r="U72" s="113" t="e">
        <f ca="1"/>
        <v>#REF!</v>
      </c>
      <c r="V72" s="113" t="e">
        <f ca="1"/>
        <v>#REF!</v>
      </c>
      <c r="W72" s="113" t="e">
        <f ca="1"/>
        <v>#REF!</v>
      </c>
      <c r="X72" s="113" t="e">
        <f ca="1"/>
        <v>#REF!</v>
      </c>
      <c r="Y72" s="113" t="e">
        <f ca="1"/>
        <v>#REF!</v>
      </c>
      <c r="Z72" s="113" t="e">
        <f ca="1"/>
        <v>#REF!</v>
      </c>
      <c r="AA72" s="113"/>
      <c r="AB72" s="113"/>
      <c r="AC72" s="113"/>
      <c r="AD72" s="113"/>
      <c r="AE72" s="113" t="str">
        <f ca="1">IFERROR(__xludf.DUMMYFUNCTION("""COMPUTED_VALUE"""),"Parcial")</f>
        <v>Parcial</v>
      </c>
      <c r="AF72" s="113" t="str">
        <f ca="1">IFERROR(__xludf.DUMMYFUNCTION("""COMPUTED_VALUE"""),"FE")</f>
        <v>FE</v>
      </c>
      <c r="AG72" s="113">
        <f ca="1">IFERROR(__xludf.DUMMYFUNCTION("""COMPUTED_VALUE"""),0)</f>
        <v>0</v>
      </c>
      <c r="AH72" s="113">
        <f ca="1">IFERROR(__xludf.DUMMYFUNCTION("""COMPUTED_VALUE"""),0)</f>
        <v>0</v>
      </c>
      <c r="AI72" s="113">
        <f ca="1">IFERROR(__xludf.DUMMYFUNCTION("""COMPUTED_VALUE"""),0)</f>
        <v>0</v>
      </c>
      <c r="AJ72" s="113">
        <f ca="1">IFERROR(__xludf.DUMMYFUNCTION("""COMPUTED_VALUE"""),0)</f>
        <v>0</v>
      </c>
      <c r="AK72" s="113"/>
      <c r="AL72" s="116"/>
    </row>
    <row r="73" spans="1:38" ht="12.75">
      <c r="A73" s="112" t="str">
        <f ca="1">IFERROR(__xludf.DUMMYFUNCTION("""COMPUTED_VALUE"""),"17050715")</f>
        <v>17050715</v>
      </c>
      <c r="B73" s="113" t="str">
        <f ca="1">IFERROR(__xludf.DUMMYFUNCTION("""COMPUTED_VALUE"""),"Araguatins")</f>
        <v>Araguatins</v>
      </c>
      <c r="C73" s="113" t="str">
        <f ca="1">IFERROR(__xludf.DUMMYFUNCTION("""COMPUTED_VALUE"""),"Araguatins")</f>
        <v>Araguatins</v>
      </c>
      <c r="D73" s="114" t="str">
        <f ca="1">IFERROR(__xludf.DUMMYFUNCTION("""COMPUTED_VALUE"""),"ASSOC. APOIO AO CEM PROFESSORA ANTONINA MILHOMEM")</f>
        <v>ASSOC. APOIO AO CEM PROFESSORA ANTONINA MILHOMEM</v>
      </c>
      <c r="E73" s="113" t="str">
        <f ca="1">IFERROR(__xludf.DUMMYFUNCTION("""COMPUTED_VALUE"""),"Centro de Ensino Médio Professora Antonina Milhomem")</f>
        <v>Centro de Ensino Médio Professora Antonina Milhomem</v>
      </c>
      <c r="F73" s="115" t="str">
        <f ca="1">IFERROR(__xludf.DUMMYFUNCTION("""COMPUTED_VALUE"""),"17050715")</f>
        <v>17050715</v>
      </c>
      <c r="G73" s="113" t="str">
        <f ca="1">IFERROR(__xludf.DUMMYFUNCTION("""COMPUTED_VALUE"""),"04675931000140")</f>
        <v>04675931000140</v>
      </c>
      <c r="H73" s="115" t="str">
        <f ca="1">IFERROR(__xludf.DUMMYFUNCTION("""COMPUTED_VALUE"""),"001")</f>
        <v>001</v>
      </c>
      <c r="I73" s="115" t="str">
        <f ca="1">IFERROR(__xludf.DUMMYFUNCTION("""COMPUTED_VALUE"""),"1305")</f>
        <v>1305</v>
      </c>
      <c r="J73" s="115" t="str">
        <f ca="1">IFERROR(__xludf.DUMMYFUNCTION("""COMPUTED_VALUE"""),"209082")</f>
        <v>209082</v>
      </c>
      <c r="K73" s="113" t="e">
        <f ca="1"/>
        <v>#REF!</v>
      </c>
      <c r="L73" s="113" t="e">
        <f ca="1"/>
        <v>#REF!</v>
      </c>
      <c r="M73" s="113" t="e">
        <f ca="1"/>
        <v>#REF!</v>
      </c>
      <c r="N73" s="113" t="e">
        <f ca="1"/>
        <v>#REF!</v>
      </c>
      <c r="O73" s="113" t="e">
        <f ca="1"/>
        <v>#REF!</v>
      </c>
      <c r="P73" s="113" t="e">
        <f ca="1"/>
        <v>#REF!</v>
      </c>
      <c r="Q73" s="113" t="e">
        <f ca="1"/>
        <v>#REF!</v>
      </c>
      <c r="R73" s="113" t="e">
        <f ca="1"/>
        <v>#REF!</v>
      </c>
      <c r="S73" s="113" t="e">
        <f ca="1"/>
        <v>#REF!</v>
      </c>
      <c r="T73" s="113" t="e">
        <f ca="1"/>
        <v>#REF!</v>
      </c>
      <c r="U73" s="113" t="e">
        <f ca="1"/>
        <v>#REF!</v>
      </c>
      <c r="V73" s="113" t="e">
        <f ca="1"/>
        <v>#REF!</v>
      </c>
      <c r="W73" s="113" t="e">
        <f ca="1"/>
        <v>#REF!</v>
      </c>
      <c r="X73" s="113" t="e">
        <f ca="1"/>
        <v>#REF!</v>
      </c>
      <c r="Y73" s="113" t="e">
        <f ca="1"/>
        <v>#REF!</v>
      </c>
      <c r="Z73" s="113" t="e">
        <f ca="1"/>
        <v>#REF!</v>
      </c>
      <c r="AA73" s="113"/>
      <c r="AB73" s="113"/>
      <c r="AC73" s="113"/>
      <c r="AD73" s="113"/>
      <c r="AE73" s="113" t="str">
        <f ca="1">IFERROR(__xludf.DUMMYFUNCTION("""COMPUTED_VALUE"""),"Parcial")</f>
        <v>Parcial</v>
      </c>
      <c r="AF73" s="113" t="str">
        <f ca="1">IFERROR(__xludf.DUMMYFUNCTION("""COMPUTED_VALUE"""),"FE")</f>
        <v>FE</v>
      </c>
      <c r="AG73" s="113">
        <f ca="1">IFERROR(__xludf.DUMMYFUNCTION("""COMPUTED_VALUE"""),0)</f>
        <v>0</v>
      </c>
      <c r="AH73" s="113">
        <f ca="1">IFERROR(__xludf.DUMMYFUNCTION("""COMPUTED_VALUE"""),0)</f>
        <v>0</v>
      </c>
      <c r="AI73" s="113">
        <f ca="1">IFERROR(__xludf.DUMMYFUNCTION("""COMPUTED_VALUE"""),0)</f>
        <v>0</v>
      </c>
      <c r="AJ73" s="113">
        <f ca="1">IFERROR(__xludf.DUMMYFUNCTION("""COMPUTED_VALUE"""),0)</f>
        <v>0</v>
      </c>
      <c r="AK73" s="113"/>
      <c r="AL73" s="116"/>
    </row>
    <row r="74" spans="1:38" ht="12.75">
      <c r="A74" s="112" t="str">
        <f ca="1">IFERROR(__xludf.DUMMYFUNCTION("""COMPUTED_VALUE"""),"17000360")</f>
        <v>17000360</v>
      </c>
      <c r="B74" s="113" t="str">
        <f ca="1">IFERROR(__xludf.DUMMYFUNCTION("""COMPUTED_VALUE"""),"Araguatins")</f>
        <v>Araguatins</v>
      </c>
      <c r="C74" s="113" t="str">
        <f ca="1">IFERROR(__xludf.DUMMYFUNCTION("""COMPUTED_VALUE"""),"Araguatins")</f>
        <v>Araguatins</v>
      </c>
      <c r="D74" s="114" t="str">
        <f ca="1">IFERROR(__xludf.DUMMYFUNCTION("""COMPUTED_VALUE"""),"A.A. E. EST. ATANAZIO DE MOURA SEIXAS")</f>
        <v>A.A. E. EST. ATANAZIO DE MOURA SEIXAS</v>
      </c>
      <c r="E74" s="113" t="str">
        <f ca="1">IFERROR(__xludf.DUMMYFUNCTION("""COMPUTED_VALUE"""),"Colégio Estadual Atanázio de Moura Seixas")</f>
        <v>Colégio Estadual Atanázio de Moura Seixas</v>
      </c>
      <c r="F74" s="115" t="str">
        <f ca="1">IFERROR(__xludf.DUMMYFUNCTION("""COMPUTED_VALUE"""),"17000360")</f>
        <v>17000360</v>
      </c>
      <c r="G74" s="113" t="str">
        <f ca="1">IFERROR(__xludf.DUMMYFUNCTION("""COMPUTED_VALUE"""),"01068353000196")</f>
        <v>01068353000196</v>
      </c>
      <c r="H74" s="115" t="str">
        <f ca="1">IFERROR(__xludf.DUMMYFUNCTION("""COMPUTED_VALUE"""),"001")</f>
        <v>001</v>
      </c>
      <c r="I74" s="115" t="str">
        <f ca="1">IFERROR(__xludf.DUMMYFUNCTION("""COMPUTED_VALUE"""),"1305")</f>
        <v>1305</v>
      </c>
      <c r="J74" s="115" t="str">
        <f ca="1">IFERROR(__xludf.DUMMYFUNCTION("""COMPUTED_VALUE"""),"109215")</f>
        <v>109215</v>
      </c>
      <c r="K74" s="113" t="e">
        <f ca="1"/>
        <v>#REF!</v>
      </c>
      <c r="L74" s="113" t="e">
        <f ca="1"/>
        <v>#REF!</v>
      </c>
      <c r="M74" s="113" t="e">
        <f ca="1"/>
        <v>#REF!</v>
      </c>
      <c r="N74" s="113" t="e">
        <f ca="1"/>
        <v>#REF!</v>
      </c>
      <c r="O74" s="113" t="e">
        <f ca="1"/>
        <v>#REF!</v>
      </c>
      <c r="P74" s="113" t="e">
        <f ca="1"/>
        <v>#REF!</v>
      </c>
      <c r="Q74" s="113" t="e">
        <f ca="1"/>
        <v>#REF!</v>
      </c>
      <c r="R74" s="113" t="e">
        <f ca="1"/>
        <v>#REF!</v>
      </c>
      <c r="S74" s="113" t="e">
        <f ca="1"/>
        <v>#REF!</v>
      </c>
      <c r="T74" s="113" t="e">
        <f ca="1"/>
        <v>#REF!</v>
      </c>
      <c r="U74" s="113" t="e">
        <f ca="1"/>
        <v>#REF!</v>
      </c>
      <c r="V74" s="113" t="e">
        <f ca="1"/>
        <v>#REF!</v>
      </c>
      <c r="W74" s="113" t="e">
        <f ca="1"/>
        <v>#REF!</v>
      </c>
      <c r="X74" s="113" t="e">
        <f ca="1"/>
        <v>#REF!</v>
      </c>
      <c r="Y74" s="113" t="e">
        <f ca="1"/>
        <v>#REF!</v>
      </c>
      <c r="Z74" s="113" t="e">
        <f ca="1"/>
        <v>#REF!</v>
      </c>
      <c r="AA74" s="113"/>
      <c r="AB74" s="113"/>
      <c r="AC74" s="113"/>
      <c r="AD74" s="113"/>
      <c r="AE74" s="113" t="str">
        <f ca="1">IFERROR(__xludf.DUMMYFUNCTION("""COMPUTED_VALUE"""),"Parcial")</f>
        <v>Parcial</v>
      </c>
      <c r="AF74" s="113" t="str">
        <f ca="1">IFERROR(__xludf.DUMMYFUNCTION("""COMPUTED_VALUE"""),"FE")</f>
        <v>FE</v>
      </c>
      <c r="AG74" s="113">
        <f ca="1">IFERROR(__xludf.DUMMYFUNCTION("""COMPUTED_VALUE"""),0)</f>
        <v>0</v>
      </c>
      <c r="AH74" s="113">
        <f ca="1">IFERROR(__xludf.DUMMYFUNCTION("""COMPUTED_VALUE"""),0)</f>
        <v>0</v>
      </c>
      <c r="AI74" s="113">
        <f ca="1">IFERROR(__xludf.DUMMYFUNCTION("""COMPUTED_VALUE"""),0)</f>
        <v>0</v>
      </c>
      <c r="AJ74" s="113">
        <f ca="1">IFERROR(__xludf.DUMMYFUNCTION("""COMPUTED_VALUE"""),0)</f>
        <v>0</v>
      </c>
      <c r="AK74" s="113"/>
      <c r="AL74" s="116"/>
    </row>
    <row r="75" spans="1:38" ht="12.75">
      <c r="A75" s="112" t="str">
        <f ca="1">IFERROR(__xludf.DUMMYFUNCTION("""COMPUTED_VALUE"""),"17000327")</f>
        <v>17000327</v>
      </c>
      <c r="B75" s="113" t="str">
        <f ca="1">IFERROR(__xludf.DUMMYFUNCTION("""COMPUTED_VALUE"""),"Araguatins")</f>
        <v>Araguatins</v>
      </c>
      <c r="C75" s="113" t="str">
        <f ca="1">IFERROR(__xludf.DUMMYFUNCTION("""COMPUTED_VALUE"""),"Araguatins")</f>
        <v>Araguatins</v>
      </c>
      <c r="D75" s="114" t="str">
        <f ca="1">IFERROR(__xludf.DUMMYFUNCTION("""COMPUTED_VALUE"""),"A.A. COL. EST. LEONIDAS G. DUARTE")</f>
        <v>A.A. COL. EST. LEONIDAS G. DUARTE</v>
      </c>
      <c r="E75" s="113" t="str">
        <f ca="1">IFERROR(__xludf.DUMMYFUNCTION("""COMPUTED_VALUE"""),"Colégio Estadual Leônidas Gonçalves Duarte")</f>
        <v>Colégio Estadual Leônidas Gonçalves Duarte</v>
      </c>
      <c r="F75" s="115" t="str">
        <f ca="1">IFERROR(__xludf.DUMMYFUNCTION("""COMPUTED_VALUE"""),"17000327")</f>
        <v>17000327</v>
      </c>
      <c r="G75" s="113" t="str">
        <f ca="1">IFERROR(__xludf.DUMMYFUNCTION("""COMPUTED_VALUE"""),"01190189000195")</f>
        <v>01190189000195</v>
      </c>
      <c r="H75" s="115" t="str">
        <f ca="1">IFERROR(__xludf.DUMMYFUNCTION("""COMPUTED_VALUE"""),"001")</f>
        <v>001</v>
      </c>
      <c r="I75" s="115" t="str">
        <f ca="1">IFERROR(__xludf.DUMMYFUNCTION("""COMPUTED_VALUE"""),"1305")</f>
        <v>1305</v>
      </c>
      <c r="J75" s="115" t="str">
        <f ca="1">IFERROR(__xludf.DUMMYFUNCTION("""COMPUTED_VALUE"""),"0019143")</f>
        <v>0019143</v>
      </c>
      <c r="K75" s="113" t="e">
        <f ca="1"/>
        <v>#REF!</v>
      </c>
      <c r="L75" s="113" t="e">
        <f ca="1"/>
        <v>#REF!</v>
      </c>
      <c r="M75" s="113" t="e">
        <f ca="1"/>
        <v>#REF!</v>
      </c>
      <c r="N75" s="113" t="e">
        <f ca="1"/>
        <v>#REF!</v>
      </c>
      <c r="O75" s="113" t="e">
        <f ca="1"/>
        <v>#REF!</v>
      </c>
      <c r="P75" s="113" t="e">
        <f ca="1"/>
        <v>#REF!</v>
      </c>
      <c r="Q75" s="113" t="e">
        <f ca="1"/>
        <v>#REF!</v>
      </c>
      <c r="R75" s="113" t="e">
        <f ca="1"/>
        <v>#REF!</v>
      </c>
      <c r="S75" s="113" t="e">
        <f ca="1"/>
        <v>#REF!</v>
      </c>
      <c r="T75" s="113" t="e">
        <f ca="1"/>
        <v>#REF!</v>
      </c>
      <c r="U75" s="113" t="e">
        <f ca="1"/>
        <v>#REF!</v>
      </c>
      <c r="V75" s="113" t="e">
        <f ca="1"/>
        <v>#REF!</v>
      </c>
      <c r="W75" s="113" t="e">
        <f ca="1"/>
        <v>#REF!</v>
      </c>
      <c r="X75" s="113" t="e">
        <f ca="1"/>
        <v>#REF!</v>
      </c>
      <c r="Y75" s="113" t="e">
        <f ca="1"/>
        <v>#REF!</v>
      </c>
      <c r="Z75" s="113" t="e">
        <f ca="1"/>
        <v>#REF!</v>
      </c>
      <c r="AA75" s="113"/>
      <c r="AB75" s="113"/>
      <c r="AC75" s="113"/>
      <c r="AD75" s="113"/>
      <c r="AE75" s="113" t="str">
        <f ca="1">IFERROR(__xludf.DUMMYFUNCTION("""COMPUTED_VALUE"""),"Parcial")</f>
        <v>Parcial</v>
      </c>
      <c r="AF75" s="113" t="str">
        <f ca="1">IFERROR(__xludf.DUMMYFUNCTION("""COMPUTED_VALUE"""),"FE")</f>
        <v>FE</v>
      </c>
      <c r="AG75" s="113">
        <f ca="1">IFERROR(__xludf.DUMMYFUNCTION("""COMPUTED_VALUE"""),0)</f>
        <v>0</v>
      </c>
      <c r="AH75" s="113">
        <f ca="1">IFERROR(__xludf.DUMMYFUNCTION("""COMPUTED_VALUE"""),0)</f>
        <v>0</v>
      </c>
      <c r="AI75" s="113">
        <f ca="1">IFERROR(__xludf.DUMMYFUNCTION("""COMPUTED_VALUE"""),0)</f>
        <v>0</v>
      </c>
      <c r="AJ75" s="113">
        <f ca="1">IFERROR(__xludf.DUMMYFUNCTION("""COMPUTED_VALUE"""),0)</f>
        <v>0</v>
      </c>
      <c r="AK75" s="113"/>
      <c r="AL75" s="116"/>
    </row>
    <row r="76" spans="1:38" ht="12.75">
      <c r="A76" s="112" t="str">
        <f ca="1">IFERROR(__xludf.DUMMYFUNCTION("""COMPUTED_VALUE"""),"17000386")</f>
        <v>17000386</v>
      </c>
      <c r="B76" s="113" t="str">
        <f ca="1">IFERROR(__xludf.DUMMYFUNCTION("""COMPUTED_VALUE"""),"Araguatins")</f>
        <v>Araguatins</v>
      </c>
      <c r="C76" s="113" t="str">
        <f ca="1">IFERROR(__xludf.DUMMYFUNCTION("""COMPUTED_VALUE"""),"Araguatins")</f>
        <v>Araguatins</v>
      </c>
      <c r="D76" s="114" t="str">
        <f ca="1">IFERROR(__xludf.DUMMYFUNCTION("""COMPUTED_VALUE"""),"A.A. A ESC. EST. OSVALDO FRANCO")</f>
        <v>A.A. A ESC. EST. OSVALDO FRANCO</v>
      </c>
      <c r="E76" s="113" t="str">
        <f ca="1">IFERROR(__xludf.DUMMYFUNCTION("""COMPUTED_VALUE"""),"Colégio Estadual Osvaldo Franco")</f>
        <v>Colégio Estadual Osvaldo Franco</v>
      </c>
      <c r="F76" s="115" t="str">
        <f ca="1">IFERROR(__xludf.DUMMYFUNCTION("""COMPUTED_VALUE"""),"17000386")</f>
        <v>17000386</v>
      </c>
      <c r="G76" s="113" t="str">
        <f ca="1">IFERROR(__xludf.DUMMYFUNCTION("""COMPUTED_VALUE"""),"01392733000181")</f>
        <v>01392733000181</v>
      </c>
      <c r="H76" s="115" t="str">
        <f ca="1">IFERROR(__xludf.DUMMYFUNCTION("""COMPUTED_VALUE"""),"001")</f>
        <v>001</v>
      </c>
      <c r="I76" s="115" t="str">
        <f ca="1">IFERROR(__xludf.DUMMYFUNCTION("""COMPUTED_VALUE"""),"1305")</f>
        <v>1305</v>
      </c>
      <c r="J76" s="115" t="str">
        <f ca="1">IFERROR(__xludf.DUMMYFUNCTION("""COMPUTED_VALUE"""),"109738")</f>
        <v>109738</v>
      </c>
      <c r="K76" s="113" t="e">
        <f ca="1"/>
        <v>#REF!</v>
      </c>
      <c r="L76" s="113" t="e">
        <f ca="1"/>
        <v>#REF!</v>
      </c>
      <c r="M76" s="113" t="e">
        <f ca="1"/>
        <v>#REF!</v>
      </c>
      <c r="N76" s="113" t="e">
        <f ca="1"/>
        <v>#REF!</v>
      </c>
      <c r="O76" s="113" t="e">
        <f ca="1"/>
        <v>#REF!</v>
      </c>
      <c r="P76" s="113" t="e">
        <f ca="1"/>
        <v>#REF!</v>
      </c>
      <c r="Q76" s="113" t="e">
        <f ca="1"/>
        <v>#REF!</v>
      </c>
      <c r="R76" s="113" t="e">
        <f ca="1"/>
        <v>#REF!</v>
      </c>
      <c r="S76" s="113" t="e">
        <f ca="1"/>
        <v>#REF!</v>
      </c>
      <c r="T76" s="113" t="e">
        <f ca="1"/>
        <v>#REF!</v>
      </c>
      <c r="U76" s="113" t="e">
        <f ca="1"/>
        <v>#REF!</v>
      </c>
      <c r="V76" s="113" t="e">
        <f ca="1"/>
        <v>#REF!</v>
      </c>
      <c r="W76" s="113" t="e">
        <f ca="1"/>
        <v>#REF!</v>
      </c>
      <c r="X76" s="113" t="e">
        <f ca="1"/>
        <v>#REF!</v>
      </c>
      <c r="Y76" s="113" t="e">
        <f ca="1"/>
        <v>#REF!</v>
      </c>
      <c r="Z76" s="113" t="e">
        <f ca="1"/>
        <v>#REF!</v>
      </c>
      <c r="AA76" s="113"/>
      <c r="AB76" s="113"/>
      <c r="AC76" s="113"/>
      <c r="AD76" s="113"/>
      <c r="AE76" s="113" t="str">
        <f ca="1">IFERROR(__xludf.DUMMYFUNCTION("""COMPUTED_VALUE"""),"Parcial")</f>
        <v>Parcial</v>
      </c>
      <c r="AF76" s="113" t="str">
        <f ca="1">IFERROR(__xludf.DUMMYFUNCTION("""COMPUTED_VALUE"""),"FE")</f>
        <v>FE</v>
      </c>
      <c r="AG76" s="113">
        <f ca="1">IFERROR(__xludf.DUMMYFUNCTION("""COMPUTED_VALUE"""),0)</f>
        <v>0</v>
      </c>
      <c r="AH76" s="113">
        <f ca="1">IFERROR(__xludf.DUMMYFUNCTION("""COMPUTED_VALUE"""),0)</f>
        <v>0</v>
      </c>
      <c r="AI76" s="113">
        <f ca="1">IFERROR(__xludf.DUMMYFUNCTION("""COMPUTED_VALUE"""),0)</f>
        <v>0</v>
      </c>
      <c r="AJ76" s="113">
        <f ca="1">IFERROR(__xludf.DUMMYFUNCTION("""COMPUTED_VALUE"""),0)</f>
        <v>0</v>
      </c>
      <c r="AK76" s="113"/>
      <c r="AL76" s="116"/>
    </row>
    <row r="77" spans="1:38" ht="12.75">
      <c r="A77" s="112" t="str">
        <f ca="1">IFERROR(__xludf.DUMMYFUNCTION("""COMPUTED_VALUE"""),"17068002")</f>
        <v>17068002</v>
      </c>
      <c r="B77" s="113" t="str">
        <f ca="1">IFERROR(__xludf.DUMMYFUNCTION("""COMPUTED_VALUE"""),"Araguatins")</f>
        <v>Araguatins</v>
      </c>
      <c r="C77" s="113" t="str">
        <f ca="1">IFERROR(__xludf.DUMMYFUNCTION("""COMPUTED_VALUE"""),"Araguatins")</f>
        <v>Araguatins</v>
      </c>
      <c r="D77" s="114" t="str">
        <f ca="1">IFERROR(__xludf.DUMMYFUNCTION("""COMPUTED_VALUE"""),"A.A. ESC. ESTADUAL ALDINAR GONÇALVES DE CARVALHO")</f>
        <v>A.A. ESC. ESTADUAL ALDINAR GONÇALVES DE CARVALHO</v>
      </c>
      <c r="E77" s="113" t="str">
        <f ca="1">IFERROR(__xludf.DUMMYFUNCTION("""COMPUTED_VALUE"""),"Escola Estadual Aldinar Gonçalves de Carvalho")</f>
        <v>Escola Estadual Aldinar Gonçalves de Carvalho</v>
      </c>
      <c r="F77" s="115" t="str">
        <f ca="1">IFERROR(__xludf.DUMMYFUNCTION("""COMPUTED_VALUE"""),"17068002")</f>
        <v>17068002</v>
      </c>
      <c r="G77" s="113" t="str">
        <f ca="1">IFERROR(__xludf.DUMMYFUNCTION("""COMPUTED_VALUE"""),"09465471000140")</f>
        <v>09465471000140</v>
      </c>
      <c r="H77" s="115" t="str">
        <f ca="1">IFERROR(__xludf.DUMMYFUNCTION("""COMPUTED_VALUE"""),"001")</f>
        <v>001</v>
      </c>
      <c r="I77" s="115" t="str">
        <f ca="1">IFERROR(__xludf.DUMMYFUNCTION("""COMPUTED_VALUE"""),"1305")</f>
        <v>1305</v>
      </c>
      <c r="J77" s="115" t="str">
        <f ca="1">IFERROR(__xludf.DUMMYFUNCTION("""COMPUTED_VALUE"""),"196657")</f>
        <v>196657</v>
      </c>
      <c r="K77" s="113" t="e">
        <f ca="1"/>
        <v>#REF!</v>
      </c>
      <c r="L77" s="113" t="e">
        <f ca="1"/>
        <v>#REF!</v>
      </c>
      <c r="M77" s="113" t="e">
        <f ca="1"/>
        <v>#REF!</v>
      </c>
      <c r="N77" s="113" t="e">
        <f ca="1"/>
        <v>#REF!</v>
      </c>
      <c r="O77" s="113" t="e">
        <f ca="1"/>
        <v>#REF!</v>
      </c>
      <c r="P77" s="113" t="e">
        <f ca="1"/>
        <v>#REF!</v>
      </c>
      <c r="Q77" s="113" t="e">
        <f ca="1"/>
        <v>#REF!</v>
      </c>
      <c r="R77" s="113" t="e">
        <f ca="1"/>
        <v>#REF!</v>
      </c>
      <c r="S77" s="113" t="e">
        <f ca="1"/>
        <v>#REF!</v>
      </c>
      <c r="T77" s="113" t="e">
        <f ca="1"/>
        <v>#REF!</v>
      </c>
      <c r="U77" s="113" t="e">
        <f ca="1"/>
        <v>#REF!</v>
      </c>
      <c r="V77" s="113" t="e">
        <f ca="1"/>
        <v>#REF!</v>
      </c>
      <c r="W77" s="113" t="e">
        <f ca="1"/>
        <v>#REF!</v>
      </c>
      <c r="X77" s="113" t="e">
        <f ca="1"/>
        <v>#REF!</v>
      </c>
      <c r="Y77" s="113" t="e">
        <f ca="1"/>
        <v>#REF!</v>
      </c>
      <c r="Z77" s="113" t="e">
        <f ca="1"/>
        <v>#REF!</v>
      </c>
      <c r="AA77" s="113"/>
      <c r="AB77" s="113"/>
      <c r="AC77" s="113"/>
      <c r="AD77" s="113"/>
      <c r="AE77" s="113" t="str">
        <f ca="1">IFERROR(__xludf.DUMMYFUNCTION("""COMPUTED_VALUE"""),"Parcial")</f>
        <v>Parcial</v>
      </c>
      <c r="AF77" s="113" t="str">
        <f ca="1">IFERROR(__xludf.DUMMYFUNCTION("""COMPUTED_VALUE"""),"FE")</f>
        <v>FE</v>
      </c>
      <c r="AG77" s="113">
        <f ca="1">IFERROR(__xludf.DUMMYFUNCTION("""COMPUTED_VALUE"""),0)</f>
        <v>0</v>
      </c>
      <c r="AH77" s="113">
        <f ca="1">IFERROR(__xludf.DUMMYFUNCTION("""COMPUTED_VALUE"""),0)</f>
        <v>0</v>
      </c>
      <c r="AI77" s="113">
        <f ca="1">IFERROR(__xludf.DUMMYFUNCTION("""COMPUTED_VALUE"""),0)</f>
        <v>0</v>
      </c>
      <c r="AJ77" s="113">
        <f ca="1">IFERROR(__xludf.DUMMYFUNCTION("""COMPUTED_VALUE"""),45)</f>
        <v>45</v>
      </c>
      <c r="AK77" s="113"/>
      <c r="AL77" s="116"/>
    </row>
    <row r="78" spans="1:38" ht="12.75">
      <c r="A78" s="112" t="str">
        <f ca="1">IFERROR(__xludf.DUMMYFUNCTION("""COMPUTED_VALUE"""),"17000998")</f>
        <v>17000998</v>
      </c>
      <c r="B78" s="113" t="str">
        <f ca="1">IFERROR(__xludf.DUMMYFUNCTION("""COMPUTED_VALUE"""),"Araguatins")</f>
        <v>Araguatins</v>
      </c>
      <c r="C78" s="113" t="str">
        <f ca="1">IFERROR(__xludf.DUMMYFUNCTION("""COMPUTED_VALUE"""),"Araguatins")</f>
        <v>Araguatins</v>
      </c>
      <c r="D78" s="114" t="str">
        <f ca="1">IFERROR(__xludf.DUMMYFUNCTION("""COMPUTED_VALUE"""),"ASSOC. DE APOIO ESC. EST. FREI SAVINO")</f>
        <v>ASSOC. DE APOIO ESC. EST. FREI SAVINO</v>
      </c>
      <c r="E78" s="113" t="str">
        <f ca="1">IFERROR(__xludf.DUMMYFUNCTION("""COMPUTED_VALUE"""),"Escola Estadual Frei Savino")</f>
        <v>Escola Estadual Frei Savino</v>
      </c>
      <c r="F78" s="115" t="str">
        <f ca="1">IFERROR(__xludf.DUMMYFUNCTION("""COMPUTED_VALUE"""),"17000998")</f>
        <v>17000998</v>
      </c>
      <c r="G78" s="113" t="str">
        <f ca="1">IFERROR(__xludf.DUMMYFUNCTION("""COMPUTED_VALUE"""),"01181389000181")</f>
        <v>01181389000181</v>
      </c>
      <c r="H78" s="115" t="str">
        <f ca="1">IFERROR(__xludf.DUMMYFUNCTION("""COMPUTED_VALUE"""),"001")</f>
        <v>001</v>
      </c>
      <c r="I78" s="115" t="str">
        <f ca="1">IFERROR(__xludf.DUMMYFUNCTION("""COMPUTED_VALUE"""),"1305")</f>
        <v>1305</v>
      </c>
      <c r="J78" s="115" t="str">
        <f ca="1">IFERROR(__xludf.DUMMYFUNCTION("""COMPUTED_VALUE"""),"0019437")</f>
        <v>0019437</v>
      </c>
      <c r="K78" s="113" t="e">
        <f ca="1"/>
        <v>#REF!</v>
      </c>
      <c r="L78" s="113" t="e">
        <f ca="1"/>
        <v>#REF!</v>
      </c>
      <c r="M78" s="113" t="e">
        <f ca="1"/>
        <v>#REF!</v>
      </c>
      <c r="N78" s="113" t="e">
        <f ca="1"/>
        <v>#REF!</v>
      </c>
      <c r="O78" s="113" t="e">
        <f ca="1"/>
        <v>#REF!</v>
      </c>
      <c r="P78" s="113" t="e">
        <f ca="1"/>
        <v>#REF!</v>
      </c>
      <c r="Q78" s="113" t="e">
        <f ca="1"/>
        <v>#REF!</v>
      </c>
      <c r="R78" s="113" t="e">
        <f ca="1"/>
        <v>#REF!</v>
      </c>
      <c r="S78" s="113" t="e">
        <f ca="1"/>
        <v>#REF!</v>
      </c>
      <c r="T78" s="113" t="e">
        <f ca="1"/>
        <v>#REF!</v>
      </c>
      <c r="U78" s="113" t="e">
        <f ca="1"/>
        <v>#REF!</v>
      </c>
      <c r="V78" s="113" t="e">
        <f ca="1"/>
        <v>#REF!</v>
      </c>
      <c r="W78" s="113" t="e">
        <f ca="1"/>
        <v>#REF!</v>
      </c>
      <c r="X78" s="113" t="e">
        <f ca="1"/>
        <v>#REF!</v>
      </c>
      <c r="Y78" s="113" t="e">
        <f ca="1"/>
        <v>#REF!</v>
      </c>
      <c r="Z78" s="113" t="e">
        <f ca="1"/>
        <v>#REF!</v>
      </c>
      <c r="AA78" s="113"/>
      <c r="AB78" s="113"/>
      <c r="AC78" s="113"/>
      <c r="AD78" s="113"/>
      <c r="AE78" s="113" t="str">
        <f ca="1">IFERROR(__xludf.DUMMYFUNCTION("""COMPUTED_VALUE"""),"Parcial")</f>
        <v>Parcial</v>
      </c>
      <c r="AF78" s="113" t="str">
        <f ca="1">IFERROR(__xludf.DUMMYFUNCTION("""COMPUTED_VALUE"""),"FE")</f>
        <v>FE</v>
      </c>
      <c r="AG78" s="113">
        <f ca="1">IFERROR(__xludf.DUMMYFUNCTION("""COMPUTED_VALUE"""),0)</f>
        <v>0</v>
      </c>
      <c r="AH78" s="113">
        <f ca="1">IFERROR(__xludf.DUMMYFUNCTION("""COMPUTED_VALUE"""),0)</f>
        <v>0</v>
      </c>
      <c r="AI78" s="113">
        <f ca="1">IFERROR(__xludf.DUMMYFUNCTION("""COMPUTED_VALUE"""),0)</f>
        <v>0</v>
      </c>
      <c r="AJ78" s="113">
        <f ca="1">IFERROR(__xludf.DUMMYFUNCTION("""COMPUTED_VALUE"""),0)</f>
        <v>0</v>
      </c>
      <c r="AK78" s="113"/>
      <c r="AL78" s="116"/>
    </row>
    <row r="79" spans="1:38" ht="12.75">
      <c r="A79" s="112" t="str">
        <f ca="1">IFERROR(__xludf.DUMMYFUNCTION("""COMPUTED_VALUE"""),"17000378")</f>
        <v>17000378</v>
      </c>
      <c r="B79" s="113" t="str">
        <f ca="1">IFERROR(__xludf.DUMMYFUNCTION("""COMPUTED_VALUE"""),"Araguatins")</f>
        <v>Araguatins</v>
      </c>
      <c r="C79" s="113" t="str">
        <f ca="1">IFERROR(__xludf.DUMMYFUNCTION("""COMPUTED_VALUE"""),"Araguatins")</f>
        <v>Araguatins</v>
      </c>
      <c r="D79" s="114" t="str">
        <f ca="1">IFERROR(__xludf.DUMMYFUNCTION("""COMPUTED_VALUE"""),"ASSOC. APOIO ESC. EST. DENISE GOMIDE AMUI")</f>
        <v>ASSOC. APOIO ESC. EST. DENISE GOMIDE AMUI</v>
      </c>
      <c r="E79" s="113" t="str">
        <f ca="1">IFERROR(__xludf.DUMMYFUNCTION("""COMPUTED_VALUE"""),"Escola Estadual Girassol de Tempo Integral denise Gomide Amui")</f>
        <v>Escola Estadual Girassol de Tempo Integral denise Gomide Amui</v>
      </c>
      <c r="F79" s="115" t="str">
        <f ca="1">IFERROR(__xludf.DUMMYFUNCTION("""COMPUTED_VALUE"""),"17000378")</f>
        <v>17000378</v>
      </c>
      <c r="G79" s="113" t="str">
        <f ca="1">IFERROR(__xludf.DUMMYFUNCTION("""COMPUTED_VALUE"""),"01136000000186")</f>
        <v>01136000000186</v>
      </c>
      <c r="H79" s="115" t="str">
        <f ca="1">IFERROR(__xludf.DUMMYFUNCTION("""COMPUTED_VALUE"""),"001")</f>
        <v>001</v>
      </c>
      <c r="I79" s="115" t="str">
        <f ca="1">IFERROR(__xludf.DUMMYFUNCTION("""COMPUTED_VALUE"""),"1305")</f>
        <v>1305</v>
      </c>
      <c r="J79" s="115" t="str">
        <f ca="1">IFERROR(__xludf.DUMMYFUNCTION("""COMPUTED_VALUE"""),"0109223")</f>
        <v>0109223</v>
      </c>
      <c r="K79" s="113" t="e">
        <f ca="1"/>
        <v>#REF!</v>
      </c>
      <c r="L79" s="113" t="e">
        <f ca="1"/>
        <v>#REF!</v>
      </c>
      <c r="M79" s="113" t="e">
        <f ca="1"/>
        <v>#REF!</v>
      </c>
      <c r="N79" s="113" t="e">
        <f ca="1"/>
        <v>#REF!</v>
      </c>
      <c r="O79" s="113" t="e">
        <f ca="1"/>
        <v>#REF!</v>
      </c>
      <c r="P79" s="113" t="e">
        <f ca="1"/>
        <v>#REF!</v>
      </c>
      <c r="Q79" s="113" t="e">
        <f ca="1"/>
        <v>#REF!</v>
      </c>
      <c r="R79" s="113" t="e">
        <f ca="1"/>
        <v>#REF!</v>
      </c>
      <c r="S79" s="113" t="e">
        <f ca="1"/>
        <v>#REF!</v>
      </c>
      <c r="T79" s="113" t="e">
        <f ca="1"/>
        <v>#REF!</v>
      </c>
      <c r="U79" s="113" t="e">
        <f ca="1"/>
        <v>#REF!</v>
      </c>
      <c r="V79" s="113" t="e">
        <f ca="1"/>
        <v>#REF!</v>
      </c>
      <c r="W79" s="113" t="e">
        <f ca="1"/>
        <v>#REF!</v>
      </c>
      <c r="X79" s="113" t="e">
        <f ca="1"/>
        <v>#REF!</v>
      </c>
      <c r="Y79" s="113" t="e">
        <f ca="1"/>
        <v>#REF!</v>
      </c>
      <c r="Z79" s="113" t="e">
        <f ca="1"/>
        <v>#REF!</v>
      </c>
      <c r="AA79" s="113"/>
      <c r="AB79" s="113"/>
      <c r="AC79" s="113"/>
      <c r="AD79" s="113"/>
      <c r="AE79" s="113" t="str">
        <f ca="1">IFERROR(__xludf.DUMMYFUNCTION("""COMPUTED_VALUE"""),"Parcial")</f>
        <v>Parcial</v>
      </c>
      <c r="AF79" s="113" t="str">
        <f ca="1">IFERROR(__xludf.DUMMYFUNCTION("""COMPUTED_VALUE"""),"FE")</f>
        <v>FE</v>
      </c>
      <c r="AG79" s="113">
        <f ca="1">IFERROR(__xludf.DUMMYFUNCTION("""COMPUTED_VALUE"""),0)</f>
        <v>0</v>
      </c>
      <c r="AH79" s="113">
        <f ca="1">IFERROR(__xludf.DUMMYFUNCTION("""COMPUTED_VALUE"""),0)</f>
        <v>0</v>
      </c>
      <c r="AI79" s="113">
        <f ca="1">IFERROR(__xludf.DUMMYFUNCTION("""COMPUTED_VALUE"""),0)</f>
        <v>0</v>
      </c>
      <c r="AJ79" s="113">
        <f ca="1">IFERROR(__xludf.DUMMYFUNCTION("""COMPUTED_VALUE"""),0)</f>
        <v>0</v>
      </c>
      <c r="AK79" s="113"/>
      <c r="AL79" s="116"/>
    </row>
    <row r="80" spans="1:38" ht="12.75">
      <c r="A80" s="112" t="str">
        <f ca="1">IFERROR(__xludf.DUMMYFUNCTION("""COMPUTED_VALUE"""),"17047358")</f>
        <v>17047358</v>
      </c>
      <c r="B80" s="113" t="str">
        <f ca="1">IFERROR(__xludf.DUMMYFUNCTION("""COMPUTED_VALUE"""),"Araguatins")</f>
        <v>Araguatins</v>
      </c>
      <c r="C80" s="113" t="str">
        <f ca="1">IFERROR(__xludf.DUMMYFUNCTION("""COMPUTED_VALUE"""),"Araguatins")</f>
        <v>Araguatins</v>
      </c>
      <c r="D80" s="114" t="str">
        <f ca="1">IFERROR(__xludf.DUMMYFUNCTION("""COMPUTED_VALUE"""),"A.A.  A ESC. EST. SANTA GERTRUDES")</f>
        <v>A.A.  A ESC. EST. SANTA GERTRUDES</v>
      </c>
      <c r="E80" s="113" t="str">
        <f ca="1">IFERROR(__xludf.DUMMYFUNCTION("""COMPUTED_VALUE"""),"Escola Estadual Santa Gertrudes")</f>
        <v>Escola Estadual Santa Gertrudes</v>
      </c>
      <c r="F80" s="115" t="str">
        <f ca="1">IFERROR(__xludf.DUMMYFUNCTION("""COMPUTED_VALUE"""),"17047358")</f>
        <v>17047358</v>
      </c>
      <c r="G80" s="113" t="str">
        <f ca="1">IFERROR(__xludf.DUMMYFUNCTION("""COMPUTED_VALUE"""),"03713455000142")</f>
        <v>03713455000142</v>
      </c>
      <c r="H80" s="115" t="str">
        <f ca="1">IFERROR(__xludf.DUMMYFUNCTION("""COMPUTED_VALUE"""),"001")</f>
        <v>001</v>
      </c>
      <c r="I80" s="115" t="str">
        <f ca="1">IFERROR(__xludf.DUMMYFUNCTION("""COMPUTED_VALUE"""),"1305")</f>
        <v>1305</v>
      </c>
      <c r="J80" s="115" t="str">
        <f ca="1">IFERROR(__xludf.DUMMYFUNCTION("""COMPUTED_VALUE"""),"78271")</f>
        <v>78271</v>
      </c>
      <c r="K80" s="113" t="e">
        <f ca="1"/>
        <v>#REF!</v>
      </c>
      <c r="L80" s="113" t="e">
        <f ca="1"/>
        <v>#REF!</v>
      </c>
      <c r="M80" s="113" t="e">
        <f ca="1"/>
        <v>#REF!</v>
      </c>
      <c r="N80" s="113" t="e">
        <f ca="1"/>
        <v>#REF!</v>
      </c>
      <c r="O80" s="113" t="e">
        <f ca="1"/>
        <v>#REF!</v>
      </c>
      <c r="P80" s="113" t="e">
        <f ca="1"/>
        <v>#REF!</v>
      </c>
      <c r="Q80" s="113" t="e">
        <f ca="1"/>
        <v>#REF!</v>
      </c>
      <c r="R80" s="113" t="e">
        <f ca="1"/>
        <v>#REF!</v>
      </c>
      <c r="S80" s="113" t="e">
        <f ca="1"/>
        <v>#REF!</v>
      </c>
      <c r="T80" s="113" t="e">
        <f ca="1"/>
        <v>#REF!</v>
      </c>
      <c r="U80" s="113" t="e">
        <f ca="1"/>
        <v>#REF!</v>
      </c>
      <c r="V80" s="113" t="e">
        <f ca="1"/>
        <v>#REF!</v>
      </c>
      <c r="W80" s="113" t="e">
        <f ca="1"/>
        <v>#REF!</v>
      </c>
      <c r="X80" s="113" t="e">
        <f ca="1"/>
        <v>#REF!</v>
      </c>
      <c r="Y80" s="113" t="e">
        <f ca="1"/>
        <v>#REF!</v>
      </c>
      <c r="Z80" s="113" t="e">
        <f ca="1"/>
        <v>#REF!</v>
      </c>
      <c r="AA80" s="113"/>
      <c r="AB80" s="113"/>
      <c r="AC80" s="113"/>
      <c r="AD80" s="113" t="str">
        <f ca="1">IFERROR(__xludf.DUMMYFUNCTION("""COMPUTED_VALUE"""),"E.M. INTEGRADO")</f>
        <v>E.M. INTEGRADO</v>
      </c>
      <c r="AE80" s="113" t="str">
        <f ca="1">IFERROR(__xludf.DUMMYFUNCTION("""COMPUTED_VALUE"""),"Parcial")</f>
        <v>Parcial</v>
      </c>
      <c r="AF80" s="113" t="str">
        <f ca="1">IFERROR(__xludf.DUMMYFUNCTION("""COMPUTED_VALUE"""),"FE")</f>
        <v>FE</v>
      </c>
      <c r="AG80" s="113">
        <f ca="1">IFERROR(__xludf.DUMMYFUNCTION("""COMPUTED_VALUE"""),0)</f>
        <v>0</v>
      </c>
      <c r="AH80" s="113">
        <f ca="1">IFERROR(__xludf.DUMMYFUNCTION("""COMPUTED_VALUE"""),0)</f>
        <v>0</v>
      </c>
      <c r="AI80" s="113">
        <f ca="1">IFERROR(__xludf.DUMMYFUNCTION("""COMPUTED_VALUE"""),0)</f>
        <v>0</v>
      </c>
      <c r="AJ80" s="113">
        <f ca="1">IFERROR(__xludf.DUMMYFUNCTION("""COMPUTED_VALUE"""),0)</f>
        <v>0</v>
      </c>
      <c r="AK80" s="113"/>
      <c r="AL80" s="116"/>
    </row>
    <row r="81" spans="1:38" ht="12.75">
      <c r="A81" s="112" t="str">
        <f ca="1">IFERROR(__xludf.DUMMYFUNCTION("""COMPUTED_VALUE"""),"17047366")</f>
        <v>17047366</v>
      </c>
      <c r="B81" s="113" t="str">
        <f ca="1">IFERROR(__xludf.DUMMYFUNCTION("""COMPUTED_VALUE"""),"Araguatins")</f>
        <v>Araguatins</v>
      </c>
      <c r="C81" s="113" t="str">
        <f ca="1">IFERROR(__xludf.DUMMYFUNCTION("""COMPUTED_VALUE"""),"Araguatins")</f>
        <v>Araguatins</v>
      </c>
      <c r="D81" s="114" t="str">
        <f ca="1">IFERROR(__xludf.DUMMYFUNCTION("""COMPUTED_VALUE"""),"A.A.  A ESCOLA ISOLADA BOA SORTE")</f>
        <v>A.A.  A ESCOLA ISOLADA BOA SORTE</v>
      </c>
      <c r="E81" s="113" t="str">
        <f ca="1">IFERROR(__xludf.DUMMYFUNCTION("""COMPUTED_VALUE"""),"Escola Isolada Boa Sorte")</f>
        <v>Escola Isolada Boa Sorte</v>
      </c>
      <c r="F81" s="115" t="str">
        <f ca="1">IFERROR(__xludf.DUMMYFUNCTION("""COMPUTED_VALUE"""),"17047366")</f>
        <v>17047366</v>
      </c>
      <c r="G81" s="113" t="str">
        <f ca="1">IFERROR(__xludf.DUMMYFUNCTION("""COMPUTED_VALUE"""),"03765304000138")</f>
        <v>03765304000138</v>
      </c>
      <c r="H81" s="115" t="str">
        <f ca="1">IFERROR(__xludf.DUMMYFUNCTION("""COMPUTED_VALUE"""),"001")</f>
        <v>001</v>
      </c>
      <c r="I81" s="115" t="str">
        <f ca="1">IFERROR(__xludf.DUMMYFUNCTION("""COMPUTED_VALUE"""),"1305")</f>
        <v>1305</v>
      </c>
      <c r="J81" s="115" t="str">
        <f ca="1">IFERROR(__xludf.DUMMYFUNCTION("""COMPUTED_VALUE"""),"78964")</f>
        <v>78964</v>
      </c>
      <c r="K81" s="113" t="e">
        <f ca="1"/>
        <v>#REF!</v>
      </c>
      <c r="L81" s="113" t="e">
        <f ca="1"/>
        <v>#REF!</v>
      </c>
      <c r="M81" s="113" t="e">
        <f ca="1"/>
        <v>#REF!</v>
      </c>
      <c r="N81" s="113" t="e">
        <f ca="1"/>
        <v>#REF!</v>
      </c>
      <c r="O81" s="113" t="e">
        <f ca="1"/>
        <v>#REF!</v>
      </c>
      <c r="P81" s="113" t="e">
        <f ca="1"/>
        <v>#REF!</v>
      </c>
      <c r="Q81" s="113" t="e">
        <f ca="1"/>
        <v>#REF!</v>
      </c>
      <c r="R81" s="113" t="e">
        <f ca="1"/>
        <v>#REF!</v>
      </c>
      <c r="S81" s="113" t="e">
        <f ca="1"/>
        <v>#REF!</v>
      </c>
      <c r="T81" s="113" t="e">
        <f ca="1"/>
        <v>#REF!</v>
      </c>
      <c r="U81" s="113" t="e">
        <f ca="1"/>
        <v>#REF!</v>
      </c>
      <c r="V81" s="113" t="e">
        <f ca="1"/>
        <v>#REF!</v>
      </c>
      <c r="W81" s="113" t="e">
        <f ca="1"/>
        <v>#REF!</v>
      </c>
      <c r="X81" s="113" t="e">
        <f ca="1"/>
        <v>#REF!</v>
      </c>
      <c r="Y81" s="113" t="e">
        <f ca="1"/>
        <v>#REF!</v>
      </c>
      <c r="Z81" s="113" t="e">
        <f ca="1"/>
        <v>#REF!</v>
      </c>
      <c r="AA81" s="113"/>
      <c r="AB81" s="113"/>
      <c r="AC81" s="113"/>
      <c r="AD81" s="113"/>
      <c r="AE81" s="113" t="str">
        <f ca="1">IFERROR(__xludf.DUMMYFUNCTION("""COMPUTED_VALUE"""),"Parcial")</f>
        <v>Parcial</v>
      </c>
      <c r="AF81" s="113" t="str">
        <f ca="1">IFERROR(__xludf.DUMMYFUNCTION("""COMPUTED_VALUE"""),"FE")</f>
        <v>FE</v>
      </c>
      <c r="AG81" s="113">
        <f ca="1">IFERROR(__xludf.DUMMYFUNCTION("""COMPUTED_VALUE"""),0)</f>
        <v>0</v>
      </c>
      <c r="AH81" s="113">
        <f ca="1">IFERROR(__xludf.DUMMYFUNCTION("""COMPUTED_VALUE"""),0)</f>
        <v>0</v>
      </c>
      <c r="AI81" s="113">
        <f ca="1">IFERROR(__xludf.DUMMYFUNCTION("""COMPUTED_VALUE"""),0)</f>
        <v>0</v>
      </c>
      <c r="AJ81" s="113">
        <f ca="1">IFERROR(__xludf.DUMMYFUNCTION("""COMPUTED_VALUE"""),0)</f>
        <v>0</v>
      </c>
      <c r="AK81" s="113"/>
      <c r="AL81" s="116"/>
    </row>
    <row r="82" spans="1:38" ht="12.75">
      <c r="A82" s="112" t="str">
        <f ca="1">IFERROR(__xludf.DUMMYFUNCTION("""COMPUTED_VALUE"""),"17001048")</f>
        <v>17001048</v>
      </c>
      <c r="B82" s="113" t="str">
        <f ca="1">IFERROR(__xludf.DUMMYFUNCTION("""COMPUTED_VALUE"""),"Araguatins")</f>
        <v>Araguatins</v>
      </c>
      <c r="C82" s="113" t="str">
        <f ca="1">IFERROR(__xludf.DUMMYFUNCTION("""COMPUTED_VALUE"""),"Augustinopolis")</f>
        <v>Augustinopolis</v>
      </c>
      <c r="D82" s="114" t="str">
        <f ca="1">IFERROR(__xludf.DUMMYFUNCTION("""COMPUTED_VALUE"""),"A.A. CENTRO EST. DE EDUCACAO LA SALLE")</f>
        <v>A.A. CENTRO EST. DE EDUCACAO LA SALLE</v>
      </c>
      <c r="E82" s="113" t="str">
        <f ca="1">IFERROR(__xludf.DUMMYFUNCTION("""COMPUTED_VALUE"""),"Centro Estadual de Educacao La Salle")</f>
        <v>Centro Estadual de Educacao La Salle</v>
      </c>
      <c r="F82" s="115" t="str">
        <f ca="1">IFERROR(__xludf.DUMMYFUNCTION("""COMPUTED_VALUE"""),"17001048")</f>
        <v>17001048</v>
      </c>
      <c r="G82" s="113" t="str">
        <f ca="1">IFERROR(__xludf.DUMMYFUNCTION("""COMPUTED_VALUE"""),"01223753000129")</f>
        <v>01223753000129</v>
      </c>
      <c r="H82" s="115" t="str">
        <f ca="1">IFERROR(__xludf.DUMMYFUNCTION("""COMPUTED_VALUE"""),"001")</f>
        <v>001</v>
      </c>
      <c r="I82" s="115" t="str">
        <f ca="1">IFERROR(__xludf.DUMMYFUNCTION("""COMPUTED_VALUE"""),"3975")</f>
        <v>3975</v>
      </c>
      <c r="J82" s="115" t="str">
        <f ca="1">IFERROR(__xludf.DUMMYFUNCTION("""COMPUTED_VALUE"""),"19216")</f>
        <v>19216</v>
      </c>
      <c r="K82" s="113" t="e">
        <f ca="1"/>
        <v>#REF!</v>
      </c>
      <c r="L82" s="113" t="e">
        <f ca="1"/>
        <v>#REF!</v>
      </c>
      <c r="M82" s="113" t="e">
        <f ca="1"/>
        <v>#REF!</v>
      </c>
      <c r="N82" s="113" t="e">
        <f ca="1"/>
        <v>#REF!</v>
      </c>
      <c r="O82" s="113" t="e">
        <f ca="1"/>
        <v>#REF!</v>
      </c>
      <c r="P82" s="113" t="e">
        <f ca="1"/>
        <v>#REF!</v>
      </c>
      <c r="Q82" s="113" t="e">
        <f ca="1"/>
        <v>#REF!</v>
      </c>
      <c r="R82" s="113" t="e">
        <f ca="1"/>
        <v>#REF!</v>
      </c>
      <c r="S82" s="113" t="e">
        <f ca="1"/>
        <v>#REF!</v>
      </c>
      <c r="T82" s="113" t="e">
        <f ca="1"/>
        <v>#REF!</v>
      </c>
      <c r="U82" s="113" t="e">
        <f ca="1"/>
        <v>#REF!</v>
      </c>
      <c r="V82" s="113" t="e">
        <f ca="1"/>
        <v>#REF!</v>
      </c>
      <c r="W82" s="113" t="e">
        <f ca="1"/>
        <v>#REF!</v>
      </c>
      <c r="X82" s="113" t="e">
        <f ca="1"/>
        <v>#REF!</v>
      </c>
      <c r="Y82" s="113" t="e">
        <f ca="1"/>
        <v>#REF!</v>
      </c>
      <c r="Z82" s="113" t="e">
        <f ca="1"/>
        <v>#REF!</v>
      </c>
      <c r="AA82" s="113"/>
      <c r="AB82" s="113"/>
      <c r="AC82" s="113"/>
      <c r="AD82" s="113"/>
      <c r="AE82" s="113" t="str">
        <f ca="1">IFERROR(__xludf.DUMMYFUNCTION("""COMPUTED_VALUE"""),"Integral")</f>
        <v>Integral</v>
      </c>
      <c r="AF82" s="113" t="str">
        <f ca="1">IFERROR(__xludf.DUMMYFUNCTION("""COMPUTED_VALUE"""),"FE")</f>
        <v>FE</v>
      </c>
      <c r="AG82" s="113">
        <f ca="1">IFERROR(__xludf.DUMMYFUNCTION("""COMPUTED_VALUE"""),0)</f>
        <v>0</v>
      </c>
      <c r="AH82" s="113">
        <f ca="1">IFERROR(__xludf.DUMMYFUNCTION("""COMPUTED_VALUE"""),0)</f>
        <v>0</v>
      </c>
      <c r="AI82" s="113">
        <f ca="1">IFERROR(__xludf.DUMMYFUNCTION("""COMPUTED_VALUE"""),0)</f>
        <v>0</v>
      </c>
      <c r="AJ82" s="113">
        <f ca="1">IFERROR(__xludf.DUMMYFUNCTION("""COMPUTED_VALUE"""),0)</f>
        <v>0</v>
      </c>
      <c r="AK82" s="113"/>
      <c r="AL82" s="116"/>
    </row>
    <row r="83" spans="1:38" ht="12.75">
      <c r="A83" s="112" t="str">
        <f ca="1">IFERROR(__xludf.DUMMYFUNCTION("""COMPUTED_VALUE"""),"17001005")</f>
        <v>17001005</v>
      </c>
      <c r="B83" s="113" t="str">
        <f ca="1">IFERROR(__xludf.DUMMYFUNCTION("""COMPUTED_VALUE"""),"Araguatins")</f>
        <v>Araguatins</v>
      </c>
      <c r="C83" s="113" t="str">
        <f ca="1">IFERROR(__xludf.DUMMYFUNCTION("""COMPUTED_VALUE"""),"Augustinopolis")</f>
        <v>Augustinopolis</v>
      </c>
      <c r="D83" s="114" t="str">
        <f ca="1">IFERROR(__xludf.DUMMYFUNCTION("""COMPUTED_VALUE"""),"ASSOC. DE APOIO COL. EST. MANOEL VICENTE SOUZA")</f>
        <v>ASSOC. DE APOIO COL. EST. MANOEL VICENTE SOUZA</v>
      </c>
      <c r="E83" s="113" t="str">
        <f ca="1">IFERROR(__xludf.DUMMYFUNCTION("""COMPUTED_VALUE"""),"Colégio Estadual Manoel Vicente de Souza")</f>
        <v>Colégio Estadual Manoel Vicente de Souza</v>
      </c>
      <c r="F83" s="115" t="str">
        <f ca="1">IFERROR(__xludf.DUMMYFUNCTION("""COMPUTED_VALUE"""),"17001005")</f>
        <v>17001005</v>
      </c>
      <c r="G83" s="113" t="str">
        <f ca="1">IFERROR(__xludf.DUMMYFUNCTION("""COMPUTED_VALUE"""),"01223642000112")</f>
        <v>01223642000112</v>
      </c>
      <c r="H83" s="115" t="str">
        <f ca="1">IFERROR(__xludf.DUMMYFUNCTION("""COMPUTED_VALUE"""),"001")</f>
        <v>001</v>
      </c>
      <c r="I83" s="115" t="str">
        <f ca="1">IFERROR(__xludf.DUMMYFUNCTION("""COMPUTED_VALUE"""),"3975")</f>
        <v>3975</v>
      </c>
      <c r="J83" s="115" t="str">
        <f ca="1">IFERROR(__xludf.DUMMYFUNCTION("""COMPUTED_VALUE"""),"139297")</f>
        <v>139297</v>
      </c>
      <c r="K83" s="113" t="e">
        <f ca="1"/>
        <v>#REF!</v>
      </c>
      <c r="L83" s="113" t="e">
        <f ca="1"/>
        <v>#REF!</v>
      </c>
      <c r="M83" s="113" t="e">
        <f ca="1"/>
        <v>#REF!</v>
      </c>
      <c r="N83" s="113" t="e">
        <f ca="1"/>
        <v>#REF!</v>
      </c>
      <c r="O83" s="113" t="e">
        <f ca="1"/>
        <v>#REF!</v>
      </c>
      <c r="P83" s="113" t="e">
        <f ca="1"/>
        <v>#REF!</v>
      </c>
      <c r="Q83" s="113" t="e">
        <f ca="1"/>
        <v>#REF!</v>
      </c>
      <c r="R83" s="113" t="e">
        <f ca="1"/>
        <v>#REF!</v>
      </c>
      <c r="S83" s="113" t="e">
        <f ca="1"/>
        <v>#REF!</v>
      </c>
      <c r="T83" s="113" t="e">
        <f ca="1"/>
        <v>#REF!</v>
      </c>
      <c r="U83" s="113" t="e">
        <f ca="1"/>
        <v>#REF!</v>
      </c>
      <c r="V83" s="113" t="e">
        <f ca="1"/>
        <v>#REF!</v>
      </c>
      <c r="W83" s="113" t="e">
        <f ca="1"/>
        <v>#REF!</v>
      </c>
      <c r="X83" s="113" t="e">
        <f ca="1"/>
        <v>#REF!</v>
      </c>
      <c r="Y83" s="113" t="e">
        <f ca="1"/>
        <v>#REF!</v>
      </c>
      <c r="Z83" s="113" t="e">
        <f ca="1"/>
        <v>#REF!</v>
      </c>
      <c r="AA83" s="113"/>
      <c r="AB83" s="113"/>
      <c r="AC83" s="113"/>
      <c r="AD83" s="113"/>
      <c r="AE83" s="113" t="str">
        <f ca="1">IFERROR(__xludf.DUMMYFUNCTION("""COMPUTED_VALUE"""),"Parcial")</f>
        <v>Parcial</v>
      </c>
      <c r="AF83" s="113" t="str">
        <f ca="1">IFERROR(__xludf.DUMMYFUNCTION("""COMPUTED_VALUE"""),"FE")</f>
        <v>FE</v>
      </c>
      <c r="AG83" s="113">
        <f ca="1">IFERROR(__xludf.DUMMYFUNCTION("""COMPUTED_VALUE"""),20)</f>
        <v>20</v>
      </c>
      <c r="AH83" s="113">
        <f ca="1">IFERROR(__xludf.DUMMYFUNCTION("""COMPUTED_VALUE"""),0)</f>
        <v>0</v>
      </c>
      <c r="AI83" s="113">
        <f ca="1">IFERROR(__xludf.DUMMYFUNCTION("""COMPUTED_VALUE"""),0)</f>
        <v>0</v>
      </c>
      <c r="AJ83" s="113">
        <f ca="1">IFERROR(__xludf.DUMMYFUNCTION("""COMPUTED_VALUE"""),0)</f>
        <v>0</v>
      </c>
      <c r="AK83" s="113"/>
      <c r="AL83" s="116"/>
    </row>
    <row r="84" spans="1:38" ht="12.75">
      <c r="A84" s="112" t="str">
        <f ca="1">IFERROR(__xludf.DUMMYFUNCTION("""COMPUTED_VALUE"""),"17001013")</f>
        <v>17001013</v>
      </c>
      <c r="B84" s="113" t="str">
        <f ca="1">IFERROR(__xludf.DUMMYFUNCTION("""COMPUTED_VALUE"""),"Araguatins")</f>
        <v>Araguatins</v>
      </c>
      <c r="C84" s="113" t="str">
        <f ca="1">IFERROR(__xludf.DUMMYFUNCTION("""COMPUTED_VALUE"""),"Augustinopolis")</f>
        <v>Augustinopolis</v>
      </c>
      <c r="D84" s="114" t="str">
        <f ca="1">IFERROR(__xludf.DUMMYFUNCTION("""COMPUTED_VALUE"""),"A.A. ESCOLA ESTADUAL AUGUSTINOPOLIS")</f>
        <v>A.A. ESCOLA ESTADUAL AUGUSTINOPOLIS</v>
      </c>
      <c r="E84" s="113" t="str">
        <f ca="1">IFERROR(__xludf.DUMMYFUNCTION("""COMPUTED_VALUE"""),"Escola Estadual de Augustinópolis")</f>
        <v>Escola Estadual de Augustinópolis</v>
      </c>
      <c r="F84" s="115" t="str">
        <f ca="1">IFERROR(__xludf.DUMMYFUNCTION("""COMPUTED_VALUE"""),"17001013")</f>
        <v>17001013</v>
      </c>
      <c r="G84" s="113" t="str">
        <f ca="1">IFERROR(__xludf.DUMMYFUNCTION("""COMPUTED_VALUE"""),"01133692000109")</f>
        <v>01133692000109</v>
      </c>
      <c r="H84" s="115" t="str">
        <f ca="1">IFERROR(__xludf.DUMMYFUNCTION("""COMPUTED_VALUE"""),"001")</f>
        <v>001</v>
      </c>
      <c r="I84" s="115" t="str">
        <f ca="1">IFERROR(__xludf.DUMMYFUNCTION("""COMPUTED_VALUE"""),"3975")</f>
        <v>3975</v>
      </c>
      <c r="J84" s="115" t="str">
        <f ca="1">IFERROR(__xludf.DUMMYFUNCTION("""COMPUTED_VALUE"""),"019151")</f>
        <v>019151</v>
      </c>
      <c r="K84" s="113" t="e">
        <f ca="1"/>
        <v>#REF!</v>
      </c>
      <c r="L84" s="113" t="e">
        <f ca="1"/>
        <v>#REF!</v>
      </c>
      <c r="M84" s="113" t="e">
        <f ca="1"/>
        <v>#REF!</v>
      </c>
      <c r="N84" s="113" t="e">
        <f ca="1"/>
        <v>#REF!</v>
      </c>
      <c r="O84" s="113" t="e">
        <f ca="1"/>
        <v>#REF!</v>
      </c>
      <c r="P84" s="113" t="e">
        <f ca="1"/>
        <v>#REF!</v>
      </c>
      <c r="Q84" s="113" t="e">
        <f ca="1"/>
        <v>#REF!</v>
      </c>
      <c r="R84" s="113" t="e">
        <f ca="1"/>
        <v>#REF!</v>
      </c>
      <c r="S84" s="113" t="e">
        <f ca="1"/>
        <v>#REF!</v>
      </c>
      <c r="T84" s="113" t="e">
        <f ca="1"/>
        <v>#REF!</v>
      </c>
      <c r="U84" s="113" t="e">
        <f ca="1"/>
        <v>#REF!</v>
      </c>
      <c r="V84" s="113" t="e">
        <f ca="1"/>
        <v>#REF!</v>
      </c>
      <c r="W84" s="113" t="e">
        <f ca="1"/>
        <v>#REF!</v>
      </c>
      <c r="X84" s="113" t="e">
        <f ca="1"/>
        <v>#REF!</v>
      </c>
      <c r="Y84" s="113" t="e">
        <f ca="1"/>
        <v>#REF!</v>
      </c>
      <c r="Z84" s="113" t="e">
        <f ca="1"/>
        <v>#REF!</v>
      </c>
      <c r="AA84" s="113"/>
      <c r="AB84" s="113"/>
      <c r="AC84" s="113"/>
      <c r="AD84" s="113"/>
      <c r="AE84" s="113" t="str">
        <f ca="1">IFERROR(__xludf.DUMMYFUNCTION("""COMPUTED_VALUE"""),"Integral")</f>
        <v>Integral</v>
      </c>
      <c r="AF84" s="113" t="str">
        <f ca="1">IFERROR(__xludf.DUMMYFUNCTION("""COMPUTED_VALUE"""),"FE")</f>
        <v>FE</v>
      </c>
      <c r="AG84" s="113">
        <f ca="1">IFERROR(__xludf.DUMMYFUNCTION("""COMPUTED_VALUE"""),0)</f>
        <v>0</v>
      </c>
      <c r="AH84" s="113">
        <f ca="1">IFERROR(__xludf.DUMMYFUNCTION("""COMPUTED_VALUE"""),0)</f>
        <v>0</v>
      </c>
      <c r="AI84" s="113">
        <f ca="1">IFERROR(__xludf.DUMMYFUNCTION("""COMPUTED_VALUE"""),0)</f>
        <v>0</v>
      </c>
      <c r="AJ84" s="113">
        <f ca="1">IFERROR(__xludf.DUMMYFUNCTION("""COMPUTED_VALUE"""),21)</f>
        <v>21</v>
      </c>
      <c r="AK84" s="113"/>
      <c r="AL84" s="116"/>
    </row>
    <row r="85" spans="1:38" ht="12.75">
      <c r="A85" s="112" t="str">
        <f ca="1">IFERROR(__xludf.DUMMYFUNCTION("""COMPUTED_VALUE"""),"17001021")</f>
        <v>17001021</v>
      </c>
      <c r="B85" s="113" t="str">
        <f ca="1">IFERROR(__xludf.DUMMYFUNCTION("""COMPUTED_VALUE"""),"Araguatins")</f>
        <v>Araguatins</v>
      </c>
      <c r="C85" s="113" t="str">
        <f ca="1">IFERROR(__xludf.DUMMYFUNCTION("""COMPUTED_VALUE"""),"Augustinopolis")</f>
        <v>Augustinopolis</v>
      </c>
      <c r="D85" s="114" t="str">
        <f ca="1">IFERROR(__xludf.DUMMYFUNCTION("""COMPUTED_VALUE"""),"ASSOC. DE AP.ESC. EST. FAZ.DEZESSEIS")</f>
        <v>ASSOC. DE AP.ESC. EST. FAZ.DEZESSEIS</v>
      </c>
      <c r="E85" s="113" t="str">
        <f ca="1">IFERROR(__xludf.DUMMYFUNCTION("""COMPUTED_VALUE"""),"Escola Estadual Fazenda dezesseis")</f>
        <v>Escola Estadual Fazenda dezesseis</v>
      </c>
      <c r="F85" s="115" t="str">
        <f ca="1">IFERROR(__xludf.DUMMYFUNCTION("""COMPUTED_VALUE"""),"17001021")</f>
        <v>17001021</v>
      </c>
      <c r="G85" s="113" t="str">
        <f ca="1">IFERROR(__xludf.DUMMYFUNCTION("""COMPUTED_VALUE"""),"01133695000142")</f>
        <v>01133695000142</v>
      </c>
      <c r="H85" s="115" t="str">
        <f ca="1">IFERROR(__xludf.DUMMYFUNCTION("""COMPUTED_VALUE"""),"001")</f>
        <v>001</v>
      </c>
      <c r="I85" s="115" t="str">
        <f ca="1">IFERROR(__xludf.DUMMYFUNCTION("""COMPUTED_VALUE"""),"3975")</f>
        <v>3975</v>
      </c>
      <c r="J85" s="115" t="str">
        <f ca="1">IFERROR(__xludf.DUMMYFUNCTION("""COMPUTED_VALUE"""),"0019615")</f>
        <v>0019615</v>
      </c>
      <c r="K85" s="113" t="e">
        <f ca="1"/>
        <v>#REF!</v>
      </c>
      <c r="L85" s="113" t="e">
        <f ca="1"/>
        <v>#REF!</v>
      </c>
      <c r="M85" s="113" t="e">
        <f ca="1"/>
        <v>#REF!</v>
      </c>
      <c r="N85" s="113" t="e">
        <f ca="1"/>
        <v>#REF!</v>
      </c>
      <c r="O85" s="113" t="e">
        <f ca="1"/>
        <v>#REF!</v>
      </c>
      <c r="P85" s="113" t="e">
        <f ca="1"/>
        <v>#REF!</v>
      </c>
      <c r="Q85" s="113" t="e">
        <f ca="1"/>
        <v>#REF!</v>
      </c>
      <c r="R85" s="113" t="e">
        <f ca="1"/>
        <v>#REF!</v>
      </c>
      <c r="S85" s="113" t="e">
        <f ca="1"/>
        <v>#REF!</v>
      </c>
      <c r="T85" s="113" t="e">
        <f ca="1"/>
        <v>#REF!</v>
      </c>
      <c r="U85" s="113" t="e">
        <f ca="1"/>
        <v>#REF!</v>
      </c>
      <c r="V85" s="113" t="e">
        <f ca="1"/>
        <v>#REF!</v>
      </c>
      <c r="W85" s="113" t="e">
        <f ca="1"/>
        <v>#REF!</v>
      </c>
      <c r="X85" s="113" t="e">
        <f ca="1"/>
        <v>#REF!</v>
      </c>
      <c r="Y85" s="113" t="e">
        <f ca="1"/>
        <v>#REF!</v>
      </c>
      <c r="Z85" s="113" t="e">
        <f ca="1"/>
        <v>#REF!</v>
      </c>
      <c r="AA85" s="113"/>
      <c r="AB85" s="113"/>
      <c r="AC85" s="113"/>
      <c r="AD85" s="113"/>
      <c r="AE85" s="113" t="str">
        <f ca="1">IFERROR(__xludf.DUMMYFUNCTION("""COMPUTED_VALUE"""),"Parcial")</f>
        <v>Parcial</v>
      </c>
      <c r="AF85" s="113" t="str">
        <f ca="1">IFERROR(__xludf.DUMMYFUNCTION("""COMPUTED_VALUE"""),"FE")</f>
        <v>FE</v>
      </c>
      <c r="AG85" s="113">
        <f ca="1">IFERROR(__xludf.DUMMYFUNCTION("""COMPUTED_VALUE"""),0)</f>
        <v>0</v>
      </c>
      <c r="AH85" s="113">
        <f ca="1">IFERROR(__xludf.DUMMYFUNCTION("""COMPUTED_VALUE"""),0)</f>
        <v>0</v>
      </c>
      <c r="AI85" s="113">
        <f ca="1">IFERROR(__xludf.DUMMYFUNCTION("""COMPUTED_VALUE"""),0)</f>
        <v>0</v>
      </c>
      <c r="AJ85" s="113">
        <f ca="1">IFERROR(__xludf.DUMMYFUNCTION("""COMPUTED_VALUE"""),0)</f>
        <v>0</v>
      </c>
      <c r="AK85" s="113"/>
      <c r="AL85" s="116"/>
    </row>
    <row r="86" spans="1:38" ht="12.75">
      <c r="A86" s="112" t="str">
        <f ca="1">IFERROR(__xludf.DUMMYFUNCTION("""COMPUTED_VALUE"""),"17001030")</f>
        <v>17001030</v>
      </c>
      <c r="B86" s="113" t="str">
        <f ca="1">IFERROR(__xludf.DUMMYFUNCTION("""COMPUTED_VALUE"""),"Araguatins")</f>
        <v>Araguatins</v>
      </c>
      <c r="C86" s="113" t="str">
        <f ca="1">IFERROR(__xludf.DUMMYFUNCTION("""COMPUTED_VALUE"""),"Augustinopolis")</f>
        <v>Augustinopolis</v>
      </c>
      <c r="D86" s="114" t="str">
        <f ca="1">IFERROR(__xludf.DUMMYFUNCTION("""COMPUTED_VALUE"""),"A.A. DA ESCOLA EST. SANTA GENOVEVA")</f>
        <v>A.A. DA ESCOLA EST. SANTA GENOVEVA</v>
      </c>
      <c r="E86" s="113" t="str">
        <f ca="1">IFERROR(__xludf.DUMMYFUNCTION("""COMPUTED_VALUE"""),"Escola Estadual Santa Genoveva")</f>
        <v>Escola Estadual Santa Genoveva</v>
      </c>
      <c r="F86" s="115" t="str">
        <f ca="1">IFERROR(__xludf.DUMMYFUNCTION("""COMPUTED_VALUE"""),"17001030")</f>
        <v>17001030</v>
      </c>
      <c r="G86" s="113" t="str">
        <f ca="1">IFERROR(__xludf.DUMMYFUNCTION("""COMPUTED_VALUE"""),"01068357000174")</f>
        <v>01068357000174</v>
      </c>
      <c r="H86" s="115" t="str">
        <f ca="1">IFERROR(__xludf.DUMMYFUNCTION("""COMPUTED_VALUE"""),"001")</f>
        <v>001</v>
      </c>
      <c r="I86" s="115" t="str">
        <f ca="1">IFERROR(__xludf.DUMMYFUNCTION("""COMPUTED_VALUE"""),"3975")</f>
        <v>3975</v>
      </c>
      <c r="J86" s="115" t="str">
        <f ca="1">IFERROR(__xludf.DUMMYFUNCTION("""COMPUTED_VALUE"""),"0019461")</f>
        <v>0019461</v>
      </c>
      <c r="K86" s="113" t="e">
        <f ca="1"/>
        <v>#REF!</v>
      </c>
      <c r="L86" s="113" t="e">
        <f ca="1"/>
        <v>#REF!</v>
      </c>
      <c r="M86" s="113" t="e">
        <f ca="1"/>
        <v>#REF!</v>
      </c>
      <c r="N86" s="113" t="e">
        <f ca="1"/>
        <v>#REF!</v>
      </c>
      <c r="O86" s="113" t="e">
        <f ca="1"/>
        <v>#REF!</v>
      </c>
      <c r="P86" s="113" t="e">
        <f ca="1"/>
        <v>#REF!</v>
      </c>
      <c r="Q86" s="113" t="e">
        <f ca="1"/>
        <v>#REF!</v>
      </c>
      <c r="R86" s="113" t="e">
        <f ca="1"/>
        <v>#REF!</v>
      </c>
      <c r="S86" s="113" t="e">
        <f ca="1"/>
        <v>#REF!</v>
      </c>
      <c r="T86" s="113" t="e">
        <f ca="1"/>
        <v>#REF!</v>
      </c>
      <c r="U86" s="113" t="e">
        <f ca="1"/>
        <v>#REF!</v>
      </c>
      <c r="V86" s="113" t="e">
        <f ca="1"/>
        <v>#REF!</v>
      </c>
      <c r="W86" s="113" t="e">
        <f ca="1"/>
        <v>#REF!</v>
      </c>
      <c r="X86" s="113" t="e">
        <f ca="1"/>
        <v>#REF!</v>
      </c>
      <c r="Y86" s="113" t="e">
        <f ca="1"/>
        <v>#REF!</v>
      </c>
      <c r="Z86" s="113" t="e">
        <f ca="1"/>
        <v>#REF!</v>
      </c>
      <c r="AA86" s="113"/>
      <c r="AB86" s="113"/>
      <c r="AC86" s="113"/>
      <c r="AD86" s="113"/>
      <c r="AE86" s="113" t="str">
        <f ca="1">IFERROR(__xludf.DUMMYFUNCTION("""COMPUTED_VALUE"""),"Parcial/Integral")</f>
        <v>Parcial/Integral</v>
      </c>
      <c r="AF86" s="113" t="str">
        <f ca="1">IFERROR(__xludf.DUMMYFUNCTION("""COMPUTED_VALUE"""),"FE")</f>
        <v>FE</v>
      </c>
      <c r="AG86" s="113">
        <f ca="1">IFERROR(__xludf.DUMMYFUNCTION("""COMPUTED_VALUE"""),0)</f>
        <v>0</v>
      </c>
      <c r="AH86" s="113">
        <f ca="1">IFERROR(__xludf.DUMMYFUNCTION("""COMPUTED_VALUE"""),0)</f>
        <v>0</v>
      </c>
      <c r="AI86" s="113">
        <f ca="1">IFERROR(__xludf.DUMMYFUNCTION("""COMPUTED_VALUE"""),0)</f>
        <v>0</v>
      </c>
      <c r="AJ86" s="113">
        <f ca="1">IFERROR(__xludf.DUMMYFUNCTION("""COMPUTED_VALUE"""),0)</f>
        <v>0</v>
      </c>
      <c r="AK86" s="113"/>
      <c r="AL86" s="116"/>
    </row>
    <row r="87" spans="1:38" ht="12.75">
      <c r="A87" s="112" t="str">
        <f ca="1">IFERROR(__xludf.DUMMYFUNCTION("""COMPUTED_VALUE"""),"17001161")</f>
        <v>17001161</v>
      </c>
      <c r="B87" s="113" t="str">
        <f ca="1">IFERROR(__xludf.DUMMYFUNCTION("""COMPUTED_VALUE"""),"Araguatins")</f>
        <v>Araguatins</v>
      </c>
      <c r="C87" s="113" t="str">
        <f ca="1">IFERROR(__xludf.DUMMYFUNCTION("""COMPUTED_VALUE"""),"Axixa do Tocantins")</f>
        <v>Axixa do Tocantins</v>
      </c>
      <c r="D87" s="114" t="str">
        <f ca="1">IFERROR(__xludf.DUMMYFUNCTION("""COMPUTED_VALUE"""),"ASSOC. DE APOIO COLÉGIO. EST. MAL. RIBAS JUNIOR")</f>
        <v>ASSOC. DE APOIO COLÉGIO. EST. MAL. RIBAS JUNIOR</v>
      </c>
      <c r="E87" s="113" t="str">
        <f ca="1">IFERROR(__xludf.DUMMYFUNCTION("""COMPUTED_VALUE"""),"Colégio Estadual Marechal Ribas Júnior")</f>
        <v>Colégio Estadual Marechal Ribas Júnior</v>
      </c>
      <c r="F87" s="115" t="str">
        <f ca="1">IFERROR(__xludf.DUMMYFUNCTION("""COMPUTED_VALUE"""),"17001161")</f>
        <v>17001161</v>
      </c>
      <c r="G87" s="113" t="str">
        <f ca="1">IFERROR(__xludf.DUMMYFUNCTION("""COMPUTED_VALUE"""),"01086979000125")</f>
        <v>01086979000125</v>
      </c>
      <c r="H87" s="115" t="str">
        <f ca="1">IFERROR(__xludf.DUMMYFUNCTION("""COMPUTED_VALUE"""),"001")</f>
        <v>001</v>
      </c>
      <c r="I87" s="115" t="str">
        <f ca="1">IFERROR(__xludf.DUMMYFUNCTION("""COMPUTED_VALUE"""),"1305")</f>
        <v>1305</v>
      </c>
      <c r="J87" s="115" t="str">
        <f ca="1">IFERROR(__xludf.DUMMYFUNCTION("""COMPUTED_VALUE"""),"209201")</f>
        <v>209201</v>
      </c>
      <c r="K87" s="113" t="e">
        <f ca="1"/>
        <v>#REF!</v>
      </c>
      <c r="L87" s="113" t="e">
        <f ca="1"/>
        <v>#REF!</v>
      </c>
      <c r="M87" s="113" t="e">
        <f ca="1"/>
        <v>#REF!</v>
      </c>
      <c r="N87" s="113" t="e">
        <f ca="1"/>
        <v>#REF!</v>
      </c>
      <c r="O87" s="113" t="e">
        <f ca="1"/>
        <v>#REF!</v>
      </c>
      <c r="P87" s="113" t="e">
        <f ca="1"/>
        <v>#REF!</v>
      </c>
      <c r="Q87" s="113" t="e">
        <f ca="1"/>
        <v>#REF!</v>
      </c>
      <c r="R87" s="113" t="e">
        <f ca="1"/>
        <v>#REF!</v>
      </c>
      <c r="S87" s="113" t="e">
        <f ca="1"/>
        <v>#REF!</v>
      </c>
      <c r="T87" s="113" t="e">
        <f ca="1"/>
        <v>#REF!</v>
      </c>
      <c r="U87" s="113" t="e">
        <f ca="1"/>
        <v>#REF!</v>
      </c>
      <c r="V87" s="113" t="e">
        <f ca="1"/>
        <v>#REF!</v>
      </c>
      <c r="W87" s="113" t="e">
        <f ca="1"/>
        <v>#REF!</v>
      </c>
      <c r="X87" s="113" t="e">
        <f ca="1"/>
        <v>#REF!</v>
      </c>
      <c r="Y87" s="113" t="e">
        <f ca="1"/>
        <v>#REF!</v>
      </c>
      <c r="Z87" s="113" t="e">
        <f ca="1"/>
        <v>#REF!</v>
      </c>
      <c r="AA87" s="113"/>
      <c r="AB87" s="113"/>
      <c r="AC87" s="113"/>
      <c r="AD87" s="113"/>
      <c r="AE87" s="113" t="str">
        <f ca="1">IFERROR(__xludf.DUMMYFUNCTION("""COMPUTED_VALUE"""),"Parcial")</f>
        <v>Parcial</v>
      </c>
      <c r="AF87" s="113" t="str">
        <f ca="1">IFERROR(__xludf.DUMMYFUNCTION("""COMPUTED_VALUE"""),"FE")</f>
        <v>FE</v>
      </c>
      <c r="AG87" s="113">
        <f ca="1">IFERROR(__xludf.DUMMYFUNCTION("""COMPUTED_VALUE"""),0)</f>
        <v>0</v>
      </c>
      <c r="AH87" s="113">
        <f ca="1">IFERROR(__xludf.DUMMYFUNCTION("""COMPUTED_VALUE"""),0)</f>
        <v>0</v>
      </c>
      <c r="AI87" s="113">
        <f ca="1">IFERROR(__xludf.DUMMYFUNCTION("""COMPUTED_VALUE"""),0)</f>
        <v>0</v>
      </c>
      <c r="AJ87" s="113">
        <f ca="1">IFERROR(__xludf.DUMMYFUNCTION("""COMPUTED_VALUE"""),0)</f>
        <v>0</v>
      </c>
      <c r="AK87" s="113"/>
      <c r="AL87" s="116"/>
    </row>
    <row r="88" spans="1:38" ht="12.75">
      <c r="A88" s="112" t="str">
        <f ca="1">IFERROR(__xludf.DUMMYFUNCTION("""COMPUTED_VALUE"""),"17001188")</f>
        <v>17001188</v>
      </c>
      <c r="B88" s="113" t="str">
        <f ca="1">IFERROR(__xludf.DUMMYFUNCTION("""COMPUTED_VALUE"""),"Araguatins")</f>
        <v>Araguatins</v>
      </c>
      <c r="C88" s="113" t="str">
        <f ca="1">IFERROR(__xludf.DUMMYFUNCTION("""COMPUTED_VALUE"""),"Axixa do Tocantins")</f>
        <v>Axixa do Tocantins</v>
      </c>
      <c r="D88" s="114" t="str">
        <f ca="1">IFERROR(__xludf.DUMMYFUNCTION("""COMPUTED_VALUE"""),"A.A. ESC. EST. SAO FRANCISCO DE ASSIS")</f>
        <v>A.A. ESC. EST. SAO FRANCISCO DE ASSIS</v>
      </c>
      <c r="E88" s="113" t="str">
        <f ca="1">IFERROR(__xludf.DUMMYFUNCTION("""COMPUTED_VALUE"""),"Escola Estadual Girassol de Tempo Integral São Francisco de Assis")</f>
        <v>Escola Estadual Girassol de Tempo Integral São Francisco de Assis</v>
      </c>
      <c r="F88" s="115" t="str">
        <f ca="1">IFERROR(__xludf.DUMMYFUNCTION("""COMPUTED_VALUE"""),"17001188")</f>
        <v>17001188</v>
      </c>
      <c r="G88" s="113" t="str">
        <f ca="1">IFERROR(__xludf.DUMMYFUNCTION("""COMPUTED_VALUE"""),"01086980000150")</f>
        <v>01086980000150</v>
      </c>
      <c r="H88" s="115" t="str">
        <f ca="1">IFERROR(__xludf.DUMMYFUNCTION("""COMPUTED_VALUE"""),"001")</f>
        <v>001</v>
      </c>
      <c r="I88" s="115" t="str">
        <f ca="1">IFERROR(__xludf.DUMMYFUNCTION("""COMPUTED_VALUE"""),"1305")</f>
        <v>1305</v>
      </c>
      <c r="J88" s="115" t="str">
        <f ca="1">IFERROR(__xludf.DUMMYFUNCTION("""COMPUTED_VALUE"""),"19399")</f>
        <v>19399</v>
      </c>
      <c r="K88" s="113" t="e">
        <f ca="1"/>
        <v>#REF!</v>
      </c>
      <c r="L88" s="113" t="e">
        <f ca="1"/>
        <v>#REF!</v>
      </c>
      <c r="M88" s="113" t="e">
        <f ca="1"/>
        <v>#REF!</v>
      </c>
      <c r="N88" s="113" t="e">
        <f ca="1"/>
        <v>#REF!</v>
      </c>
      <c r="O88" s="113" t="e">
        <f ca="1"/>
        <v>#REF!</v>
      </c>
      <c r="P88" s="113" t="e">
        <f ca="1"/>
        <v>#REF!</v>
      </c>
      <c r="Q88" s="113" t="e">
        <f ca="1"/>
        <v>#REF!</v>
      </c>
      <c r="R88" s="113" t="e">
        <f ca="1"/>
        <v>#REF!</v>
      </c>
      <c r="S88" s="113" t="e">
        <f ca="1"/>
        <v>#REF!</v>
      </c>
      <c r="T88" s="113" t="e">
        <f ca="1"/>
        <v>#REF!</v>
      </c>
      <c r="U88" s="113" t="e">
        <f ca="1"/>
        <v>#REF!</v>
      </c>
      <c r="V88" s="113" t="e">
        <f ca="1"/>
        <v>#REF!</v>
      </c>
      <c r="W88" s="113" t="e">
        <f ca="1"/>
        <v>#REF!</v>
      </c>
      <c r="X88" s="113" t="e">
        <f ca="1"/>
        <v>#REF!</v>
      </c>
      <c r="Y88" s="113" t="e">
        <f ca="1"/>
        <v>#REF!</v>
      </c>
      <c r="Z88" s="113" t="e">
        <f ca="1"/>
        <v>#REF!</v>
      </c>
      <c r="AA88" s="113"/>
      <c r="AB88" s="113"/>
      <c r="AC88" s="113"/>
      <c r="AD88" s="113"/>
      <c r="AE88" s="113" t="str">
        <f ca="1">IFERROR(__xludf.DUMMYFUNCTION("""COMPUTED_VALUE"""),"Parcial")</f>
        <v>Parcial</v>
      </c>
      <c r="AF88" s="113" t="str">
        <f ca="1">IFERROR(__xludf.DUMMYFUNCTION("""COMPUTED_VALUE"""),"FE")</f>
        <v>FE</v>
      </c>
      <c r="AG88" s="113">
        <f ca="1">IFERROR(__xludf.DUMMYFUNCTION("""COMPUTED_VALUE"""),0)</f>
        <v>0</v>
      </c>
      <c r="AH88" s="113">
        <f ca="1">IFERROR(__xludf.DUMMYFUNCTION("""COMPUTED_VALUE"""),0)</f>
        <v>0</v>
      </c>
      <c r="AI88" s="113">
        <f ca="1">IFERROR(__xludf.DUMMYFUNCTION("""COMPUTED_VALUE"""),0)</f>
        <v>0</v>
      </c>
      <c r="AJ88" s="113">
        <f ca="1">IFERROR(__xludf.DUMMYFUNCTION("""COMPUTED_VALUE"""),0)</f>
        <v>0</v>
      </c>
      <c r="AK88" s="113"/>
      <c r="AL88" s="116"/>
    </row>
    <row r="89" spans="1:38" ht="12.75">
      <c r="A89" s="112" t="str">
        <f ca="1">IFERROR(__xludf.DUMMYFUNCTION("""COMPUTED_VALUE"""),"17001439")</f>
        <v>17001439</v>
      </c>
      <c r="B89" s="113" t="str">
        <f ca="1">IFERROR(__xludf.DUMMYFUNCTION("""COMPUTED_VALUE"""),"Araguatins")</f>
        <v>Araguatins</v>
      </c>
      <c r="C89" s="113" t="str">
        <f ca="1">IFERROR(__xludf.DUMMYFUNCTION("""COMPUTED_VALUE"""),"Buriti do Tocantins")</f>
        <v>Buriti do Tocantins</v>
      </c>
      <c r="D89" s="114" t="str">
        <f ca="1">IFERROR(__xludf.DUMMYFUNCTION("""COMPUTED_VALUE"""),"A. DE APOIO DO COLEGIO EST. BURITI")</f>
        <v>A. DE APOIO DO COLEGIO EST. BURITI</v>
      </c>
      <c r="E89" s="113" t="str">
        <f ca="1">IFERROR(__xludf.DUMMYFUNCTION("""COMPUTED_VALUE"""),"Colégio Estadual Buriti")</f>
        <v>Colégio Estadual Buriti</v>
      </c>
      <c r="F89" s="115" t="str">
        <f ca="1">IFERROR(__xludf.DUMMYFUNCTION("""COMPUTED_VALUE"""),"17001439")</f>
        <v>17001439</v>
      </c>
      <c r="G89" s="113" t="str">
        <f ca="1">IFERROR(__xludf.DUMMYFUNCTION("""COMPUTED_VALUE"""),"01206217000115")</f>
        <v>01206217000115</v>
      </c>
      <c r="H89" s="115" t="str">
        <f ca="1">IFERROR(__xludf.DUMMYFUNCTION("""COMPUTED_VALUE"""),"001")</f>
        <v>001</v>
      </c>
      <c r="I89" s="115" t="str">
        <f ca="1">IFERROR(__xludf.DUMMYFUNCTION("""COMPUTED_VALUE"""),"1305")</f>
        <v>1305</v>
      </c>
      <c r="J89" s="115" t="str">
        <f ca="1">IFERROR(__xludf.DUMMYFUNCTION("""COMPUTED_VALUE"""),"209406")</f>
        <v>209406</v>
      </c>
      <c r="K89" s="113" t="e">
        <f ca="1"/>
        <v>#REF!</v>
      </c>
      <c r="L89" s="113" t="e">
        <f ca="1"/>
        <v>#REF!</v>
      </c>
      <c r="M89" s="113" t="e">
        <f ca="1"/>
        <v>#REF!</v>
      </c>
      <c r="N89" s="113" t="e">
        <f ca="1"/>
        <v>#REF!</v>
      </c>
      <c r="O89" s="113" t="e">
        <f ca="1"/>
        <v>#REF!</v>
      </c>
      <c r="P89" s="113" t="e">
        <f ca="1"/>
        <v>#REF!</v>
      </c>
      <c r="Q89" s="113" t="e">
        <f ca="1"/>
        <v>#REF!</v>
      </c>
      <c r="R89" s="113" t="e">
        <f ca="1"/>
        <v>#REF!</v>
      </c>
      <c r="S89" s="113" t="e">
        <f ca="1"/>
        <v>#REF!</v>
      </c>
      <c r="T89" s="113" t="e">
        <f ca="1"/>
        <v>#REF!</v>
      </c>
      <c r="U89" s="113" t="e">
        <f ca="1"/>
        <v>#REF!</v>
      </c>
      <c r="V89" s="113" t="e">
        <f ca="1"/>
        <v>#REF!</v>
      </c>
      <c r="W89" s="113" t="e">
        <f ca="1"/>
        <v>#REF!</v>
      </c>
      <c r="X89" s="113" t="e">
        <f ca="1"/>
        <v>#REF!</v>
      </c>
      <c r="Y89" s="113" t="e">
        <f ca="1"/>
        <v>#REF!</v>
      </c>
      <c r="Z89" s="113" t="e">
        <f ca="1"/>
        <v>#REF!</v>
      </c>
      <c r="AA89" s="113"/>
      <c r="AB89" s="113"/>
      <c r="AC89" s="113"/>
      <c r="AD89" s="113" t="str">
        <f ca="1">IFERROR(__xludf.DUMMYFUNCTION("""COMPUTED_VALUE"""),"E.M. INTEGRADO")</f>
        <v>E.M. INTEGRADO</v>
      </c>
      <c r="AE89" s="113" t="str">
        <f ca="1">IFERROR(__xludf.DUMMYFUNCTION("""COMPUTED_VALUE"""),"Parcial")</f>
        <v>Parcial</v>
      </c>
      <c r="AF89" s="113" t="str">
        <f ca="1">IFERROR(__xludf.DUMMYFUNCTION("""COMPUTED_VALUE"""),"FE")</f>
        <v>FE</v>
      </c>
      <c r="AG89" s="113">
        <f ca="1">IFERROR(__xludf.DUMMYFUNCTION("""COMPUTED_VALUE"""),12)</f>
        <v>12</v>
      </c>
      <c r="AH89" s="113">
        <f ca="1">IFERROR(__xludf.DUMMYFUNCTION("""COMPUTED_VALUE"""),0)</f>
        <v>0</v>
      </c>
      <c r="AI89" s="113">
        <f ca="1">IFERROR(__xludf.DUMMYFUNCTION("""COMPUTED_VALUE"""),0)</f>
        <v>0</v>
      </c>
      <c r="AJ89" s="113">
        <f ca="1">IFERROR(__xludf.DUMMYFUNCTION("""COMPUTED_VALUE"""),0)</f>
        <v>0</v>
      </c>
      <c r="AK89" s="113"/>
      <c r="AL89" s="116"/>
    </row>
    <row r="90" spans="1:38" ht="12.75">
      <c r="A90" s="112" t="str">
        <f ca="1">IFERROR(__xludf.DUMMYFUNCTION("""COMPUTED_VALUE"""),"17001455")</f>
        <v>17001455</v>
      </c>
      <c r="B90" s="113" t="str">
        <f ca="1">IFERROR(__xludf.DUMMYFUNCTION("""COMPUTED_VALUE"""),"Araguatins")</f>
        <v>Araguatins</v>
      </c>
      <c r="C90" s="113" t="str">
        <f ca="1">IFERROR(__xludf.DUMMYFUNCTION("""COMPUTED_VALUE"""),"Buriti do Tocantins")</f>
        <v>Buriti do Tocantins</v>
      </c>
      <c r="D90" s="114" t="str">
        <f ca="1">IFERROR(__xludf.DUMMYFUNCTION("""COMPUTED_VALUE"""),"A.A. DA ESCOLA ESTADUAL DARCYNOPOLIS")</f>
        <v>A.A. DA ESCOLA ESTADUAL DARCYNOPOLIS</v>
      </c>
      <c r="E90" s="113" t="str">
        <f ca="1">IFERROR(__xludf.DUMMYFUNCTION("""COMPUTED_VALUE"""),"Escola Estadual darcinópolis")</f>
        <v>Escola Estadual darcinópolis</v>
      </c>
      <c r="F90" s="115" t="str">
        <f ca="1">IFERROR(__xludf.DUMMYFUNCTION("""COMPUTED_VALUE"""),"17001455")</f>
        <v>17001455</v>
      </c>
      <c r="G90" s="113" t="str">
        <f ca="1">IFERROR(__xludf.DUMMYFUNCTION("""COMPUTED_VALUE"""),"01190184000162")</f>
        <v>01190184000162</v>
      </c>
      <c r="H90" s="115" t="str">
        <f ca="1">IFERROR(__xludf.DUMMYFUNCTION("""COMPUTED_VALUE"""),"001")</f>
        <v>001</v>
      </c>
      <c r="I90" s="115" t="str">
        <f ca="1">IFERROR(__xludf.DUMMYFUNCTION("""COMPUTED_VALUE"""),"3975")</f>
        <v>3975</v>
      </c>
      <c r="J90" s="115" t="str">
        <f ca="1">IFERROR(__xludf.DUMMYFUNCTION("""COMPUTED_VALUE"""),"0019275")</f>
        <v>0019275</v>
      </c>
      <c r="K90" s="113" t="e">
        <f ca="1"/>
        <v>#REF!</v>
      </c>
      <c r="L90" s="113" t="e">
        <f ca="1"/>
        <v>#REF!</v>
      </c>
      <c r="M90" s="113" t="e">
        <f ca="1"/>
        <v>#REF!</v>
      </c>
      <c r="N90" s="113" t="e">
        <f ca="1"/>
        <v>#REF!</v>
      </c>
      <c r="O90" s="113" t="e">
        <f ca="1"/>
        <v>#REF!</v>
      </c>
      <c r="P90" s="113" t="e">
        <f ca="1"/>
        <v>#REF!</v>
      </c>
      <c r="Q90" s="113" t="e">
        <f ca="1"/>
        <v>#REF!</v>
      </c>
      <c r="R90" s="113" t="e">
        <f ca="1"/>
        <v>#REF!</v>
      </c>
      <c r="S90" s="113" t="e">
        <f ca="1"/>
        <v>#REF!</v>
      </c>
      <c r="T90" s="113" t="e">
        <f ca="1"/>
        <v>#REF!</v>
      </c>
      <c r="U90" s="113" t="e">
        <f ca="1"/>
        <v>#REF!</v>
      </c>
      <c r="V90" s="113" t="e">
        <f ca="1"/>
        <v>#REF!</v>
      </c>
      <c r="W90" s="113" t="e">
        <f ca="1"/>
        <v>#REF!</v>
      </c>
      <c r="X90" s="113" t="e">
        <f ca="1"/>
        <v>#REF!</v>
      </c>
      <c r="Y90" s="113" t="e">
        <f ca="1"/>
        <v>#REF!</v>
      </c>
      <c r="Z90" s="113" t="e">
        <f ca="1"/>
        <v>#REF!</v>
      </c>
      <c r="AA90" s="113"/>
      <c r="AB90" s="113"/>
      <c r="AC90" s="113"/>
      <c r="AD90" s="113"/>
      <c r="AE90" s="113" t="str">
        <f ca="1">IFERROR(__xludf.DUMMYFUNCTION("""COMPUTED_VALUE"""),"Parcial")</f>
        <v>Parcial</v>
      </c>
      <c r="AF90" s="113" t="str">
        <f ca="1">IFERROR(__xludf.DUMMYFUNCTION("""COMPUTED_VALUE"""),"FE")</f>
        <v>FE</v>
      </c>
      <c r="AG90" s="113">
        <f ca="1">IFERROR(__xludf.DUMMYFUNCTION("""COMPUTED_VALUE"""),0)</f>
        <v>0</v>
      </c>
      <c r="AH90" s="113">
        <f ca="1">IFERROR(__xludf.DUMMYFUNCTION("""COMPUTED_VALUE"""),0)</f>
        <v>0</v>
      </c>
      <c r="AI90" s="113">
        <f ca="1">IFERROR(__xludf.DUMMYFUNCTION("""COMPUTED_VALUE"""),0)</f>
        <v>0</v>
      </c>
      <c r="AJ90" s="113">
        <f ca="1">IFERROR(__xludf.DUMMYFUNCTION("""COMPUTED_VALUE"""),0)</f>
        <v>0</v>
      </c>
      <c r="AK90" s="113"/>
      <c r="AL90" s="116"/>
    </row>
    <row r="91" spans="1:38" ht="12.75">
      <c r="A91" s="112" t="str">
        <f ca="1">IFERROR(__xludf.DUMMYFUNCTION("""COMPUTED_VALUE"""),"17001579")</f>
        <v>17001579</v>
      </c>
      <c r="B91" s="113" t="str">
        <f ca="1">IFERROR(__xludf.DUMMYFUNCTION("""COMPUTED_VALUE"""),"Araguatins")</f>
        <v>Araguatins</v>
      </c>
      <c r="C91" s="113" t="str">
        <f ca="1">IFERROR(__xludf.DUMMYFUNCTION("""COMPUTED_VALUE"""),"Buriti do Tocantins")</f>
        <v>Buriti do Tocantins</v>
      </c>
      <c r="D91" s="114" t="str">
        <f ca="1">IFERROR(__xludf.DUMMYFUNCTION("""COMPUTED_VALUE"""),"A.A. ESC. ESTADUAL MINISTRO NEY BRAGA")</f>
        <v>A.A. ESC. ESTADUAL MINISTRO NEY BRAGA</v>
      </c>
      <c r="E91" s="113" t="str">
        <f ca="1">IFERROR(__xludf.DUMMYFUNCTION("""COMPUTED_VALUE"""),"Escola Estadual Ministro Ney Braga")</f>
        <v>Escola Estadual Ministro Ney Braga</v>
      </c>
      <c r="F91" s="115" t="str">
        <f ca="1">IFERROR(__xludf.DUMMYFUNCTION("""COMPUTED_VALUE"""),"17001579")</f>
        <v>17001579</v>
      </c>
      <c r="G91" s="113" t="str">
        <f ca="1">IFERROR(__xludf.DUMMYFUNCTION("""COMPUTED_VALUE"""),"01206220000139")</f>
        <v>01206220000139</v>
      </c>
      <c r="H91" s="115" t="str">
        <f ca="1">IFERROR(__xludf.DUMMYFUNCTION("""COMPUTED_VALUE"""),"001")</f>
        <v>001</v>
      </c>
      <c r="I91" s="115" t="str">
        <f ca="1">IFERROR(__xludf.DUMMYFUNCTION("""COMPUTED_VALUE"""),"1305")</f>
        <v>1305</v>
      </c>
      <c r="J91" s="115" t="str">
        <f ca="1">IFERROR(__xludf.DUMMYFUNCTION("""COMPUTED_VALUE"""),"10941X")</f>
        <v>10941X</v>
      </c>
      <c r="K91" s="113" t="e">
        <f ca="1"/>
        <v>#REF!</v>
      </c>
      <c r="L91" s="113" t="e">
        <f ca="1"/>
        <v>#REF!</v>
      </c>
      <c r="M91" s="113" t="e">
        <f ca="1"/>
        <v>#REF!</v>
      </c>
      <c r="N91" s="113" t="e">
        <f ca="1"/>
        <v>#REF!</v>
      </c>
      <c r="O91" s="113" t="e">
        <f ca="1"/>
        <v>#REF!</v>
      </c>
      <c r="P91" s="113" t="e">
        <f ca="1"/>
        <v>#REF!</v>
      </c>
      <c r="Q91" s="113" t="e">
        <f ca="1"/>
        <v>#REF!</v>
      </c>
      <c r="R91" s="113" t="e">
        <f ca="1"/>
        <v>#REF!</v>
      </c>
      <c r="S91" s="113" t="e">
        <f ca="1"/>
        <v>#REF!</v>
      </c>
      <c r="T91" s="113" t="e">
        <f ca="1"/>
        <v>#REF!</v>
      </c>
      <c r="U91" s="113" t="e">
        <f ca="1"/>
        <v>#REF!</v>
      </c>
      <c r="V91" s="113" t="e">
        <f ca="1"/>
        <v>#REF!</v>
      </c>
      <c r="W91" s="113" t="e">
        <f ca="1"/>
        <v>#REF!</v>
      </c>
      <c r="X91" s="113" t="e">
        <f ca="1"/>
        <v>#REF!</v>
      </c>
      <c r="Y91" s="113" t="e">
        <f ca="1"/>
        <v>#REF!</v>
      </c>
      <c r="Z91" s="113" t="e">
        <f ca="1"/>
        <v>#REF!</v>
      </c>
      <c r="AA91" s="113"/>
      <c r="AB91" s="113"/>
      <c r="AC91" s="113"/>
      <c r="AD91" s="113"/>
      <c r="AE91" s="113" t="str">
        <f ca="1">IFERROR(__xludf.DUMMYFUNCTION("""COMPUTED_VALUE"""),"Parcial")</f>
        <v>Parcial</v>
      </c>
      <c r="AF91" s="113" t="str">
        <f ca="1">IFERROR(__xludf.DUMMYFUNCTION("""COMPUTED_VALUE"""),"FE")</f>
        <v>FE</v>
      </c>
      <c r="AG91" s="113">
        <f ca="1">IFERROR(__xludf.DUMMYFUNCTION("""COMPUTED_VALUE"""),0)</f>
        <v>0</v>
      </c>
      <c r="AH91" s="113">
        <f ca="1">IFERROR(__xludf.DUMMYFUNCTION("""COMPUTED_VALUE"""),0)</f>
        <v>0</v>
      </c>
      <c r="AI91" s="113">
        <f ca="1">IFERROR(__xludf.DUMMYFUNCTION("""COMPUTED_VALUE"""),0)</f>
        <v>0</v>
      </c>
      <c r="AJ91" s="113">
        <f ca="1">IFERROR(__xludf.DUMMYFUNCTION("""COMPUTED_VALUE"""),0)</f>
        <v>0</v>
      </c>
      <c r="AK91" s="113"/>
      <c r="AL91" s="116"/>
    </row>
    <row r="92" spans="1:38" ht="12.75">
      <c r="A92" s="112" t="str">
        <f ca="1">IFERROR(__xludf.DUMMYFUNCTION("""COMPUTED_VALUE"""),"17001463")</f>
        <v>17001463</v>
      </c>
      <c r="B92" s="113" t="str">
        <f ca="1">IFERROR(__xludf.DUMMYFUNCTION("""COMPUTED_VALUE"""),"Araguatins")</f>
        <v>Araguatins</v>
      </c>
      <c r="C92" s="113" t="str">
        <f ca="1">IFERROR(__xludf.DUMMYFUNCTION("""COMPUTED_VALUE"""),"Buriti do Tocantins")</f>
        <v>Buriti do Tocantins</v>
      </c>
      <c r="D92" s="114" t="str">
        <f ca="1">IFERROR(__xludf.DUMMYFUNCTION("""COMPUTED_VALUE"""),"A.A. ESC. E.PRES.TANCREDO DE A.NEVES")</f>
        <v>A.A. ESC. E.PRES.TANCREDO DE A.NEVES</v>
      </c>
      <c r="E92" s="113" t="str">
        <f ca="1">IFERROR(__xludf.DUMMYFUNCTION("""COMPUTED_VALUE"""),"Escola Estadual Presidente Tancredo de Almeida Neves")</f>
        <v>Escola Estadual Presidente Tancredo de Almeida Neves</v>
      </c>
      <c r="F92" s="115" t="str">
        <f ca="1">IFERROR(__xludf.DUMMYFUNCTION("""COMPUTED_VALUE"""),"17001463")</f>
        <v>17001463</v>
      </c>
      <c r="G92" s="113" t="str">
        <f ca="1">IFERROR(__xludf.DUMMYFUNCTION("""COMPUTED_VALUE"""),"01112478000176")</f>
        <v>01112478000176</v>
      </c>
      <c r="H92" s="115" t="str">
        <f ca="1">IFERROR(__xludf.DUMMYFUNCTION("""COMPUTED_VALUE"""),"001")</f>
        <v>001</v>
      </c>
      <c r="I92" s="115" t="str">
        <f ca="1">IFERROR(__xludf.DUMMYFUNCTION("""COMPUTED_VALUE"""),"1305")</f>
        <v>1305</v>
      </c>
      <c r="J92" s="115" t="str">
        <f ca="1">IFERROR(__xludf.DUMMYFUNCTION("""COMPUTED_VALUE"""),"10924X")</f>
        <v>10924X</v>
      </c>
      <c r="K92" s="113" t="e">
        <f ca="1"/>
        <v>#REF!</v>
      </c>
      <c r="L92" s="113" t="e">
        <f ca="1"/>
        <v>#REF!</v>
      </c>
      <c r="M92" s="113" t="e">
        <f ca="1"/>
        <v>#REF!</v>
      </c>
      <c r="N92" s="113" t="e">
        <f ca="1"/>
        <v>#REF!</v>
      </c>
      <c r="O92" s="113" t="e">
        <f ca="1"/>
        <v>#REF!</v>
      </c>
      <c r="P92" s="113" t="e">
        <f ca="1"/>
        <v>#REF!</v>
      </c>
      <c r="Q92" s="113" t="e">
        <f ca="1"/>
        <v>#REF!</v>
      </c>
      <c r="R92" s="113" t="e">
        <f ca="1"/>
        <v>#REF!</v>
      </c>
      <c r="S92" s="113" t="e">
        <f ca="1"/>
        <v>#REF!</v>
      </c>
      <c r="T92" s="113" t="e">
        <f ca="1"/>
        <v>#REF!</v>
      </c>
      <c r="U92" s="113" t="e">
        <f ca="1"/>
        <v>#REF!</v>
      </c>
      <c r="V92" s="113" t="e">
        <f ca="1"/>
        <v>#REF!</v>
      </c>
      <c r="W92" s="113" t="e">
        <f ca="1"/>
        <v>#REF!</v>
      </c>
      <c r="X92" s="113" t="e">
        <f ca="1"/>
        <v>#REF!</v>
      </c>
      <c r="Y92" s="113" t="e">
        <f ca="1"/>
        <v>#REF!</v>
      </c>
      <c r="Z92" s="113" t="e">
        <f ca="1"/>
        <v>#REF!</v>
      </c>
      <c r="AA92" s="113"/>
      <c r="AB92" s="113"/>
      <c r="AC92" s="113"/>
      <c r="AD92" s="113"/>
      <c r="AE92" s="113" t="str">
        <f ca="1">IFERROR(__xludf.DUMMYFUNCTION("""COMPUTED_VALUE"""),"Parcial")</f>
        <v>Parcial</v>
      </c>
      <c r="AF92" s="113" t="str">
        <f ca="1">IFERROR(__xludf.DUMMYFUNCTION("""COMPUTED_VALUE"""),"FE")</f>
        <v>FE</v>
      </c>
      <c r="AG92" s="113">
        <f ca="1">IFERROR(__xludf.DUMMYFUNCTION("""COMPUTED_VALUE"""),0)</f>
        <v>0</v>
      </c>
      <c r="AH92" s="113">
        <f ca="1">IFERROR(__xludf.DUMMYFUNCTION("""COMPUTED_VALUE"""),0)</f>
        <v>0</v>
      </c>
      <c r="AI92" s="113">
        <f ca="1">IFERROR(__xludf.DUMMYFUNCTION("""COMPUTED_VALUE"""),0)</f>
        <v>0</v>
      </c>
      <c r="AJ92" s="113">
        <f ca="1">IFERROR(__xludf.DUMMYFUNCTION("""COMPUTED_VALUE"""),0)</f>
        <v>0</v>
      </c>
      <c r="AK92" s="113"/>
      <c r="AL92" s="116"/>
    </row>
    <row r="93" spans="1:38" ht="12.75">
      <c r="A93" s="112" t="str">
        <f ca="1">IFERROR(__xludf.DUMMYFUNCTION("""COMPUTED_VALUE"""),"17001471")</f>
        <v>17001471</v>
      </c>
      <c r="B93" s="113" t="str">
        <f ca="1">IFERROR(__xludf.DUMMYFUNCTION("""COMPUTED_VALUE"""),"Araguatins")</f>
        <v>Araguatins</v>
      </c>
      <c r="C93" s="113" t="str">
        <f ca="1">IFERROR(__xludf.DUMMYFUNCTION("""COMPUTED_VALUE"""),"Buriti do Tocantins")</f>
        <v>Buriti do Tocantins</v>
      </c>
      <c r="D93" s="114" t="str">
        <f ca="1">IFERROR(__xludf.DUMMYFUNCTION("""COMPUTED_VALUE"""),"A.A. ESC. EST. VICENTE CARLOS DE SOUSA")</f>
        <v>A.A. ESC. EST. VICENTE CARLOS DE SOUSA</v>
      </c>
      <c r="E93" s="113" t="str">
        <f ca="1">IFERROR(__xludf.DUMMYFUNCTION("""COMPUTED_VALUE"""),"Escola Estadual Vicente Carlos de Sousa")</f>
        <v>Escola Estadual Vicente Carlos de Sousa</v>
      </c>
      <c r="F93" s="115" t="str">
        <f ca="1">IFERROR(__xludf.DUMMYFUNCTION("""COMPUTED_VALUE"""),"17001471")</f>
        <v>17001471</v>
      </c>
      <c r="G93" s="113" t="str">
        <f ca="1">IFERROR(__xludf.DUMMYFUNCTION("""COMPUTED_VALUE"""),"01206288000118")</f>
        <v>01206288000118</v>
      </c>
      <c r="H93" s="115" t="str">
        <f ca="1">IFERROR(__xludf.DUMMYFUNCTION("""COMPUTED_VALUE"""),"001")</f>
        <v>001</v>
      </c>
      <c r="I93" s="115" t="str">
        <f ca="1">IFERROR(__xludf.DUMMYFUNCTION("""COMPUTED_VALUE"""),"1305")</f>
        <v>1305</v>
      </c>
      <c r="J93" s="115" t="str">
        <f ca="1">IFERROR(__xludf.DUMMYFUNCTION("""COMPUTED_VALUE"""),"0109614")</f>
        <v>0109614</v>
      </c>
      <c r="K93" s="113" t="e">
        <f ca="1"/>
        <v>#REF!</v>
      </c>
      <c r="L93" s="113" t="e">
        <f ca="1"/>
        <v>#REF!</v>
      </c>
      <c r="M93" s="113" t="e">
        <f ca="1"/>
        <v>#REF!</v>
      </c>
      <c r="N93" s="113" t="e">
        <f ca="1"/>
        <v>#REF!</v>
      </c>
      <c r="O93" s="113" t="e">
        <f ca="1"/>
        <v>#REF!</v>
      </c>
      <c r="P93" s="113" t="e">
        <f ca="1"/>
        <v>#REF!</v>
      </c>
      <c r="Q93" s="113" t="e">
        <f ca="1"/>
        <v>#REF!</v>
      </c>
      <c r="R93" s="113" t="e">
        <f ca="1"/>
        <v>#REF!</v>
      </c>
      <c r="S93" s="113" t="e">
        <f ca="1"/>
        <v>#REF!</v>
      </c>
      <c r="T93" s="113" t="e">
        <f ca="1"/>
        <v>#REF!</v>
      </c>
      <c r="U93" s="113" t="e">
        <f ca="1"/>
        <v>#REF!</v>
      </c>
      <c r="V93" s="113" t="e">
        <f ca="1"/>
        <v>#REF!</v>
      </c>
      <c r="W93" s="113" t="e">
        <f ca="1"/>
        <v>#REF!</v>
      </c>
      <c r="X93" s="113" t="e">
        <f ca="1"/>
        <v>#REF!</v>
      </c>
      <c r="Y93" s="113" t="e">
        <f ca="1"/>
        <v>#REF!</v>
      </c>
      <c r="Z93" s="113" t="e">
        <f ca="1"/>
        <v>#REF!</v>
      </c>
      <c r="AA93" s="113"/>
      <c r="AB93" s="113"/>
      <c r="AC93" s="113"/>
      <c r="AD93" s="113"/>
      <c r="AE93" s="113" t="str">
        <f ca="1">IFERROR(__xludf.DUMMYFUNCTION("""COMPUTED_VALUE"""),"Parcial")</f>
        <v>Parcial</v>
      </c>
      <c r="AF93" s="113" t="str">
        <f ca="1">IFERROR(__xludf.DUMMYFUNCTION("""COMPUTED_VALUE"""),"FE")</f>
        <v>FE</v>
      </c>
      <c r="AG93" s="113">
        <f ca="1">IFERROR(__xludf.DUMMYFUNCTION("""COMPUTED_VALUE"""),0)</f>
        <v>0</v>
      </c>
      <c r="AH93" s="113">
        <f ca="1">IFERROR(__xludf.DUMMYFUNCTION("""COMPUTED_VALUE"""),0)</f>
        <v>0</v>
      </c>
      <c r="AI93" s="113">
        <f ca="1">IFERROR(__xludf.DUMMYFUNCTION("""COMPUTED_VALUE"""),0)</f>
        <v>0</v>
      </c>
      <c r="AJ93" s="113">
        <f ca="1">IFERROR(__xludf.DUMMYFUNCTION("""COMPUTED_VALUE"""),0)</f>
        <v>0</v>
      </c>
      <c r="AK93" s="113"/>
      <c r="AL93" s="116"/>
    </row>
    <row r="94" spans="1:38" ht="12.75">
      <c r="A94" s="112" t="str">
        <f ca="1">IFERROR(__xludf.DUMMYFUNCTION("""COMPUTED_VALUE"""),"17001650")</f>
        <v>17001650</v>
      </c>
      <c r="B94" s="113" t="str">
        <f ca="1">IFERROR(__xludf.DUMMYFUNCTION("""COMPUTED_VALUE"""),"Araguatins")</f>
        <v>Araguatins</v>
      </c>
      <c r="C94" s="113" t="str">
        <f ca="1">IFERROR(__xludf.DUMMYFUNCTION("""COMPUTED_VALUE"""),"Carrasco Bonito")</f>
        <v>Carrasco Bonito</v>
      </c>
      <c r="D94" s="114" t="str">
        <f ca="1">IFERROR(__xludf.DUMMYFUNCTION("""COMPUTED_VALUE"""),"A.A. DA ESC. EST. CICERO GOMES")</f>
        <v>A.A. DA ESC. EST. CICERO GOMES</v>
      </c>
      <c r="E94" s="113" t="str">
        <f ca="1">IFERROR(__xludf.DUMMYFUNCTION("""COMPUTED_VALUE"""),"Escola Estadual Cícero Gomes de Jesus")</f>
        <v>Escola Estadual Cícero Gomes de Jesus</v>
      </c>
      <c r="F94" s="115" t="str">
        <f ca="1">IFERROR(__xludf.DUMMYFUNCTION("""COMPUTED_VALUE"""),"17001650")</f>
        <v>17001650</v>
      </c>
      <c r="G94" s="113" t="str">
        <f ca="1">IFERROR(__xludf.DUMMYFUNCTION("""COMPUTED_VALUE"""),"01068377000145")</f>
        <v>01068377000145</v>
      </c>
      <c r="H94" s="115" t="str">
        <f ca="1">IFERROR(__xludf.DUMMYFUNCTION("""COMPUTED_VALUE"""),"001")</f>
        <v>001</v>
      </c>
      <c r="I94" s="115" t="str">
        <f ca="1">IFERROR(__xludf.DUMMYFUNCTION("""COMPUTED_VALUE"""),"3975")</f>
        <v>3975</v>
      </c>
      <c r="J94" s="115" t="str">
        <f ca="1">IFERROR(__xludf.DUMMYFUNCTION("""COMPUTED_VALUE"""),"19291")</f>
        <v>19291</v>
      </c>
      <c r="K94" s="113" t="e">
        <f ca="1"/>
        <v>#REF!</v>
      </c>
      <c r="L94" s="113" t="e">
        <f ca="1"/>
        <v>#REF!</v>
      </c>
      <c r="M94" s="113" t="e">
        <f ca="1"/>
        <v>#REF!</v>
      </c>
      <c r="N94" s="113" t="e">
        <f ca="1"/>
        <v>#REF!</v>
      </c>
      <c r="O94" s="113" t="e">
        <f ca="1"/>
        <v>#REF!</v>
      </c>
      <c r="P94" s="113" t="e">
        <f ca="1"/>
        <v>#REF!</v>
      </c>
      <c r="Q94" s="113" t="e">
        <f ca="1"/>
        <v>#REF!</v>
      </c>
      <c r="R94" s="113" t="e">
        <f ca="1"/>
        <v>#REF!</v>
      </c>
      <c r="S94" s="113" t="e">
        <f ca="1"/>
        <v>#REF!</v>
      </c>
      <c r="T94" s="113" t="e">
        <f ca="1"/>
        <v>#REF!</v>
      </c>
      <c r="U94" s="113" t="e">
        <f ca="1"/>
        <v>#REF!</v>
      </c>
      <c r="V94" s="113" t="e">
        <f ca="1"/>
        <v>#REF!</v>
      </c>
      <c r="W94" s="113" t="e">
        <f ca="1"/>
        <v>#REF!</v>
      </c>
      <c r="X94" s="113" t="e">
        <f ca="1"/>
        <v>#REF!</v>
      </c>
      <c r="Y94" s="113" t="e">
        <f ca="1"/>
        <v>#REF!</v>
      </c>
      <c r="Z94" s="113" t="e">
        <f ca="1"/>
        <v>#REF!</v>
      </c>
      <c r="AA94" s="113"/>
      <c r="AB94" s="113"/>
      <c r="AC94" s="113"/>
      <c r="AD94" s="113"/>
      <c r="AE94" s="113" t="str">
        <f ca="1">IFERROR(__xludf.DUMMYFUNCTION("""COMPUTED_VALUE"""),"Parcial")</f>
        <v>Parcial</v>
      </c>
      <c r="AF94" s="113" t="str">
        <f ca="1">IFERROR(__xludf.DUMMYFUNCTION("""COMPUTED_VALUE"""),"FE")</f>
        <v>FE</v>
      </c>
      <c r="AG94" s="113">
        <f ca="1">IFERROR(__xludf.DUMMYFUNCTION("""COMPUTED_VALUE"""),0)</f>
        <v>0</v>
      </c>
      <c r="AH94" s="113">
        <f ca="1">IFERROR(__xludf.DUMMYFUNCTION("""COMPUTED_VALUE"""),0)</f>
        <v>0</v>
      </c>
      <c r="AI94" s="113">
        <f ca="1">IFERROR(__xludf.DUMMYFUNCTION("""COMPUTED_VALUE"""),0)</f>
        <v>0</v>
      </c>
      <c r="AJ94" s="113">
        <f ca="1">IFERROR(__xludf.DUMMYFUNCTION("""COMPUTED_VALUE"""),0)</f>
        <v>0</v>
      </c>
      <c r="AK94" s="113"/>
      <c r="AL94" s="116"/>
    </row>
    <row r="95" spans="1:38" ht="12.75">
      <c r="A95" s="112" t="str">
        <f ca="1">IFERROR(__xludf.DUMMYFUNCTION("""COMPUTED_VALUE"""),"17001668")</f>
        <v>17001668</v>
      </c>
      <c r="B95" s="113" t="str">
        <f ca="1">IFERROR(__xludf.DUMMYFUNCTION("""COMPUTED_VALUE"""),"Araguatins")</f>
        <v>Araguatins</v>
      </c>
      <c r="C95" s="113" t="str">
        <f ca="1">IFERROR(__xludf.DUMMYFUNCTION("""COMPUTED_VALUE"""),"Carrasco Bonito")</f>
        <v>Carrasco Bonito</v>
      </c>
      <c r="D95" s="114" t="str">
        <f ca="1">IFERROR(__xludf.DUMMYFUNCTION("""COMPUTED_VALUE"""),"A.A.  DA ESCOLA ESTADUAL INES VIANA")</f>
        <v>A.A.  DA ESCOLA ESTADUAL INES VIANA</v>
      </c>
      <c r="E95" s="113" t="str">
        <f ca="1">IFERROR(__xludf.DUMMYFUNCTION("""COMPUTED_VALUE"""),"Escola Estadual Inês Viana Costa")</f>
        <v>Escola Estadual Inês Viana Costa</v>
      </c>
      <c r="F95" s="115" t="str">
        <f ca="1">IFERROR(__xludf.DUMMYFUNCTION("""COMPUTED_VALUE"""),"17001668")</f>
        <v>17001668</v>
      </c>
      <c r="G95" s="113" t="str">
        <f ca="1">IFERROR(__xludf.DUMMYFUNCTION("""COMPUTED_VALUE"""),"02508340000153")</f>
        <v>02508340000153</v>
      </c>
      <c r="H95" s="115" t="str">
        <f ca="1">IFERROR(__xludf.DUMMYFUNCTION("""COMPUTED_VALUE"""),"001")</f>
        <v>001</v>
      </c>
      <c r="I95" s="115" t="str">
        <f ca="1">IFERROR(__xludf.DUMMYFUNCTION("""COMPUTED_VALUE"""),"3975")</f>
        <v>3975</v>
      </c>
      <c r="J95" s="115" t="str">
        <f ca="1">IFERROR(__xludf.DUMMYFUNCTION("""COMPUTED_VALUE"""),"51713")</f>
        <v>51713</v>
      </c>
      <c r="K95" s="113" t="e">
        <f ca="1"/>
        <v>#REF!</v>
      </c>
      <c r="L95" s="113" t="e">
        <f ca="1"/>
        <v>#REF!</v>
      </c>
      <c r="M95" s="113" t="e">
        <f ca="1"/>
        <v>#REF!</v>
      </c>
      <c r="N95" s="113" t="e">
        <f ca="1"/>
        <v>#REF!</v>
      </c>
      <c r="O95" s="113" t="e">
        <f ca="1"/>
        <v>#REF!</v>
      </c>
      <c r="P95" s="113" t="e">
        <f ca="1"/>
        <v>#REF!</v>
      </c>
      <c r="Q95" s="113" t="e">
        <f ca="1"/>
        <v>#REF!</v>
      </c>
      <c r="R95" s="113" t="e">
        <f ca="1"/>
        <v>#REF!</v>
      </c>
      <c r="S95" s="113" t="e">
        <f ca="1"/>
        <v>#REF!</v>
      </c>
      <c r="T95" s="113" t="e">
        <f ca="1"/>
        <v>#REF!</v>
      </c>
      <c r="U95" s="113" t="e">
        <f ca="1"/>
        <v>#REF!</v>
      </c>
      <c r="V95" s="113" t="e">
        <f ca="1"/>
        <v>#REF!</v>
      </c>
      <c r="W95" s="113" t="e">
        <f ca="1"/>
        <v>#REF!</v>
      </c>
      <c r="X95" s="113" t="e">
        <f ca="1"/>
        <v>#REF!</v>
      </c>
      <c r="Y95" s="113" t="e">
        <f ca="1"/>
        <v>#REF!</v>
      </c>
      <c r="Z95" s="113" t="e">
        <f ca="1"/>
        <v>#REF!</v>
      </c>
      <c r="AA95" s="113"/>
      <c r="AB95" s="113"/>
      <c r="AC95" s="113"/>
      <c r="AD95" s="113"/>
      <c r="AE95" s="113" t="str">
        <f ca="1">IFERROR(__xludf.DUMMYFUNCTION("""COMPUTED_VALUE"""),"Parcial")</f>
        <v>Parcial</v>
      </c>
      <c r="AF95" s="113" t="str">
        <f ca="1">IFERROR(__xludf.DUMMYFUNCTION("""COMPUTED_VALUE"""),"FE")</f>
        <v>FE</v>
      </c>
      <c r="AG95" s="113">
        <f ca="1">IFERROR(__xludf.DUMMYFUNCTION("""COMPUTED_VALUE"""),0)</f>
        <v>0</v>
      </c>
      <c r="AH95" s="113">
        <f ca="1">IFERROR(__xludf.DUMMYFUNCTION("""COMPUTED_VALUE"""),0)</f>
        <v>0</v>
      </c>
      <c r="AI95" s="113">
        <f ca="1">IFERROR(__xludf.DUMMYFUNCTION("""COMPUTED_VALUE"""),0)</f>
        <v>0</v>
      </c>
      <c r="AJ95" s="113">
        <f ca="1">IFERROR(__xludf.DUMMYFUNCTION("""COMPUTED_VALUE"""),0)</f>
        <v>0</v>
      </c>
      <c r="AK95" s="113"/>
      <c r="AL95" s="116"/>
    </row>
    <row r="96" spans="1:38" ht="12.75">
      <c r="A96" s="112" t="str">
        <f ca="1">IFERROR(__xludf.DUMMYFUNCTION("""COMPUTED_VALUE"""),"17039932")</f>
        <v>17039932</v>
      </c>
      <c r="B96" s="113" t="str">
        <f ca="1">IFERROR(__xludf.DUMMYFUNCTION("""COMPUTED_VALUE"""),"Araguatins")</f>
        <v>Araguatins</v>
      </c>
      <c r="C96" s="113" t="str">
        <f ca="1">IFERROR(__xludf.DUMMYFUNCTION("""COMPUTED_VALUE"""),"Esperantina")</f>
        <v>Esperantina</v>
      </c>
      <c r="D96" s="114" t="str">
        <f ca="1">IFERROR(__xludf.DUMMYFUNCTION("""COMPUTED_VALUE"""),"A.A. ESC. EST. JOAQUINA MARIA DA SILVA")</f>
        <v>A.A. ESC. EST. JOAQUINA MARIA DA SILVA</v>
      </c>
      <c r="E96" s="113" t="str">
        <f ca="1">IFERROR(__xludf.DUMMYFUNCTION("""COMPUTED_VALUE"""),"Colégio Estadual Joaquina Maria da Silva")</f>
        <v>Colégio Estadual Joaquina Maria da Silva</v>
      </c>
      <c r="F96" s="115" t="str">
        <f ca="1">IFERROR(__xludf.DUMMYFUNCTION("""COMPUTED_VALUE"""),"17039932")</f>
        <v>17039932</v>
      </c>
      <c r="G96" s="113" t="str">
        <f ca="1">IFERROR(__xludf.DUMMYFUNCTION("""COMPUTED_VALUE"""),"01113183000114")</f>
        <v>01113183000114</v>
      </c>
      <c r="H96" s="115" t="str">
        <f ca="1">IFERROR(__xludf.DUMMYFUNCTION("""COMPUTED_VALUE"""),"001")</f>
        <v>001</v>
      </c>
      <c r="I96" s="115" t="str">
        <f ca="1">IFERROR(__xludf.DUMMYFUNCTION("""COMPUTED_VALUE"""),"1305")</f>
        <v>1305</v>
      </c>
      <c r="J96" s="115" t="str">
        <f ca="1">IFERROR(__xludf.DUMMYFUNCTION("""COMPUTED_VALUE"""),"109665")</f>
        <v>109665</v>
      </c>
      <c r="K96" s="113" t="e">
        <f ca="1"/>
        <v>#REF!</v>
      </c>
      <c r="L96" s="113" t="e">
        <f ca="1"/>
        <v>#REF!</v>
      </c>
      <c r="M96" s="113" t="e">
        <f ca="1"/>
        <v>#REF!</v>
      </c>
      <c r="N96" s="113" t="e">
        <f ca="1"/>
        <v>#REF!</v>
      </c>
      <c r="O96" s="113" t="e">
        <f ca="1"/>
        <v>#REF!</v>
      </c>
      <c r="P96" s="113" t="e">
        <f ca="1"/>
        <v>#REF!</v>
      </c>
      <c r="Q96" s="113" t="e">
        <f ca="1"/>
        <v>#REF!</v>
      </c>
      <c r="R96" s="113" t="e">
        <f ca="1"/>
        <v>#REF!</v>
      </c>
      <c r="S96" s="113" t="e">
        <f ca="1"/>
        <v>#REF!</v>
      </c>
      <c r="T96" s="113" t="e">
        <f ca="1"/>
        <v>#REF!</v>
      </c>
      <c r="U96" s="113" t="e">
        <f ca="1"/>
        <v>#REF!</v>
      </c>
      <c r="V96" s="113" t="e">
        <f ca="1"/>
        <v>#REF!</v>
      </c>
      <c r="W96" s="113" t="e">
        <f ca="1"/>
        <v>#REF!</v>
      </c>
      <c r="X96" s="113" t="e">
        <f ca="1"/>
        <v>#REF!</v>
      </c>
      <c r="Y96" s="113" t="e">
        <f ca="1"/>
        <v>#REF!</v>
      </c>
      <c r="Z96" s="113" t="e">
        <f ca="1"/>
        <v>#REF!</v>
      </c>
      <c r="AA96" s="113"/>
      <c r="AB96" s="113"/>
      <c r="AC96" s="113"/>
      <c r="AD96" s="113" t="str">
        <f ca="1">IFERROR(__xludf.DUMMYFUNCTION("""COMPUTED_VALUE"""),"E.M. INTEGRADO")</f>
        <v>E.M. INTEGRADO</v>
      </c>
      <c r="AE96" s="113" t="str">
        <f ca="1">IFERROR(__xludf.DUMMYFUNCTION("""COMPUTED_VALUE"""),"Parcial")</f>
        <v>Parcial</v>
      </c>
      <c r="AF96" s="113" t="str">
        <f ca="1">IFERROR(__xludf.DUMMYFUNCTION("""COMPUTED_VALUE"""),"FE")</f>
        <v>FE</v>
      </c>
      <c r="AG96" s="113">
        <f ca="1">IFERROR(__xludf.DUMMYFUNCTION("""COMPUTED_VALUE"""),0)</f>
        <v>0</v>
      </c>
      <c r="AH96" s="113">
        <f ca="1">IFERROR(__xludf.DUMMYFUNCTION("""COMPUTED_VALUE"""),0)</f>
        <v>0</v>
      </c>
      <c r="AI96" s="113">
        <f ca="1">IFERROR(__xludf.DUMMYFUNCTION("""COMPUTED_VALUE"""),0)</f>
        <v>0</v>
      </c>
      <c r="AJ96" s="113">
        <f ca="1">IFERROR(__xludf.DUMMYFUNCTION("""COMPUTED_VALUE"""),0)</f>
        <v>0</v>
      </c>
      <c r="AK96" s="113"/>
      <c r="AL96" s="116"/>
    </row>
    <row r="97" spans="1:38" ht="12.75">
      <c r="A97" s="112" t="str">
        <f ca="1">IFERROR(__xludf.DUMMYFUNCTION("""COMPUTED_VALUE"""),"17001935")</f>
        <v>17001935</v>
      </c>
      <c r="B97" s="113" t="str">
        <f ca="1">IFERROR(__xludf.DUMMYFUNCTION("""COMPUTED_VALUE"""),"Araguatins")</f>
        <v>Araguatins</v>
      </c>
      <c r="C97" s="113" t="str">
        <f ca="1">IFERROR(__xludf.DUMMYFUNCTION("""COMPUTED_VALUE"""),"Esperantina")</f>
        <v>Esperantina</v>
      </c>
      <c r="D97" s="114" t="str">
        <f ca="1">IFERROR(__xludf.DUMMYFUNCTION("""COMPUTED_VALUE"""),"A.A. ESC. ESTADUAL ULISSES GUIMARAES")</f>
        <v>A.A. ESC. ESTADUAL ULISSES GUIMARAES</v>
      </c>
      <c r="E97" s="113" t="str">
        <f ca="1">IFERROR(__xludf.DUMMYFUNCTION("""COMPUTED_VALUE"""),"Escola Estadual Doutor Ulisses Guimarães")</f>
        <v>Escola Estadual Doutor Ulisses Guimarães</v>
      </c>
      <c r="F97" s="115" t="str">
        <f ca="1">IFERROR(__xludf.DUMMYFUNCTION("""COMPUTED_VALUE"""),"17001935")</f>
        <v>17001935</v>
      </c>
      <c r="G97" s="113" t="str">
        <f ca="1">IFERROR(__xludf.DUMMYFUNCTION("""COMPUTED_VALUE"""),"01190183000118")</f>
        <v>01190183000118</v>
      </c>
      <c r="H97" s="115" t="str">
        <f ca="1">IFERROR(__xludf.DUMMYFUNCTION("""COMPUTED_VALUE"""),"001")</f>
        <v>001</v>
      </c>
      <c r="I97" s="115" t="str">
        <f ca="1">IFERROR(__xludf.DUMMYFUNCTION("""COMPUTED_VALUE"""),"1305")</f>
        <v>1305</v>
      </c>
      <c r="J97" s="115" t="str">
        <f ca="1">IFERROR(__xludf.DUMMYFUNCTION("""COMPUTED_VALUE"""),"109363")</f>
        <v>109363</v>
      </c>
      <c r="K97" s="113" t="e">
        <f ca="1"/>
        <v>#REF!</v>
      </c>
      <c r="L97" s="113" t="e">
        <f ca="1"/>
        <v>#REF!</v>
      </c>
      <c r="M97" s="113" t="e">
        <f ca="1"/>
        <v>#REF!</v>
      </c>
      <c r="N97" s="113" t="e">
        <f ca="1"/>
        <v>#REF!</v>
      </c>
      <c r="O97" s="113" t="e">
        <f ca="1"/>
        <v>#REF!</v>
      </c>
      <c r="P97" s="113" t="e">
        <f ca="1"/>
        <v>#REF!</v>
      </c>
      <c r="Q97" s="113" t="e">
        <f ca="1"/>
        <v>#REF!</v>
      </c>
      <c r="R97" s="113" t="e">
        <f ca="1"/>
        <v>#REF!</v>
      </c>
      <c r="S97" s="113" t="e">
        <f ca="1"/>
        <v>#REF!</v>
      </c>
      <c r="T97" s="113" t="e">
        <f ca="1"/>
        <v>#REF!</v>
      </c>
      <c r="U97" s="113" t="e">
        <f ca="1"/>
        <v>#REF!</v>
      </c>
      <c r="V97" s="113" t="e">
        <f ca="1"/>
        <v>#REF!</v>
      </c>
      <c r="W97" s="113" t="e">
        <f ca="1"/>
        <v>#REF!</v>
      </c>
      <c r="X97" s="113" t="e">
        <f ca="1"/>
        <v>#REF!</v>
      </c>
      <c r="Y97" s="113" t="e">
        <f ca="1"/>
        <v>#REF!</v>
      </c>
      <c r="Z97" s="113" t="e">
        <f ca="1"/>
        <v>#REF!</v>
      </c>
      <c r="AA97" s="113"/>
      <c r="AB97" s="113"/>
      <c r="AC97" s="113"/>
      <c r="AD97" s="113" t="str">
        <f ca="1">IFERROR(__xludf.DUMMYFUNCTION("""COMPUTED_VALUE"""),"E.M. INTEGRADO")</f>
        <v>E.M. INTEGRADO</v>
      </c>
      <c r="AE97" s="113" t="str">
        <f ca="1">IFERROR(__xludf.DUMMYFUNCTION("""COMPUTED_VALUE"""),"Parcial")</f>
        <v>Parcial</v>
      </c>
      <c r="AF97" s="113" t="str">
        <f ca="1">IFERROR(__xludf.DUMMYFUNCTION("""COMPUTED_VALUE"""),"FE")</f>
        <v>FE</v>
      </c>
      <c r="AG97" s="113">
        <f ca="1">IFERROR(__xludf.DUMMYFUNCTION("""COMPUTED_VALUE"""),0)</f>
        <v>0</v>
      </c>
      <c r="AH97" s="113">
        <f ca="1">IFERROR(__xludf.DUMMYFUNCTION("""COMPUTED_VALUE"""),0)</f>
        <v>0</v>
      </c>
      <c r="AI97" s="113">
        <f ca="1">IFERROR(__xludf.DUMMYFUNCTION("""COMPUTED_VALUE"""),0)</f>
        <v>0</v>
      </c>
      <c r="AJ97" s="113">
        <f ca="1">IFERROR(__xludf.DUMMYFUNCTION("""COMPUTED_VALUE"""),0)</f>
        <v>0</v>
      </c>
      <c r="AK97" s="113"/>
      <c r="AL97" s="116"/>
    </row>
    <row r="98" spans="1:38" ht="12.75">
      <c r="A98" s="112" t="str">
        <f ca="1">IFERROR(__xludf.DUMMYFUNCTION("""COMPUTED_VALUE"""),"17054796")</f>
        <v>17054796</v>
      </c>
      <c r="B98" s="113" t="str">
        <f ca="1">IFERROR(__xludf.DUMMYFUNCTION("""COMPUTED_VALUE"""),"Araguatins")</f>
        <v>Araguatins</v>
      </c>
      <c r="C98" s="113" t="str">
        <f ca="1">IFERROR(__xludf.DUMMYFUNCTION("""COMPUTED_VALUE"""),"Esperantina")</f>
        <v>Esperantina</v>
      </c>
      <c r="D98" s="114" t="str">
        <f ca="1">IFERROR(__xludf.DUMMYFUNCTION("""COMPUTED_VALUE"""),"A.A. ESC. FAMÍLIA AGRÍCOLA DO BICO DO PAPAGAIO")</f>
        <v>A.A. ESC. FAMÍLIA AGRÍCOLA DO BICO DO PAPAGAIO</v>
      </c>
      <c r="E98" s="113" t="str">
        <f ca="1">IFERROR(__xludf.DUMMYFUNCTION("""COMPUTED_VALUE"""),"Escola Família Agricola do Bico do Papagaio Padre Josimo")</f>
        <v>Escola Família Agricola do Bico do Papagaio Padre Josimo</v>
      </c>
      <c r="F98" s="115" t="str">
        <f ca="1">IFERROR(__xludf.DUMMYFUNCTION("""COMPUTED_VALUE"""),"17054796")</f>
        <v>17054796</v>
      </c>
      <c r="G98" s="113" t="str">
        <f ca="1">IFERROR(__xludf.DUMMYFUNCTION("""COMPUTED_VALUE"""),"09500499000170")</f>
        <v>09500499000170</v>
      </c>
      <c r="H98" s="115" t="str">
        <f ca="1">IFERROR(__xludf.DUMMYFUNCTION("""COMPUTED_VALUE"""),"001")</f>
        <v>001</v>
      </c>
      <c r="I98" s="115" t="str">
        <f ca="1">IFERROR(__xludf.DUMMYFUNCTION("""COMPUTED_VALUE"""),"3975")</f>
        <v>3975</v>
      </c>
      <c r="J98" s="115" t="str">
        <f ca="1">IFERROR(__xludf.DUMMYFUNCTION("""COMPUTED_VALUE"""),"232653")</f>
        <v>232653</v>
      </c>
      <c r="K98" s="113" t="e">
        <f ca="1"/>
        <v>#REF!</v>
      </c>
      <c r="L98" s="113" t="e">
        <f ca="1"/>
        <v>#REF!</v>
      </c>
      <c r="M98" s="113" t="e">
        <f ca="1"/>
        <v>#REF!</v>
      </c>
      <c r="N98" s="113" t="e">
        <f ca="1"/>
        <v>#REF!</v>
      </c>
      <c r="O98" s="113" t="e">
        <f ca="1"/>
        <v>#REF!</v>
      </c>
      <c r="P98" s="113" t="e">
        <f ca="1"/>
        <v>#REF!</v>
      </c>
      <c r="Q98" s="113" t="e">
        <f ca="1"/>
        <v>#REF!</v>
      </c>
      <c r="R98" s="113" t="e">
        <f ca="1"/>
        <v>#REF!</v>
      </c>
      <c r="S98" s="113" t="e">
        <f ca="1"/>
        <v>#REF!</v>
      </c>
      <c r="T98" s="113" t="e">
        <f ca="1"/>
        <v>#REF!</v>
      </c>
      <c r="U98" s="113" t="e">
        <f ca="1"/>
        <v>#REF!</v>
      </c>
      <c r="V98" s="113" t="e">
        <f ca="1"/>
        <v>#REF!</v>
      </c>
      <c r="W98" s="113" t="e">
        <f ca="1"/>
        <v>#REF!</v>
      </c>
      <c r="X98" s="113" t="e">
        <f ca="1"/>
        <v>#REF!</v>
      </c>
      <c r="Y98" s="113" t="e">
        <f ca="1"/>
        <v>#REF!</v>
      </c>
      <c r="Z98" s="113" t="e">
        <f ca="1"/>
        <v>#REF!</v>
      </c>
      <c r="AA98" s="113"/>
      <c r="AB98" s="113"/>
      <c r="AC98" s="113"/>
      <c r="AD98" s="113" t="str">
        <f ca="1">IFERROR(__xludf.DUMMYFUNCTION("""COMPUTED_VALUE"""),"AGRÍCOLA")</f>
        <v>AGRÍCOLA</v>
      </c>
      <c r="AE98" s="113" t="str">
        <f ca="1">IFERROR(__xludf.DUMMYFUNCTION("""COMPUTED_VALUE"""),"Integral")</f>
        <v>Integral</v>
      </c>
      <c r="AF98" s="113" t="str">
        <f ca="1">IFERROR(__xludf.DUMMYFUNCTION("""COMPUTED_VALUE"""),"FE")</f>
        <v>FE</v>
      </c>
      <c r="AG98" s="113">
        <f ca="1">IFERROR(__xludf.DUMMYFUNCTION("""COMPUTED_VALUE"""),0)</f>
        <v>0</v>
      </c>
      <c r="AH98" s="113">
        <f ca="1">IFERROR(__xludf.DUMMYFUNCTION("""COMPUTED_VALUE"""),0)</f>
        <v>0</v>
      </c>
      <c r="AI98" s="113">
        <f ca="1">IFERROR(__xludf.DUMMYFUNCTION("""COMPUTED_VALUE"""),15)</f>
        <v>15</v>
      </c>
      <c r="AJ98" s="113">
        <f ca="1">IFERROR(__xludf.DUMMYFUNCTION("""COMPUTED_VALUE"""),0)</f>
        <v>0</v>
      </c>
      <c r="AK98" s="113"/>
      <c r="AL98" s="116"/>
    </row>
    <row r="99" spans="1:38" ht="12.75">
      <c r="A99" s="112" t="str">
        <f ca="1">IFERROR(__xludf.DUMMYFUNCTION("""COMPUTED_VALUE"""),"17003075")</f>
        <v>17003075</v>
      </c>
      <c r="B99" s="113" t="str">
        <f ca="1">IFERROR(__xludf.DUMMYFUNCTION("""COMPUTED_VALUE"""),"Araguatins")</f>
        <v>Araguatins</v>
      </c>
      <c r="C99" s="113" t="str">
        <f ca="1">IFERROR(__xludf.DUMMYFUNCTION("""COMPUTED_VALUE"""),"Praia Norte")</f>
        <v>Praia Norte</v>
      </c>
      <c r="D99" s="114" t="str">
        <f ca="1">IFERROR(__xludf.DUMMYFUNCTION("""COMPUTED_VALUE"""),"ASS. DE AP.ESCOLA EST. Iº DE JUNHO")</f>
        <v>ASS. DE AP.ESCOLA EST. Iº DE JUNHO</v>
      </c>
      <c r="E99" s="113" t="str">
        <f ca="1">IFERROR(__xludf.DUMMYFUNCTION("""COMPUTED_VALUE"""),"Escola Estadual 1º de Junho")</f>
        <v>Escola Estadual 1º de Junho</v>
      </c>
      <c r="F99" s="115" t="str">
        <f ca="1">IFERROR(__xludf.DUMMYFUNCTION("""COMPUTED_VALUE"""),"17003075")</f>
        <v>17003075</v>
      </c>
      <c r="G99" s="113" t="str">
        <f ca="1">IFERROR(__xludf.DUMMYFUNCTION("""COMPUTED_VALUE"""),"01392734000126")</f>
        <v>01392734000126</v>
      </c>
      <c r="H99" s="115" t="str">
        <f ca="1">IFERROR(__xludf.DUMMYFUNCTION("""COMPUTED_VALUE"""),"001")</f>
        <v>001</v>
      </c>
      <c r="I99" s="115" t="str">
        <f ca="1">IFERROR(__xludf.DUMMYFUNCTION("""COMPUTED_VALUE"""),"3975")</f>
        <v>3975</v>
      </c>
      <c r="J99" s="115" t="str">
        <f ca="1">IFERROR(__xludf.DUMMYFUNCTION("""COMPUTED_VALUE"""),"19712")</f>
        <v>19712</v>
      </c>
      <c r="K99" s="113" t="e">
        <f ca="1"/>
        <v>#REF!</v>
      </c>
      <c r="L99" s="113" t="e">
        <f ca="1"/>
        <v>#REF!</v>
      </c>
      <c r="M99" s="113" t="e">
        <f ca="1"/>
        <v>#REF!</v>
      </c>
      <c r="N99" s="113" t="e">
        <f ca="1"/>
        <v>#REF!</v>
      </c>
      <c r="O99" s="113" t="e">
        <f ca="1"/>
        <v>#REF!</v>
      </c>
      <c r="P99" s="113" t="e">
        <f ca="1"/>
        <v>#REF!</v>
      </c>
      <c r="Q99" s="113" t="e">
        <f ca="1"/>
        <v>#REF!</v>
      </c>
      <c r="R99" s="113" t="e">
        <f ca="1"/>
        <v>#REF!</v>
      </c>
      <c r="S99" s="113" t="e">
        <f ca="1"/>
        <v>#REF!</v>
      </c>
      <c r="T99" s="113" t="e">
        <f ca="1"/>
        <v>#REF!</v>
      </c>
      <c r="U99" s="113" t="e">
        <f ca="1"/>
        <v>#REF!</v>
      </c>
      <c r="V99" s="113" t="e">
        <f ca="1"/>
        <v>#REF!</v>
      </c>
      <c r="W99" s="113" t="e">
        <f ca="1"/>
        <v>#REF!</v>
      </c>
      <c r="X99" s="113" t="e">
        <f ca="1"/>
        <v>#REF!</v>
      </c>
      <c r="Y99" s="113" t="e">
        <f ca="1"/>
        <v>#REF!</v>
      </c>
      <c r="Z99" s="113" t="e">
        <f ca="1"/>
        <v>#REF!</v>
      </c>
      <c r="AA99" s="113"/>
      <c r="AB99" s="113"/>
      <c r="AC99" s="113"/>
      <c r="AD99" s="113"/>
      <c r="AE99" s="113" t="str">
        <f ca="1">IFERROR(__xludf.DUMMYFUNCTION("""COMPUTED_VALUE"""),"Parcial")</f>
        <v>Parcial</v>
      </c>
      <c r="AF99" s="113" t="str">
        <f ca="1">IFERROR(__xludf.DUMMYFUNCTION("""COMPUTED_VALUE"""),"FE")</f>
        <v>FE</v>
      </c>
      <c r="AG99" s="113">
        <f ca="1">IFERROR(__xludf.DUMMYFUNCTION("""COMPUTED_VALUE"""),0)</f>
        <v>0</v>
      </c>
      <c r="AH99" s="113">
        <f ca="1">IFERROR(__xludf.DUMMYFUNCTION("""COMPUTED_VALUE"""),0)</f>
        <v>0</v>
      </c>
      <c r="AI99" s="113">
        <f ca="1">IFERROR(__xludf.DUMMYFUNCTION("""COMPUTED_VALUE"""),0)</f>
        <v>0</v>
      </c>
      <c r="AJ99" s="113">
        <f ca="1">IFERROR(__xludf.DUMMYFUNCTION("""COMPUTED_VALUE"""),0)</f>
        <v>0</v>
      </c>
      <c r="AK99" s="113"/>
      <c r="AL99" s="116"/>
    </row>
    <row r="100" spans="1:38" ht="12.75">
      <c r="A100" s="112" t="str">
        <f ca="1">IFERROR(__xludf.DUMMYFUNCTION("""COMPUTED_VALUE"""),"17003083")</f>
        <v>17003083</v>
      </c>
      <c r="B100" s="113" t="str">
        <f ca="1">IFERROR(__xludf.DUMMYFUNCTION("""COMPUTED_VALUE"""),"Araguatins")</f>
        <v>Araguatins</v>
      </c>
      <c r="C100" s="113" t="str">
        <f ca="1">IFERROR(__xludf.DUMMYFUNCTION("""COMPUTED_VALUE"""),"Praia Norte")</f>
        <v>Praia Norte</v>
      </c>
      <c r="D100" s="114" t="str">
        <f ca="1">IFERROR(__xludf.DUMMYFUNCTION("""COMPUTED_VALUE"""),"ASS. AP.ESC. ESTADUAL GENESIO GOMES")</f>
        <v>ASS. AP.ESC. ESTADUAL GENESIO GOMES</v>
      </c>
      <c r="E100" s="113" t="str">
        <f ca="1">IFERROR(__xludf.DUMMYFUNCTION("""COMPUTED_VALUE"""),"Escola Estadual Genésio Gomes")</f>
        <v>Escola Estadual Genésio Gomes</v>
      </c>
      <c r="F100" s="115" t="str">
        <f ca="1">IFERROR(__xludf.DUMMYFUNCTION("""COMPUTED_VALUE"""),"17003083")</f>
        <v>17003083</v>
      </c>
      <c r="G100" s="113" t="str">
        <f ca="1">IFERROR(__xludf.DUMMYFUNCTION("""COMPUTED_VALUE"""),"01192607000183")</f>
        <v>01192607000183</v>
      </c>
      <c r="H100" s="115" t="str">
        <f ca="1">IFERROR(__xludf.DUMMYFUNCTION("""COMPUTED_VALUE"""),"001")</f>
        <v>001</v>
      </c>
      <c r="I100" s="115" t="str">
        <f ca="1">IFERROR(__xludf.DUMMYFUNCTION("""COMPUTED_VALUE"""),"3975")</f>
        <v>3975</v>
      </c>
      <c r="J100" s="115" t="str">
        <f ca="1">IFERROR(__xludf.DUMMYFUNCTION("""COMPUTED_VALUE"""),"19690")</f>
        <v>19690</v>
      </c>
      <c r="K100" s="113" t="e">
        <f ca="1"/>
        <v>#REF!</v>
      </c>
      <c r="L100" s="113" t="e">
        <f ca="1"/>
        <v>#REF!</v>
      </c>
      <c r="M100" s="113" t="e">
        <f ca="1"/>
        <v>#REF!</v>
      </c>
      <c r="N100" s="113" t="e">
        <f ca="1"/>
        <v>#REF!</v>
      </c>
      <c r="O100" s="113" t="e">
        <f ca="1"/>
        <v>#REF!</v>
      </c>
      <c r="P100" s="113" t="e">
        <f ca="1"/>
        <v>#REF!</v>
      </c>
      <c r="Q100" s="113" t="e">
        <f ca="1"/>
        <v>#REF!</v>
      </c>
      <c r="R100" s="113" t="e">
        <f ca="1"/>
        <v>#REF!</v>
      </c>
      <c r="S100" s="113" t="e">
        <f ca="1"/>
        <v>#REF!</v>
      </c>
      <c r="T100" s="113" t="e">
        <f ca="1"/>
        <v>#REF!</v>
      </c>
      <c r="U100" s="113" t="e">
        <f ca="1"/>
        <v>#REF!</v>
      </c>
      <c r="V100" s="113" t="e">
        <f ca="1"/>
        <v>#REF!</v>
      </c>
      <c r="W100" s="113" t="e">
        <f ca="1"/>
        <v>#REF!</v>
      </c>
      <c r="X100" s="113" t="e">
        <f ca="1"/>
        <v>#REF!</v>
      </c>
      <c r="Y100" s="113" t="e">
        <f ca="1"/>
        <v>#REF!</v>
      </c>
      <c r="Z100" s="113" t="e">
        <f ca="1"/>
        <v>#REF!</v>
      </c>
      <c r="AA100" s="113"/>
      <c r="AB100" s="113"/>
      <c r="AC100" s="113"/>
      <c r="AD100" s="113"/>
      <c r="AE100" s="113" t="str">
        <f ca="1">IFERROR(__xludf.DUMMYFUNCTION("""COMPUTED_VALUE"""),"Parcial")</f>
        <v>Parcial</v>
      </c>
      <c r="AF100" s="113" t="str">
        <f ca="1">IFERROR(__xludf.DUMMYFUNCTION("""COMPUTED_VALUE"""),"FE")</f>
        <v>FE</v>
      </c>
      <c r="AG100" s="113">
        <f ca="1">IFERROR(__xludf.DUMMYFUNCTION("""COMPUTED_VALUE"""),0)</f>
        <v>0</v>
      </c>
      <c r="AH100" s="113">
        <f ca="1">IFERROR(__xludf.DUMMYFUNCTION("""COMPUTED_VALUE"""),0)</f>
        <v>0</v>
      </c>
      <c r="AI100" s="113">
        <f ca="1">IFERROR(__xludf.DUMMYFUNCTION("""COMPUTED_VALUE"""),0)</f>
        <v>0</v>
      </c>
      <c r="AJ100" s="113">
        <f ca="1">IFERROR(__xludf.DUMMYFUNCTION("""COMPUTED_VALUE"""),0)</f>
        <v>0</v>
      </c>
      <c r="AK100" s="113"/>
      <c r="AL100" s="116"/>
    </row>
    <row r="101" spans="1:38" ht="12.75">
      <c r="A101" s="112" t="str">
        <f ca="1">IFERROR(__xludf.DUMMYFUNCTION("""COMPUTED_VALUE"""),"17003440")</f>
        <v>17003440</v>
      </c>
      <c r="B101" s="113" t="str">
        <f ca="1">IFERROR(__xludf.DUMMYFUNCTION("""COMPUTED_VALUE"""),"Araguatins")</f>
        <v>Araguatins</v>
      </c>
      <c r="C101" s="113" t="str">
        <f ca="1">IFERROR(__xludf.DUMMYFUNCTION("""COMPUTED_VALUE"""),"Sampaio")</f>
        <v>Sampaio</v>
      </c>
      <c r="D101" s="114" t="str">
        <f ca="1">IFERROR(__xludf.DUMMYFUNCTION("""COMPUTED_VALUE"""),"A. DE AP. DA ESCOLA ESTADUAL SAMPAIO")</f>
        <v>A. DE AP. DA ESCOLA ESTADUAL SAMPAIO</v>
      </c>
      <c r="E101" s="113" t="str">
        <f ca="1">IFERROR(__xludf.DUMMYFUNCTION("""COMPUTED_VALUE"""),"Escola Estadual Sampaio")</f>
        <v>Escola Estadual Sampaio</v>
      </c>
      <c r="F101" s="115" t="str">
        <f ca="1">IFERROR(__xludf.DUMMYFUNCTION("""COMPUTED_VALUE"""),"17003440")</f>
        <v>17003440</v>
      </c>
      <c r="G101" s="113" t="str">
        <f ca="1">IFERROR(__xludf.DUMMYFUNCTION("""COMPUTED_VALUE"""),"01190179000150")</f>
        <v>01190179000150</v>
      </c>
      <c r="H101" s="115" t="str">
        <f ca="1">IFERROR(__xludf.DUMMYFUNCTION("""COMPUTED_VALUE"""),"001")</f>
        <v>001</v>
      </c>
      <c r="I101" s="115" t="str">
        <f ca="1">IFERROR(__xludf.DUMMYFUNCTION("""COMPUTED_VALUE"""),"1305")</f>
        <v>1305</v>
      </c>
      <c r="J101" s="115" t="str">
        <f ca="1">IFERROR(__xludf.DUMMYFUNCTION("""COMPUTED_VALUE"""),"0019178")</f>
        <v>0019178</v>
      </c>
      <c r="K101" s="113" t="e">
        <f ca="1"/>
        <v>#REF!</v>
      </c>
      <c r="L101" s="113" t="e">
        <f ca="1"/>
        <v>#REF!</v>
      </c>
      <c r="M101" s="113" t="e">
        <f ca="1"/>
        <v>#REF!</v>
      </c>
      <c r="N101" s="113" t="e">
        <f ca="1"/>
        <v>#REF!</v>
      </c>
      <c r="O101" s="113" t="e">
        <f ca="1"/>
        <v>#REF!</v>
      </c>
      <c r="P101" s="113" t="e">
        <f ca="1"/>
        <v>#REF!</v>
      </c>
      <c r="Q101" s="113" t="e">
        <f ca="1"/>
        <v>#REF!</v>
      </c>
      <c r="R101" s="113" t="e">
        <f ca="1"/>
        <v>#REF!</v>
      </c>
      <c r="S101" s="113" t="e">
        <f ca="1"/>
        <v>#REF!</v>
      </c>
      <c r="T101" s="113" t="e">
        <f ca="1"/>
        <v>#REF!</v>
      </c>
      <c r="U101" s="113" t="e">
        <f ca="1"/>
        <v>#REF!</v>
      </c>
      <c r="V101" s="113" t="e">
        <f ca="1"/>
        <v>#REF!</v>
      </c>
      <c r="W101" s="113" t="e">
        <f ca="1"/>
        <v>#REF!</v>
      </c>
      <c r="X101" s="113" t="e">
        <f ca="1"/>
        <v>#REF!</v>
      </c>
      <c r="Y101" s="113" t="e">
        <f ca="1"/>
        <v>#REF!</v>
      </c>
      <c r="Z101" s="113" t="e">
        <f ca="1"/>
        <v>#REF!</v>
      </c>
      <c r="AA101" s="113"/>
      <c r="AB101" s="113"/>
      <c r="AC101" s="113"/>
      <c r="AD101" s="113"/>
      <c r="AE101" s="113" t="str">
        <f ca="1">IFERROR(__xludf.DUMMYFUNCTION("""COMPUTED_VALUE"""),"Parcial")</f>
        <v>Parcial</v>
      </c>
      <c r="AF101" s="113" t="str">
        <f ca="1">IFERROR(__xludf.DUMMYFUNCTION("""COMPUTED_VALUE"""),"FE")</f>
        <v>FE</v>
      </c>
      <c r="AG101" s="113">
        <f ca="1">IFERROR(__xludf.DUMMYFUNCTION("""COMPUTED_VALUE"""),0)</f>
        <v>0</v>
      </c>
      <c r="AH101" s="113">
        <f ca="1">IFERROR(__xludf.DUMMYFUNCTION("""COMPUTED_VALUE"""),0)</f>
        <v>0</v>
      </c>
      <c r="AI101" s="113">
        <f ca="1">IFERROR(__xludf.DUMMYFUNCTION("""COMPUTED_VALUE"""),0)</f>
        <v>0</v>
      </c>
      <c r="AJ101" s="113">
        <f ca="1">IFERROR(__xludf.DUMMYFUNCTION("""COMPUTED_VALUE"""),0)</f>
        <v>0</v>
      </c>
      <c r="AK101" s="113"/>
      <c r="AL101" s="116"/>
    </row>
    <row r="102" spans="1:38" ht="12.75">
      <c r="A102" s="112" t="str">
        <f ca="1">IFERROR(__xludf.DUMMYFUNCTION("""COMPUTED_VALUE"""),"17003512")</f>
        <v>17003512</v>
      </c>
      <c r="B102" s="113" t="str">
        <f ca="1">IFERROR(__xludf.DUMMYFUNCTION("""COMPUTED_VALUE"""),"Araguatins")</f>
        <v>Araguatins</v>
      </c>
      <c r="C102" s="113" t="str">
        <f ca="1">IFERROR(__xludf.DUMMYFUNCTION("""COMPUTED_VALUE"""),"Sao Bento do Tocantins")</f>
        <v>Sao Bento do Tocantins</v>
      </c>
      <c r="D102" s="114" t="str">
        <f ca="1">IFERROR(__xludf.DUMMYFUNCTION("""COMPUTED_VALUE"""),"A.A. COLEGIO EST. IRMAOS FILGUEIRAS")</f>
        <v>A.A. COLEGIO EST. IRMAOS FILGUEIRAS</v>
      </c>
      <c r="E102" s="113" t="str">
        <f ca="1">IFERROR(__xludf.DUMMYFUNCTION("""COMPUTED_VALUE"""),"Colégio Estadual Irmãos Filgueiras")</f>
        <v>Colégio Estadual Irmãos Filgueiras</v>
      </c>
      <c r="F102" s="115" t="str">
        <f ca="1">IFERROR(__xludf.DUMMYFUNCTION("""COMPUTED_VALUE"""),"17003512")</f>
        <v>17003512</v>
      </c>
      <c r="G102" s="113" t="str">
        <f ca="1">IFERROR(__xludf.DUMMYFUNCTION("""COMPUTED_VALUE"""),"01068348000183")</f>
        <v>01068348000183</v>
      </c>
      <c r="H102" s="115" t="str">
        <f ca="1">IFERROR(__xludf.DUMMYFUNCTION("""COMPUTED_VALUE"""),"001")</f>
        <v>001</v>
      </c>
      <c r="I102" s="115" t="str">
        <f ca="1">IFERROR(__xludf.DUMMYFUNCTION("""COMPUTED_VALUE"""),"1305")</f>
        <v>1305</v>
      </c>
      <c r="J102" s="115" t="str">
        <f ca="1">IFERROR(__xludf.DUMMYFUNCTION("""COMPUTED_VALUE"""),"109134")</f>
        <v>109134</v>
      </c>
      <c r="K102" s="113" t="e">
        <f ca="1"/>
        <v>#REF!</v>
      </c>
      <c r="L102" s="113" t="e">
        <f ca="1"/>
        <v>#REF!</v>
      </c>
      <c r="M102" s="113" t="e">
        <f ca="1"/>
        <v>#REF!</v>
      </c>
      <c r="N102" s="113" t="e">
        <f ca="1"/>
        <v>#REF!</v>
      </c>
      <c r="O102" s="113" t="e">
        <f ca="1"/>
        <v>#REF!</v>
      </c>
      <c r="P102" s="113" t="e">
        <f ca="1"/>
        <v>#REF!</v>
      </c>
      <c r="Q102" s="113" t="e">
        <f ca="1"/>
        <v>#REF!</v>
      </c>
      <c r="R102" s="113" t="e">
        <f ca="1"/>
        <v>#REF!</v>
      </c>
      <c r="S102" s="113" t="e">
        <f ca="1"/>
        <v>#REF!</v>
      </c>
      <c r="T102" s="113" t="e">
        <f ca="1"/>
        <v>#REF!</v>
      </c>
      <c r="U102" s="113" t="e">
        <f ca="1"/>
        <v>#REF!</v>
      </c>
      <c r="V102" s="113" t="e">
        <f ca="1"/>
        <v>#REF!</v>
      </c>
      <c r="W102" s="113" t="e">
        <f ca="1"/>
        <v>#REF!</v>
      </c>
      <c r="X102" s="113" t="e">
        <f ca="1"/>
        <v>#REF!</v>
      </c>
      <c r="Y102" s="113" t="e">
        <f ca="1"/>
        <v>#REF!</v>
      </c>
      <c r="Z102" s="113" t="e">
        <f ca="1"/>
        <v>#REF!</v>
      </c>
      <c r="AA102" s="113"/>
      <c r="AB102" s="113"/>
      <c r="AC102" s="113"/>
      <c r="AD102" s="113"/>
      <c r="AE102" s="113" t="str">
        <f ca="1">IFERROR(__xludf.DUMMYFUNCTION("""COMPUTED_VALUE"""),"Parcial")</f>
        <v>Parcial</v>
      </c>
      <c r="AF102" s="113" t="str">
        <f ca="1">IFERROR(__xludf.DUMMYFUNCTION("""COMPUTED_VALUE"""),"FE")</f>
        <v>FE</v>
      </c>
      <c r="AG102" s="113">
        <f ca="1">IFERROR(__xludf.DUMMYFUNCTION("""COMPUTED_VALUE"""),0)</f>
        <v>0</v>
      </c>
      <c r="AH102" s="113">
        <f ca="1">IFERROR(__xludf.DUMMYFUNCTION("""COMPUTED_VALUE"""),0)</f>
        <v>0</v>
      </c>
      <c r="AI102" s="113">
        <f ca="1">IFERROR(__xludf.DUMMYFUNCTION("""COMPUTED_VALUE"""),0)</f>
        <v>0</v>
      </c>
      <c r="AJ102" s="113">
        <f ca="1">IFERROR(__xludf.DUMMYFUNCTION("""COMPUTED_VALUE"""),0)</f>
        <v>0</v>
      </c>
      <c r="AK102" s="113"/>
      <c r="AL102" s="116"/>
    </row>
    <row r="103" spans="1:38" ht="12.75">
      <c r="A103" s="112" t="str">
        <f ca="1">IFERROR(__xludf.DUMMYFUNCTION("""COMPUTED_VALUE"""),"17040000")</f>
        <v>17040000</v>
      </c>
      <c r="B103" s="113" t="str">
        <f ca="1">IFERROR(__xludf.DUMMYFUNCTION("""COMPUTED_VALUE"""),"Araguatins")</f>
        <v>Araguatins</v>
      </c>
      <c r="C103" s="113" t="str">
        <f ca="1">IFERROR(__xludf.DUMMYFUNCTION("""COMPUTED_VALUE"""),"Sao Bento do Tocantins")</f>
        <v>Sao Bento do Tocantins</v>
      </c>
      <c r="D103" s="114" t="str">
        <f ca="1">IFERROR(__xludf.DUMMYFUNCTION("""COMPUTED_VALUE"""),"A.A. ESC. EST. ANAIDES BRITO MIRANDA")</f>
        <v>A.A. ESC. EST. ANAIDES BRITO MIRANDA</v>
      </c>
      <c r="E103" s="113" t="str">
        <f ca="1">IFERROR(__xludf.DUMMYFUNCTION("""COMPUTED_VALUE"""),"Escola Estadual Anaides Brito Miranda")</f>
        <v>Escola Estadual Anaides Brito Miranda</v>
      </c>
      <c r="F103" s="115" t="str">
        <f ca="1">IFERROR(__xludf.DUMMYFUNCTION("""COMPUTED_VALUE"""),"17040000")</f>
        <v>17040000</v>
      </c>
      <c r="G103" s="113" t="str">
        <f ca="1">IFERROR(__xludf.DUMMYFUNCTION("""COMPUTED_VALUE"""),"01181993000108")</f>
        <v>01181993000108</v>
      </c>
      <c r="H103" s="115" t="str">
        <f ca="1">IFERROR(__xludf.DUMMYFUNCTION("""COMPUTED_VALUE"""),"001")</f>
        <v>001</v>
      </c>
      <c r="I103" s="115" t="str">
        <f ca="1">IFERROR(__xludf.DUMMYFUNCTION("""COMPUTED_VALUE"""),"1305")</f>
        <v>1305</v>
      </c>
      <c r="J103" s="115" t="str">
        <f ca="1">IFERROR(__xludf.DUMMYFUNCTION("""COMPUTED_VALUE"""),"10938x")</f>
        <v>10938x</v>
      </c>
      <c r="K103" s="113" t="e">
        <f ca="1"/>
        <v>#REF!</v>
      </c>
      <c r="L103" s="113" t="e">
        <f ca="1"/>
        <v>#REF!</v>
      </c>
      <c r="M103" s="113" t="e">
        <f ca="1"/>
        <v>#REF!</v>
      </c>
      <c r="N103" s="113" t="e">
        <f ca="1"/>
        <v>#REF!</v>
      </c>
      <c r="O103" s="113" t="e">
        <f ca="1"/>
        <v>#REF!</v>
      </c>
      <c r="P103" s="113" t="e">
        <f ca="1"/>
        <v>#REF!</v>
      </c>
      <c r="Q103" s="113" t="e">
        <f ca="1"/>
        <v>#REF!</v>
      </c>
      <c r="R103" s="113" t="e">
        <f ca="1"/>
        <v>#REF!</v>
      </c>
      <c r="S103" s="113" t="e">
        <f ca="1"/>
        <v>#REF!</v>
      </c>
      <c r="T103" s="113" t="e">
        <f ca="1"/>
        <v>#REF!</v>
      </c>
      <c r="U103" s="113" t="e">
        <f ca="1"/>
        <v>#REF!</v>
      </c>
      <c r="V103" s="113" t="e">
        <f ca="1"/>
        <v>#REF!</v>
      </c>
      <c r="W103" s="113" t="e">
        <f ca="1"/>
        <v>#REF!</v>
      </c>
      <c r="X103" s="113" t="e">
        <f ca="1"/>
        <v>#REF!</v>
      </c>
      <c r="Y103" s="113" t="e">
        <f ca="1"/>
        <v>#REF!</v>
      </c>
      <c r="Z103" s="113" t="e">
        <f ca="1"/>
        <v>#REF!</v>
      </c>
      <c r="AA103" s="113"/>
      <c r="AB103" s="113"/>
      <c r="AC103" s="113"/>
      <c r="AD103" s="113"/>
      <c r="AE103" s="113" t="str">
        <f ca="1">IFERROR(__xludf.DUMMYFUNCTION("""COMPUTED_VALUE"""),"Parcial")</f>
        <v>Parcial</v>
      </c>
      <c r="AF103" s="113" t="str">
        <f ca="1">IFERROR(__xludf.DUMMYFUNCTION("""COMPUTED_VALUE"""),"FE")</f>
        <v>FE</v>
      </c>
      <c r="AG103" s="113">
        <f ca="1">IFERROR(__xludf.DUMMYFUNCTION("""COMPUTED_VALUE"""),0)</f>
        <v>0</v>
      </c>
      <c r="AH103" s="113">
        <f ca="1">IFERROR(__xludf.DUMMYFUNCTION("""COMPUTED_VALUE"""),0)</f>
        <v>0</v>
      </c>
      <c r="AI103" s="113">
        <f ca="1">IFERROR(__xludf.DUMMYFUNCTION("""COMPUTED_VALUE"""),0)</f>
        <v>0</v>
      </c>
      <c r="AJ103" s="113">
        <f ca="1">IFERROR(__xludf.DUMMYFUNCTION("""COMPUTED_VALUE"""),0)</f>
        <v>0</v>
      </c>
      <c r="AK103" s="113"/>
      <c r="AL103" s="116"/>
    </row>
    <row r="104" spans="1:38" ht="12.75">
      <c r="A104" s="112" t="str">
        <f ca="1">IFERROR(__xludf.DUMMYFUNCTION("""COMPUTED_VALUE"""),"17003644")</f>
        <v>17003644</v>
      </c>
      <c r="B104" s="113" t="str">
        <f ca="1">IFERROR(__xludf.DUMMYFUNCTION("""COMPUTED_VALUE"""),"Araguatins")</f>
        <v>Araguatins</v>
      </c>
      <c r="C104" s="113" t="str">
        <f ca="1">IFERROR(__xludf.DUMMYFUNCTION("""COMPUTED_VALUE"""),"Sao Miguel do Tocantins")</f>
        <v>Sao Miguel do Tocantins</v>
      </c>
      <c r="D104" s="114" t="str">
        <f ca="1">IFERROR(__xludf.DUMMYFUNCTION("""COMPUTED_VALUE"""),"A.A.  DA ESCOLA ESTADUAL BELA VISTA")</f>
        <v>A.A.  DA ESCOLA ESTADUAL BELA VISTA</v>
      </c>
      <c r="E104" s="113" t="str">
        <f ca="1">IFERROR(__xludf.DUMMYFUNCTION("""COMPUTED_VALUE"""),"Escola Estadual Bela Vista")</f>
        <v>Escola Estadual Bela Vista</v>
      </c>
      <c r="F104" s="115" t="str">
        <f ca="1">IFERROR(__xludf.DUMMYFUNCTION("""COMPUTED_VALUE"""),"17003644")</f>
        <v>17003644</v>
      </c>
      <c r="G104" s="113" t="str">
        <f ca="1">IFERROR(__xludf.DUMMYFUNCTION("""COMPUTED_VALUE"""),"01230238000176")</f>
        <v>01230238000176</v>
      </c>
      <c r="H104" s="115" t="str">
        <f ca="1">IFERROR(__xludf.DUMMYFUNCTION("""COMPUTED_VALUE"""),"001")</f>
        <v>001</v>
      </c>
      <c r="I104" s="115" t="str">
        <f ca="1">IFERROR(__xludf.DUMMYFUNCTION("""COMPUTED_VALUE"""),"1305")</f>
        <v>1305</v>
      </c>
      <c r="J104" s="115" t="str">
        <f ca="1">IFERROR(__xludf.DUMMYFUNCTION("""COMPUTED_VALUE"""),"0217948")</f>
        <v>0217948</v>
      </c>
      <c r="K104" s="113" t="e">
        <f ca="1"/>
        <v>#REF!</v>
      </c>
      <c r="L104" s="113" t="e">
        <f ca="1"/>
        <v>#REF!</v>
      </c>
      <c r="M104" s="113" t="e">
        <f ca="1"/>
        <v>#REF!</v>
      </c>
      <c r="N104" s="113" t="e">
        <f ca="1"/>
        <v>#REF!</v>
      </c>
      <c r="O104" s="113" t="e">
        <f ca="1"/>
        <v>#REF!</v>
      </c>
      <c r="P104" s="113" t="e">
        <f ca="1"/>
        <v>#REF!</v>
      </c>
      <c r="Q104" s="113" t="e">
        <f ca="1"/>
        <v>#REF!</v>
      </c>
      <c r="R104" s="113" t="e">
        <f ca="1"/>
        <v>#REF!</v>
      </c>
      <c r="S104" s="113" t="e">
        <f ca="1"/>
        <v>#REF!</v>
      </c>
      <c r="T104" s="113" t="e">
        <f ca="1"/>
        <v>#REF!</v>
      </c>
      <c r="U104" s="113" t="e">
        <f ca="1"/>
        <v>#REF!</v>
      </c>
      <c r="V104" s="113" t="e">
        <f ca="1"/>
        <v>#REF!</v>
      </c>
      <c r="W104" s="113" t="e">
        <f ca="1"/>
        <v>#REF!</v>
      </c>
      <c r="X104" s="113" t="e">
        <f ca="1"/>
        <v>#REF!</v>
      </c>
      <c r="Y104" s="113" t="e">
        <f ca="1"/>
        <v>#REF!</v>
      </c>
      <c r="Z104" s="113" t="e">
        <f ca="1"/>
        <v>#REF!</v>
      </c>
      <c r="AA104" s="113"/>
      <c r="AB104" s="113"/>
      <c r="AC104" s="113"/>
      <c r="AD104" s="113"/>
      <c r="AE104" s="113" t="str">
        <f ca="1">IFERROR(__xludf.DUMMYFUNCTION("""COMPUTED_VALUE"""),"Parcial")</f>
        <v>Parcial</v>
      </c>
      <c r="AF104" s="113" t="str">
        <f ca="1">IFERROR(__xludf.DUMMYFUNCTION("""COMPUTED_VALUE"""),"FE")</f>
        <v>FE</v>
      </c>
      <c r="AG104" s="113">
        <f ca="1">IFERROR(__xludf.DUMMYFUNCTION("""COMPUTED_VALUE"""),0)</f>
        <v>0</v>
      </c>
      <c r="AH104" s="113">
        <f ca="1">IFERROR(__xludf.DUMMYFUNCTION("""COMPUTED_VALUE"""),0)</f>
        <v>0</v>
      </c>
      <c r="AI104" s="113">
        <f ca="1">IFERROR(__xludf.DUMMYFUNCTION("""COMPUTED_VALUE"""),0)</f>
        <v>0</v>
      </c>
      <c r="AJ104" s="113">
        <f ca="1">IFERROR(__xludf.DUMMYFUNCTION("""COMPUTED_VALUE"""),0)</f>
        <v>0</v>
      </c>
      <c r="AK104" s="113"/>
      <c r="AL104" s="116"/>
    </row>
    <row r="105" spans="1:38" ht="12.75">
      <c r="A105" s="112" t="str">
        <f ca="1">IFERROR(__xludf.DUMMYFUNCTION("""COMPUTED_VALUE"""),"17003652")</f>
        <v>17003652</v>
      </c>
      <c r="B105" s="113" t="str">
        <f ca="1">IFERROR(__xludf.DUMMYFUNCTION("""COMPUTED_VALUE"""),"Araguatins")</f>
        <v>Araguatins</v>
      </c>
      <c r="C105" s="113" t="str">
        <f ca="1">IFERROR(__xludf.DUMMYFUNCTION("""COMPUTED_VALUE"""),"Sao Miguel do Tocantins")</f>
        <v>Sao Miguel do Tocantins</v>
      </c>
      <c r="D105" s="114" t="str">
        <f ca="1">IFERROR(__xludf.DUMMYFUNCTION("""COMPUTED_VALUE"""),"A.A.  ESCOLA ESTADUAL SAO MIGUEL")</f>
        <v>A.A.  ESCOLA ESTADUAL SAO MIGUEL</v>
      </c>
      <c r="E105" s="113" t="str">
        <f ca="1">IFERROR(__xludf.DUMMYFUNCTION("""COMPUTED_VALUE"""),"Escola Estadual São Miguel")</f>
        <v>Escola Estadual São Miguel</v>
      </c>
      <c r="F105" s="115" t="str">
        <f ca="1">IFERROR(__xludf.DUMMYFUNCTION("""COMPUTED_VALUE"""),"17003652")</f>
        <v>17003652</v>
      </c>
      <c r="G105" s="113" t="str">
        <f ca="1">IFERROR(__xludf.DUMMYFUNCTION("""COMPUTED_VALUE"""),"01213523000189")</f>
        <v>01213523000189</v>
      </c>
      <c r="H105" s="115" t="str">
        <f ca="1">IFERROR(__xludf.DUMMYFUNCTION("""COMPUTED_VALUE"""),"001")</f>
        <v>001</v>
      </c>
      <c r="I105" s="115" t="str">
        <f ca="1">IFERROR(__xludf.DUMMYFUNCTION("""COMPUTED_VALUE"""),"1305")</f>
        <v>1305</v>
      </c>
      <c r="J105" s="115" t="str">
        <f ca="1">IFERROR(__xludf.DUMMYFUNCTION("""COMPUTED_VALUE"""),"173576")</f>
        <v>173576</v>
      </c>
      <c r="K105" s="113" t="e">
        <f ca="1"/>
        <v>#REF!</v>
      </c>
      <c r="L105" s="113" t="e">
        <f ca="1"/>
        <v>#REF!</v>
      </c>
      <c r="M105" s="113" t="e">
        <f ca="1"/>
        <v>#REF!</v>
      </c>
      <c r="N105" s="113" t="e">
        <f ca="1"/>
        <v>#REF!</v>
      </c>
      <c r="O105" s="113" t="e">
        <f ca="1"/>
        <v>#REF!</v>
      </c>
      <c r="P105" s="113" t="e">
        <f ca="1"/>
        <v>#REF!</v>
      </c>
      <c r="Q105" s="113" t="e">
        <f ca="1"/>
        <v>#REF!</v>
      </c>
      <c r="R105" s="113" t="e">
        <f ca="1"/>
        <v>#REF!</v>
      </c>
      <c r="S105" s="113" t="e">
        <f ca="1"/>
        <v>#REF!</v>
      </c>
      <c r="T105" s="113" t="e">
        <f ca="1"/>
        <v>#REF!</v>
      </c>
      <c r="U105" s="113" t="e">
        <f ca="1"/>
        <v>#REF!</v>
      </c>
      <c r="V105" s="113" t="e">
        <f ca="1"/>
        <v>#REF!</v>
      </c>
      <c r="W105" s="113" t="e">
        <f ca="1"/>
        <v>#REF!</v>
      </c>
      <c r="X105" s="113" t="e">
        <f ca="1"/>
        <v>#REF!</v>
      </c>
      <c r="Y105" s="113" t="e">
        <f ca="1"/>
        <v>#REF!</v>
      </c>
      <c r="Z105" s="113" t="e">
        <f ca="1"/>
        <v>#REF!</v>
      </c>
      <c r="AA105" s="113"/>
      <c r="AB105" s="113"/>
      <c r="AC105" s="113"/>
      <c r="AD105" s="113"/>
      <c r="AE105" s="113" t="str">
        <f ca="1">IFERROR(__xludf.DUMMYFUNCTION("""COMPUTED_VALUE"""),"Parcial")</f>
        <v>Parcial</v>
      </c>
      <c r="AF105" s="113" t="str">
        <f ca="1">IFERROR(__xludf.DUMMYFUNCTION("""COMPUTED_VALUE"""),"FE")</f>
        <v>FE</v>
      </c>
      <c r="AG105" s="113">
        <f ca="1">IFERROR(__xludf.DUMMYFUNCTION("""COMPUTED_VALUE"""),0)</f>
        <v>0</v>
      </c>
      <c r="AH105" s="113">
        <f ca="1">IFERROR(__xludf.DUMMYFUNCTION("""COMPUTED_VALUE"""),0)</f>
        <v>0</v>
      </c>
      <c r="AI105" s="113">
        <f ca="1">IFERROR(__xludf.DUMMYFUNCTION("""COMPUTED_VALUE"""),0)</f>
        <v>0</v>
      </c>
      <c r="AJ105" s="113">
        <f ca="1">IFERROR(__xludf.DUMMYFUNCTION("""COMPUTED_VALUE"""),0)</f>
        <v>0</v>
      </c>
      <c r="AK105" s="113"/>
      <c r="AL105" s="116"/>
    </row>
    <row r="106" spans="1:38" ht="12.75">
      <c r="A106" s="112" t="str">
        <f ca="1">IFERROR(__xludf.DUMMYFUNCTION("""COMPUTED_VALUE"""),"17003849")</f>
        <v>17003849</v>
      </c>
      <c r="B106" s="113" t="str">
        <f ca="1">IFERROR(__xludf.DUMMYFUNCTION("""COMPUTED_VALUE"""),"Araguatins")</f>
        <v>Araguatins</v>
      </c>
      <c r="C106" s="113" t="str">
        <f ca="1">IFERROR(__xludf.DUMMYFUNCTION("""COMPUTED_VALUE"""),"Sao Sebastiao do Tocantins")</f>
        <v>Sao Sebastiao do Tocantins</v>
      </c>
      <c r="D106" s="114" t="str">
        <f ca="1">IFERROR(__xludf.DUMMYFUNCTION("""COMPUTED_VALUE"""),"A.A.  DO COL. EST.IRIO OLIVEIRA SOUZA")</f>
        <v>A.A.  DO COL. EST.IRIO OLIVEIRA SOUZA</v>
      </c>
      <c r="E106" s="113" t="str">
        <f ca="1">IFERROR(__xludf.DUMMYFUNCTION("""COMPUTED_VALUE"""),"Colégio Estadual Írio Oliveira Souza")</f>
        <v>Colégio Estadual Írio Oliveira Souza</v>
      </c>
      <c r="F106" s="115" t="str">
        <f ca="1">IFERROR(__xludf.DUMMYFUNCTION("""COMPUTED_VALUE"""),"17003849")</f>
        <v>17003849</v>
      </c>
      <c r="G106" s="113" t="str">
        <f ca="1">IFERROR(__xludf.DUMMYFUNCTION("""COMPUTED_VALUE"""),"01112477000121")</f>
        <v>01112477000121</v>
      </c>
      <c r="H106" s="115" t="str">
        <f ca="1">IFERROR(__xludf.DUMMYFUNCTION("""COMPUTED_VALUE"""),"001")</f>
        <v>001</v>
      </c>
      <c r="I106" s="115" t="str">
        <f ca="1">IFERROR(__xludf.DUMMYFUNCTION("""COMPUTED_VALUE"""),"1305")</f>
        <v>1305</v>
      </c>
      <c r="J106" s="115" t="str">
        <f ca="1">IFERROR(__xludf.DUMMYFUNCTION("""COMPUTED_VALUE"""),"0109282")</f>
        <v>0109282</v>
      </c>
      <c r="K106" s="113" t="e">
        <f ca="1"/>
        <v>#REF!</v>
      </c>
      <c r="L106" s="113" t="e">
        <f ca="1"/>
        <v>#REF!</v>
      </c>
      <c r="M106" s="113" t="e">
        <f ca="1"/>
        <v>#REF!</v>
      </c>
      <c r="N106" s="113" t="e">
        <f ca="1"/>
        <v>#REF!</v>
      </c>
      <c r="O106" s="113" t="e">
        <f ca="1"/>
        <v>#REF!</v>
      </c>
      <c r="P106" s="113" t="e">
        <f ca="1"/>
        <v>#REF!</v>
      </c>
      <c r="Q106" s="113" t="e">
        <f ca="1"/>
        <v>#REF!</v>
      </c>
      <c r="R106" s="113" t="e">
        <f ca="1"/>
        <v>#REF!</v>
      </c>
      <c r="S106" s="113" t="e">
        <f ca="1"/>
        <v>#REF!</v>
      </c>
      <c r="T106" s="113" t="e">
        <f ca="1"/>
        <v>#REF!</v>
      </c>
      <c r="U106" s="113" t="e">
        <f ca="1"/>
        <v>#REF!</v>
      </c>
      <c r="V106" s="113" t="e">
        <f ca="1"/>
        <v>#REF!</v>
      </c>
      <c r="W106" s="113" t="e">
        <f ca="1"/>
        <v>#REF!</v>
      </c>
      <c r="X106" s="113" t="e">
        <f ca="1"/>
        <v>#REF!</v>
      </c>
      <c r="Y106" s="113" t="e">
        <f ca="1"/>
        <v>#REF!</v>
      </c>
      <c r="Z106" s="113" t="e">
        <f ca="1"/>
        <v>#REF!</v>
      </c>
      <c r="AA106" s="113"/>
      <c r="AB106" s="113"/>
      <c r="AC106" s="113"/>
      <c r="AD106" s="113"/>
      <c r="AE106" s="113" t="str">
        <f ca="1">IFERROR(__xludf.DUMMYFUNCTION("""COMPUTED_VALUE"""),"Parcial")</f>
        <v>Parcial</v>
      </c>
      <c r="AF106" s="113" t="str">
        <f ca="1">IFERROR(__xludf.DUMMYFUNCTION("""COMPUTED_VALUE"""),"FE")</f>
        <v>FE</v>
      </c>
      <c r="AG106" s="113">
        <f ca="1">IFERROR(__xludf.DUMMYFUNCTION("""COMPUTED_VALUE"""),0)</f>
        <v>0</v>
      </c>
      <c r="AH106" s="113">
        <f ca="1">IFERROR(__xludf.DUMMYFUNCTION("""COMPUTED_VALUE"""),0)</f>
        <v>0</v>
      </c>
      <c r="AI106" s="113">
        <f ca="1">IFERROR(__xludf.DUMMYFUNCTION("""COMPUTED_VALUE"""),0)</f>
        <v>0</v>
      </c>
      <c r="AJ106" s="113">
        <f ca="1">IFERROR(__xludf.DUMMYFUNCTION("""COMPUTED_VALUE"""),0)</f>
        <v>0</v>
      </c>
      <c r="AK106" s="113"/>
      <c r="AL106" s="116"/>
    </row>
    <row r="107" spans="1:38" ht="12.75">
      <c r="A107" s="112" t="str">
        <f ca="1">IFERROR(__xludf.DUMMYFUNCTION("""COMPUTED_VALUE"""),"17003857")</f>
        <v>17003857</v>
      </c>
      <c r="B107" s="113" t="str">
        <f ca="1">IFERROR(__xludf.DUMMYFUNCTION("""COMPUTED_VALUE"""),"Araguatins")</f>
        <v>Araguatins</v>
      </c>
      <c r="C107" s="113" t="str">
        <f ca="1">IFERROR(__xludf.DUMMYFUNCTION("""COMPUTED_VALUE"""),"Sao Sebastiao do Tocantins")</f>
        <v>Sao Sebastiao do Tocantins</v>
      </c>
      <c r="D107" s="114" t="str">
        <f ca="1">IFERROR(__xludf.DUMMYFUNCTION("""COMPUTED_VALUE"""),"A.A. E. E. DR.PEDRO LUDOVICO TEIXEIRA")</f>
        <v>A.A. E. E. DR.PEDRO LUDOVICO TEIXEIRA</v>
      </c>
      <c r="E107" s="113" t="str">
        <f ca="1">IFERROR(__xludf.DUMMYFUNCTION("""COMPUTED_VALUE"""),"Escola Estadual Doutor Pedro Ludovico Teixeira")</f>
        <v>Escola Estadual Doutor Pedro Ludovico Teixeira</v>
      </c>
      <c r="F107" s="115" t="str">
        <f ca="1">IFERROR(__xludf.DUMMYFUNCTION("""COMPUTED_VALUE"""),"17003857")</f>
        <v>17003857</v>
      </c>
      <c r="G107" s="113" t="str">
        <f ca="1">IFERROR(__xludf.DUMMYFUNCTION("""COMPUTED_VALUE"""),"01186462000108")</f>
        <v>01186462000108</v>
      </c>
      <c r="H107" s="115" t="str">
        <f ca="1">IFERROR(__xludf.DUMMYFUNCTION("""COMPUTED_VALUE"""),"001")</f>
        <v>001</v>
      </c>
      <c r="I107" s="115" t="str">
        <f ca="1">IFERROR(__xludf.DUMMYFUNCTION("""COMPUTED_VALUE"""),"1305")</f>
        <v>1305</v>
      </c>
      <c r="J107" s="115" t="str">
        <f ca="1">IFERROR(__xludf.DUMMYFUNCTION("""COMPUTED_VALUE"""),"109711")</f>
        <v>109711</v>
      </c>
      <c r="K107" s="113" t="e">
        <f ca="1"/>
        <v>#REF!</v>
      </c>
      <c r="L107" s="113" t="e">
        <f ca="1"/>
        <v>#REF!</v>
      </c>
      <c r="M107" s="113" t="e">
        <f ca="1"/>
        <v>#REF!</v>
      </c>
      <c r="N107" s="113" t="e">
        <f ca="1"/>
        <v>#REF!</v>
      </c>
      <c r="O107" s="113" t="e">
        <f ca="1"/>
        <v>#REF!</v>
      </c>
      <c r="P107" s="113" t="e">
        <f ca="1"/>
        <v>#REF!</v>
      </c>
      <c r="Q107" s="113" t="e">
        <f ca="1"/>
        <v>#REF!</v>
      </c>
      <c r="R107" s="113" t="e">
        <f ca="1"/>
        <v>#REF!</v>
      </c>
      <c r="S107" s="113" t="e">
        <f ca="1"/>
        <v>#REF!</v>
      </c>
      <c r="T107" s="113" t="e">
        <f ca="1"/>
        <v>#REF!</v>
      </c>
      <c r="U107" s="113" t="e">
        <f ca="1"/>
        <v>#REF!</v>
      </c>
      <c r="V107" s="113" t="e">
        <f ca="1"/>
        <v>#REF!</v>
      </c>
      <c r="W107" s="113" t="e">
        <f ca="1"/>
        <v>#REF!</v>
      </c>
      <c r="X107" s="113" t="e">
        <f ca="1"/>
        <v>#REF!</v>
      </c>
      <c r="Y107" s="113" t="e">
        <f ca="1"/>
        <v>#REF!</v>
      </c>
      <c r="Z107" s="113" t="e">
        <f ca="1"/>
        <v>#REF!</v>
      </c>
      <c r="AA107" s="113"/>
      <c r="AB107" s="113"/>
      <c r="AC107" s="113"/>
      <c r="AD107" s="113"/>
      <c r="AE107" s="113" t="str">
        <f ca="1">IFERROR(__xludf.DUMMYFUNCTION("""COMPUTED_VALUE"""),"Parcial")</f>
        <v>Parcial</v>
      </c>
      <c r="AF107" s="113" t="str">
        <f ca="1">IFERROR(__xludf.DUMMYFUNCTION("""COMPUTED_VALUE"""),"FE")</f>
        <v>FE</v>
      </c>
      <c r="AG107" s="113">
        <f ca="1">IFERROR(__xludf.DUMMYFUNCTION("""COMPUTED_VALUE"""),0)</f>
        <v>0</v>
      </c>
      <c r="AH107" s="113">
        <f ca="1">IFERROR(__xludf.DUMMYFUNCTION("""COMPUTED_VALUE"""),0)</f>
        <v>0</v>
      </c>
      <c r="AI107" s="113">
        <f ca="1">IFERROR(__xludf.DUMMYFUNCTION("""COMPUTED_VALUE"""),0)</f>
        <v>0</v>
      </c>
      <c r="AJ107" s="113">
        <f ca="1">IFERROR(__xludf.DUMMYFUNCTION("""COMPUTED_VALUE"""),0)</f>
        <v>0</v>
      </c>
      <c r="AK107" s="113"/>
      <c r="AL107" s="116"/>
    </row>
    <row r="108" spans="1:38" ht="12.75">
      <c r="A108" s="112" t="str">
        <f ca="1">IFERROR(__xludf.DUMMYFUNCTION("""COMPUTED_VALUE"""),"17003970")</f>
        <v>17003970</v>
      </c>
      <c r="B108" s="113" t="str">
        <f ca="1">IFERROR(__xludf.DUMMYFUNCTION("""COMPUTED_VALUE"""),"Araguatins")</f>
        <v>Araguatins</v>
      </c>
      <c r="C108" s="113" t="str">
        <f ca="1">IFERROR(__xludf.DUMMYFUNCTION("""COMPUTED_VALUE"""),"Sitio Novo do Tocantins")</f>
        <v>Sitio Novo do Tocantins</v>
      </c>
      <c r="D108" s="114" t="str">
        <f ca="1">IFERROR(__xludf.DUMMYFUNCTION("""COMPUTED_VALUE"""),"A.A. COL. EST. MARECHAEL RIBAS JUNIOR")</f>
        <v>A.A. COL. EST. MARECHAEL RIBAS JUNIOR</v>
      </c>
      <c r="E108" s="113" t="str">
        <f ca="1">IFERROR(__xludf.DUMMYFUNCTION("""COMPUTED_VALUE"""),"Colegio Estadual Marechal Ribas Júnior")</f>
        <v>Colegio Estadual Marechal Ribas Júnior</v>
      </c>
      <c r="F108" s="115" t="str">
        <f ca="1">IFERROR(__xludf.DUMMYFUNCTION("""COMPUTED_VALUE"""),"17003970")</f>
        <v>17003970</v>
      </c>
      <c r="G108" s="113" t="str">
        <f ca="1">IFERROR(__xludf.DUMMYFUNCTION("""COMPUTED_VALUE"""),"01230241000190")</f>
        <v>01230241000190</v>
      </c>
      <c r="H108" s="115" t="str">
        <f ca="1">IFERROR(__xludf.DUMMYFUNCTION("""COMPUTED_VALUE"""),"001")</f>
        <v>001</v>
      </c>
      <c r="I108" s="115" t="str">
        <f ca="1">IFERROR(__xludf.DUMMYFUNCTION("""COMPUTED_VALUE"""),"1305")</f>
        <v>1305</v>
      </c>
      <c r="J108" s="115" t="str">
        <f ca="1">IFERROR(__xludf.DUMMYFUNCTION("""COMPUTED_VALUE"""),"217964")</f>
        <v>217964</v>
      </c>
      <c r="K108" s="113" t="e">
        <f ca="1"/>
        <v>#REF!</v>
      </c>
      <c r="L108" s="113" t="e">
        <f ca="1"/>
        <v>#REF!</v>
      </c>
      <c r="M108" s="113" t="e">
        <f ca="1"/>
        <v>#REF!</v>
      </c>
      <c r="N108" s="113" t="e">
        <f ca="1"/>
        <v>#REF!</v>
      </c>
      <c r="O108" s="113" t="e">
        <f ca="1"/>
        <v>#REF!</v>
      </c>
      <c r="P108" s="113" t="e">
        <f ca="1"/>
        <v>#REF!</v>
      </c>
      <c r="Q108" s="113" t="e">
        <f ca="1"/>
        <v>#REF!</v>
      </c>
      <c r="R108" s="113" t="e">
        <f ca="1"/>
        <v>#REF!</v>
      </c>
      <c r="S108" s="113" t="e">
        <f ca="1"/>
        <v>#REF!</v>
      </c>
      <c r="T108" s="113" t="e">
        <f ca="1"/>
        <v>#REF!</v>
      </c>
      <c r="U108" s="113" t="e">
        <f ca="1"/>
        <v>#REF!</v>
      </c>
      <c r="V108" s="113" t="e">
        <f ca="1"/>
        <v>#REF!</v>
      </c>
      <c r="W108" s="113" t="e">
        <f ca="1"/>
        <v>#REF!</v>
      </c>
      <c r="X108" s="113" t="e">
        <f ca="1"/>
        <v>#REF!</v>
      </c>
      <c r="Y108" s="113" t="e">
        <f ca="1"/>
        <v>#REF!</v>
      </c>
      <c r="Z108" s="113" t="e">
        <f ca="1"/>
        <v>#REF!</v>
      </c>
      <c r="AA108" s="113"/>
      <c r="AB108" s="113"/>
      <c r="AC108" s="113"/>
      <c r="AD108" s="113"/>
      <c r="AE108" s="113" t="str">
        <f ca="1">IFERROR(__xludf.DUMMYFUNCTION("""COMPUTED_VALUE"""),"Parcial")</f>
        <v>Parcial</v>
      </c>
      <c r="AF108" s="113" t="str">
        <f ca="1">IFERROR(__xludf.DUMMYFUNCTION("""COMPUTED_VALUE"""),"FE")</f>
        <v>FE</v>
      </c>
      <c r="AG108" s="113">
        <f ca="1">IFERROR(__xludf.DUMMYFUNCTION("""COMPUTED_VALUE"""),0)</f>
        <v>0</v>
      </c>
      <c r="AH108" s="113">
        <f ca="1">IFERROR(__xludf.DUMMYFUNCTION("""COMPUTED_VALUE"""),0)</f>
        <v>0</v>
      </c>
      <c r="AI108" s="113">
        <f ca="1">IFERROR(__xludf.DUMMYFUNCTION("""COMPUTED_VALUE"""),0)</f>
        <v>0</v>
      </c>
      <c r="AJ108" s="113">
        <f ca="1">IFERROR(__xludf.DUMMYFUNCTION("""COMPUTED_VALUE"""),0)</f>
        <v>0</v>
      </c>
      <c r="AK108" s="113"/>
      <c r="AL108" s="116"/>
    </row>
    <row r="109" spans="1:38" ht="12.75">
      <c r="A109" s="112" t="str">
        <f ca="1">IFERROR(__xludf.DUMMYFUNCTION("""COMPUTED_VALUE"""),"17038820")</f>
        <v>17038820</v>
      </c>
      <c r="B109" s="113" t="str">
        <f ca="1">IFERROR(__xludf.DUMMYFUNCTION("""COMPUTED_VALUE"""),"Araguatins")</f>
        <v>Araguatins</v>
      </c>
      <c r="C109" s="113" t="str">
        <f ca="1">IFERROR(__xludf.DUMMYFUNCTION("""COMPUTED_VALUE"""),"Sitio Novo do Tocantins")</f>
        <v>Sitio Novo do Tocantins</v>
      </c>
      <c r="D109" s="114" t="str">
        <f ca="1">IFERROR(__xludf.DUMMYFUNCTION("""COMPUTED_VALUE"""),"A.A. E. EST. JOAQUIM TEOTONIO SEGURADO")</f>
        <v>A.A. E. EST. JOAQUIM TEOTONIO SEGURADO</v>
      </c>
      <c r="E109" s="113" t="str">
        <f ca="1">IFERROR(__xludf.DUMMYFUNCTION("""COMPUTED_VALUE"""),"Escola Estadual Joaquim Theotônio Segurado")</f>
        <v>Escola Estadual Joaquim Theotônio Segurado</v>
      </c>
      <c r="F109" s="115" t="str">
        <f ca="1">IFERROR(__xludf.DUMMYFUNCTION("""COMPUTED_VALUE"""),"17038820")</f>
        <v>17038820</v>
      </c>
      <c r="G109" s="113" t="str">
        <f ca="1">IFERROR(__xludf.DUMMYFUNCTION("""COMPUTED_VALUE"""),"01230240000145")</f>
        <v>01230240000145</v>
      </c>
      <c r="H109" s="115" t="str">
        <f ca="1">IFERROR(__xludf.DUMMYFUNCTION("""COMPUTED_VALUE"""),"001")</f>
        <v>001</v>
      </c>
      <c r="I109" s="115" t="str">
        <f ca="1">IFERROR(__xludf.DUMMYFUNCTION("""COMPUTED_VALUE"""),"0810")</f>
        <v>0810</v>
      </c>
      <c r="J109" s="115" t="str">
        <f ca="1">IFERROR(__xludf.DUMMYFUNCTION("""COMPUTED_VALUE"""),"217972")</f>
        <v>217972</v>
      </c>
      <c r="K109" s="113" t="e">
        <f ca="1"/>
        <v>#REF!</v>
      </c>
      <c r="L109" s="113" t="e">
        <f ca="1"/>
        <v>#REF!</v>
      </c>
      <c r="M109" s="113" t="e">
        <f ca="1"/>
        <v>#REF!</v>
      </c>
      <c r="N109" s="113" t="e">
        <f ca="1"/>
        <v>#REF!</v>
      </c>
      <c r="O109" s="113" t="e">
        <f ca="1"/>
        <v>#REF!</v>
      </c>
      <c r="P109" s="113" t="e">
        <f ca="1"/>
        <v>#REF!</v>
      </c>
      <c r="Q109" s="113" t="e">
        <f ca="1"/>
        <v>#REF!</v>
      </c>
      <c r="R109" s="113" t="e">
        <f ca="1"/>
        <v>#REF!</v>
      </c>
      <c r="S109" s="113" t="e">
        <f ca="1"/>
        <v>#REF!</v>
      </c>
      <c r="T109" s="113" t="e">
        <f ca="1"/>
        <v>#REF!</v>
      </c>
      <c r="U109" s="113" t="e">
        <f ca="1"/>
        <v>#REF!</v>
      </c>
      <c r="V109" s="113" t="e">
        <f ca="1"/>
        <v>#REF!</v>
      </c>
      <c r="W109" s="113" t="e">
        <f ca="1"/>
        <v>#REF!</v>
      </c>
      <c r="X109" s="113" t="e">
        <f ca="1"/>
        <v>#REF!</v>
      </c>
      <c r="Y109" s="113" t="e">
        <f ca="1"/>
        <v>#REF!</v>
      </c>
      <c r="Z109" s="113" t="e">
        <f ca="1"/>
        <v>#REF!</v>
      </c>
      <c r="AA109" s="113"/>
      <c r="AB109" s="113"/>
      <c r="AC109" s="113"/>
      <c r="AD109" s="113"/>
      <c r="AE109" s="113" t="str">
        <f ca="1">IFERROR(__xludf.DUMMYFUNCTION("""COMPUTED_VALUE"""),"Parcial")</f>
        <v>Parcial</v>
      </c>
      <c r="AF109" s="113" t="str">
        <f ca="1">IFERROR(__xludf.DUMMYFUNCTION("""COMPUTED_VALUE"""),"FE")</f>
        <v>FE</v>
      </c>
      <c r="AG109" s="113">
        <f ca="1">IFERROR(__xludf.DUMMYFUNCTION("""COMPUTED_VALUE"""),0)</f>
        <v>0</v>
      </c>
      <c r="AH109" s="113">
        <f ca="1">IFERROR(__xludf.DUMMYFUNCTION("""COMPUTED_VALUE"""),0)</f>
        <v>0</v>
      </c>
      <c r="AI109" s="113">
        <f ca="1">IFERROR(__xludf.DUMMYFUNCTION("""COMPUTED_VALUE"""),0)</f>
        <v>0</v>
      </c>
      <c r="AJ109" s="113">
        <f ca="1">IFERROR(__xludf.DUMMYFUNCTION("""COMPUTED_VALUE"""),0)</f>
        <v>0</v>
      </c>
      <c r="AK109" s="113"/>
      <c r="AL109" s="116"/>
    </row>
    <row r="110" spans="1:38" ht="12.75">
      <c r="A110" s="112" t="str">
        <f ca="1">IFERROR(__xludf.DUMMYFUNCTION("""COMPUTED_VALUE"""),"17003997")</f>
        <v>17003997</v>
      </c>
      <c r="B110" s="113" t="str">
        <f ca="1">IFERROR(__xludf.DUMMYFUNCTION("""COMPUTED_VALUE"""),"Araguatins")</f>
        <v>Araguatins</v>
      </c>
      <c r="C110" s="113" t="str">
        <f ca="1">IFERROR(__xludf.DUMMYFUNCTION("""COMPUTED_VALUE"""),"Sitio Novo do Tocantins")</f>
        <v>Sitio Novo do Tocantins</v>
      </c>
      <c r="D110" s="114" t="str">
        <f ca="1">IFERROR(__xludf.DUMMYFUNCTION("""COMPUTED_VALUE"""),"A.A. ESC. EST. MANOEL ESTEVAO DE SOUZA")</f>
        <v>A.A. ESC. EST. MANOEL ESTEVAO DE SOUZA</v>
      </c>
      <c r="E110" s="113" t="str">
        <f ca="1">IFERROR(__xludf.DUMMYFUNCTION("""COMPUTED_VALUE"""),"Escola Estadual Manoel Estevão de Souza")</f>
        <v>Escola Estadual Manoel Estevão de Souza</v>
      </c>
      <c r="F110" s="115" t="str">
        <f ca="1">IFERROR(__xludf.DUMMYFUNCTION("""COMPUTED_VALUE"""),"17003997")</f>
        <v>17003997</v>
      </c>
      <c r="G110" s="113" t="str">
        <f ca="1">IFERROR(__xludf.DUMMYFUNCTION("""COMPUTED_VALUE"""),"01213534000169")</f>
        <v>01213534000169</v>
      </c>
      <c r="H110" s="115" t="str">
        <f ca="1">IFERROR(__xludf.DUMMYFUNCTION("""COMPUTED_VALUE"""),"001")</f>
        <v>001</v>
      </c>
      <c r="I110" s="115" t="str">
        <f ca="1">IFERROR(__xludf.DUMMYFUNCTION("""COMPUTED_VALUE"""),"1305")</f>
        <v>1305</v>
      </c>
      <c r="J110" s="115" t="str">
        <f ca="1">IFERROR(__xludf.DUMMYFUNCTION("""COMPUTED_VALUE"""),"181048")</f>
        <v>181048</v>
      </c>
      <c r="K110" s="113" t="e">
        <f ca="1"/>
        <v>#REF!</v>
      </c>
      <c r="L110" s="113" t="e">
        <f ca="1"/>
        <v>#REF!</v>
      </c>
      <c r="M110" s="113" t="e">
        <f ca="1"/>
        <v>#REF!</v>
      </c>
      <c r="N110" s="113" t="e">
        <f ca="1"/>
        <v>#REF!</v>
      </c>
      <c r="O110" s="113" t="e">
        <f ca="1"/>
        <v>#REF!</v>
      </c>
      <c r="P110" s="113" t="e">
        <f ca="1"/>
        <v>#REF!</v>
      </c>
      <c r="Q110" s="113" t="e">
        <f ca="1"/>
        <v>#REF!</v>
      </c>
      <c r="R110" s="113" t="e">
        <f ca="1"/>
        <v>#REF!</v>
      </c>
      <c r="S110" s="113" t="e">
        <f ca="1"/>
        <v>#REF!</v>
      </c>
      <c r="T110" s="113" t="e">
        <f ca="1"/>
        <v>#REF!</v>
      </c>
      <c r="U110" s="113" t="e">
        <f ca="1"/>
        <v>#REF!</v>
      </c>
      <c r="V110" s="113" t="e">
        <f ca="1"/>
        <v>#REF!</v>
      </c>
      <c r="W110" s="113" t="e">
        <f ca="1"/>
        <v>#REF!</v>
      </c>
      <c r="X110" s="113" t="e">
        <f ca="1"/>
        <v>#REF!</v>
      </c>
      <c r="Y110" s="113" t="e">
        <f ca="1"/>
        <v>#REF!</v>
      </c>
      <c r="Z110" s="113" t="e">
        <f ca="1"/>
        <v>#REF!</v>
      </c>
      <c r="AA110" s="113"/>
      <c r="AB110" s="113"/>
      <c r="AC110" s="113"/>
      <c r="AD110" s="113"/>
      <c r="AE110" s="113" t="str">
        <f ca="1">IFERROR(__xludf.DUMMYFUNCTION("""COMPUTED_VALUE"""),"Parcial")</f>
        <v>Parcial</v>
      </c>
      <c r="AF110" s="113" t="str">
        <f ca="1">IFERROR(__xludf.DUMMYFUNCTION("""COMPUTED_VALUE"""),"FE")</f>
        <v>FE</v>
      </c>
      <c r="AG110" s="113">
        <f ca="1">IFERROR(__xludf.DUMMYFUNCTION("""COMPUTED_VALUE"""),0)</f>
        <v>0</v>
      </c>
      <c r="AH110" s="113">
        <f ca="1">IFERROR(__xludf.DUMMYFUNCTION("""COMPUTED_VALUE"""),0)</f>
        <v>0</v>
      </c>
      <c r="AI110" s="113">
        <f ca="1">IFERROR(__xludf.DUMMYFUNCTION("""COMPUTED_VALUE"""),0)</f>
        <v>0</v>
      </c>
      <c r="AJ110" s="113">
        <f ca="1">IFERROR(__xludf.DUMMYFUNCTION("""COMPUTED_VALUE"""),0)</f>
        <v>0</v>
      </c>
      <c r="AK110" s="113"/>
      <c r="AL110" s="116"/>
    </row>
    <row r="111" spans="1:38" ht="12.75">
      <c r="A111" s="112" t="str">
        <f ca="1">IFERROR(__xludf.DUMMYFUNCTION("""COMPUTED_VALUE"""),"17039894")</f>
        <v>17039894</v>
      </c>
      <c r="B111" s="113" t="str">
        <f ca="1">IFERROR(__xludf.DUMMYFUNCTION("""COMPUTED_VALUE"""),"Araguatins")</f>
        <v>Araguatins</v>
      </c>
      <c r="C111" s="113" t="str">
        <f ca="1">IFERROR(__xludf.DUMMYFUNCTION("""COMPUTED_VALUE"""),"Sitio Novo do Tocantins")</f>
        <v>Sitio Novo do Tocantins</v>
      </c>
      <c r="D111" s="114" t="str">
        <f ca="1">IFERROR(__xludf.DUMMYFUNCTION("""COMPUTED_VALUE"""),"A.A. ESC. EST. RAIMUNDO NONATO LEITE")</f>
        <v>A.A. ESC. EST. RAIMUNDO NONATO LEITE</v>
      </c>
      <c r="E111" s="113" t="str">
        <f ca="1">IFERROR(__xludf.DUMMYFUNCTION("""COMPUTED_VALUE"""),"Escola Estadual Raimundo Nonato Leite")</f>
        <v>Escola Estadual Raimundo Nonato Leite</v>
      </c>
      <c r="F111" s="115" t="str">
        <f ca="1">IFERROR(__xludf.DUMMYFUNCTION("""COMPUTED_VALUE"""),"17039894")</f>
        <v>17039894</v>
      </c>
      <c r="G111" s="113" t="str">
        <f ca="1">IFERROR(__xludf.DUMMYFUNCTION("""COMPUTED_VALUE"""),"01230237000121")</f>
        <v>01230237000121</v>
      </c>
      <c r="H111" s="115" t="str">
        <f ca="1">IFERROR(__xludf.DUMMYFUNCTION("""COMPUTED_VALUE"""),"001")</f>
        <v>001</v>
      </c>
      <c r="I111" s="115" t="str">
        <f ca="1">IFERROR(__xludf.DUMMYFUNCTION("""COMPUTED_VALUE"""),"0810")</f>
        <v>0810</v>
      </c>
      <c r="J111" s="115" t="str">
        <f ca="1">IFERROR(__xludf.DUMMYFUNCTION("""COMPUTED_VALUE"""),"217980")</f>
        <v>217980</v>
      </c>
      <c r="K111" s="113" t="e">
        <f ca="1"/>
        <v>#REF!</v>
      </c>
      <c r="L111" s="113" t="e">
        <f ca="1"/>
        <v>#REF!</v>
      </c>
      <c r="M111" s="113" t="e">
        <f ca="1"/>
        <v>#REF!</v>
      </c>
      <c r="N111" s="113" t="e">
        <f ca="1"/>
        <v>#REF!</v>
      </c>
      <c r="O111" s="113" t="e">
        <f ca="1"/>
        <v>#REF!</v>
      </c>
      <c r="P111" s="113" t="e">
        <f ca="1"/>
        <v>#REF!</v>
      </c>
      <c r="Q111" s="113" t="e">
        <f ca="1"/>
        <v>#REF!</v>
      </c>
      <c r="R111" s="113" t="e">
        <f ca="1"/>
        <v>#REF!</v>
      </c>
      <c r="S111" s="113" t="e">
        <f ca="1"/>
        <v>#REF!</v>
      </c>
      <c r="T111" s="113" t="e">
        <f ca="1"/>
        <v>#REF!</v>
      </c>
      <c r="U111" s="113" t="e">
        <f ca="1"/>
        <v>#REF!</v>
      </c>
      <c r="V111" s="113" t="e">
        <f ca="1"/>
        <v>#REF!</v>
      </c>
      <c r="W111" s="113" t="e">
        <f ca="1"/>
        <v>#REF!</v>
      </c>
      <c r="X111" s="113" t="e">
        <f ca="1"/>
        <v>#REF!</v>
      </c>
      <c r="Y111" s="113" t="e">
        <f ca="1"/>
        <v>#REF!</v>
      </c>
      <c r="Z111" s="113" t="e">
        <f ca="1"/>
        <v>#REF!</v>
      </c>
      <c r="AA111" s="113"/>
      <c r="AB111" s="113"/>
      <c r="AC111" s="113"/>
      <c r="AD111" s="113"/>
      <c r="AE111" s="113" t="str">
        <f ca="1">IFERROR(__xludf.DUMMYFUNCTION("""COMPUTED_VALUE"""),"Parcial")</f>
        <v>Parcial</v>
      </c>
      <c r="AF111" s="113" t="str">
        <f ca="1">IFERROR(__xludf.DUMMYFUNCTION("""COMPUTED_VALUE"""),"FE")</f>
        <v>FE</v>
      </c>
      <c r="AG111" s="113">
        <f ca="1">IFERROR(__xludf.DUMMYFUNCTION("""COMPUTED_VALUE"""),0)</f>
        <v>0</v>
      </c>
      <c r="AH111" s="113">
        <f ca="1">IFERROR(__xludf.DUMMYFUNCTION("""COMPUTED_VALUE"""),0)</f>
        <v>0</v>
      </c>
      <c r="AI111" s="113">
        <f ca="1">IFERROR(__xludf.DUMMYFUNCTION("""COMPUTED_VALUE"""),0)</f>
        <v>0</v>
      </c>
      <c r="AJ111" s="113">
        <f ca="1">IFERROR(__xludf.DUMMYFUNCTION("""COMPUTED_VALUE"""),0)</f>
        <v>0</v>
      </c>
      <c r="AK111" s="113"/>
      <c r="AL111" s="116"/>
    </row>
    <row r="112" spans="1:38" ht="12.75">
      <c r="A112" s="112" t="str">
        <f ca="1">IFERROR(__xludf.DUMMYFUNCTION("""COMPUTED_VALUE"""),"17032695")</f>
        <v>17032695</v>
      </c>
      <c r="B112" s="113" t="str">
        <f ca="1">IFERROR(__xludf.DUMMYFUNCTION("""COMPUTED_VALUE"""),"Arraias")</f>
        <v>Arraias</v>
      </c>
      <c r="C112" s="113" t="str">
        <f ca="1">IFERROR(__xludf.DUMMYFUNCTION("""COMPUTED_VALUE"""),"Arraias")</f>
        <v>Arraias</v>
      </c>
      <c r="D112" s="114" t="str">
        <f ca="1">IFERROR(__xludf.DUMMYFUNCTION("""COMPUTED_VALUE"""),"A. E. COM.COL EST PROFA. JOANA B. CORDEIRO")</f>
        <v>A. E. COM.COL EST PROFA. JOANA B. CORDEIRO</v>
      </c>
      <c r="E112" s="113" t="str">
        <f ca="1">IFERROR(__xludf.DUMMYFUNCTION("""COMPUTED_VALUE"""),"Colégio Estadual Professora Joana Batista Cordeiro")</f>
        <v>Colégio Estadual Professora Joana Batista Cordeiro</v>
      </c>
      <c r="F112" s="115" t="str">
        <f ca="1">IFERROR(__xludf.DUMMYFUNCTION("""COMPUTED_VALUE"""),"17032695")</f>
        <v>17032695</v>
      </c>
      <c r="G112" s="113" t="str">
        <f ca="1">IFERROR(__xludf.DUMMYFUNCTION("""COMPUTED_VALUE"""),"00922190000102")</f>
        <v>00922190000102</v>
      </c>
      <c r="H112" s="115" t="str">
        <f ca="1">IFERROR(__xludf.DUMMYFUNCTION("""COMPUTED_VALUE"""),"001")</f>
        <v>001</v>
      </c>
      <c r="I112" s="115" t="str">
        <f ca="1">IFERROR(__xludf.DUMMYFUNCTION("""COMPUTED_VALUE"""),"0541")</f>
        <v>0541</v>
      </c>
      <c r="J112" s="115" t="str">
        <f ca="1">IFERROR(__xludf.DUMMYFUNCTION("""COMPUTED_VALUE"""),"231770")</f>
        <v>231770</v>
      </c>
      <c r="K112" s="113" t="e">
        <f ca="1"/>
        <v>#REF!</v>
      </c>
      <c r="L112" s="113" t="e">
        <f ca="1"/>
        <v>#REF!</v>
      </c>
      <c r="M112" s="113" t="e">
        <f ca="1"/>
        <v>#REF!</v>
      </c>
      <c r="N112" s="113" t="e">
        <f ca="1"/>
        <v>#REF!</v>
      </c>
      <c r="O112" s="113" t="e">
        <f ca="1"/>
        <v>#REF!</v>
      </c>
      <c r="P112" s="113" t="e">
        <f ca="1"/>
        <v>#REF!</v>
      </c>
      <c r="Q112" s="113" t="e">
        <f ca="1"/>
        <v>#REF!</v>
      </c>
      <c r="R112" s="113" t="e">
        <f ca="1"/>
        <v>#REF!</v>
      </c>
      <c r="S112" s="113" t="e">
        <f ca="1"/>
        <v>#REF!</v>
      </c>
      <c r="T112" s="113" t="e">
        <f ca="1"/>
        <v>#REF!</v>
      </c>
      <c r="U112" s="113" t="e">
        <f ca="1"/>
        <v>#REF!</v>
      </c>
      <c r="V112" s="113" t="e">
        <f ca="1"/>
        <v>#REF!</v>
      </c>
      <c r="W112" s="113" t="e">
        <f ca="1"/>
        <v>#REF!</v>
      </c>
      <c r="X112" s="113" t="e">
        <f ca="1"/>
        <v>#REF!</v>
      </c>
      <c r="Y112" s="113" t="e">
        <f ca="1"/>
        <v>#REF!</v>
      </c>
      <c r="Z112" s="113" t="e">
        <f ca="1"/>
        <v>#REF!</v>
      </c>
      <c r="AA112" s="113"/>
      <c r="AB112" s="113"/>
      <c r="AC112" s="113"/>
      <c r="AD112" s="113"/>
      <c r="AE112" s="113" t="str">
        <f ca="1">IFERROR(__xludf.DUMMYFUNCTION("""COMPUTED_VALUE"""),"Integral")</f>
        <v>Integral</v>
      </c>
      <c r="AF112" s="113" t="str">
        <f ca="1">IFERROR(__xludf.DUMMYFUNCTION("""COMPUTED_VALUE"""),"FE")</f>
        <v>FE</v>
      </c>
      <c r="AG112" s="113">
        <f ca="1">IFERROR(__xludf.DUMMYFUNCTION("""COMPUTED_VALUE"""),3)</f>
        <v>3</v>
      </c>
      <c r="AH112" s="113">
        <f ca="1">IFERROR(__xludf.DUMMYFUNCTION("""COMPUTED_VALUE"""),0)</f>
        <v>0</v>
      </c>
      <c r="AI112" s="113">
        <f ca="1">IFERROR(__xludf.DUMMYFUNCTION("""COMPUTED_VALUE"""),0)</f>
        <v>0</v>
      </c>
      <c r="AJ112" s="113">
        <f ca="1">IFERROR(__xludf.DUMMYFUNCTION("""COMPUTED_VALUE"""),0)</f>
        <v>0</v>
      </c>
      <c r="AK112" s="113"/>
      <c r="AL112" s="116"/>
    </row>
    <row r="113" spans="1:38" ht="12.75">
      <c r="A113" s="112" t="str">
        <f ca="1">IFERROR(__xludf.DUMMYFUNCTION("""COMPUTED_VALUE"""),"17032717")</f>
        <v>17032717</v>
      </c>
      <c r="B113" s="113" t="str">
        <f ca="1">IFERROR(__xludf.DUMMYFUNCTION("""COMPUTED_VALUE"""),"Arraias")</f>
        <v>Arraias</v>
      </c>
      <c r="C113" s="113" t="str">
        <f ca="1">IFERROR(__xludf.DUMMYFUNCTION("""COMPUTED_VALUE"""),"Arraias")</f>
        <v>Arraias</v>
      </c>
      <c r="D113" s="114" t="str">
        <f ca="1">IFERROR(__xludf.DUMMYFUNCTION("""COMPUTED_VALUE"""),"A.A. ESC. AGRÍCOLA DAVID AIRES FRANÇA")</f>
        <v>A.A. ESC. AGRÍCOLA DAVID AIRES FRANÇA</v>
      </c>
      <c r="E113" s="113" t="str">
        <f ca="1">IFERROR(__xludf.DUMMYFUNCTION("""COMPUTED_VALUE"""),"Escola Estadual Agrícola David Aires França")</f>
        <v>Escola Estadual Agrícola David Aires França</v>
      </c>
      <c r="F113" s="115" t="str">
        <f ca="1">IFERROR(__xludf.DUMMYFUNCTION("""COMPUTED_VALUE"""),"17032717")</f>
        <v>17032717</v>
      </c>
      <c r="G113" s="113" t="str">
        <f ca="1">IFERROR(__xludf.DUMMYFUNCTION("""COMPUTED_VALUE"""),"04302970000100")</f>
        <v>04302970000100</v>
      </c>
      <c r="H113" s="115" t="str">
        <f ca="1">IFERROR(__xludf.DUMMYFUNCTION("""COMPUTED_VALUE"""),"001")</f>
        <v>001</v>
      </c>
      <c r="I113" s="115" t="str">
        <f ca="1">IFERROR(__xludf.DUMMYFUNCTION("""COMPUTED_VALUE"""),"0541")</f>
        <v>0541</v>
      </c>
      <c r="J113" s="115" t="str">
        <f ca="1">IFERROR(__xludf.DUMMYFUNCTION("""COMPUTED_VALUE"""),"94811")</f>
        <v>94811</v>
      </c>
      <c r="K113" s="113" t="e">
        <f ca="1"/>
        <v>#REF!</v>
      </c>
      <c r="L113" s="113" t="e">
        <f ca="1"/>
        <v>#REF!</v>
      </c>
      <c r="M113" s="113" t="e">
        <f ca="1"/>
        <v>#REF!</v>
      </c>
      <c r="N113" s="113" t="e">
        <f ca="1"/>
        <v>#REF!</v>
      </c>
      <c r="O113" s="113" t="e">
        <f ca="1"/>
        <v>#REF!</v>
      </c>
      <c r="P113" s="113" t="e">
        <f ca="1"/>
        <v>#REF!</v>
      </c>
      <c r="Q113" s="113" t="e">
        <f ca="1"/>
        <v>#REF!</v>
      </c>
      <c r="R113" s="113" t="e">
        <f ca="1"/>
        <v>#REF!</v>
      </c>
      <c r="S113" s="113" t="e">
        <f ca="1"/>
        <v>#REF!</v>
      </c>
      <c r="T113" s="113" t="e">
        <f ca="1"/>
        <v>#REF!</v>
      </c>
      <c r="U113" s="113" t="e">
        <f ca="1"/>
        <v>#REF!</v>
      </c>
      <c r="V113" s="113" t="e">
        <f ca="1"/>
        <v>#REF!</v>
      </c>
      <c r="W113" s="113" t="e">
        <f ca="1"/>
        <v>#REF!</v>
      </c>
      <c r="X113" s="113" t="e">
        <f ca="1"/>
        <v>#REF!</v>
      </c>
      <c r="Y113" s="113" t="e">
        <f ca="1"/>
        <v>#REF!</v>
      </c>
      <c r="Z113" s="113" t="e">
        <f ca="1"/>
        <v>#REF!</v>
      </c>
      <c r="AA113" s="113"/>
      <c r="AB113" s="113"/>
      <c r="AC113" s="113"/>
      <c r="AD113" s="113" t="str">
        <f ca="1">IFERROR(__xludf.DUMMYFUNCTION("""COMPUTED_VALUE"""),"INTERNATO/AGRÍCOLA")</f>
        <v>INTERNATO/AGRÍCOLA</v>
      </c>
      <c r="AE113" s="113" t="str">
        <f ca="1">IFERROR(__xludf.DUMMYFUNCTION("""COMPUTED_VALUE"""),"Integral")</f>
        <v>Integral</v>
      </c>
      <c r="AF113" s="113" t="str">
        <f ca="1">IFERROR(__xludf.DUMMYFUNCTION("""COMPUTED_VALUE"""),"FE")</f>
        <v>FE</v>
      </c>
      <c r="AG113" s="113">
        <f ca="1">IFERROR(__xludf.DUMMYFUNCTION("""COMPUTED_VALUE"""),0)</f>
        <v>0</v>
      </c>
      <c r="AH113" s="113">
        <f ca="1">IFERROR(__xludf.DUMMYFUNCTION("""COMPUTED_VALUE"""),8)</f>
        <v>8</v>
      </c>
      <c r="AI113" s="113">
        <f ca="1">IFERROR(__xludf.DUMMYFUNCTION("""COMPUTED_VALUE"""),5)</f>
        <v>5</v>
      </c>
      <c r="AJ113" s="113">
        <f ca="1">IFERROR(__xludf.DUMMYFUNCTION("""COMPUTED_VALUE"""),0)</f>
        <v>0</v>
      </c>
      <c r="AK113" s="113"/>
      <c r="AL113" s="116"/>
    </row>
    <row r="114" spans="1:38" ht="12.75">
      <c r="A114" s="112" t="str">
        <f ca="1">IFERROR(__xludf.DUMMYFUNCTION("""COMPUTED_VALUE"""),"17032750")</f>
        <v>17032750</v>
      </c>
      <c r="B114" s="113" t="str">
        <f ca="1">IFERROR(__xludf.DUMMYFUNCTION("""COMPUTED_VALUE"""),"Arraias")</f>
        <v>Arraias</v>
      </c>
      <c r="C114" s="113" t="str">
        <f ca="1">IFERROR(__xludf.DUMMYFUNCTION("""COMPUTED_VALUE"""),"Arraias")</f>
        <v>Arraias</v>
      </c>
      <c r="D114" s="114" t="str">
        <f ca="1">IFERROR(__xludf.DUMMYFUNCTION("""COMPUTED_VALUE"""),"A.A. ESCOL. DA ESC. EST. BRIGADEIRO FELIPE")</f>
        <v>A.A. ESCOL. DA ESC. EST. BRIGADEIRO FELIPE</v>
      </c>
      <c r="E114" s="113" t="str">
        <f ca="1">IFERROR(__xludf.DUMMYFUNCTION("""COMPUTED_VALUE"""),"Escola Estadual Brigadeiro Felipe")</f>
        <v>Escola Estadual Brigadeiro Felipe</v>
      </c>
      <c r="F114" s="115" t="str">
        <f ca="1">IFERROR(__xludf.DUMMYFUNCTION("""COMPUTED_VALUE"""),"17032750")</f>
        <v>17032750</v>
      </c>
      <c r="G114" s="113" t="str">
        <f ca="1">IFERROR(__xludf.DUMMYFUNCTION("""COMPUTED_VALUE"""),"01221149000163")</f>
        <v>01221149000163</v>
      </c>
      <c r="H114" s="115" t="str">
        <f ca="1">IFERROR(__xludf.DUMMYFUNCTION("""COMPUTED_VALUE"""),"001")</f>
        <v>001</v>
      </c>
      <c r="I114" s="115" t="str">
        <f ca="1">IFERROR(__xludf.DUMMYFUNCTION("""COMPUTED_VALUE"""),"0541")</f>
        <v>0541</v>
      </c>
      <c r="J114" s="115" t="str">
        <f ca="1">IFERROR(__xludf.DUMMYFUNCTION("""COMPUTED_VALUE"""),"232165")</f>
        <v>232165</v>
      </c>
      <c r="K114" s="113" t="e">
        <f ca="1"/>
        <v>#REF!</v>
      </c>
      <c r="L114" s="113" t="e">
        <f ca="1"/>
        <v>#REF!</v>
      </c>
      <c r="M114" s="113" t="e">
        <f ca="1"/>
        <v>#REF!</v>
      </c>
      <c r="N114" s="113" t="e">
        <f ca="1"/>
        <v>#REF!</v>
      </c>
      <c r="O114" s="113" t="e">
        <f ca="1"/>
        <v>#REF!</v>
      </c>
      <c r="P114" s="113" t="e">
        <f ca="1"/>
        <v>#REF!</v>
      </c>
      <c r="Q114" s="113" t="e">
        <f ca="1"/>
        <v>#REF!</v>
      </c>
      <c r="R114" s="113" t="e">
        <f ca="1"/>
        <v>#REF!</v>
      </c>
      <c r="S114" s="113" t="e">
        <f ca="1"/>
        <v>#REF!</v>
      </c>
      <c r="T114" s="113" t="e">
        <f ca="1"/>
        <v>#REF!</v>
      </c>
      <c r="U114" s="113" t="e">
        <f ca="1"/>
        <v>#REF!</v>
      </c>
      <c r="V114" s="113" t="e">
        <f ca="1"/>
        <v>#REF!</v>
      </c>
      <c r="W114" s="113" t="e">
        <f ca="1"/>
        <v>#REF!</v>
      </c>
      <c r="X114" s="113" t="e">
        <f ca="1"/>
        <v>#REF!</v>
      </c>
      <c r="Y114" s="113" t="e">
        <f ca="1"/>
        <v>#REF!</v>
      </c>
      <c r="Z114" s="113" t="e">
        <f ca="1"/>
        <v>#REF!</v>
      </c>
      <c r="AA114" s="113"/>
      <c r="AB114" s="113"/>
      <c r="AC114" s="113"/>
      <c r="AD114" s="113"/>
      <c r="AE114" s="113" t="str">
        <f ca="1">IFERROR(__xludf.DUMMYFUNCTION("""COMPUTED_VALUE"""),"Parcial")</f>
        <v>Parcial</v>
      </c>
      <c r="AF114" s="113" t="str">
        <f ca="1">IFERROR(__xludf.DUMMYFUNCTION("""COMPUTED_VALUE"""),"FE")</f>
        <v>FE</v>
      </c>
      <c r="AG114" s="113">
        <f ca="1">IFERROR(__xludf.DUMMYFUNCTION("""COMPUTED_VALUE"""),0)</f>
        <v>0</v>
      </c>
      <c r="AH114" s="113">
        <f ca="1">IFERROR(__xludf.DUMMYFUNCTION("""COMPUTED_VALUE"""),0)</f>
        <v>0</v>
      </c>
      <c r="AI114" s="113">
        <f ca="1">IFERROR(__xludf.DUMMYFUNCTION("""COMPUTED_VALUE"""),0)</f>
        <v>0</v>
      </c>
      <c r="AJ114" s="113">
        <f ca="1">IFERROR(__xludf.DUMMYFUNCTION("""COMPUTED_VALUE"""),0)</f>
        <v>0</v>
      </c>
      <c r="AK114" s="113"/>
      <c r="AL114" s="116"/>
    </row>
    <row r="115" spans="1:38" ht="12.75">
      <c r="A115" s="112" t="str">
        <f ca="1">IFERROR(__xludf.DUMMYFUNCTION("""COMPUTED_VALUE"""),"17032814")</f>
        <v>17032814</v>
      </c>
      <c r="B115" s="113" t="str">
        <f ca="1">IFERROR(__xludf.DUMMYFUNCTION("""COMPUTED_VALUE"""),"Arraias")</f>
        <v>Arraias</v>
      </c>
      <c r="C115" s="113" t="str">
        <f ca="1">IFERROR(__xludf.DUMMYFUNCTION("""COMPUTED_VALUE"""),"Arraias")</f>
        <v>Arraias</v>
      </c>
      <c r="D115" s="114" t="str">
        <f ca="1">IFERROR(__xludf.DUMMYFUNCTION("""COMPUTED_VALUE"""),"ASS. APOIO ESC. EST. JACY ALVES DE BARROS")</f>
        <v>ASS. APOIO ESC. EST. JACY ALVES DE BARROS</v>
      </c>
      <c r="E115" s="113" t="str">
        <f ca="1">IFERROR(__xludf.DUMMYFUNCTION("""COMPUTED_VALUE"""),"Escola Estadual Jacy Alves de Barros")</f>
        <v>Escola Estadual Jacy Alves de Barros</v>
      </c>
      <c r="F115" s="115" t="str">
        <f ca="1">IFERROR(__xludf.DUMMYFUNCTION("""COMPUTED_VALUE"""),"17032814")</f>
        <v>17032814</v>
      </c>
      <c r="G115" s="113" t="str">
        <f ca="1">IFERROR(__xludf.DUMMYFUNCTION("""COMPUTED_VALUE"""),"01284634000186")</f>
        <v>01284634000186</v>
      </c>
      <c r="H115" s="115" t="str">
        <f ca="1">IFERROR(__xludf.DUMMYFUNCTION("""COMPUTED_VALUE"""),"001")</f>
        <v>001</v>
      </c>
      <c r="I115" s="115" t="str">
        <f ca="1">IFERROR(__xludf.DUMMYFUNCTION("""COMPUTED_VALUE"""),"0541")</f>
        <v>0541</v>
      </c>
      <c r="J115" s="115" t="str">
        <f ca="1">IFERROR(__xludf.DUMMYFUNCTION("""COMPUTED_VALUE"""),"232246")</f>
        <v>232246</v>
      </c>
      <c r="K115" s="113" t="e">
        <f ca="1"/>
        <v>#REF!</v>
      </c>
      <c r="L115" s="113" t="e">
        <f ca="1"/>
        <v>#REF!</v>
      </c>
      <c r="M115" s="113" t="e">
        <f ca="1"/>
        <v>#REF!</v>
      </c>
      <c r="N115" s="113" t="e">
        <f ca="1"/>
        <v>#REF!</v>
      </c>
      <c r="O115" s="113" t="e">
        <f ca="1"/>
        <v>#REF!</v>
      </c>
      <c r="P115" s="113" t="e">
        <f ca="1"/>
        <v>#REF!</v>
      </c>
      <c r="Q115" s="113" t="e">
        <f ca="1"/>
        <v>#REF!</v>
      </c>
      <c r="R115" s="113" t="e">
        <f ca="1"/>
        <v>#REF!</v>
      </c>
      <c r="S115" s="113" t="e">
        <f ca="1"/>
        <v>#REF!</v>
      </c>
      <c r="T115" s="113" t="e">
        <f ca="1"/>
        <v>#REF!</v>
      </c>
      <c r="U115" s="113" t="e">
        <f ca="1"/>
        <v>#REF!</v>
      </c>
      <c r="V115" s="113" t="e">
        <f ca="1"/>
        <v>#REF!</v>
      </c>
      <c r="W115" s="113" t="e">
        <f ca="1"/>
        <v>#REF!</v>
      </c>
      <c r="X115" s="113" t="e">
        <f ca="1"/>
        <v>#REF!</v>
      </c>
      <c r="Y115" s="113" t="e">
        <f ca="1"/>
        <v>#REF!</v>
      </c>
      <c r="Z115" s="113" t="e">
        <f ca="1"/>
        <v>#REF!</v>
      </c>
      <c r="AA115" s="113"/>
      <c r="AB115" s="113"/>
      <c r="AC115" s="113"/>
      <c r="AD115" s="113"/>
      <c r="AE115" s="113" t="str">
        <f ca="1">IFERROR(__xludf.DUMMYFUNCTION("""COMPUTED_VALUE"""),"Parcial")</f>
        <v>Parcial</v>
      </c>
      <c r="AF115" s="113" t="str">
        <f ca="1">IFERROR(__xludf.DUMMYFUNCTION("""COMPUTED_VALUE"""),"FE")</f>
        <v>FE</v>
      </c>
      <c r="AG115" s="113">
        <f ca="1">IFERROR(__xludf.DUMMYFUNCTION("""COMPUTED_VALUE"""),0)</f>
        <v>0</v>
      </c>
      <c r="AH115" s="113">
        <f ca="1">IFERROR(__xludf.DUMMYFUNCTION("""COMPUTED_VALUE"""),0)</f>
        <v>0</v>
      </c>
      <c r="AI115" s="113">
        <f ca="1">IFERROR(__xludf.DUMMYFUNCTION("""COMPUTED_VALUE"""),0)</f>
        <v>0</v>
      </c>
      <c r="AJ115" s="113">
        <f ca="1">IFERROR(__xludf.DUMMYFUNCTION("""COMPUTED_VALUE"""),0)</f>
        <v>0</v>
      </c>
      <c r="AK115" s="113"/>
      <c r="AL115" s="116"/>
    </row>
    <row r="116" spans="1:38" ht="12.75">
      <c r="A116" s="112" t="str">
        <f ca="1">IFERROR(__xludf.DUMMYFUNCTION("""COMPUTED_VALUE"""),"17032784")</f>
        <v>17032784</v>
      </c>
      <c r="B116" s="113" t="str">
        <f ca="1">IFERROR(__xludf.DUMMYFUNCTION("""COMPUTED_VALUE"""),"Arraias")</f>
        <v>Arraias</v>
      </c>
      <c r="C116" s="113" t="str">
        <f ca="1">IFERROR(__xludf.DUMMYFUNCTION("""COMPUTED_VALUE"""),"Arraias")</f>
        <v>Arraias</v>
      </c>
      <c r="D116" s="114" t="str">
        <f ca="1">IFERROR(__xludf.DUMMYFUNCTION("""COMPUTED_VALUE"""),"A.A. ESCOLA ESTADUAL CANABRAVA/ZULMIRA MAGALHÃES")</f>
        <v>A.A. ESCOLA ESTADUAL CANABRAVA/ZULMIRA MAGALHÃES</v>
      </c>
      <c r="E116" s="113" t="str">
        <f ca="1">IFERROR(__xludf.DUMMYFUNCTION("""COMPUTED_VALUE"""),"Escola Estadual Professora Zulmira Magalhães")</f>
        <v>Escola Estadual Professora Zulmira Magalhães</v>
      </c>
      <c r="F116" s="115" t="str">
        <f ca="1">IFERROR(__xludf.DUMMYFUNCTION("""COMPUTED_VALUE"""),"17032784")</f>
        <v>17032784</v>
      </c>
      <c r="G116" s="113" t="str">
        <f ca="1">IFERROR(__xludf.DUMMYFUNCTION("""COMPUTED_VALUE"""),"01284633000131")</f>
        <v>01284633000131</v>
      </c>
      <c r="H116" s="115" t="str">
        <f ca="1">IFERROR(__xludf.DUMMYFUNCTION("""COMPUTED_VALUE"""),"001")</f>
        <v>001</v>
      </c>
      <c r="I116" s="115" t="str">
        <f ca="1">IFERROR(__xludf.DUMMYFUNCTION("""COMPUTED_VALUE"""),"0541")</f>
        <v>0541</v>
      </c>
      <c r="J116" s="115" t="str">
        <f ca="1">IFERROR(__xludf.DUMMYFUNCTION("""COMPUTED_VALUE"""),"23219X")</f>
        <v>23219X</v>
      </c>
      <c r="K116" s="113" t="e">
        <f ca="1"/>
        <v>#REF!</v>
      </c>
      <c r="L116" s="113" t="e">
        <f ca="1"/>
        <v>#REF!</v>
      </c>
      <c r="M116" s="113" t="e">
        <f ca="1"/>
        <v>#REF!</v>
      </c>
      <c r="N116" s="113" t="e">
        <f ca="1"/>
        <v>#REF!</v>
      </c>
      <c r="O116" s="113" t="e">
        <f ca="1"/>
        <v>#REF!</v>
      </c>
      <c r="P116" s="113" t="e">
        <f ca="1"/>
        <v>#REF!</v>
      </c>
      <c r="Q116" s="113" t="e">
        <f ca="1"/>
        <v>#REF!</v>
      </c>
      <c r="R116" s="113" t="e">
        <f ca="1"/>
        <v>#REF!</v>
      </c>
      <c r="S116" s="113" t="e">
        <f ca="1"/>
        <v>#REF!</v>
      </c>
      <c r="T116" s="113" t="e">
        <f ca="1"/>
        <v>#REF!</v>
      </c>
      <c r="U116" s="113" t="e">
        <f ca="1"/>
        <v>#REF!</v>
      </c>
      <c r="V116" s="113" t="e">
        <f ca="1"/>
        <v>#REF!</v>
      </c>
      <c r="W116" s="113" t="e">
        <f ca="1"/>
        <v>#REF!</v>
      </c>
      <c r="X116" s="113" t="e">
        <f ca="1"/>
        <v>#REF!</v>
      </c>
      <c r="Y116" s="113" t="e">
        <f ca="1"/>
        <v>#REF!</v>
      </c>
      <c r="Z116" s="113" t="e">
        <f ca="1"/>
        <v>#REF!</v>
      </c>
      <c r="AA116" s="113"/>
      <c r="AB116" s="113"/>
      <c r="AC116" s="113"/>
      <c r="AD116" s="113" t="str">
        <f ca="1">IFERROR(__xludf.DUMMYFUNCTION("""COMPUTED_VALUE"""),"E.M. INTEGRADO")</f>
        <v>E.M. INTEGRADO</v>
      </c>
      <c r="AE116" s="113" t="str">
        <f ca="1">IFERROR(__xludf.DUMMYFUNCTION("""COMPUTED_VALUE"""),"Parcial")</f>
        <v>Parcial</v>
      </c>
      <c r="AF116" s="113" t="str">
        <f ca="1">IFERROR(__xludf.DUMMYFUNCTION("""COMPUTED_VALUE"""),"FE")</f>
        <v>FE</v>
      </c>
      <c r="AG116" s="113">
        <f ca="1">IFERROR(__xludf.DUMMYFUNCTION("""COMPUTED_VALUE"""),0)</f>
        <v>0</v>
      </c>
      <c r="AH116" s="113">
        <f ca="1">IFERROR(__xludf.DUMMYFUNCTION("""COMPUTED_VALUE"""),0)</f>
        <v>0</v>
      </c>
      <c r="AI116" s="113">
        <f ca="1">IFERROR(__xludf.DUMMYFUNCTION("""COMPUTED_VALUE"""),0)</f>
        <v>0</v>
      </c>
      <c r="AJ116" s="113">
        <f ca="1">IFERROR(__xludf.DUMMYFUNCTION("""COMPUTED_VALUE"""),0)</f>
        <v>0</v>
      </c>
      <c r="AK116" s="113"/>
      <c r="AL116" s="116"/>
    </row>
    <row r="117" spans="1:38" ht="12.75">
      <c r="A117" s="112" t="str">
        <f ca="1">IFERROR(__xludf.DUMMYFUNCTION("""COMPUTED_VALUE"""),"17032873")</f>
        <v>17032873</v>
      </c>
      <c r="B117" s="113" t="str">
        <f ca="1">IFERROR(__xludf.DUMMYFUNCTION("""COMPUTED_VALUE"""),"Arraias")</f>
        <v>Arraias</v>
      </c>
      <c r="C117" s="113" t="str">
        <f ca="1">IFERROR(__xludf.DUMMYFUNCTION("""COMPUTED_VALUE"""),"Arraias")</f>
        <v>Arraias</v>
      </c>
      <c r="D117" s="114" t="str">
        <f ca="1">IFERROR(__xludf.DUMMYFUNCTION("""COMPUTED_VALUE"""),"A.A. ESCOLAR DA ESC. EST. SILVA DOURADO")</f>
        <v>A.A. ESCOLAR DA ESC. EST. SILVA DOURADO</v>
      </c>
      <c r="E117" s="113" t="str">
        <f ca="1">IFERROR(__xludf.DUMMYFUNCTION("""COMPUTED_VALUE"""),"Escola Estadual Silva dourado")</f>
        <v>Escola Estadual Silva dourado</v>
      </c>
      <c r="F117" s="115" t="str">
        <f ca="1">IFERROR(__xludf.DUMMYFUNCTION("""COMPUTED_VALUE"""),"17032873")</f>
        <v>17032873</v>
      </c>
      <c r="G117" s="113" t="str">
        <f ca="1">IFERROR(__xludf.DUMMYFUNCTION("""COMPUTED_VALUE"""),"01301519000172")</f>
        <v>01301519000172</v>
      </c>
      <c r="H117" s="115" t="str">
        <f ca="1">IFERROR(__xludf.DUMMYFUNCTION("""COMPUTED_VALUE"""),"001")</f>
        <v>001</v>
      </c>
      <c r="I117" s="115" t="str">
        <f ca="1">IFERROR(__xludf.DUMMYFUNCTION("""COMPUTED_VALUE"""),"0541")</f>
        <v>0541</v>
      </c>
      <c r="J117" s="115" t="str">
        <f ca="1">IFERROR(__xludf.DUMMYFUNCTION("""COMPUTED_VALUE"""),"232297")</f>
        <v>232297</v>
      </c>
      <c r="K117" s="113" t="e">
        <f ca="1"/>
        <v>#REF!</v>
      </c>
      <c r="L117" s="113" t="e">
        <f ca="1"/>
        <v>#REF!</v>
      </c>
      <c r="M117" s="113" t="e">
        <f ca="1"/>
        <v>#REF!</v>
      </c>
      <c r="N117" s="113" t="e">
        <f ca="1"/>
        <v>#REF!</v>
      </c>
      <c r="O117" s="113" t="e">
        <f ca="1"/>
        <v>#REF!</v>
      </c>
      <c r="P117" s="113" t="e">
        <f ca="1"/>
        <v>#REF!</v>
      </c>
      <c r="Q117" s="113" t="e">
        <f ca="1"/>
        <v>#REF!</v>
      </c>
      <c r="R117" s="113" t="e">
        <f ca="1"/>
        <v>#REF!</v>
      </c>
      <c r="S117" s="113" t="e">
        <f ca="1"/>
        <v>#REF!</v>
      </c>
      <c r="T117" s="113" t="e">
        <f ca="1"/>
        <v>#REF!</v>
      </c>
      <c r="U117" s="113" t="e">
        <f ca="1"/>
        <v>#REF!</v>
      </c>
      <c r="V117" s="113" t="e">
        <f ca="1"/>
        <v>#REF!</v>
      </c>
      <c r="W117" s="113" t="e">
        <f ca="1"/>
        <v>#REF!</v>
      </c>
      <c r="X117" s="113" t="e">
        <f ca="1"/>
        <v>#REF!</v>
      </c>
      <c r="Y117" s="113" t="e">
        <f ca="1"/>
        <v>#REF!</v>
      </c>
      <c r="Z117" s="113" t="e">
        <f ca="1"/>
        <v>#REF!</v>
      </c>
      <c r="AA117" s="113"/>
      <c r="AB117" s="113"/>
      <c r="AC117" s="113"/>
      <c r="AD117" s="113"/>
      <c r="AE117" s="113" t="str">
        <f ca="1">IFERROR(__xludf.DUMMYFUNCTION("""COMPUTED_VALUE"""),"Parcial")</f>
        <v>Parcial</v>
      </c>
      <c r="AF117" s="113" t="str">
        <f ca="1">IFERROR(__xludf.DUMMYFUNCTION("""COMPUTED_VALUE"""),"FE")</f>
        <v>FE</v>
      </c>
      <c r="AG117" s="113">
        <f ca="1">IFERROR(__xludf.DUMMYFUNCTION("""COMPUTED_VALUE"""),0)</f>
        <v>0</v>
      </c>
      <c r="AH117" s="113">
        <f ca="1">IFERROR(__xludf.DUMMYFUNCTION("""COMPUTED_VALUE"""),0)</f>
        <v>0</v>
      </c>
      <c r="AI117" s="113">
        <f ca="1">IFERROR(__xludf.DUMMYFUNCTION("""COMPUTED_VALUE"""),0)</f>
        <v>0</v>
      </c>
      <c r="AJ117" s="113">
        <f ca="1">IFERROR(__xludf.DUMMYFUNCTION("""COMPUTED_VALUE"""),0)</f>
        <v>0</v>
      </c>
      <c r="AK117" s="113"/>
      <c r="AL117" s="116"/>
    </row>
    <row r="118" spans="1:38" ht="12.75">
      <c r="A118" s="112" t="str">
        <f ca="1">IFERROR(__xludf.DUMMYFUNCTION("""COMPUTED_VALUE"""),"17033276")</f>
        <v>17033276</v>
      </c>
      <c r="B118" s="113" t="str">
        <f ca="1">IFERROR(__xludf.DUMMYFUNCTION("""COMPUTED_VALUE"""),"Arraias")</f>
        <v>Arraias</v>
      </c>
      <c r="C118" s="113" t="str">
        <f ca="1">IFERROR(__xludf.DUMMYFUNCTION("""COMPUTED_VALUE"""),"Aurora do Tocantins")</f>
        <v>Aurora do Tocantins</v>
      </c>
      <c r="D118" s="114" t="str">
        <f ca="1">IFERROR(__xludf.DUMMYFUNCTION("""COMPUTED_VALUE"""),"A.A. A ESCOLA/COL. EST.PROF. RANULFA")</f>
        <v>A.A. A ESCOLA/COL. EST.PROF. RANULFA</v>
      </c>
      <c r="E118" s="113" t="str">
        <f ca="1">IFERROR(__xludf.DUMMYFUNCTION("""COMPUTED_VALUE"""),"Colégio Estadual Professora Ranulfa")</f>
        <v>Colégio Estadual Professora Ranulfa</v>
      </c>
      <c r="F118" s="115" t="str">
        <f ca="1">IFERROR(__xludf.DUMMYFUNCTION("""COMPUTED_VALUE"""),"17033276")</f>
        <v>17033276</v>
      </c>
      <c r="G118" s="113" t="str">
        <f ca="1">IFERROR(__xludf.DUMMYFUNCTION("""COMPUTED_VALUE"""),"01133691000164")</f>
        <v>01133691000164</v>
      </c>
      <c r="H118" s="115" t="str">
        <f ca="1">IFERROR(__xludf.DUMMYFUNCTION("""COMPUTED_VALUE"""),"001")</f>
        <v>001</v>
      </c>
      <c r="I118" s="115" t="str">
        <f ca="1">IFERROR(__xludf.DUMMYFUNCTION("""COMPUTED_VALUE"""),"3977")</f>
        <v>3977</v>
      </c>
      <c r="J118" s="115" t="str">
        <f ca="1">IFERROR(__xludf.DUMMYFUNCTION("""COMPUTED_VALUE"""),"102725")</f>
        <v>102725</v>
      </c>
      <c r="K118" s="113" t="e">
        <f ca="1"/>
        <v>#REF!</v>
      </c>
      <c r="L118" s="113" t="e">
        <f ca="1"/>
        <v>#REF!</v>
      </c>
      <c r="M118" s="113" t="e">
        <f ca="1"/>
        <v>#REF!</v>
      </c>
      <c r="N118" s="113" t="e">
        <f ca="1"/>
        <v>#REF!</v>
      </c>
      <c r="O118" s="113" t="e">
        <f ca="1"/>
        <v>#REF!</v>
      </c>
      <c r="P118" s="113" t="e">
        <f ca="1"/>
        <v>#REF!</v>
      </c>
      <c r="Q118" s="113" t="e">
        <f ca="1"/>
        <v>#REF!</v>
      </c>
      <c r="R118" s="113" t="e">
        <f ca="1"/>
        <v>#REF!</v>
      </c>
      <c r="S118" s="113" t="e">
        <f ca="1"/>
        <v>#REF!</v>
      </c>
      <c r="T118" s="113" t="e">
        <f ca="1"/>
        <v>#REF!</v>
      </c>
      <c r="U118" s="113" t="e">
        <f ca="1"/>
        <v>#REF!</v>
      </c>
      <c r="V118" s="113" t="e">
        <f ca="1"/>
        <v>#REF!</v>
      </c>
      <c r="W118" s="113" t="e">
        <f ca="1"/>
        <v>#REF!</v>
      </c>
      <c r="X118" s="113" t="e">
        <f ca="1"/>
        <v>#REF!</v>
      </c>
      <c r="Y118" s="113" t="e">
        <f ca="1"/>
        <v>#REF!</v>
      </c>
      <c r="Z118" s="113" t="e">
        <f ca="1"/>
        <v>#REF!</v>
      </c>
      <c r="AA118" s="113"/>
      <c r="AB118" s="113"/>
      <c r="AC118" s="113"/>
      <c r="AD118" s="113"/>
      <c r="AE118" s="113" t="str">
        <f ca="1">IFERROR(__xludf.DUMMYFUNCTION("""COMPUTED_VALUE"""),"Parcial")</f>
        <v>Parcial</v>
      </c>
      <c r="AF118" s="113" t="str">
        <f ca="1">IFERROR(__xludf.DUMMYFUNCTION("""COMPUTED_VALUE"""),"FE")</f>
        <v>FE</v>
      </c>
      <c r="AG118" s="113">
        <f ca="1">IFERROR(__xludf.DUMMYFUNCTION("""COMPUTED_VALUE"""),0)</f>
        <v>0</v>
      </c>
      <c r="AH118" s="113">
        <f ca="1">IFERROR(__xludf.DUMMYFUNCTION("""COMPUTED_VALUE"""),0)</f>
        <v>0</v>
      </c>
      <c r="AI118" s="113">
        <f ca="1">IFERROR(__xludf.DUMMYFUNCTION("""COMPUTED_VALUE"""),0)</f>
        <v>0</v>
      </c>
      <c r="AJ118" s="113">
        <f ca="1">IFERROR(__xludf.DUMMYFUNCTION("""COMPUTED_VALUE"""),0)</f>
        <v>0</v>
      </c>
      <c r="AK118" s="113"/>
      <c r="AL118" s="116"/>
    </row>
    <row r="119" spans="1:38" ht="12.75">
      <c r="A119" s="112" t="str">
        <f ca="1">IFERROR(__xludf.DUMMYFUNCTION("""COMPUTED_VALUE"""),"17033284")</f>
        <v>17033284</v>
      </c>
      <c r="B119" s="113" t="str">
        <f ca="1">IFERROR(__xludf.DUMMYFUNCTION("""COMPUTED_VALUE"""),"Arraias")</f>
        <v>Arraias</v>
      </c>
      <c r="C119" s="113" t="str">
        <f ca="1">IFERROR(__xludf.DUMMYFUNCTION("""COMPUTED_VALUE"""),"Aurora do Tocantins")</f>
        <v>Aurora do Tocantins</v>
      </c>
      <c r="D119" s="114" t="str">
        <f ca="1">IFERROR(__xludf.DUMMYFUNCTION("""COMPUTED_VALUE"""),"ASS. APOIO ESCOLA ESTADUAL DONA INES")</f>
        <v>ASS. APOIO ESCOLA ESTADUAL DONA INES</v>
      </c>
      <c r="E119" s="113" t="str">
        <f ca="1">IFERROR(__xludf.DUMMYFUNCTION("""COMPUTED_VALUE"""),"Escola Estadual dona Inês")</f>
        <v>Escola Estadual dona Inês</v>
      </c>
      <c r="F119" s="115" t="str">
        <f ca="1">IFERROR(__xludf.DUMMYFUNCTION("""COMPUTED_VALUE"""),"17033284")</f>
        <v>17033284</v>
      </c>
      <c r="G119" s="113" t="str">
        <f ca="1">IFERROR(__xludf.DUMMYFUNCTION("""COMPUTED_VALUE"""),"01190419000116")</f>
        <v>01190419000116</v>
      </c>
      <c r="H119" s="115" t="str">
        <f ca="1">IFERROR(__xludf.DUMMYFUNCTION("""COMPUTED_VALUE"""),"001")</f>
        <v>001</v>
      </c>
      <c r="I119" s="115" t="str">
        <f ca="1">IFERROR(__xludf.DUMMYFUNCTION("""COMPUTED_VALUE"""),"3977")</f>
        <v>3977</v>
      </c>
      <c r="J119" s="115" t="str">
        <f ca="1">IFERROR(__xludf.DUMMYFUNCTION("""COMPUTED_VALUE"""),"109703")</f>
        <v>109703</v>
      </c>
      <c r="K119" s="113" t="e">
        <f ca="1"/>
        <v>#REF!</v>
      </c>
      <c r="L119" s="113" t="e">
        <f ca="1"/>
        <v>#REF!</v>
      </c>
      <c r="M119" s="113" t="e">
        <f ca="1"/>
        <v>#REF!</v>
      </c>
      <c r="N119" s="113" t="e">
        <f ca="1"/>
        <v>#REF!</v>
      </c>
      <c r="O119" s="113" t="e">
        <f ca="1"/>
        <v>#REF!</v>
      </c>
      <c r="P119" s="113" t="e">
        <f ca="1"/>
        <v>#REF!</v>
      </c>
      <c r="Q119" s="113" t="e">
        <f ca="1"/>
        <v>#REF!</v>
      </c>
      <c r="R119" s="113" t="e">
        <f ca="1"/>
        <v>#REF!</v>
      </c>
      <c r="S119" s="113" t="e">
        <f ca="1"/>
        <v>#REF!</v>
      </c>
      <c r="T119" s="113" t="e">
        <f ca="1"/>
        <v>#REF!</v>
      </c>
      <c r="U119" s="113" t="e">
        <f ca="1"/>
        <v>#REF!</v>
      </c>
      <c r="V119" s="113" t="e">
        <f ca="1"/>
        <v>#REF!</v>
      </c>
      <c r="W119" s="113" t="e">
        <f ca="1"/>
        <v>#REF!</v>
      </c>
      <c r="X119" s="113" t="e">
        <f ca="1"/>
        <v>#REF!</v>
      </c>
      <c r="Y119" s="113" t="e">
        <f ca="1"/>
        <v>#REF!</v>
      </c>
      <c r="Z119" s="113" t="e">
        <f ca="1"/>
        <v>#REF!</v>
      </c>
      <c r="AA119" s="113"/>
      <c r="AB119" s="113"/>
      <c r="AC119" s="113"/>
      <c r="AD119" s="113"/>
      <c r="AE119" s="113" t="str">
        <f ca="1">IFERROR(__xludf.DUMMYFUNCTION("""COMPUTED_VALUE"""),"Parcial")</f>
        <v>Parcial</v>
      </c>
      <c r="AF119" s="113" t="str">
        <f ca="1">IFERROR(__xludf.DUMMYFUNCTION("""COMPUTED_VALUE"""),"FE")</f>
        <v>FE</v>
      </c>
      <c r="AG119" s="113">
        <f ca="1">IFERROR(__xludf.DUMMYFUNCTION("""COMPUTED_VALUE"""),0)</f>
        <v>0</v>
      </c>
      <c r="AH119" s="113">
        <f ca="1">IFERROR(__xludf.DUMMYFUNCTION("""COMPUTED_VALUE"""),0)</f>
        <v>0</v>
      </c>
      <c r="AI119" s="113">
        <f ca="1">IFERROR(__xludf.DUMMYFUNCTION("""COMPUTED_VALUE"""),0)</f>
        <v>0</v>
      </c>
      <c r="AJ119" s="113">
        <f ca="1">IFERROR(__xludf.DUMMYFUNCTION("""COMPUTED_VALUE"""),0)</f>
        <v>0</v>
      </c>
      <c r="AK119" s="113"/>
      <c r="AL119" s="116"/>
    </row>
    <row r="120" spans="1:38" ht="12.75">
      <c r="A120" s="112" t="str">
        <f ca="1">IFERROR(__xludf.DUMMYFUNCTION("""COMPUTED_VALUE"""),"17033624")</f>
        <v>17033624</v>
      </c>
      <c r="B120" s="113" t="str">
        <f ca="1">IFERROR(__xludf.DUMMYFUNCTION("""COMPUTED_VALUE"""),"Arraias")</f>
        <v>Arraias</v>
      </c>
      <c r="C120" s="113" t="str">
        <f ca="1">IFERROR(__xludf.DUMMYFUNCTION("""COMPUTED_VALUE"""),"Combinado")</f>
        <v>Combinado</v>
      </c>
      <c r="D120" s="114" t="str">
        <f ca="1">IFERROR(__xludf.DUMMYFUNCTION("""COMPUTED_VALUE"""),"A.A. DO COL. E.JOAQUIM DE SENA E SILVA")</f>
        <v>A.A. DO COL. E.JOAQUIM DE SENA E SILVA</v>
      </c>
      <c r="E120" s="113" t="str">
        <f ca="1">IFERROR(__xludf.DUMMYFUNCTION("""COMPUTED_VALUE"""),"Colégio Estadual Joaquim de Sena E Silva")</f>
        <v>Colégio Estadual Joaquim de Sena E Silva</v>
      </c>
      <c r="F120" s="115" t="str">
        <f ca="1">IFERROR(__xludf.DUMMYFUNCTION("""COMPUTED_VALUE"""),"17033624")</f>
        <v>17033624</v>
      </c>
      <c r="G120" s="113" t="str">
        <f ca="1">IFERROR(__xludf.DUMMYFUNCTION("""COMPUTED_VALUE"""),"01230223000108")</f>
        <v>01230223000108</v>
      </c>
      <c r="H120" s="115" t="str">
        <f ca="1">IFERROR(__xludf.DUMMYFUNCTION("""COMPUTED_VALUE"""),"001")</f>
        <v>001</v>
      </c>
      <c r="I120" s="115" t="str">
        <f ca="1">IFERROR(__xludf.DUMMYFUNCTION("""COMPUTED_VALUE"""),"3977")</f>
        <v>3977</v>
      </c>
      <c r="J120" s="115" t="str">
        <f ca="1">IFERROR(__xludf.DUMMYFUNCTION("""COMPUTED_VALUE"""),"232106")</f>
        <v>232106</v>
      </c>
      <c r="K120" s="113" t="e">
        <f ca="1"/>
        <v>#REF!</v>
      </c>
      <c r="L120" s="113" t="e">
        <f ca="1"/>
        <v>#REF!</v>
      </c>
      <c r="M120" s="113" t="e">
        <f ca="1"/>
        <v>#REF!</v>
      </c>
      <c r="N120" s="113" t="e">
        <f ca="1"/>
        <v>#REF!</v>
      </c>
      <c r="O120" s="113" t="e">
        <f ca="1"/>
        <v>#REF!</v>
      </c>
      <c r="P120" s="113" t="e">
        <f ca="1"/>
        <v>#REF!</v>
      </c>
      <c r="Q120" s="113" t="e">
        <f ca="1"/>
        <v>#REF!</v>
      </c>
      <c r="R120" s="113" t="e">
        <f ca="1"/>
        <v>#REF!</v>
      </c>
      <c r="S120" s="113" t="e">
        <f ca="1"/>
        <v>#REF!</v>
      </c>
      <c r="T120" s="113" t="e">
        <f ca="1"/>
        <v>#REF!</v>
      </c>
      <c r="U120" s="113" t="e">
        <f ca="1"/>
        <v>#REF!</v>
      </c>
      <c r="V120" s="113" t="e">
        <f ca="1"/>
        <v>#REF!</v>
      </c>
      <c r="W120" s="113" t="e">
        <f ca="1"/>
        <v>#REF!</v>
      </c>
      <c r="X120" s="113" t="e">
        <f ca="1"/>
        <v>#REF!</v>
      </c>
      <c r="Y120" s="113" t="e">
        <f ca="1"/>
        <v>#REF!</v>
      </c>
      <c r="Z120" s="113" t="e">
        <f ca="1"/>
        <v>#REF!</v>
      </c>
      <c r="AA120" s="113"/>
      <c r="AB120" s="113"/>
      <c r="AC120" s="113"/>
      <c r="AD120" s="113"/>
      <c r="AE120" s="113" t="str">
        <f ca="1">IFERROR(__xludf.DUMMYFUNCTION("""COMPUTED_VALUE"""),"Integral")</f>
        <v>Integral</v>
      </c>
      <c r="AF120" s="113" t="str">
        <f ca="1">IFERROR(__xludf.DUMMYFUNCTION("""COMPUTED_VALUE"""),"FE")</f>
        <v>FE</v>
      </c>
      <c r="AG120" s="113">
        <f ca="1">IFERROR(__xludf.DUMMYFUNCTION("""COMPUTED_VALUE"""),0)</f>
        <v>0</v>
      </c>
      <c r="AH120" s="113">
        <f ca="1">IFERROR(__xludf.DUMMYFUNCTION("""COMPUTED_VALUE"""),0)</f>
        <v>0</v>
      </c>
      <c r="AI120" s="113">
        <f ca="1">IFERROR(__xludf.DUMMYFUNCTION("""COMPUTED_VALUE"""),0)</f>
        <v>0</v>
      </c>
      <c r="AJ120" s="113">
        <f ca="1">IFERROR(__xludf.DUMMYFUNCTION("""COMPUTED_VALUE"""),0)</f>
        <v>0</v>
      </c>
      <c r="AK120" s="113"/>
      <c r="AL120" s="116"/>
    </row>
    <row r="121" spans="1:38" ht="12.75">
      <c r="A121" s="112" t="str">
        <f ca="1">IFERROR(__xludf.DUMMYFUNCTION("""COMPUTED_VALUE"""),"17033594")</f>
        <v>17033594</v>
      </c>
      <c r="B121" s="113" t="str">
        <f ca="1">IFERROR(__xludf.DUMMYFUNCTION("""COMPUTED_VALUE"""),"Arraias")</f>
        <v>Arraias</v>
      </c>
      <c r="C121" s="113" t="str">
        <f ca="1">IFERROR(__xludf.DUMMYFUNCTION("""COMPUTED_VALUE"""),"Combinado")</f>
        <v>Combinado</v>
      </c>
      <c r="D121" s="114" t="str">
        <f ca="1">IFERROR(__xludf.DUMMYFUNCTION("""COMPUTED_VALUE"""),"A.A. DA ESCOLA ESTADUAL COMBINADO")</f>
        <v>A.A. DA ESCOLA ESTADUAL COMBINADO</v>
      </c>
      <c r="E121" s="113" t="str">
        <f ca="1">IFERROR(__xludf.DUMMYFUNCTION("""COMPUTED_VALUE"""),"Escola Estadual Girassol de Tempo Integral Combinado")</f>
        <v>Escola Estadual Girassol de Tempo Integral Combinado</v>
      </c>
      <c r="F121" s="115" t="str">
        <f ca="1">IFERROR(__xludf.DUMMYFUNCTION("""COMPUTED_VALUE"""),"17033594")</f>
        <v>17033594</v>
      </c>
      <c r="G121" s="113" t="str">
        <f ca="1">IFERROR(__xludf.DUMMYFUNCTION("""COMPUTED_VALUE"""),"01136003000110")</f>
        <v>01136003000110</v>
      </c>
      <c r="H121" s="115" t="str">
        <f ca="1">IFERROR(__xludf.DUMMYFUNCTION("""COMPUTED_VALUE"""),"001")</f>
        <v>001</v>
      </c>
      <c r="I121" s="115" t="str">
        <f ca="1">IFERROR(__xludf.DUMMYFUNCTION("""COMPUTED_VALUE"""),"3977")</f>
        <v>3977</v>
      </c>
      <c r="J121" s="115" t="str">
        <f ca="1">IFERROR(__xludf.DUMMYFUNCTION("""COMPUTED_VALUE"""),"231940")</f>
        <v>231940</v>
      </c>
      <c r="K121" s="113" t="e">
        <f ca="1"/>
        <v>#REF!</v>
      </c>
      <c r="L121" s="113" t="e">
        <f ca="1"/>
        <v>#REF!</v>
      </c>
      <c r="M121" s="113" t="e">
        <f ca="1"/>
        <v>#REF!</v>
      </c>
      <c r="N121" s="113" t="e">
        <f ca="1"/>
        <v>#REF!</v>
      </c>
      <c r="O121" s="113" t="e">
        <f ca="1"/>
        <v>#REF!</v>
      </c>
      <c r="P121" s="113" t="e">
        <f ca="1"/>
        <v>#REF!</v>
      </c>
      <c r="Q121" s="113" t="e">
        <f ca="1"/>
        <v>#REF!</v>
      </c>
      <c r="R121" s="113" t="e">
        <f ca="1"/>
        <v>#REF!</v>
      </c>
      <c r="S121" s="113" t="e">
        <f ca="1"/>
        <v>#REF!</v>
      </c>
      <c r="T121" s="113" t="e">
        <f ca="1"/>
        <v>#REF!</v>
      </c>
      <c r="U121" s="113" t="e">
        <f ca="1"/>
        <v>#REF!</v>
      </c>
      <c r="V121" s="113" t="e">
        <f ca="1"/>
        <v>#REF!</v>
      </c>
      <c r="W121" s="113" t="e">
        <f ca="1"/>
        <v>#REF!</v>
      </c>
      <c r="X121" s="113" t="e">
        <f ca="1"/>
        <v>#REF!</v>
      </c>
      <c r="Y121" s="113" t="e">
        <f ca="1"/>
        <v>#REF!</v>
      </c>
      <c r="Z121" s="113" t="e">
        <f ca="1"/>
        <v>#REF!</v>
      </c>
      <c r="AA121" s="113"/>
      <c r="AB121" s="113"/>
      <c r="AC121" s="113"/>
      <c r="AD121" s="113" t="str">
        <f ca="1">IFERROR(__xludf.DUMMYFUNCTION("""COMPUTED_VALUE"""),"E.M. INTEGRADO")</f>
        <v>E.M. INTEGRADO</v>
      </c>
      <c r="AE121" s="113" t="str">
        <f ca="1">IFERROR(__xludf.DUMMYFUNCTION("""COMPUTED_VALUE"""),"Parcial")</f>
        <v>Parcial</v>
      </c>
      <c r="AF121" s="113" t="str">
        <f ca="1">IFERROR(__xludf.DUMMYFUNCTION("""COMPUTED_VALUE"""),"FE")</f>
        <v>FE</v>
      </c>
      <c r="AG121" s="113">
        <f ca="1">IFERROR(__xludf.DUMMYFUNCTION("""COMPUTED_VALUE"""),0)</f>
        <v>0</v>
      </c>
      <c r="AH121" s="113">
        <f ca="1">IFERROR(__xludf.DUMMYFUNCTION("""COMPUTED_VALUE"""),0)</f>
        <v>0</v>
      </c>
      <c r="AI121" s="113">
        <f ca="1">IFERROR(__xludf.DUMMYFUNCTION("""COMPUTED_VALUE"""),0)</f>
        <v>0</v>
      </c>
      <c r="AJ121" s="113">
        <f ca="1">IFERROR(__xludf.DUMMYFUNCTION("""COMPUTED_VALUE"""),13)</f>
        <v>13</v>
      </c>
      <c r="AK121" s="113"/>
      <c r="AL121" s="116"/>
    </row>
    <row r="122" spans="1:38" ht="12.75">
      <c r="A122" s="112" t="str">
        <f ca="1">IFERROR(__xludf.DUMMYFUNCTION("""COMPUTED_VALUE"""),"17033632")</f>
        <v>17033632</v>
      </c>
      <c r="B122" s="113" t="str">
        <f ca="1">IFERROR(__xludf.DUMMYFUNCTION("""COMPUTED_VALUE"""),"Arraias")</f>
        <v>Arraias</v>
      </c>
      <c r="C122" s="113" t="str">
        <f ca="1">IFERROR(__xludf.DUMMYFUNCTION("""COMPUTED_VALUE"""),"Combinado")</f>
        <v>Combinado</v>
      </c>
      <c r="D122" s="114" t="str">
        <f ca="1">IFERROR(__xludf.DUMMYFUNCTION("""COMPUTED_VALUE"""),"A.A. ESC. EST. AUGUSTA VAZ DOS S.TEIXEIRA")</f>
        <v>A.A. ESC. EST. AUGUSTA VAZ DOS S.TEIXEIRA</v>
      </c>
      <c r="E122" s="113" t="str">
        <f ca="1">IFERROR(__xludf.DUMMYFUNCTION("""COMPUTED_VALUE"""),"Escola Estadual Professora Augusta Vaz dos Santos Teixeira")</f>
        <v>Escola Estadual Professora Augusta Vaz dos Santos Teixeira</v>
      </c>
      <c r="F122" s="115" t="str">
        <f ca="1">IFERROR(__xludf.DUMMYFUNCTION("""COMPUTED_VALUE"""),"17033632")</f>
        <v>17033632</v>
      </c>
      <c r="G122" s="113" t="str">
        <f ca="1">IFERROR(__xludf.DUMMYFUNCTION("""COMPUTED_VALUE"""),"01186458000140")</f>
        <v>01186458000140</v>
      </c>
      <c r="H122" s="115" t="str">
        <f ca="1">IFERROR(__xludf.DUMMYFUNCTION("""COMPUTED_VALUE"""),"001")</f>
        <v>001</v>
      </c>
      <c r="I122" s="115" t="str">
        <f ca="1">IFERROR(__xludf.DUMMYFUNCTION("""COMPUTED_VALUE"""),"3977")</f>
        <v>3977</v>
      </c>
      <c r="J122" s="115" t="str">
        <f ca="1">IFERROR(__xludf.DUMMYFUNCTION("""COMPUTED_VALUE"""),"56855")</f>
        <v>56855</v>
      </c>
      <c r="K122" s="113" t="e">
        <f ca="1"/>
        <v>#REF!</v>
      </c>
      <c r="L122" s="113" t="e">
        <f ca="1"/>
        <v>#REF!</v>
      </c>
      <c r="M122" s="113" t="e">
        <f ca="1"/>
        <v>#REF!</v>
      </c>
      <c r="N122" s="113" t="e">
        <f ca="1"/>
        <v>#REF!</v>
      </c>
      <c r="O122" s="113" t="e">
        <f ca="1"/>
        <v>#REF!</v>
      </c>
      <c r="P122" s="113" t="e">
        <f ca="1"/>
        <v>#REF!</v>
      </c>
      <c r="Q122" s="113" t="e">
        <f ca="1"/>
        <v>#REF!</v>
      </c>
      <c r="R122" s="113" t="e">
        <f ca="1"/>
        <v>#REF!</v>
      </c>
      <c r="S122" s="113" t="e">
        <f ca="1"/>
        <v>#REF!</v>
      </c>
      <c r="T122" s="113" t="e">
        <f ca="1"/>
        <v>#REF!</v>
      </c>
      <c r="U122" s="113" t="e">
        <f ca="1"/>
        <v>#REF!</v>
      </c>
      <c r="V122" s="113" t="e">
        <f ca="1"/>
        <v>#REF!</v>
      </c>
      <c r="W122" s="113" t="e">
        <f ca="1"/>
        <v>#REF!</v>
      </c>
      <c r="X122" s="113" t="e">
        <f ca="1"/>
        <v>#REF!</v>
      </c>
      <c r="Y122" s="113" t="e">
        <f ca="1"/>
        <v>#REF!</v>
      </c>
      <c r="Z122" s="113" t="e">
        <f ca="1"/>
        <v>#REF!</v>
      </c>
      <c r="AA122" s="113"/>
      <c r="AB122" s="113"/>
      <c r="AC122" s="113"/>
      <c r="AD122" s="113"/>
      <c r="AE122" s="113" t="str">
        <f ca="1">IFERROR(__xludf.DUMMYFUNCTION("""COMPUTED_VALUE"""),"Parcial")</f>
        <v>Parcial</v>
      </c>
      <c r="AF122" s="113" t="str">
        <f ca="1">IFERROR(__xludf.DUMMYFUNCTION("""COMPUTED_VALUE"""),"FE")</f>
        <v>FE</v>
      </c>
      <c r="AG122" s="113">
        <f ca="1">IFERROR(__xludf.DUMMYFUNCTION("""COMPUTED_VALUE"""),0)</f>
        <v>0</v>
      </c>
      <c r="AH122" s="113">
        <f ca="1">IFERROR(__xludf.DUMMYFUNCTION("""COMPUTED_VALUE"""),0)</f>
        <v>0</v>
      </c>
      <c r="AI122" s="113">
        <f ca="1">IFERROR(__xludf.DUMMYFUNCTION("""COMPUTED_VALUE"""),0)</f>
        <v>0</v>
      </c>
      <c r="AJ122" s="113">
        <f ca="1">IFERROR(__xludf.DUMMYFUNCTION("""COMPUTED_VALUE"""),0)</f>
        <v>0</v>
      </c>
      <c r="AK122" s="113"/>
      <c r="AL122" s="116"/>
    </row>
    <row r="123" spans="1:38" ht="12.75">
      <c r="A123" s="112" t="str">
        <f ca="1">IFERROR(__xludf.DUMMYFUNCTION("""COMPUTED_VALUE"""),"17033292")</f>
        <v>17033292</v>
      </c>
      <c r="B123" s="113" t="str">
        <f ca="1">IFERROR(__xludf.DUMMYFUNCTION("""COMPUTED_VALUE"""),"Arraias")</f>
        <v>Arraias</v>
      </c>
      <c r="C123" s="113" t="str">
        <f ca="1">IFERROR(__xludf.DUMMYFUNCTION("""COMPUTED_VALUE"""),"Lavandeira")</f>
        <v>Lavandeira</v>
      </c>
      <c r="D123" s="114" t="str">
        <f ca="1">IFERROR(__xludf.DUMMYFUNCTION("""COMPUTED_VALUE"""),"ASSOC. DE APOIO ESC. EST. LAVANDEIRA")</f>
        <v>ASSOC. DE APOIO ESC. EST. LAVANDEIRA</v>
      </c>
      <c r="E123" s="113" t="str">
        <f ca="1">IFERROR(__xludf.DUMMYFUNCTION("""COMPUTED_VALUE"""),"Colégio Estadual Lavandeira")</f>
        <v>Colégio Estadual Lavandeira</v>
      </c>
      <c r="F123" s="115" t="str">
        <f ca="1">IFERROR(__xludf.DUMMYFUNCTION("""COMPUTED_VALUE"""),"17033292")</f>
        <v>17033292</v>
      </c>
      <c r="G123" s="113" t="str">
        <f ca="1">IFERROR(__xludf.DUMMYFUNCTION("""COMPUTED_VALUE"""),"01136024000135")</f>
        <v>01136024000135</v>
      </c>
      <c r="H123" s="115" t="str">
        <f ca="1">IFERROR(__xludf.DUMMYFUNCTION("""COMPUTED_VALUE"""),"001")</f>
        <v>001</v>
      </c>
      <c r="I123" s="115" t="str">
        <f ca="1">IFERROR(__xludf.DUMMYFUNCTION("""COMPUTED_VALUE"""),"3977")</f>
        <v>3977</v>
      </c>
      <c r="J123" s="115" t="str">
        <f ca="1">IFERROR(__xludf.DUMMYFUNCTION("""COMPUTED_VALUE"""),"231916")</f>
        <v>231916</v>
      </c>
      <c r="K123" s="113" t="e">
        <f ca="1"/>
        <v>#REF!</v>
      </c>
      <c r="L123" s="113" t="e">
        <f ca="1"/>
        <v>#REF!</v>
      </c>
      <c r="M123" s="113" t="e">
        <f ca="1"/>
        <v>#REF!</v>
      </c>
      <c r="N123" s="113" t="e">
        <f ca="1"/>
        <v>#REF!</v>
      </c>
      <c r="O123" s="113" t="e">
        <f ca="1"/>
        <v>#REF!</v>
      </c>
      <c r="P123" s="113" t="e">
        <f ca="1"/>
        <v>#REF!</v>
      </c>
      <c r="Q123" s="113" t="e">
        <f ca="1"/>
        <v>#REF!</v>
      </c>
      <c r="R123" s="113" t="e">
        <f ca="1"/>
        <v>#REF!</v>
      </c>
      <c r="S123" s="113" t="e">
        <f ca="1"/>
        <v>#REF!</v>
      </c>
      <c r="T123" s="113" t="e">
        <f ca="1"/>
        <v>#REF!</v>
      </c>
      <c r="U123" s="113" t="e">
        <f ca="1"/>
        <v>#REF!</v>
      </c>
      <c r="V123" s="113" t="e">
        <f ca="1"/>
        <v>#REF!</v>
      </c>
      <c r="W123" s="113" t="e">
        <f ca="1"/>
        <v>#REF!</v>
      </c>
      <c r="X123" s="113" t="e">
        <f ca="1"/>
        <v>#REF!</v>
      </c>
      <c r="Y123" s="113" t="e">
        <f ca="1"/>
        <v>#REF!</v>
      </c>
      <c r="Z123" s="113" t="e">
        <f ca="1"/>
        <v>#REF!</v>
      </c>
      <c r="AA123" s="113"/>
      <c r="AB123" s="113"/>
      <c r="AC123" s="113"/>
      <c r="AD123" s="113"/>
      <c r="AE123" s="113" t="str">
        <f ca="1">IFERROR(__xludf.DUMMYFUNCTION("""COMPUTED_VALUE"""),"Parcial")</f>
        <v>Parcial</v>
      </c>
      <c r="AF123" s="113" t="str">
        <f ca="1">IFERROR(__xludf.DUMMYFUNCTION("""COMPUTED_VALUE"""),"FE")</f>
        <v>FE</v>
      </c>
      <c r="AG123" s="113">
        <f ca="1">IFERROR(__xludf.DUMMYFUNCTION("""COMPUTED_VALUE"""),0)</f>
        <v>0</v>
      </c>
      <c r="AH123" s="113">
        <f ca="1">IFERROR(__xludf.DUMMYFUNCTION("""COMPUTED_VALUE"""),0)</f>
        <v>0</v>
      </c>
      <c r="AI123" s="113">
        <f ca="1">IFERROR(__xludf.DUMMYFUNCTION("""COMPUTED_VALUE"""),0)</f>
        <v>0</v>
      </c>
      <c r="AJ123" s="113">
        <f ca="1">IFERROR(__xludf.DUMMYFUNCTION("""COMPUTED_VALUE"""),0)</f>
        <v>0</v>
      </c>
      <c r="AK123" s="113"/>
      <c r="AL123" s="116"/>
    </row>
    <row r="124" spans="1:38" ht="12.75">
      <c r="A124" s="112" t="str">
        <f ca="1">IFERROR(__xludf.DUMMYFUNCTION("""COMPUTED_VALUE"""),"17035180")</f>
        <v>17035180</v>
      </c>
      <c r="B124" s="113" t="str">
        <f ca="1">IFERROR(__xludf.DUMMYFUNCTION("""COMPUTED_VALUE"""),"Arraias")</f>
        <v>Arraias</v>
      </c>
      <c r="C124" s="113" t="str">
        <f ca="1">IFERROR(__xludf.DUMMYFUNCTION("""COMPUTED_VALUE"""),"Novo Alegre")</f>
        <v>Novo Alegre</v>
      </c>
      <c r="D124" s="114" t="str">
        <f ca="1">IFERROR(__xludf.DUMMYFUNCTION("""COMPUTED_VALUE"""),"ASSOC. DE APOIO COL. EST. DR.JOAO D`ABREU")</f>
        <v>ASSOC. DE APOIO COL. EST. DR.JOAO D`ABREU</v>
      </c>
      <c r="E124" s="113" t="str">
        <f ca="1">IFERROR(__xludf.DUMMYFUNCTION("""COMPUTED_VALUE"""),"Colégio Estadual Doutor João D Abreu")</f>
        <v>Colégio Estadual Doutor João D Abreu</v>
      </c>
      <c r="F124" s="115" t="str">
        <f ca="1">IFERROR(__xludf.DUMMYFUNCTION("""COMPUTED_VALUE"""),"17035180")</f>
        <v>17035180</v>
      </c>
      <c r="G124" s="113" t="str">
        <f ca="1">IFERROR(__xludf.DUMMYFUNCTION("""COMPUTED_VALUE"""),"01146115000151")</f>
        <v>01146115000151</v>
      </c>
      <c r="H124" s="115" t="str">
        <f ca="1">IFERROR(__xludf.DUMMYFUNCTION("""COMPUTED_VALUE"""),"001")</f>
        <v>001</v>
      </c>
      <c r="I124" s="115" t="str">
        <f ca="1">IFERROR(__xludf.DUMMYFUNCTION("""COMPUTED_VALUE"""),"3977")</f>
        <v>3977</v>
      </c>
      <c r="J124" s="115" t="str">
        <f ca="1">IFERROR(__xludf.DUMMYFUNCTION("""COMPUTED_VALUE"""),"178845")</f>
        <v>178845</v>
      </c>
      <c r="K124" s="113" t="e">
        <f ca="1"/>
        <v>#REF!</v>
      </c>
      <c r="L124" s="113" t="e">
        <f ca="1"/>
        <v>#REF!</v>
      </c>
      <c r="M124" s="113" t="e">
        <f ca="1"/>
        <v>#REF!</v>
      </c>
      <c r="N124" s="113" t="e">
        <f ca="1"/>
        <v>#REF!</v>
      </c>
      <c r="O124" s="113" t="e">
        <f ca="1"/>
        <v>#REF!</v>
      </c>
      <c r="P124" s="113" t="e">
        <f ca="1"/>
        <v>#REF!</v>
      </c>
      <c r="Q124" s="113" t="e">
        <f ca="1"/>
        <v>#REF!</v>
      </c>
      <c r="R124" s="113" t="e">
        <f ca="1"/>
        <v>#REF!</v>
      </c>
      <c r="S124" s="113" t="e">
        <f ca="1"/>
        <v>#REF!</v>
      </c>
      <c r="T124" s="113" t="e">
        <f ca="1"/>
        <v>#REF!</v>
      </c>
      <c r="U124" s="113" t="e">
        <f ca="1"/>
        <v>#REF!</v>
      </c>
      <c r="V124" s="113" t="e">
        <f ca="1"/>
        <v>#REF!</v>
      </c>
      <c r="W124" s="113" t="e">
        <f ca="1"/>
        <v>#REF!</v>
      </c>
      <c r="X124" s="113" t="e">
        <f ca="1"/>
        <v>#REF!</v>
      </c>
      <c r="Y124" s="113" t="e">
        <f ca="1"/>
        <v>#REF!</v>
      </c>
      <c r="Z124" s="113" t="e">
        <f ca="1"/>
        <v>#REF!</v>
      </c>
      <c r="AA124" s="113"/>
      <c r="AB124" s="113"/>
      <c r="AC124" s="113"/>
      <c r="AD124" s="113"/>
      <c r="AE124" s="113" t="str">
        <f ca="1">IFERROR(__xludf.DUMMYFUNCTION("""COMPUTED_VALUE"""),"Parcial")</f>
        <v>Parcial</v>
      </c>
      <c r="AF124" s="113" t="str">
        <f ca="1">IFERROR(__xludf.DUMMYFUNCTION("""COMPUTED_VALUE"""),"FE")</f>
        <v>FE</v>
      </c>
      <c r="AG124" s="113">
        <f ca="1">IFERROR(__xludf.DUMMYFUNCTION("""COMPUTED_VALUE"""),0)</f>
        <v>0</v>
      </c>
      <c r="AH124" s="113">
        <f ca="1">IFERROR(__xludf.DUMMYFUNCTION("""COMPUTED_VALUE"""),0)</f>
        <v>0</v>
      </c>
      <c r="AI124" s="113">
        <f ca="1">IFERROR(__xludf.DUMMYFUNCTION("""COMPUTED_VALUE"""),0)</f>
        <v>0</v>
      </c>
      <c r="AJ124" s="113">
        <f ca="1">IFERROR(__xludf.DUMMYFUNCTION("""COMPUTED_VALUE"""),0)</f>
        <v>0</v>
      </c>
      <c r="AK124" s="113"/>
      <c r="AL124" s="116"/>
    </row>
    <row r="125" spans="1:38" ht="12.75">
      <c r="A125" s="112" t="str">
        <f ca="1">IFERROR(__xludf.DUMMYFUNCTION("""COMPUTED_VALUE"""),"17035287")</f>
        <v>17035287</v>
      </c>
      <c r="B125" s="113" t="str">
        <f ca="1">IFERROR(__xludf.DUMMYFUNCTION("""COMPUTED_VALUE"""),"Arraias")</f>
        <v>Arraias</v>
      </c>
      <c r="C125" s="113" t="str">
        <f ca="1">IFERROR(__xludf.DUMMYFUNCTION("""COMPUTED_VALUE"""),"Parana")</f>
        <v>Parana</v>
      </c>
      <c r="D125" s="114" t="str">
        <f ca="1">IFERROR(__xludf.DUMMYFUNCTION("""COMPUTED_VALUE"""),"A.A. DO COL. EST. DES.VIRGILIO DE M.FRANCO")</f>
        <v>A.A. DO COL. EST. DES.VIRGILIO DE M.FRANCO</v>
      </c>
      <c r="E125" s="113" t="str">
        <f ca="1">IFERROR(__xludf.DUMMYFUNCTION("""COMPUTED_VALUE"""),"Colégio Estadual desembargador Vírgilio Melo Franco")</f>
        <v>Colégio Estadual desembargador Vírgilio Melo Franco</v>
      </c>
      <c r="F125" s="115" t="str">
        <f ca="1">IFERROR(__xludf.DUMMYFUNCTION("""COMPUTED_VALUE"""),"17035287")</f>
        <v>17035287</v>
      </c>
      <c r="G125" s="113" t="str">
        <f ca="1">IFERROR(__xludf.DUMMYFUNCTION("""COMPUTED_VALUE"""),"01284635000120")</f>
        <v>01284635000120</v>
      </c>
      <c r="H125" s="115" t="str">
        <f ca="1">IFERROR(__xludf.DUMMYFUNCTION("""COMPUTED_VALUE"""),"001")</f>
        <v>001</v>
      </c>
      <c r="I125" s="115" t="str">
        <f ca="1">IFERROR(__xludf.DUMMYFUNCTION("""COMPUTED_VALUE"""),"4790")</f>
        <v>4790</v>
      </c>
      <c r="J125" s="115" t="str">
        <f ca="1">IFERROR(__xludf.DUMMYFUNCTION("""COMPUTED_VALUE"""),"232327")</f>
        <v>232327</v>
      </c>
      <c r="K125" s="113" t="e">
        <f ca="1"/>
        <v>#REF!</v>
      </c>
      <c r="L125" s="113" t="e">
        <f ca="1"/>
        <v>#REF!</v>
      </c>
      <c r="M125" s="113" t="e">
        <f ca="1"/>
        <v>#REF!</v>
      </c>
      <c r="N125" s="113" t="e">
        <f ca="1"/>
        <v>#REF!</v>
      </c>
      <c r="O125" s="113" t="e">
        <f ca="1"/>
        <v>#REF!</v>
      </c>
      <c r="P125" s="113" t="e">
        <f ca="1"/>
        <v>#REF!</v>
      </c>
      <c r="Q125" s="113" t="e">
        <f ca="1"/>
        <v>#REF!</v>
      </c>
      <c r="R125" s="113" t="e">
        <f ca="1"/>
        <v>#REF!</v>
      </c>
      <c r="S125" s="113" t="e">
        <f ca="1"/>
        <v>#REF!</v>
      </c>
      <c r="T125" s="113" t="e">
        <f ca="1"/>
        <v>#REF!</v>
      </c>
      <c r="U125" s="113" t="e">
        <f ca="1"/>
        <v>#REF!</v>
      </c>
      <c r="V125" s="113" t="e">
        <f ca="1"/>
        <v>#REF!</v>
      </c>
      <c r="W125" s="113" t="e">
        <f ca="1"/>
        <v>#REF!</v>
      </c>
      <c r="X125" s="113" t="e">
        <f ca="1"/>
        <v>#REF!</v>
      </c>
      <c r="Y125" s="113" t="e">
        <f ca="1"/>
        <v>#REF!</v>
      </c>
      <c r="Z125" s="113" t="e">
        <f ca="1"/>
        <v>#REF!</v>
      </c>
      <c r="AA125" s="113"/>
      <c r="AB125" s="113"/>
      <c r="AC125" s="113"/>
      <c r="AD125" s="113"/>
      <c r="AE125" s="113" t="str">
        <f ca="1">IFERROR(__xludf.DUMMYFUNCTION("""COMPUTED_VALUE"""),"Parcial")</f>
        <v>Parcial</v>
      </c>
      <c r="AF125" s="113" t="str">
        <f ca="1">IFERROR(__xludf.DUMMYFUNCTION("""COMPUTED_VALUE"""),"FE")</f>
        <v>FE</v>
      </c>
      <c r="AG125" s="113">
        <f ca="1">IFERROR(__xludf.DUMMYFUNCTION("""COMPUTED_VALUE"""),0)</f>
        <v>0</v>
      </c>
      <c r="AH125" s="113">
        <f ca="1">IFERROR(__xludf.DUMMYFUNCTION("""COMPUTED_VALUE"""),0)</f>
        <v>0</v>
      </c>
      <c r="AI125" s="113">
        <f ca="1">IFERROR(__xludf.DUMMYFUNCTION("""COMPUTED_VALUE"""),0)</f>
        <v>0</v>
      </c>
      <c r="AJ125" s="113">
        <f ca="1">IFERROR(__xludf.DUMMYFUNCTION("""COMPUTED_VALUE"""),0)</f>
        <v>0</v>
      </c>
      <c r="AK125" s="113"/>
      <c r="AL125" s="116"/>
    </row>
    <row r="126" spans="1:38" ht="12.75">
      <c r="A126" s="112" t="str">
        <f ca="1">IFERROR(__xludf.DUMMYFUNCTION("""COMPUTED_VALUE"""),"17038952")</f>
        <v>17038952</v>
      </c>
      <c r="B126" s="113" t="str">
        <f ca="1">IFERROR(__xludf.DUMMYFUNCTION("""COMPUTED_VALUE"""),"Arraias")</f>
        <v>Arraias</v>
      </c>
      <c r="C126" s="113" t="str">
        <f ca="1">IFERROR(__xludf.DUMMYFUNCTION("""COMPUTED_VALUE"""),"Parana")</f>
        <v>Parana</v>
      </c>
      <c r="D126" s="114" t="str">
        <f ca="1">IFERROR(__xludf.DUMMYFUNCTION("""COMPUTED_VALUE"""),"A.A. DA ESC. EST.EUCLIDES BEZERRA GERAIS")</f>
        <v>A.A. DA ESC. EST.EUCLIDES BEZERRA GERAIS</v>
      </c>
      <c r="E126" s="113" t="str">
        <f ca="1">IFERROR(__xludf.DUMMYFUNCTION("""COMPUTED_VALUE"""),"Escola Estadual Euclides Bezerra Gerais")</f>
        <v>Escola Estadual Euclides Bezerra Gerais</v>
      </c>
      <c r="F126" s="115" t="str">
        <f ca="1">IFERROR(__xludf.DUMMYFUNCTION("""COMPUTED_VALUE"""),"17038952")</f>
        <v>17038952</v>
      </c>
      <c r="G126" s="113" t="str">
        <f ca="1">IFERROR(__xludf.DUMMYFUNCTION("""COMPUTED_VALUE"""),"01401950000190")</f>
        <v>01401950000190</v>
      </c>
      <c r="H126" s="115" t="str">
        <f ca="1">IFERROR(__xludf.DUMMYFUNCTION("""COMPUTED_VALUE"""),"001")</f>
        <v>001</v>
      </c>
      <c r="I126" s="115" t="str">
        <f ca="1">IFERROR(__xludf.DUMMYFUNCTION("""COMPUTED_VALUE"""),"0541")</f>
        <v>0541</v>
      </c>
      <c r="J126" s="115" t="str">
        <f ca="1">IFERROR(__xludf.DUMMYFUNCTION("""COMPUTED_VALUE"""),"232483")</f>
        <v>232483</v>
      </c>
      <c r="K126" s="113" t="e">
        <f ca="1"/>
        <v>#REF!</v>
      </c>
      <c r="L126" s="113" t="e">
        <f ca="1"/>
        <v>#REF!</v>
      </c>
      <c r="M126" s="113" t="e">
        <f ca="1"/>
        <v>#REF!</v>
      </c>
      <c r="N126" s="113" t="e">
        <f ca="1"/>
        <v>#REF!</v>
      </c>
      <c r="O126" s="113" t="e">
        <f ca="1"/>
        <v>#REF!</v>
      </c>
      <c r="P126" s="113" t="e">
        <f ca="1"/>
        <v>#REF!</v>
      </c>
      <c r="Q126" s="113" t="e">
        <f ca="1"/>
        <v>#REF!</v>
      </c>
      <c r="R126" s="113" t="e">
        <f ca="1"/>
        <v>#REF!</v>
      </c>
      <c r="S126" s="113" t="e">
        <f ca="1"/>
        <v>#REF!</v>
      </c>
      <c r="T126" s="113" t="e">
        <f ca="1"/>
        <v>#REF!</v>
      </c>
      <c r="U126" s="113" t="e">
        <f ca="1"/>
        <v>#REF!</v>
      </c>
      <c r="V126" s="113" t="e">
        <f ca="1"/>
        <v>#REF!</v>
      </c>
      <c r="W126" s="113" t="e">
        <f ca="1"/>
        <v>#REF!</v>
      </c>
      <c r="X126" s="113" t="e">
        <f ca="1"/>
        <v>#REF!</v>
      </c>
      <c r="Y126" s="113" t="e">
        <f ca="1"/>
        <v>#REF!</v>
      </c>
      <c r="Z126" s="113" t="e">
        <f ca="1"/>
        <v>#REF!</v>
      </c>
      <c r="AA126" s="113"/>
      <c r="AB126" s="113"/>
      <c r="AC126" s="113"/>
      <c r="AD126" s="113"/>
      <c r="AE126" s="113" t="str">
        <f ca="1">IFERROR(__xludf.DUMMYFUNCTION("""COMPUTED_VALUE"""),"Parcial")</f>
        <v>Parcial</v>
      </c>
      <c r="AF126" s="113" t="str">
        <f ca="1">IFERROR(__xludf.DUMMYFUNCTION("""COMPUTED_VALUE"""),"FE")</f>
        <v>FE</v>
      </c>
      <c r="AG126" s="113">
        <f ca="1">IFERROR(__xludf.DUMMYFUNCTION("""COMPUTED_VALUE"""),0)</f>
        <v>0</v>
      </c>
      <c r="AH126" s="113">
        <f ca="1">IFERROR(__xludf.DUMMYFUNCTION("""COMPUTED_VALUE"""),0)</f>
        <v>0</v>
      </c>
      <c r="AI126" s="113">
        <f ca="1">IFERROR(__xludf.DUMMYFUNCTION("""COMPUTED_VALUE"""),0)</f>
        <v>0</v>
      </c>
      <c r="AJ126" s="113">
        <f ca="1">IFERROR(__xludf.DUMMYFUNCTION("""COMPUTED_VALUE"""),0)</f>
        <v>0</v>
      </c>
      <c r="AK126" s="113"/>
      <c r="AL126" s="116"/>
    </row>
    <row r="127" spans="1:38" ht="12.75">
      <c r="A127" s="112" t="str">
        <f ca="1">IFERROR(__xludf.DUMMYFUNCTION("""COMPUTED_VALUE"""),"17035333")</f>
        <v>17035333</v>
      </c>
      <c r="B127" s="113" t="str">
        <f ca="1">IFERROR(__xludf.DUMMYFUNCTION("""COMPUTED_VALUE"""),"Arraias")</f>
        <v>Arraias</v>
      </c>
      <c r="C127" s="113" t="str">
        <f ca="1">IFERROR(__xludf.DUMMYFUNCTION("""COMPUTED_VALUE"""),"Parana")</f>
        <v>Parana</v>
      </c>
      <c r="D127" s="114" t="str">
        <f ca="1">IFERROR(__xludf.DUMMYFUNCTION("""COMPUTED_VALUE"""),"ASSOC. DE APOIO A ESC. EST. REUNIDA FLORESTA")</f>
        <v>ASSOC. DE APOIO A ESC. EST. REUNIDA FLORESTA</v>
      </c>
      <c r="E127" s="113" t="str">
        <f ca="1">IFERROR(__xludf.DUMMYFUNCTION("""COMPUTED_VALUE"""),"Escola Estadual Floresta")</f>
        <v>Escola Estadual Floresta</v>
      </c>
      <c r="F127" s="115" t="str">
        <f ca="1">IFERROR(__xludf.DUMMYFUNCTION("""COMPUTED_VALUE"""),"17035333")</f>
        <v>17035333</v>
      </c>
      <c r="G127" s="113" t="str">
        <f ca="1">IFERROR(__xludf.DUMMYFUNCTION("""COMPUTED_VALUE"""),"03834797000110")</f>
        <v>03834797000110</v>
      </c>
      <c r="H127" s="115" t="str">
        <f ca="1">IFERROR(__xludf.DUMMYFUNCTION("""COMPUTED_VALUE"""),"001")</f>
        <v>001</v>
      </c>
      <c r="I127" s="115" t="str">
        <f ca="1">IFERROR(__xludf.DUMMYFUNCTION("""COMPUTED_VALUE"""),"0541")</f>
        <v>0541</v>
      </c>
      <c r="J127" s="115" t="str">
        <f ca="1">IFERROR(__xludf.DUMMYFUNCTION("""COMPUTED_VALUE"""),"113247")</f>
        <v>113247</v>
      </c>
      <c r="K127" s="113" t="e">
        <f ca="1"/>
        <v>#REF!</v>
      </c>
      <c r="L127" s="113" t="e">
        <f ca="1"/>
        <v>#REF!</v>
      </c>
      <c r="M127" s="113" t="e">
        <f ca="1"/>
        <v>#REF!</v>
      </c>
      <c r="N127" s="113" t="e">
        <f ca="1"/>
        <v>#REF!</v>
      </c>
      <c r="O127" s="113" t="e">
        <f ca="1"/>
        <v>#REF!</v>
      </c>
      <c r="P127" s="113" t="e">
        <f ca="1"/>
        <v>#REF!</v>
      </c>
      <c r="Q127" s="113" t="e">
        <f ca="1"/>
        <v>#REF!</v>
      </c>
      <c r="R127" s="113" t="e">
        <f ca="1"/>
        <v>#REF!</v>
      </c>
      <c r="S127" s="113" t="e">
        <f ca="1"/>
        <v>#REF!</v>
      </c>
      <c r="T127" s="113" t="e">
        <f ca="1"/>
        <v>#REF!</v>
      </c>
      <c r="U127" s="113" t="e">
        <f ca="1"/>
        <v>#REF!</v>
      </c>
      <c r="V127" s="113" t="e">
        <f ca="1"/>
        <v>#REF!</v>
      </c>
      <c r="W127" s="113" t="e">
        <f ca="1"/>
        <v>#REF!</v>
      </c>
      <c r="X127" s="113" t="e">
        <f ca="1"/>
        <v>#REF!</v>
      </c>
      <c r="Y127" s="113" t="e">
        <f ca="1"/>
        <v>#REF!</v>
      </c>
      <c r="Z127" s="113" t="e">
        <f ca="1"/>
        <v>#REF!</v>
      </c>
      <c r="AA127" s="113"/>
      <c r="AB127" s="113"/>
      <c r="AC127" s="113"/>
      <c r="AD127" s="113" t="str">
        <f ca="1">IFERROR(__xludf.DUMMYFUNCTION("""COMPUTED_VALUE"""),"E.M. INTEGRADO")</f>
        <v>E.M. INTEGRADO</v>
      </c>
      <c r="AE127" s="113" t="str">
        <f ca="1">IFERROR(__xludf.DUMMYFUNCTION("""COMPUTED_VALUE"""),"Parcial")</f>
        <v>Parcial</v>
      </c>
      <c r="AF127" s="113" t="str">
        <f ca="1">IFERROR(__xludf.DUMMYFUNCTION("""COMPUTED_VALUE"""),"FE")</f>
        <v>FE</v>
      </c>
      <c r="AG127" s="113">
        <f ca="1">IFERROR(__xludf.DUMMYFUNCTION("""COMPUTED_VALUE"""),0)</f>
        <v>0</v>
      </c>
      <c r="AH127" s="113">
        <f ca="1">IFERROR(__xludf.DUMMYFUNCTION("""COMPUTED_VALUE"""),0)</f>
        <v>0</v>
      </c>
      <c r="AI127" s="113">
        <f ca="1">IFERROR(__xludf.DUMMYFUNCTION("""COMPUTED_VALUE"""),0)</f>
        <v>0</v>
      </c>
      <c r="AJ127" s="113">
        <f ca="1">IFERROR(__xludf.DUMMYFUNCTION("""COMPUTED_VALUE"""),0)</f>
        <v>0</v>
      </c>
      <c r="AK127" s="113"/>
      <c r="AL127" s="116"/>
    </row>
    <row r="128" spans="1:38" ht="12.75">
      <c r="A128" s="112" t="str">
        <f ca="1">IFERROR(__xludf.DUMMYFUNCTION("""COMPUTED_VALUE"""),"17035465")</f>
        <v>17035465</v>
      </c>
      <c r="B128" s="113" t="str">
        <f ca="1">IFERROR(__xludf.DUMMYFUNCTION("""COMPUTED_VALUE"""),"Arraias")</f>
        <v>Arraias</v>
      </c>
      <c r="C128" s="113" t="str">
        <f ca="1">IFERROR(__xludf.DUMMYFUNCTION("""COMPUTED_VALUE"""),"Parana")</f>
        <v>Parana</v>
      </c>
      <c r="D128" s="114" t="str">
        <f ca="1">IFERROR(__xludf.DUMMYFUNCTION("""COMPUTED_VALUE"""),"A.A. A ESC. EST. REUNIDA SANTA RITA DO RIO PALMA")</f>
        <v>A.A. A ESC. EST. REUNIDA SANTA RITA DO RIO PALMA</v>
      </c>
      <c r="E128" s="113" t="str">
        <f ca="1">IFERROR(__xludf.DUMMYFUNCTION("""COMPUTED_VALUE"""),"Escola Estadual Santa Rita do Rio Palma")</f>
        <v>Escola Estadual Santa Rita do Rio Palma</v>
      </c>
      <c r="F128" s="115" t="str">
        <f ca="1">IFERROR(__xludf.DUMMYFUNCTION("""COMPUTED_VALUE"""),"17035465")</f>
        <v>17035465</v>
      </c>
      <c r="G128" s="113" t="str">
        <f ca="1">IFERROR(__xludf.DUMMYFUNCTION("""COMPUTED_VALUE"""),"03834784000141")</f>
        <v>03834784000141</v>
      </c>
      <c r="H128" s="115" t="str">
        <f ca="1">IFERROR(__xludf.DUMMYFUNCTION("""COMPUTED_VALUE"""),"001")</f>
        <v>001</v>
      </c>
      <c r="I128" s="115" t="str">
        <f ca="1">IFERROR(__xludf.DUMMYFUNCTION("""COMPUTED_VALUE"""),"0541")</f>
        <v>0541</v>
      </c>
      <c r="J128" s="115" t="str">
        <f ca="1">IFERROR(__xludf.DUMMYFUNCTION("""COMPUTED_VALUE"""),"113638")</f>
        <v>113638</v>
      </c>
      <c r="K128" s="113" t="e">
        <f ca="1"/>
        <v>#REF!</v>
      </c>
      <c r="L128" s="113" t="e">
        <f ca="1"/>
        <v>#REF!</v>
      </c>
      <c r="M128" s="113" t="e">
        <f ca="1"/>
        <v>#REF!</v>
      </c>
      <c r="N128" s="113" t="e">
        <f ca="1"/>
        <v>#REF!</v>
      </c>
      <c r="O128" s="113" t="e">
        <f ca="1"/>
        <v>#REF!</v>
      </c>
      <c r="P128" s="113" t="e">
        <f ca="1"/>
        <v>#REF!</v>
      </c>
      <c r="Q128" s="113" t="e">
        <f ca="1"/>
        <v>#REF!</v>
      </c>
      <c r="R128" s="113" t="e">
        <f ca="1"/>
        <v>#REF!</v>
      </c>
      <c r="S128" s="113" t="e">
        <f ca="1"/>
        <v>#REF!</v>
      </c>
      <c r="T128" s="113" t="e">
        <f ca="1"/>
        <v>#REF!</v>
      </c>
      <c r="U128" s="113" t="e">
        <f ca="1"/>
        <v>#REF!</v>
      </c>
      <c r="V128" s="113" t="e">
        <f ca="1"/>
        <v>#REF!</v>
      </c>
      <c r="W128" s="113" t="e">
        <f ca="1"/>
        <v>#REF!</v>
      </c>
      <c r="X128" s="113" t="e">
        <f ca="1"/>
        <v>#REF!</v>
      </c>
      <c r="Y128" s="113" t="e">
        <f ca="1"/>
        <v>#REF!</v>
      </c>
      <c r="Z128" s="113" t="e">
        <f ca="1"/>
        <v>#REF!</v>
      </c>
      <c r="AA128" s="113"/>
      <c r="AB128" s="113"/>
      <c r="AC128" s="113"/>
      <c r="AD128" s="113"/>
      <c r="AE128" s="113" t="str">
        <f ca="1">IFERROR(__xludf.DUMMYFUNCTION("""COMPUTED_VALUE"""),"Parcial")</f>
        <v>Parcial</v>
      </c>
      <c r="AF128" s="113" t="str">
        <f ca="1">IFERROR(__xludf.DUMMYFUNCTION("""COMPUTED_VALUE"""),"FE")</f>
        <v>FE</v>
      </c>
      <c r="AG128" s="113">
        <f ca="1">IFERROR(__xludf.DUMMYFUNCTION("""COMPUTED_VALUE"""),0)</f>
        <v>0</v>
      </c>
      <c r="AH128" s="113">
        <f ca="1">IFERROR(__xludf.DUMMYFUNCTION("""COMPUTED_VALUE"""),0)</f>
        <v>0</v>
      </c>
      <c r="AI128" s="113">
        <f ca="1">IFERROR(__xludf.DUMMYFUNCTION("""COMPUTED_VALUE"""),0)</f>
        <v>0</v>
      </c>
      <c r="AJ128" s="113">
        <f ca="1">IFERROR(__xludf.DUMMYFUNCTION("""COMPUTED_VALUE"""),0)</f>
        <v>0</v>
      </c>
      <c r="AK128" s="113"/>
      <c r="AL128" s="116"/>
    </row>
    <row r="129" spans="1:38" ht="12.75">
      <c r="A129" s="112" t="str">
        <f ca="1">IFERROR(__xludf.DUMMYFUNCTION("""COMPUTED_VALUE"""),"17006481")</f>
        <v>17006481</v>
      </c>
      <c r="B129" s="113" t="str">
        <f ca="1">IFERROR(__xludf.DUMMYFUNCTION("""COMPUTED_VALUE"""),"Colinas")</f>
        <v>Colinas</v>
      </c>
      <c r="C129" s="113" t="str">
        <f ca="1">IFERROR(__xludf.DUMMYFUNCTION("""COMPUTED_VALUE"""),"Arapoema")</f>
        <v>Arapoema</v>
      </c>
      <c r="D129" s="114" t="str">
        <f ca="1">IFERROR(__xludf.DUMMYFUNCTION("""COMPUTED_VALUE"""),"A.AP. COL. EST.RUILON DIAS CARNEIRO")</f>
        <v>A.AP. COL. EST.RUILON DIAS CARNEIRO</v>
      </c>
      <c r="E129" s="113" t="str">
        <f ca="1">IFERROR(__xludf.DUMMYFUNCTION("""COMPUTED_VALUE"""),"Colégio Estadual Ruilon Dias Carneiro")</f>
        <v>Colégio Estadual Ruilon Dias Carneiro</v>
      </c>
      <c r="F129" s="115" t="str">
        <f ca="1">IFERROR(__xludf.DUMMYFUNCTION("""COMPUTED_VALUE"""),"17006481")</f>
        <v>17006481</v>
      </c>
      <c r="G129" s="113" t="str">
        <f ca="1">IFERROR(__xludf.DUMMYFUNCTION("""COMPUTED_VALUE"""),"01133714000130")</f>
        <v>01133714000130</v>
      </c>
      <c r="H129" s="115" t="str">
        <f ca="1">IFERROR(__xludf.DUMMYFUNCTION("""COMPUTED_VALUE"""),"001")</f>
        <v>001</v>
      </c>
      <c r="I129" s="115" t="str">
        <f ca="1">IFERROR(__xludf.DUMMYFUNCTION("""COMPUTED_VALUE"""),"3974")</f>
        <v>3974</v>
      </c>
      <c r="J129" s="115" t="str">
        <f ca="1">IFERROR(__xludf.DUMMYFUNCTION("""COMPUTED_VALUE"""),"2290X")</f>
        <v>2290X</v>
      </c>
      <c r="K129" s="113" t="e">
        <f ca="1"/>
        <v>#REF!</v>
      </c>
      <c r="L129" s="113" t="e">
        <f ca="1"/>
        <v>#REF!</v>
      </c>
      <c r="M129" s="113" t="e">
        <f ca="1"/>
        <v>#REF!</v>
      </c>
      <c r="N129" s="113" t="e">
        <f ca="1"/>
        <v>#REF!</v>
      </c>
      <c r="O129" s="113" t="e">
        <f ca="1"/>
        <v>#REF!</v>
      </c>
      <c r="P129" s="113" t="e">
        <f ca="1"/>
        <v>#REF!</v>
      </c>
      <c r="Q129" s="113" t="e">
        <f ca="1"/>
        <v>#REF!</v>
      </c>
      <c r="R129" s="113" t="e">
        <f ca="1"/>
        <v>#REF!</v>
      </c>
      <c r="S129" s="113" t="e">
        <f ca="1"/>
        <v>#REF!</v>
      </c>
      <c r="T129" s="113" t="e">
        <f ca="1"/>
        <v>#REF!</v>
      </c>
      <c r="U129" s="113" t="e">
        <f ca="1"/>
        <v>#REF!</v>
      </c>
      <c r="V129" s="113" t="e">
        <f ca="1"/>
        <v>#REF!</v>
      </c>
      <c r="W129" s="113" t="e">
        <f ca="1"/>
        <v>#REF!</v>
      </c>
      <c r="X129" s="113" t="e">
        <f ca="1"/>
        <v>#REF!</v>
      </c>
      <c r="Y129" s="113" t="e">
        <f ca="1"/>
        <v>#REF!</v>
      </c>
      <c r="Z129" s="113" t="e">
        <f ca="1"/>
        <v>#REF!</v>
      </c>
      <c r="AA129" s="113"/>
      <c r="AB129" s="113"/>
      <c r="AC129" s="113"/>
      <c r="AD129" s="113"/>
      <c r="AE129" s="113" t="str">
        <f ca="1">IFERROR(__xludf.DUMMYFUNCTION("""COMPUTED_VALUE"""),"Parcial")</f>
        <v>Parcial</v>
      </c>
      <c r="AF129" s="113" t="str">
        <f ca="1">IFERROR(__xludf.DUMMYFUNCTION("""COMPUTED_VALUE"""),"FE")</f>
        <v>FE</v>
      </c>
      <c r="AG129" s="113">
        <f ca="1">IFERROR(__xludf.DUMMYFUNCTION("""COMPUTED_VALUE"""),0)</f>
        <v>0</v>
      </c>
      <c r="AH129" s="113">
        <f ca="1">IFERROR(__xludf.DUMMYFUNCTION("""COMPUTED_VALUE"""),0)</f>
        <v>0</v>
      </c>
      <c r="AI129" s="113">
        <f ca="1">IFERROR(__xludf.DUMMYFUNCTION("""COMPUTED_VALUE"""),0)</f>
        <v>0</v>
      </c>
      <c r="AJ129" s="113">
        <f ca="1">IFERROR(__xludf.DUMMYFUNCTION("""COMPUTED_VALUE"""),0)</f>
        <v>0</v>
      </c>
      <c r="AK129" s="113"/>
      <c r="AL129" s="116"/>
    </row>
    <row r="130" spans="1:38" ht="12.75">
      <c r="A130" s="112" t="str">
        <f ca="1">IFERROR(__xludf.DUMMYFUNCTION("""COMPUTED_VALUE"""),"17006503")</f>
        <v>17006503</v>
      </c>
      <c r="B130" s="113" t="str">
        <f ca="1">IFERROR(__xludf.DUMMYFUNCTION("""COMPUTED_VALUE"""),"Colinas")</f>
        <v>Colinas</v>
      </c>
      <c r="C130" s="113" t="str">
        <f ca="1">IFERROR(__xludf.DUMMYFUNCTION("""COMPUTED_VALUE"""),"Arapoema")</f>
        <v>Arapoema</v>
      </c>
      <c r="D130" s="114" t="str">
        <f ca="1">IFERROR(__xludf.DUMMYFUNCTION("""COMPUTED_VALUE"""),"A.A. E. EST. ANTONIO DELFINO GUIMARAES")</f>
        <v>A.A. E. EST. ANTONIO DELFINO GUIMARAES</v>
      </c>
      <c r="E130" s="113" t="str">
        <f ca="1">IFERROR(__xludf.DUMMYFUNCTION("""COMPUTED_VALUE"""),"Escola Estadual Antonio delfino Guimaraes")</f>
        <v>Escola Estadual Antonio delfino Guimaraes</v>
      </c>
      <c r="F130" s="115" t="str">
        <f ca="1">IFERROR(__xludf.DUMMYFUNCTION("""COMPUTED_VALUE"""),"17006503")</f>
        <v>17006503</v>
      </c>
      <c r="G130" s="113" t="str">
        <f ca="1">IFERROR(__xludf.DUMMYFUNCTION("""COMPUTED_VALUE"""),"01135998000102")</f>
        <v>01135998000102</v>
      </c>
      <c r="H130" s="115" t="str">
        <f ca="1">IFERROR(__xludf.DUMMYFUNCTION("""COMPUTED_VALUE"""),"001")</f>
        <v>001</v>
      </c>
      <c r="I130" s="115" t="str">
        <f ca="1">IFERROR(__xludf.DUMMYFUNCTION("""COMPUTED_VALUE"""),"3974")</f>
        <v>3974</v>
      </c>
      <c r="J130" s="115" t="str">
        <f ca="1">IFERROR(__xludf.DUMMYFUNCTION("""COMPUTED_VALUE"""),"2287X")</f>
        <v>2287X</v>
      </c>
      <c r="K130" s="113" t="e">
        <f ca="1"/>
        <v>#REF!</v>
      </c>
      <c r="L130" s="113" t="e">
        <f ca="1"/>
        <v>#REF!</v>
      </c>
      <c r="M130" s="113" t="e">
        <f ca="1"/>
        <v>#REF!</v>
      </c>
      <c r="N130" s="113" t="e">
        <f ca="1"/>
        <v>#REF!</v>
      </c>
      <c r="O130" s="113" t="e">
        <f ca="1"/>
        <v>#REF!</v>
      </c>
      <c r="P130" s="113" t="e">
        <f ca="1"/>
        <v>#REF!</v>
      </c>
      <c r="Q130" s="113" t="e">
        <f ca="1"/>
        <v>#REF!</v>
      </c>
      <c r="R130" s="113" t="e">
        <f ca="1"/>
        <v>#REF!</v>
      </c>
      <c r="S130" s="113" t="e">
        <f ca="1"/>
        <v>#REF!</v>
      </c>
      <c r="T130" s="113" t="e">
        <f ca="1"/>
        <v>#REF!</v>
      </c>
      <c r="U130" s="113" t="e">
        <f ca="1"/>
        <v>#REF!</v>
      </c>
      <c r="V130" s="113" t="e">
        <f ca="1"/>
        <v>#REF!</v>
      </c>
      <c r="W130" s="113" t="e">
        <f ca="1"/>
        <v>#REF!</v>
      </c>
      <c r="X130" s="113" t="e">
        <f ca="1"/>
        <v>#REF!</v>
      </c>
      <c r="Y130" s="113" t="e">
        <f ca="1"/>
        <v>#REF!</v>
      </c>
      <c r="Z130" s="113" t="e">
        <f ca="1"/>
        <v>#REF!</v>
      </c>
      <c r="AA130" s="113"/>
      <c r="AB130" s="113"/>
      <c r="AC130" s="113"/>
      <c r="AD130" s="113"/>
      <c r="AE130" s="113" t="str">
        <f ca="1">IFERROR(__xludf.DUMMYFUNCTION("""COMPUTED_VALUE"""),"Parcial")</f>
        <v>Parcial</v>
      </c>
      <c r="AF130" s="113" t="str">
        <f ca="1">IFERROR(__xludf.DUMMYFUNCTION("""COMPUTED_VALUE"""),"FE")</f>
        <v>FE</v>
      </c>
      <c r="AG130" s="113">
        <f ca="1">IFERROR(__xludf.DUMMYFUNCTION("""COMPUTED_VALUE"""),0)</f>
        <v>0</v>
      </c>
      <c r="AH130" s="113">
        <f ca="1">IFERROR(__xludf.DUMMYFUNCTION("""COMPUTED_VALUE"""),0)</f>
        <v>0</v>
      </c>
      <c r="AI130" s="113">
        <f ca="1">IFERROR(__xludf.DUMMYFUNCTION("""COMPUTED_VALUE"""),0)</f>
        <v>0</v>
      </c>
      <c r="AJ130" s="113">
        <f ca="1">IFERROR(__xludf.DUMMYFUNCTION("""COMPUTED_VALUE"""),0)</f>
        <v>0</v>
      </c>
      <c r="AK130" s="113"/>
      <c r="AL130" s="116"/>
    </row>
    <row r="131" spans="1:38" ht="12.75">
      <c r="A131" s="112" t="str">
        <f ca="1">IFERROR(__xludf.DUMMYFUNCTION("""COMPUTED_VALUE"""),"17006511")</f>
        <v>17006511</v>
      </c>
      <c r="B131" s="113" t="str">
        <f ca="1">IFERROR(__xludf.DUMMYFUNCTION("""COMPUTED_VALUE"""),"Colinas")</f>
        <v>Colinas</v>
      </c>
      <c r="C131" s="113" t="str">
        <f ca="1">IFERROR(__xludf.DUMMYFUNCTION("""COMPUTED_VALUE"""),"Bandeirantes do Tocantins")</f>
        <v>Bandeirantes do Tocantins</v>
      </c>
      <c r="D131" s="114" t="str">
        <f ca="1">IFERROR(__xludf.DUMMYFUNCTION("""COMPUTED_VALUE"""),"A.A. E. E. ARCELINO F. DO NASCIMENTO")</f>
        <v>A.A. E. E. ARCELINO F. DO NASCIMENTO</v>
      </c>
      <c r="E131" s="113" t="str">
        <f ca="1">IFERROR(__xludf.DUMMYFUNCTION("""COMPUTED_VALUE"""),"Escola Estadual Arcelino Francisco do Nascimento")</f>
        <v>Escola Estadual Arcelino Francisco do Nascimento</v>
      </c>
      <c r="F131" s="115" t="str">
        <f ca="1">IFERROR(__xludf.DUMMYFUNCTION("""COMPUTED_VALUE"""),"17006511")</f>
        <v>17006511</v>
      </c>
      <c r="G131" s="113" t="str">
        <f ca="1">IFERROR(__xludf.DUMMYFUNCTION("""COMPUTED_VALUE"""),"01181179000193")</f>
        <v>01181179000193</v>
      </c>
      <c r="H131" s="115" t="str">
        <f ca="1">IFERROR(__xludf.DUMMYFUNCTION("""COMPUTED_VALUE"""),"001")</f>
        <v>001</v>
      </c>
      <c r="I131" s="115" t="str">
        <f ca="1">IFERROR(__xludf.DUMMYFUNCTION("""COMPUTED_VALUE"""),"0911")</f>
        <v>0911</v>
      </c>
      <c r="J131" s="115" t="str">
        <f ca="1">IFERROR(__xludf.DUMMYFUNCTION("""COMPUTED_VALUE"""),"46578X")</f>
        <v>46578X</v>
      </c>
      <c r="K131" s="113" t="e">
        <f ca="1"/>
        <v>#REF!</v>
      </c>
      <c r="L131" s="113" t="e">
        <f ca="1"/>
        <v>#REF!</v>
      </c>
      <c r="M131" s="113" t="e">
        <f ca="1"/>
        <v>#REF!</v>
      </c>
      <c r="N131" s="113" t="e">
        <f ca="1"/>
        <v>#REF!</v>
      </c>
      <c r="O131" s="113" t="e">
        <f ca="1"/>
        <v>#REF!</v>
      </c>
      <c r="P131" s="113" t="e">
        <f ca="1"/>
        <v>#REF!</v>
      </c>
      <c r="Q131" s="113" t="e">
        <f ca="1"/>
        <v>#REF!</v>
      </c>
      <c r="R131" s="113" t="e">
        <f ca="1"/>
        <v>#REF!</v>
      </c>
      <c r="S131" s="113" t="e">
        <f ca="1"/>
        <v>#REF!</v>
      </c>
      <c r="T131" s="113" t="e">
        <f ca="1"/>
        <v>#REF!</v>
      </c>
      <c r="U131" s="113" t="e">
        <f ca="1"/>
        <v>#REF!</v>
      </c>
      <c r="V131" s="113" t="e">
        <f ca="1"/>
        <v>#REF!</v>
      </c>
      <c r="W131" s="113" t="e">
        <f ca="1"/>
        <v>#REF!</v>
      </c>
      <c r="X131" s="113" t="e">
        <f ca="1"/>
        <v>#REF!</v>
      </c>
      <c r="Y131" s="113" t="e">
        <f ca="1"/>
        <v>#REF!</v>
      </c>
      <c r="Z131" s="113" t="e">
        <f ca="1"/>
        <v>#REF!</v>
      </c>
      <c r="AA131" s="113"/>
      <c r="AB131" s="113"/>
      <c r="AC131" s="113"/>
      <c r="AD131" s="113"/>
      <c r="AE131" s="113" t="str">
        <f ca="1">IFERROR(__xludf.DUMMYFUNCTION("""COMPUTED_VALUE"""),"Parcial")</f>
        <v>Parcial</v>
      </c>
      <c r="AF131" s="113" t="str">
        <f ca="1">IFERROR(__xludf.DUMMYFUNCTION("""COMPUTED_VALUE"""),"FE")</f>
        <v>FE</v>
      </c>
      <c r="AG131" s="113">
        <f ca="1">IFERROR(__xludf.DUMMYFUNCTION("""COMPUTED_VALUE"""),0)</f>
        <v>0</v>
      </c>
      <c r="AH131" s="113">
        <f ca="1">IFERROR(__xludf.DUMMYFUNCTION("""COMPUTED_VALUE"""),0)</f>
        <v>0</v>
      </c>
      <c r="AI131" s="113">
        <f ca="1">IFERROR(__xludf.DUMMYFUNCTION("""COMPUTED_VALUE"""),0)</f>
        <v>0</v>
      </c>
      <c r="AJ131" s="113">
        <f ca="1">IFERROR(__xludf.DUMMYFUNCTION("""COMPUTED_VALUE"""),0)</f>
        <v>0</v>
      </c>
      <c r="AK131" s="113"/>
      <c r="AL131" s="116"/>
    </row>
    <row r="132" spans="1:38" ht="12.75">
      <c r="A132" s="112" t="str">
        <f ca="1">IFERROR(__xludf.DUMMYFUNCTION("""COMPUTED_VALUE"""),"17011396")</f>
        <v>17011396</v>
      </c>
      <c r="B132" s="113" t="str">
        <f ca="1">IFERROR(__xludf.DUMMYFUNCTION("""COMPUTED_VALUE"""),"Colinas")</f>
        <v>Colinas</v>
      </c>
      <c r="C132" s="113" t="str">
        <f ca="1">IFERROR(__xludf.DUMMYFUNCTION("""COMPUTED_VALUE"""),"Bernardo Sayao")</f>
        <v>Bernardo Sayao</v>
      </c>
      <c r="D132" s="114" t="str">
        <f ca="1">IFERROR(__xludf.DUMMYFUNCTION("""COMPUTED_VALUE"""),"A.A. COL. EST. BERNARDO SAYAO")</f>
        <v>A.A. COL. EST. BERNARDO SAYAO</v>
      </c>
      <c r="E132" s="113" t="str">
        <f ca="1">IFERROR(__xludf.DUMMYFUNCTION("""COMPUTED_VALUE"""),"Escola Estadual Bernardo Sayão")</f>
        <v>Escola Estadual Bernardo Sayão</v>
      </c>
      <c r="F132" s="115" t="str">
        <f ca="1">IFERROR(__xludf.DUMMYFUNCTION("""COMPUTED_VALUE"""),"17011396")</f>
        <v>17011396</v>
      </c>
      <c r="G132" s="113" t="str">
        <f ca="1">IFERROR(__xludf.DUMMYFUNCTION("""COMPUTED_VALUE"""),"01190188000140")</f>
        <v>01190188000140</v>
      </c>
      <c r="H132" s="115" t="str">
        <f ca="1">IFERROR(__xludf.DUMMYFUNCTION("""COMPUTED_VALUE"""),"001")</f>
        <v>001</v>
      </c>
      <c r="I132" s="115" t="str">
        <f ca="1">IFERROR(__xludf.DUMMYFUNCTION("""COMPUTED_VALUE"""),"0911")</f>
        <v>0911</v>
      </c>
      <c r="J132" s="115" t="str">
        <f ca="1">IFERROR(__xludf.DUMMYFUNCTION("""COMPUTED_VALUE"""),"369403")</f>
        <v>369403</v>
      </c>
      <c r="K132" s="113" t="e">
        <f ca="1"/>
        <v>#REF!</v>
      </c>
      <c r="L132" s="113" t="e">
        <f ca="1"/>
        <v>#REF!</v>
      </c>
      <c r="M132" s="113" t="e">
        <f ca="1"/>
        <v>#REF!</v>
      </c>
      <c r="N132" s="113" t="e">
        <f ca="1"/>
        <v>#REF!</v>
      </c>
      <c r="O132" s="113" t="e">
        <f ca="1"/>
        <v>#REF!</v>
      </c>
      <c r="P132" s="113" t="e">
        <f ca="1"/>
        <v>#REF!</v>
      </c>
      <c r="Q132" s="113" t="e">
        <f ca="1"/>
        <v>#REF!</v>
      </c>
      <c r="R132" s="113" t="e">
        <f ca="1"/>
        <v>#REF!</v>
      </c>
      <c r="S132" s="113" t="e">
        <f ca="1"/>
        <v>#REF!</v>
      </c>
      <c r="T132" s="113" t="e">
        <f ca="1"/>
        <v>#REF!</v>
      </c>
      <c r="U132" s="113" t="e">
        <f ca="1"/>
        <v>#REF!</v>
      </c>
      <c r="V132" s="113" t="e">
        <f ca="1"/>
        <v>#REF!</v>
      </c>
      <c r="W132" s="113" t="e">
        <f ca="1"/>
        <v>#REF!</v>
      </c>
      <c r="X132" s="113" t="e">
        <f ca="1"/>
        <v>#REF!</v>
      </c>
      <c r="Y132" s="113" t="e">
        <f ca="1"/>
        <v>#REF!</v>
      </c>
      <c r="Z132" s="113" t="e">
        <f ca="1"/>
        <v>#REF!</v>
      </c>
      <c r="AA132" s="113"/>
      <c r="AB132" s="113"/>
      <c r="AC132" s="113"/>
      <c r="AD132" s="113"/>
      <c r="AE132" s="113" t="str">
        <f ca="1">IFERROR(__xludf.DUMMYFUNCTION("""COMPUTED_VALUE"""),"Parcial")</f>
        <v>Parcial</v>
      </c>
      <c r="AF132" s="113" t="str">
        <f ca="1">IFERROR(__xludf.DUMMYFUNCTION("""COMPUTED_VALUE"""),"FE")</f>
        <v>FE</v>
      </c>
      <c r="AG132" s="113">
        <f ca="1">IFERROR(__xludf.DUMMYFUNCTION("""COMPUTED_VALUE"""),0)</f>
        <v>0</v>
      </c>
      <c r="AH132" s="113">
        <f ca="1">IFERROR(__xludf.DUMMYFUNCTION("""COMPUTED_VALUE"""),0)</f>
        <v>0</v>
      </c>
      <c r="AI132" s="113">
        <f ca="1">IFERROR(__xludf.DUMMYFUNCTION("""COMPUTED_VALUE"""),0)</f>
        <v>0</v>
      </c>
      <c r="AJ132" s="113">
        <f ca="1">IFERROR(__xludf.DUMMYFUNCTION("""COMPUTED_VALUE"""),0)</f>
        <v>0</v>
      </c>
      <c r="AK132" s="113"/>
      <c r="AL132" s="116"/>
    </row>
    <row r="133" spans="1:38" ht="12.75">
      <c r="A133" s="112" t="str">
        <f ca="1">IFERROR(__xludf.DUMMYFUNCTION("""COMPUTED_VALUE"""),"17011590")</f>
        <v>17011590</v>
      </c>
      <c r="B133" s="113" t="str">
        <f ca="1">IFERROR(__xludf.DUMMYFUNCTION("""COMPUTED_VALUE"""),"Colinas")</f>
        <v>Colinas</v>
      </c>
      <c r="C133" s="113" t="str">
        <f ca="1">IFERROR(__xludf.DUMMYFUNCTION("""COMPUTED_VALUE"""),"Brasilandia do Tocantins")</f>
        <v>Brasilandia do Tocantins</v>
      </c>
      <c r="D133" s="114" t="str">
        <f ca="1">IFERROR(__xludf.DUMMYFUNCTION("""COMPUTED_VALUE"""),"A.A. COL. EST. SEBASTIAO RODRIGUES SALES")</f>
        <v>A.A. COL. EST. SEBASTIAO RODRIGUES SALES</v>
      </c>
      <c r="E133" s="113" t="str">
        <f ca="1">IFERROR(__xludf.DUMMYFUNCTION("""COMPUTED_VALUE"""),"Colégio Estadual Sebastião Rodrigues Sales")</f>
        <v>Colégio Estadual Sebastião Rodrigues Sales</v>
      </c>
      <c r="F133" s="115" t="str">
        <f ca="1">IFERROR(__xludf.DUMMYFUNCTION("""COMPUTED_VALUE"""),"17011590")</f>
        <v>17011590</v>
      </c>
      <c r="G133" s="113" t="str">
        <f ca="1">IFERROR(__xludf.DUMMYFUNCTION("""COMPUTED_VALUE"""),"01138333000144")</f>
        <v>01138333000144</v>
      </c>
      <c r="H133" s="115" t="str">
        <f ca="1">IFERROR(__xludf.DUMMYFUNCTION("""COMPUTED_VALUE"""),"001")</f>
        <v>001</v>
      </c>
      <c r="I133" s="115" t="str">
        <f ca="1">IFERROR(__xludf.DUMMYFUNCTION("""COMPUTED_VALUE"""),"0911")</f>
        <v>0911</v>
      </c>
      <c r="J133" s="115" t="str">
        <f ca="1">IFERROR(__xludf.DUMMYFUNCTION("""COMPUTED_VALUE"""),"369365")</f>
        <v>369365</v>
      </c>
      <c r="K133" s="113" t="e">
        <f ca="1"/>
        <v>#REF!</v>
      </c>
      <c r="L133" s="113" t="e">
        <f ca="1"/>
        <v>#REF!</v>
      </c>
      <c r="M133" s="113" t="e">
        <f ca="1"/>
        <v>#REF!</v>
      </c>
      <c r="N133" s="113" t="e">
        <f ca="1"/>
        <v>#REF!</v>
      </c>
      <c r="O133" s="113" t="e">
        <f ca="1"/>
        <v>#REF!</v>
      </c>
      <c r="P133" s="113" t="e">
        <f ca="1"/>
        <v>#REF!</v>
      </c>
      <c r="Q133" s="113" t="e">
        <f ca="1"/>
        <v>#REF!</v>
      </c>
      <c r="R133" s="113" t="e">
        <f ca="1"/>
        <v>#REF!</v>
      </c>
      <c r="S133" s="113" t="e">
        <f ca="1"/>
        <v>#REF!</v>
      </c>
      <c r="T133" s="113" t="e">
        <f ca="1"/>
        <v>#REF!</v>
      </c>
      <c r="U133" s="113" t="e">
        <f ca="1"/>
        <v>#REF!</v>
      </c>
      <c r="V133" s="113" t="e">
        <f ca="1"/>
        <v>#REF!</v>
      </c>
      <c r="W133" s="113" t="e">
        <f ca="1"/>
        <v>#REF!</v>
      </c>
      <c r="X133" s="113" t="e">
        <f ca="1"/>
        <v>#REF!</v>
      </c>
      <c r="Y133" s="113" t="e">
        <f ca="1"/>
        <v>#REF!</v>
      </c>
      <c r="Z133" s="113" t="e">
        <f ca="1"/>
        <v>#REF!</v>
      </c>
      <c r="AA133" s="113"/>
      <c r="AB133" s="113"/>
      <c r="AC133" s="113"/>
      <c r="AD133" s="113"/>
      <c r="AE133" s="113" t="str">
        <f ca="1">IFERROR(__xludf.DUMMYFUNCTION("""COMPUTED_VALUE"""),"Parcial")</f>
        <v>Parcial</v>
      </c>
      <c r="AF133" s="113" t="str">
        <f ca="1">IFERROR(__xludf.DUMMYFUNCTION("""COMPUTED_VALUE"""),"FE")</f>
        <v>FE</v>
      </c>
      <c r="AG133" s="113">
        <f ca="1">IFERROR(__xludf.DUMMYFUNCTION("""COMPUTED_VALUE"""),0)</f>
        <v>0</v>
      </c>
      <c r="AH133" s="113">
        <f ca="1">IFERROR(__xludf.DUMMYFUNCTION("""COMPUTED_VALUE"""),0)</f>
        <v>0</v>
      </c>
      <c r="AI133" s="113">
        <f ca="1">IFERROR(__xludf.DUMMYFUNCTION("""COMPUTED_VALUE"""),0)</f>
        <v>0</v>
      </c>
      <c r="AJ133" s="113">
        <f ca="1">IFERROR(__xludf.DUMMYFUNCTION("""COMPUTED_VALUE"""),0)</f>
        <v>0</v>
      </c>
      <c r="AK133" s="113"/>
      <c r="AL133" s="116"/>
    </row>
    <row r="134" spans="1:38" ht="12.75">
      <c r="A134" s="112" t="str">
        <f ca="1">IFERROR(__xludf.DUMMYFUNCTION("""COMPUTED_VALUE"""),"17007496")</f>
        <v>17007496</v>
      </c>
      <c r="B134" s="113" t="str">
        <f ca="1">IFERROR(__xludf.DUMMYFUNCTION("""COMPUTED_VALUE"""),"Colinas")</f>
        <v>Colinas</v>
      </c>
      <c r="C134" s="113" t="str">
        <f ca="1">IFERROR(__xludf.DUMMYFUNCTION("""COMPUTED_VALUE"""),"Colinas do Tocantins")</f>
        <v>Colinas do Tocantins</v>
      </c>
      <c r="D134" s="114" t="str">
        <f ca="1">IFERROR(__xludf.DUMMYFUNCTION("""COMPUTED_VALUE"""),"ASSOC. DE APOIO DO COL. EST. CASTELO BRANCO")</f>
        <v>ASSOC. DE APOIO DO COL. EST. CASTELO BRANCO</v>
      </c>
      <c r="E134" s="113" t="str">
        <f ca="1">IFERROR(__xludf.DUMMYFUNCTION("""COMPUTED_VALUE"""),"Centro de Ensino Médio Presidente Castelo Branco")</f>
        <v>Centro de Ensino Médio Presidente Castelo Branco</v>
      </c>
      <c r="F134" s="115" t="str">
        <f ca="1">IFERROR(__xludf.DUMMYFUNCTION("""COMPUTED_VALUE"""),"17007496")</f>
        <v>17007496</v>
      </c>
      <c r="G134" s="113" t="str">
        <f ca="1">IFERROR(__xludf.DUMMYFUNCTION("""COMPUTED_VALUE"""),"01071413000120")</f>
        <v>01071413000120</v>
      </c>
      <c r="H134" s="115" t="str">
        <f ca="1">IFERROR(__xludf.DUMMYFUNCTION("""COMPUTED_VALUE"""),"001")</f>
        <v>001</v>
      </c>
      <c r="I134" s="115" t="str">
        <f ca="1">IFERROR(__xludf.DUMMYFUNCTION("""COMPUTED_VALUE"""),"0911")</f>
        <v>0911</v>
      </c>
      <c r="J134" s="115" t="str">
        <f ca="1">IFERROR(__xludf.DUMMYFUNCTION("""COMPUTED_VALUE"""),"187275")</f>
        <v>187275</v>
      </c>
      <c r="K134" s="113" t="e">
        <f ca="1"/>
        <v>#REF!</v>
      </c>
      <c r="L134" s="113" t="e">
        <f ca="1"/>
        <v>#REF!</v>
      </c>
      <c r="M134" s="113" t="e">
        <f ca="1"/>
        <v>#REF!</v>
      </c>
      <c r="N134" s="113" t="e">
        <f ca="1"/>
        <v>#REF!</v>
      </c>
      <c r="O134" s="113" t="e">
        <f ca="1"/>
        <v>#REF!</v>
      </c>
      <c r="P134" s="113" t="e">
        <f ca="1"/>
        <v>#REF!</v>
      </c>
      <c r="Q134" s="113" t="e">
        <f ca="1"/>
        <v>#REF!</v>
      </c>
      <c r="R134" s="113" t="e">
        <f ca="1"/>
        <v>#REF!</v>
      </c>
      <c r="S134" s="113" t="e">
        <f ca="1"/>
        <v>#REF!</v>
      </c>
      <c r="T134" s="113" t="e">
        <f ca="1"/>
        <v>#REF!</v>
      </c>
      <c r="U134" s="113" t="e">
        <f ca="1"/>
        <v>#REF!</v>
      </c>
      <c r="V134" s="113" t="e">
        <f ca="1"/>
        <v>#REF!</v>
      </c>
      <c r="W134" s="113" t="e">
        <f ca="1"/>
        <v>#REF!</v>
      </c>
      <c r="X134" s="113" t="e">
        <f ca="1"/>
        <v>#REF!</v>
      </c>
      <c r="Y134" s="113" t="e">
        <f ca="1"/>
        <v>#REF!</v>
      </c>
      <c r="Z134" s="113" t="e">
        <f ca="1"/>
        <v>#REF!</v>
      </c>
      <c r="AA134" s="113"/>
      <c r="AB134" s="113"/>
      <c r="AC134" s="113"/>
      <c r="AD134" s="113"/>
      <c r="AE134" s="113" t="str">
        <f ca="1">IFERROR(__xludf.DUMMYFUNCTION("""COMPUTED_VALUE"""),"Parcial")</f>
        <v>Parcial</v>
      </c>
      <c r="AF134" s="113" t="str">
        <f ca="1">IFERROR(__xludf.DUMMYFUNCTION("""COMPUTED_VALUE"""),"FE")</f>
        <v>FE</v>
      </c>
      <c r="AG134" s="113">
        <f ca="1">IFERROR(__xludf.DUMMYFUNCTION("""COMPUTED_VALUE"""),13)</f>
        <v>13</v>
      </c>
      <c r="AH134" s="113">
        <f ca="1">IFERROR(__xludf.DUMMYFUNCTION("""COMPUTED_VALUE"""),0)</f>
        <v>0</v>
      </c>
      <c r="AI134" s="113">
        <f ca="1">IFERROR(__xludf.DUMMYFUNCTION("""COMPUTED_VALUE"""),0)</f>
        <v>0</v>
      </c>
      <c r="AJ134" s="113">
        <f ca="1">IFERROR(__xludf.DUMMYFUNCTION("""COMPUTED_VALUE"""),0)</f>
        <v>0</v>
      </c>
      <c r="AK134" s="113"/>
      <c r="AL134" s="116"/>
    </row>
    <row r="135" spans="1:38" ht="12.75">
      <c r="A135" s="112" t="str">
        <f ca="1">IFERROR(__xludf.DUMMYFUNCTION("""COMPUTED_VALUE"""),"17007518")</f>
        <v>17007518</v>
      </c>
      <c r="B135" s="113" t="str">
        <f ca="1">IFERROR(__xludf.DUMMYFUNCTION("""COMPUTED_VALUE"""),"Colinas")</f>
        <v>Colinas</v>
      </c>
      <c r="C135" s="113" t="str">
        <f ca="1">IFERROR(__xludf.DUMMYFUNCTION("""COMPUTED_VALUE"""),"Colinas do Tocantins")</f>
        <v>Colinas do Tocantins</v>
      </c>
      <c r="D135" s="114" t="str">
        <f ca="1">IFERROR(__xludf.DUMMYFUNCTION("""COMPUTED_VALUE"""),"A.A. ESCOLA ESTADUAL ERNESTO BARROS")</f>
        <v>A.A. ESCOLA ESTADUAL ERNESTO BARROS</v>
      </c>
      <c r="E135" s="113" t="str">
        <f ca="1">IFERROR(__xludf.DUMMYFUNCTION("""COMPUTED_VALUE"""),"Colégio Estadual Girassol de Tempo Integral Ernesto Barros")</f>
        <v>Colégio Estadual Girassol de Tempo Integral Ernesto Barros</v>
      </c>
      <c r="F135" s="115" t="str">
        <f ca="1">IFERROR(__xludf.DUMMYFUNCTION("""COMPUTED_VALUE"""),"17007518")</f>
        <v>17007518</v>
      </c>
      <c r="G135" s="113" t="str">
        <f ca="1">IFERROR(__xludf.DUMMYFUNCTION("""COMPUTED_VALUE"""),"01064857000138")</f>
        <v>01064857000138</v>
      </c>
      <c r="H135" s="115" t="str">
        <f ca="1">IFERROR(__xludf.DUMMYFUNCTION("""COMPUTED_VALUE"""),"001")</f>
        <v>001</v>
      </c>
      <c r="I135" s="115" t="str">
        <f ca="1">IFERROR(__xludf.DUMMYFUNCTION("""COMPUTED_VALUE"""),"0911")</f>
        <v>0911</v>
      </c>
      <c r="J135" s="115" t="str">
        <f ca="1">IFERROR(__xludf.DUMMYFUNCTION("""COMPUTED_VALUE"""),"0368571")</f>
        <v>0368571</v>
      </c>
      <c r="K135" s="113" t="e">
        <f ca="1"/>
        <v>#REF!</v>
      </c>
      <c r="L135" s="113" t="e">
        <f ca="1"/>
        <v>#REF!</v>
      </c>
      <c r="M135" s="113" t="e">
        <f ca="1"/>
        <v>#REF!</v>
      </c>
      <c r="N135" s="113" t="e">
        <f ca="1"/>
        <v>#REF!</v>
      </c>
      <c r="O135" s="113" t="e">
        <f ca="1"/>
        <v>#REF!</v>
      </c>
      <c r="P135" s="113" t="e">
        <f ca="1"/>
        <v>#REF!</v>
      </c>
      <c r="Q135" s="113" t="e">
        <f ca="1"/>
        <v>#REF!</v>
      </c>
      <c r="R135" s="113" t="e">
        <f ca="1"/>
        <v>#REF!</v>
      </c>
      <c r="S135" s="113" t="e">
        <f ca="1"/>
        <v>#REF!</v>
      </c>
      <c r="T135" s="113" t="e">
        <f ca="1"/>
        <v>#REF!</v>
      </c>
      <c r="U135" s="113" t="e">
        <f ca="1"/>
        <v>#REF!</v>
      </c>
      <c r="V135" s="113" t="e">
        <f ca="1"/>
        <v>#REF!</v>
      </c>
      <c r="W135" s="113" t="e">
        <f ca="1"/>
        <v>#REF!</v>
      </c>
      <c r="X135" s="113" t="e">
        <f ca="1"/>
        <v>#REF!</v>
      </c>
      <c r="Y135" s="113" t="e">
        <f ca="1"/>
        <v>#REF!</v>
      </c>
      <c r="Z135" s="113" t="e">
        <f ca="1"/>
        <v>#REF!</v>
      </c>
      <c r="AA135" s="113"/>
      <c r="AB135" s="113"/>
      <c r="AC135" s="113"/>
      <c r="AD135" s="113"/>
      <c r="AE135" s="113" t="str">
        <f ca="1">IFERROR(__xludf.DUMMYFUNCTION("""COMPUTED_VALUE"""),"Parcial")</f>
        <v>Parcial</v>
      </c>
      <c r="AF135" s="113" t="str">
        <f ca="1">IFERROR(__xludf.DUMMYFUNCTION("""COMPUTED_VALUE"""),"FE")</f>
        <v>FE</v>
      </c>
      <c r="AG135" s="113">
        <f ca="1">IFERROR(__xludf.DUMMYFUNCTION("""COMPUTED_VALUE"""),0)</f>
        <v>0</v>
      </c>
      <c r="AH135" s="113">
        <f ca="1">IFERROR(__xludf.DUMMYFUNCTION("""COMPUTED_VALUE"""),0)</f>
        <v>0</v>
      </c>
      <c r="AI135" s="113">
        <f ca="1">IFERROR(__xludf.DUMMYFUNCTION("""COMPUTED_VALUE"""),0)</f>
        <v>0</v>
      </c>
      <c r="AJ135" s="113">
        <f ca="1">IFERROR(__xludf.DUMMYFUNCTION("""COMPUTED_VALUE"""),20)</f>
        <v>20</v>
      </c>
      <c r="AK135" s="113"/>
      <c r="AL135" s="116"/>
    </row>
    <row r="136" spans="1:38" ht="12.75">
      <c r="A136" s="112" t="str">
        <f ca="1">IFERROR(__xludf.DUMMYFUNCTION("""COMPUTED_VALUE"""),"17007500")</f>
        <v>17007500</v>
      </c>
      <c r="B136" s="113" t="str">
        <f ca="1">IFERROR(__xludf.DUMMYFUNCTION("""COMPUTED_VALUE"""),"Colinas")</f>
        <v>Colinas</v>
      </c>
      <c r="C136" s="113" t="str">
        <f ca="1">IFERROR(__xludf.DUMMYFUNCTION("""COMPUTED_VALUE"""),"Colinas do Tocantins")</f>
        <v>Colinas do Tocantins</v>
      </c>
      <c r="D136" s="114" t="str">
        <f ca="1">IFERROR(__xludf.DUMMYFUNCTION("""COMPUTED_VALUE"""),"A.A.  COLEGIO JOAO XXIII")</f>
        <v>A.A.  COLEGIO JOAO XXIII</v>
      </c>
      <c r="E136" s="113" t="str">
        <f ca="1">IFERROR(__xludf.DUMMYFUNCTION("""COMPUTED_VALUE"""),"Colégio João XXIII")</f>
        <v>Colégio João XXIII</v>
      </c>
      <c r="F136" s="115" t="str">
        <f ca="1">IFERROR(__xludf.DUMMYFUNCTION("""COMPUTED_VALUE"""),"17007500")</f>
        <v>17007500</v>
      </c>
      <c r="G136" s="113" t="str">
        <f ca="1">IFERROR(__xludf.DUMMYFUNCTION("""COMPUTED_VALUE"""),"01064859000127")</f>
        <v>01064859000127</v>
      </c>
      <c r="H136" s="115" t="str">
        <f ca="1">IFERROR(__xludf.DUMMYFUNCTION("""COMPUTED_VALUE"""),"001")</f>
        <v>001</v>
      </c>
      <c r="I136" s="115" t="str">
        <f ca="1">IFERROR(__xludf.DUMMYFUNCTION("""COMPUTED_VALUE"""),"0911")</f>
        <v>0911</v>
      </c>
      <c r="J136" s="115" t="str">
        <f ca="1">IFERROR(__xludf.DUMMYFUNCTION("""COMPUTED_VALUE"""),"368555")</f>
        <v>368555</v>
      </c>
      <c r="K136" s="113" t="e">
        <f ca="1"/>
        <v>#REF!</v>
      </c>
      <c r="L136" s="113" t="e">
        <f ca="1"/>
        <v>#REF!</v>
      </c>
      <c r="M136" s="113" t="e">
        <f ca="1"/>
        <v>#REF!</v>
      </c>
      <c r="N136" s="113" t="e">
        <f ca="1"/>
        <v>#REF!</v>
      </c>
      <c r="O136" s="113" t="e">
        <f ca="1"/>
        <v>#REF!</v>
      </c>
      <c r="P136" s="113" t="e">
        <f ca="1"/>
        <v>#REF!</v>
      </c>
      <c r="Q136" s="113" t="e">
        <f ca="1"/>
        <v>#REF!</v>
      </c>
      <c r="R136" s="113" t="e">
        <f ca="1"/>
        <v>#REF!</v>
      </c>
      <c r="S136" s="113" t="e">
        <f ca="1"/>
        <v>#REF!</v>
      </c>
      <c r="T136" s="113" t="e">
        <f ca="1"/>
        <v>#REF!</v>
      </c>
      <c r="U136" s="113" t="e">
        <f ca="1"/>
        <v>#REF!</v>
      </c>
      <c r="V136" s="113" t="e">
        <f ca="1"/>
        <v>#REF!</v>
      </c>
      <c r="W136" s="113" t="e">
        <f ca="1"/>
        <v>#REF!</v>
      </c>
      <c r="X136" s="113" t="e">
        <f ca="1"/>
        <v>#REF!</v>
      </c>
      <c r="Y136" s="113" t="e">
        <f ca="1"/>
        <v>#REF!</v>
      </c>
      <c r="Z136" s="113" t="e">
        <f ca="1"/>
        <v>#REF!</v>
      </c>
      <c r="AA136" s="113"/>
      <c r="AB136" s="113"/>
      <c r="AC136" s="113"/>
      <c r="AD136" s="113"/>
      <c r="AE136" s="113" t="str">
        <f ca="1">IFERROR(__xludf.DUMMYFUNCTION("""COMPUTED_VALUE"""),"Parcial")</f>
        <v>Parcial</v>
      </c>
      <c r="AF136" s="113" t="str">
        <f ca="1">IFERROR(__xludf.DUMMYFUNCTION("""COMPUTED_VALUE"""),"FE")</f>
        <v>FE</v>
      </c>
      <c r="AG136" s="113">
        <f ca="1">IFERROR(__xludf.DUMMYFUNCTION("""COMPUTED_VALUE"""),0)</f>
        <v>0</v>
      </c>
      <c r="AH136" s="113">
        <f ca="1">IFERROR(__xludf.DUMMYFUNCTION("""COMPUTED_VALUE"""),0)</f>
        <v>0</v>
      </c>
      <c r="AI136" s="113">
        <f ca="1">IFERROR(__xludf.DUMMYFUNCTION("""COMPUTED_VALUE"""),0)</f>
        <v>0</v>
      </c>
      <c r="AJ136" s="113">
        <f ca="1">IFERROR(__xludf.DUMMYFUNCTION("""COMPUTED_VALUE"""),0)</f>
        <v>0</v>
      </c>
      <c r="AK136" s="113"/>
      <c r="AL136" s="116"/>
    </row>
    <row r="137" spans="1:38" ht="12.75">
      <c r="A137" s="112" t="str">
        <f ca="1">IFERROR(__xludf.DUMMYFUNCTION("""COMPUTED_VALUE"""),"17039860")</f>
        <v>17039860</v>
      </c>
      <c r="B137" s="113" t="str">
        <f ca="1">IFERROR(__xludf.DUMMYFUNCTION("""COMPUTED_VALUE"""),"Colinas")</f>
        <v>Colinas</v>
      </c>
      <c r="C137" s="113" t="str">
        <f ca="1">IFERROR(__xludf.DUMMYFUNCTION("""COMPUTED_VALUE"""),"Colinas do Tocantins")</f>
        <v>Colinas do Tocantins</v>
      </c>
      <c r="D137" s="114" t="str">
        <f ca="1">IFERROR(__xludf.DUMMYFUNCTION("""COMPUTED_VALUE"""),"AAE ESPECIAL GOTA DE ESPERANÇA")</f>
        <v>AAE ESPECIAL GOTA DE ESPERANÇA</v>
      </c>
      <c r="E137" s="113" t="str">
        <f ca="1">IFERROR(__xludf.DUMMYFUNCTION("""COMPUTED_VALUE"""),"Escola Especial Gotas de Esperança")</f>
        <v>Escola Especial Gotas de Esperança</v>
      </c>
      <c r="F137" s="115" t="str">
        <f ca="1">IFERROR(__xludf.DUMMYFUNCTION("""COMPUTED_VALUE"""),"17039860")</f>
        <v>17039860</v>
      </c>
      <c r="G137" s="113" t="str">
        <f ca="1">IFERROR(__xludf.DUMMYFUNCTION("""COMPUTED_VALUE"""),"07944635000196")</f>
        <v>07944635000196</v>
      </c>
      <c r="H137" s="115" t="str">
        <f ca="1">IFERROR(__xludf.DUMMYFUNCTION("""COMPUTED_VALUE"""),"001")</f>
        <v>001</v>
      </c>
      <c r="I137" s="115" t="str">
        <f ca="1">IFERROR(__xludf.DUMMYFUNCTION("""COMPUTED_VALUE"""),"0911")</f>
        <v>0911</v>
      </c>
      <c r="J137" s="115" t="str">
        <f ca="1">IFERROR(__xludf.DUMMYFUNCTION("""COMPUTED_VALUE"""),"184861")</f>
        <v>184861</v>
      </c>
      <c r="K137" s="113" t="e">
        <f ca="1"/>
        <v>#REF!</v>
      </c>
      <c r="L137" s="113" t="e">
        <f ca="1"/>
        <v>#REF!</v>
      </c>
      <c r="M137" s="113" t="e">
        <f ca="1"/>
        <v>#REF!</v>
      </c>
      <c r="N137" s="113" t="e">
        <f ca="1"/>
        <v>#REF!</v>
      </c>
      <c r="O137" s="113" t="e">
        <f ca="1"/>
        <v>#REF!</v>
      </c>
      <c r="P137" s="113" t="e">
        <f ca="1"/>
        <v>#REF!</v>
      </c>
      <c r="Q137" s="113" t="e">
        <f ca="1"/>
        <v>#REF!</v>
      </c>
      <c r="R137" s="113" t="e">
        <f ca="1"/>
        <v>#REF!</v>
      </c>
      <c r="S137" s="113" t="e">
        <f ca="1"/>
        <v>#REF!</v>
      </c>
      <c r="T137" s="113" t="e">
        <f ca="1"/>
        <v>#REF!</v>
      </c>
      <c r="U137" s="113" t="e">
        <f ca="1"/>
        <v>#REF!</v>
      </c>
      <c r="V137" s="113" t="e">
        <f ca="1"/>
        <v>#REF!</v>
      </c>
      <c r="W137" s="113" t="e">
        <f ca="1"/>
        <v>#REF!</v>
      </c>
      <c r="X137" s="113" t="e">
        <f ca="1"/>
        <v>#REF!</v>
      </c>
      <c r="Y137" s="113" t="e">
        <f ca="1"/>
        <v>#REF!</v>
      </c>
      <c r="Z137" s="113" t="e">
        <f ca="1"/>
        <v>#REF!</v>
      </c>
      <c r="AA137" s="113"/>
      <c r="AB137" s="113"/>
      <c r="AC137" s="113"/>
      <c r="AD137" s="113"/>
      <c r="AE137" s="113" t="str">
        <f ca="1">IFERROR(__xludf.DUMMYFUNCTION("""COMPUTED_VALUE"""),"Parcial")</f>
        <v>Parcial</v>
      </c>
      <c r="AF137" s="113" t="str">
        <f ca="1">IFERROR(__xludf.DUMMYFUNCTION("""COMPUTED_VALUE"""),"FE")</f>
        <v>FE</v>
      </c>
      <c r="AG137" s="113">
        <f ca="1">IFERROR(__xludf.DUMMYFUNCTION("""COMPUTED_VALUE"""),0)</f>
        <v>0</v>
      </c>
      <c r="AH137" s="113">
        <f ca="1">IFERROR(__xludf.DUMMYFUNCTION("""COMPUTED_VALUE"""),0)</f>
        <v>0</v>
      </c>
      <c r="AI137" s="113">
        <f ca="1">IFERROR(__xludf.DUMMYFUNCTION("""COMPUTED_VALUE"""),0)</f>
        <v>0</v>
      </c>
      <c r="AJ137" s="113">
        <f ca="1">IFERROR(__xludf.DUMMYFUNCTION("""COMPUTED_VALUE"""),0)</f>
        <v>0</v>
      </c>
      <c r="AK137" s="113"/>
      <c r="AL137" s="116"/>
    </row>
    <row r="138" spans="1:38" ht="12.75">
      <c r="A138" s="112" t="str">
        <f ca="1">IFERROR(__xludf.DUMMYFUNCTION("""COMPUTED_VALUE"""),"17007488")</f>
        <v>17007488</v>
      </c>
      <c r="B138" s="113" t="str">
        <f ca="1">IFERROR(__xludf.DUMMYFUNCTION("""COMPUTED_VALUE"""),"Colinas")</f>
        <v>Colinas</v>
      </c>
      <c r="C138" s="113" t="str">
        <f ca="1">IFERROR(__xludf.DUMMYFUNCTION("""COMPUTED_VALUE"""),"Colinas do Tocantins")</f>
        <v>Colinas do Tocantins</v>
      </c>
      <c r="D138" s="114" t="str">
        <f ca="1">IFERROR(__xludf.DUMMYFUNCTION("""COMPUTED_VALUE"""),"A.A. E. E. FRANCISCO PEREIRA FELICIO")</f>
        <v>A.A. E. E. FRANCISCO PEREIRA FELICIO</v>
      </c>
      <c r="E138" s="113" t="str">
        <f ca="1">IFERROR(__xludf.DUMMYFUNCTION("""COMPUTED_VALUE"""),"Escola Estadual Francisco Pereira Felício")</f>
        <v>Escola Estadual Francisco Pereira Felício</v>
      </c>
      <c r="F138" s="115" t="str">
        <f ca="1">IFERROR(__xludf.DUMMYFUNCTION("""COMPUTED_VALUE"""),"17007488")</f>
        <v>17007488</v>
      </c>
      <c r="G138" s="113" t="str">
        <f ca="1">IFERROR(__xludf.DUMMYFUNCTION("""COMPUTED_VALUE"""),"01086969000190")</f>
        <v>01086969000190</v>
      </c>
      <c r="H138" s="115" t="str">
        <f ca="1">IFERROR(__xludf.DUMMYFUNCTION("""COMPUTED_VALUE"""),"001")</f>
        <v>001</v>
      </c>
      <c r="I138" s="115" t="str">
        <f ca="1">IFERROR(__xludf.DUMMYFUNCTION("""COMPUTED_VALUE"""),"0911")</f>
        <v>0911</v>
      </c>
      <c r="J138" s="115" t="str">
        <f ca="1">IFERROR(__xludf.DUMMYFUNCTION("""COMPUTED_VALUE"""),"368814")</f>
        <v>368814</v>
      </c>
      <c r="K138" s="113" t="e">
        <f ca="1"/>
        <v>#REF!</v>
      </c>
      <c r="L138" s="113" t="e">
        <f ca="1"/>
        <v>#REF!</v>
      </c>
      <c r="M138" s="113" t="e">
        <f ca="1"/>
        <v>#REF!</v>
      </c>
      <c r="N138" s="113" t="e">
        <f ca="1"/>
        <v>#REF!</v>
      </c>
      <c r="O138" s="113" t="e">
        <f ca="1"/>
        <v>#REF!</v>
      </c>
      <c r="P138" s="113" t="e">
        <f ca="1"/>
        <v>#REF!</v>
      </c>
      <c r="Q138" s="113" t="e">
        <f ca="1"/>
        <v>#REF!</v>
      </c>
      <c r="R138" s="113" t="e">
        <f ca="1"/>
        <v>#REF!</v>
      </c>
      <c r="S138" s="113" t="e">
        <f ca="1"/>
        <v>#REF!</v>
      </c>
      <c r="T138" s="113" t="e">
        <f ca="1"/>
        <v>#REF!</v>
      </c>
      <c r="U138" s="113" t="e">
        <f ca="1"/>
        <v>#REF!</v>
      </c>
      <c r="V138" s="113" t="e">
        <f ca="1"/>
        <v>#REF!</v>
      </c>
      <c r="W138" s="113" t="e">
        <f ca="1"/>
        <v>#REF!</v>
      </c>
      <c r="X138" s="113" t="e">
        <f ca="1"/>
        <v>#REF!</v>
      </c>
      <c r="Y138" s="113" t="e">
        <f ca="1"/>
        <v>#REF!</v>
      </c>
      <c r="Z138" s="113" t="e">
        <f ca="1"/>
        <v>#REF!</v>
      </c>
      <c r="AA138" s="113"/>
      <c r="AB138" s="113"/>
      <c r="AC138" s="113"/>
      <c r="AD138" s="113"/>
      <c r="AE138" s="113" t="str">
        <f ca="1">IFERROR(__xludf.DUMMYFUNCTION("""COMPUTED_VALUE"""),"Integral")</f>
        <v>Integral</v>
      </c>
      <c r="AF138" s="113" t="str">
        <f ca="1">IFERROR(__xludf.DUMMYFUNCTION("""COMPUTED_VALUE"""),"FE")</f>
        <v>FE</v>
      </c>
      <c r="AG138" s="113">
        <f ca="1">IFERROR(__xludf.DUMMYFUNCTION("""COMPUTED_VALUE"""),0)</f>
        <v>0</v>
      </c>
      <c r="AH138" s="113">
        <f ca="1">IFERROR(__xludf.DUMMYFUNCTION("""COMPUTED_VALUE"""),0)</f>
        <v>0</v>
      </c>
      <c r="AI138" s="113">
        <f ca="1">IFERROR(__xludf.DUMMYFUNCTION("""COMPUTED_VALUE"""),0)</f>
        <v>0</v>
      </c>
      <c r="AJ138" s="113">
        <f ca="1">IFERROR(__xludf.DUMMYFUNCTION("""COMPUTED_VALUE"""),0)</f>
        <v>0</v>
      </c>
      <c r="AK138" s="113"/>
      <c r="AL138" s="116"/>
    </row>
    <row r="139" spans="1:38" ht="12.75">
      <c r="A139" s="112" t="str">
        <f ca="1">IFERROR(__xludf.DUMMYFUNCTION("""COMPUTED_VALUE"""),"17007526")</f>
        <v>17007526</v>
      </c>
      <c r="B139" s="113" t="str">
        <f ca="1">IFERROR(__xludf.DUMMYFUNCTION("""COMPUTED_VALUE"""),"Colinas")</f>
        <v>Colinas</v>
      </c>
      <c r="C139" s="113" t="str">
        <f ca="1">IFERROR(__xludf.DUMMYFUNCTION("""COMPUTED_VALUE"""),"Colinas do Tocantins")</f>
        <v>Colinas do Tocantins</v>
      </c>
      <c r="D139" s="114" t="str">
        <f ca="1">IFERROR(__xludf.DUMMYFUNCTION("""COMPUTED_VALUE"""),"A.A. E. E. LACERDINO OLIVEIRA CAMPOS")</f>
        <v>A.A. E. E. LACERDINO OLIVEIRA CAMPOS</v>
      </c>
      <c r="E139" s="113" t="str">
        <f ca="1">IFERROR(__xludf.DUMMYFUNCTION("""COMPUTED_VALUE"""),"Escola Estadual Lacerdino Oliveira Campos")</f>
        <v>Escola Estadual Lacerdino Oliveira Campos</v>
      </c>
      <c r="F139" s="115" t="str">
        <f ca="1">IFERROR(__xludf.DUMMYFUNCTION("""COMPUTED_VALUE"""),"17007526")</f>
        <v>17007526</v>
      </c>
      <c r="G139" s="113" t="str">
        <f ca="1">IFERROR(__xludf.DUMMYFUNCTION("""COMPUTED_VALUE"""),"01077439000185")</f>
        <v>01077439000185</v>
      </c>
      <c r="H139" s="115" t="str">
        <f ca="1">IFERROR(__xludf.DUMMYFUNCTION("""COMPUTED_VALUE"""),"001")</f>
        <v>001</v>
      </c>
      <c r="I139" s="115" t="str">
        <f ca="1">IFERROR(__xludf.DUMMYFUNCTION("""COMPUTED_VALUE"""),"0911")</f>
        <v>0911</v>
      </c>
      <c r="J139" s="115" t="str">
        <f ca="1">IFERROR(__xludf.DUMMYFUNCTION("""COMPUTED_VALUE"""),"368741")</f>
        <v>368741</v>
      </c>
      <c r="K139" s="113" t="e">
        <f ca="1"/>
        <v>#REF!</v>
      </c>
      <c r="L139" s="113" t="e">
        <f ca="1"/>
        <v>#REF!</v>
      </c>
      <c r="M139" s="113" t="e">
        <f ca="1"/>
        <v>#REF!</v>
      </c>
      <c r="N139" s="113" t="e">
        <f ca="1"/>
        <v>#REF!</v>
      </c>
      <c r="O139" s="113" t="e">
        <f ca="1"/>
        <v>#REF!</v>
      </c>
      <c r="P139" s="113" t="e">
        <f ca="1"/>
        <v>#REF!</v>
      </c>
      <c r="Q139" s="113" t="e">
        <f ca="1"/>
        <v>#REF!</v>
      </c>
      <c r="R139" s="113" t="e">
        <f ca="1"/>
        <v>#REF!</v>
      </c>
      <c r="S139" s="113" t="e">
        <f ca="1"/>
        <v>#REF!</v>
      </c>
      <c r="T139" s="113" t="e">
        <f ca="1"/>
        <v>#REF!</v>
      </c>
      <c r="U139" s="113" t="e">
        <f ca="1"/>
        <v>#REF!</v>
      </c>
      <c r="V139" s="113" t="e">
        <f ca="1"/>
        <v>#REF!</v>
      </c>
      <c r="W139" s="113" t="e">
        <f ca="1"/>
        <v>#REF!</v>
      </c>
      <c r="X139" s="113" t="e">
        <f ca="1"/>
        <v>#REF!</v>
      </c>
      <c r="Y139" s="113" t="e">
        <f ca="1"/>
        <v>#REF!</v>
      </c>
      <c r="Z139" s="113" t="e">
        <f ca="1"/>
        <v>#REF!</v>
      </c>
      <c r="AA139" s="113"/>
      <c r="AB139" s="113"/>
      <c r="AC139" s="113"/>
      <c r="AD139" s="113"/>
      <c r="AE139" s="113" t="str">
        <f ca="1">IFERROR(__xludf.DUMMYFUNCTION("""COMPUTED_VALUE"""),"Parcial")</f>
        <v>Parcial</v>
      </c>
      <c r="AF139" s="113" t="str">
        <f ca="1">IFERROR(__xludf.DUMMYFUNCTION("""COMPUTED_VALUE"""),"FE")</f>
        <v>FE</v>
      </c>
      <c r="AG139" s="113">
        <f ca="1">IFERROR(__xludf.DUMMYFUNCTION("""COMPUTED_VALUE"""),0)</f>
        <v>0</v>
      </c>
      <c r="AH139" s="113">
        <f ca="1">IFERROR(__xludf.DUMMYFUNCTION("""COMPUTED_VALUE"""),0)</f>
        <v>0</v>
      </c>
      <c r="AI139" s="113">
        <f ca="1">IFERROR(__xludf.DUMMYFUNCTION("""COMPUTED_VALUE"""),0)</f>
        <v>0</v>
      </c>
      <c r="AJ139" s="113">
        <f ca="1">IFERROR(__xludf.DUMMYFUNCTION("""COMPUTED_VALUE"""),14)</f>
        <v>14</v>
      </c>
      <c r="AK139" s="113"/>
      <c r="AL139" s="116"/>
    </row>
    <row r="140" spans="1:38" ht="12.75">
      <c r="A140" s="112" t="str">
        <f ca="1">IFERROR(__xludf.DUMMYFUNCTION("""COMPUTED_VALUE"""),"17007828")</f>
        <v>17007828</v>
      </c>
      <c r="B140" s="113" t="str">
        <f ca="1">IFERROR(__xludf.DUMMYFUNCTION("""COMPUTED_VALUE"""),"Colinas")</f>
        <v>Colinas</v>
      </c>
      <c r="C140" s="113" t="str">
        <f ca="1">IFERROR(__xludf.DUMMYFUNCTION("""COMPUTED_VALUE"""),"Colinas do Tocantins")</f>
        <v>Colinas do Tocantins</v>
      </c>
      <c r="D140" s="114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3" t="str">
        <f ca="1">IFERROR(__xludf.DUMMYFUNCTION("""COMPUTED_VALUE"""),"Escola Família Agrícola Zé de Deus")</f>
        <v>Escola Família Agrícola Zé de Deus</v>
      </c>
      <c r="F140" s="115" t="str">
        <f ca="1">IFERROR(__xludf.DUMMYFUNCTION("""COMPUTED_VALUE"""),"17007828")</f>
        <v>17007828</v>
      </c>
      <c r="G140" s="113" t="str">
        <f ca="1">IFERROR(__xludf.DUMMYFUNCTION("""COMPUTED_VALUE"""),"03421784000110")</f>
        <v>03421784000110</v>
      </c>
      <c r="H140" s="115" t="str">
        <f ca="1">IFERROR(__xludf.DUMMYFUNCTION("""COMPUTED_VALUE"""),"001")</f>
        <v>001</v>
      </c>
      <c r="I140" s="115" t="str">
        <f ca="1">IFERROR(__xludf.DUMMYFUNCTION("""COMPUTED_VALUE"""),"0911")</f>
        <v>0911</v>
      </c>
      <c r="J140" s="115" t="str">
        <f ca="1">IFERROR(__xludf.DUMMYFUNCTION("""COMPUTED_VALUE"""),"199672")</f>
        <v>199672</v>
      </c>
      <c r="K140" s="113" t="e">
        <f ca="1"/>
        <v>#REF!</v>
      </c>
      <c r="L140" s="113" t="e">
        <f ca="1"/>
        <v>#REF!</v>
      </c>
      <c r="M140" s="113" t="e">
        <f ca="1"/>
        <v>#REF!</v>
      </c>
      <c r="N140" s="113" t="e">
        <f ca="1"/>
        <v>#REF!</v>
      </c>
      <c r="O140" s="113" t="e">
        <f ca="1"/>
        <v>#REF!</v>
      </c>
      <c r="P140" s="113" t="e">
        <f ca="1"/>
        <v>#REF!</v>
      </c>
      <c r="Q140" s="113" t="e">
        <f ca="1"/>
        <v>#REF!</v>
      </c>
      <c r="R140" s="113" t="e">
        <f ca="1"/>
        <v>#REF!</v>
      </c>
      <c r="S140" s="113" t="e">
        <f ca="1"/>
        <v>#REF!</v>
      </c>
      <c r="T140" s="113" t="e">
        <f ca="1"/>
        <v>#REF!</v>
      </c>
      <c r="U140" s="113" t="e">
        <f ca="1"/>
        <v>#REF!</v>
      </c>
      <c r="V140" s="113" t="e">
        <f ca="1"/>
        <v>#REF!</v>
      </c>
      <c r="W140" s="113" t="e">
        <f ca="1"/>
        <v>#REF!</v>
      </c>
      <c r="X140" s="113" t="e">
        <f ca="1"/>
        <v>#REF!</v>
      </c>
      <c r="Y140" s="113" t="e">
        <f ca="1"/>
        <v>#REF!</v>
      </c>
      <c r="Z140" s="113" t="e">
        <f ca="1"/>
        <v>#REF!</v>
      </c>
      <c r="AA140" s="113"/>
      <c r="AB140" s="113"/>
      <c r="AC140" s="113"/>
      <c r="AD140" s="113" t="str">
        <f ca="1">IFERROR(__xludf.DUMMYFUNCTION("""COMPUTED_VALUE"""),"AGRÍCOLA")</f>
        <v>AGRÍCOLA</v>
      </c>
      <c r="AE140" s="113" t="str">
        <f ca="1">IFERROR(__xludf.DUMMYFUNCTION("""COMPUTED_VALUE"""),"Parcial")</f>
        <v>Parcial</v>
      </c>
      <c r="AF140" s="113" t="str">
        <f ca="1">IFERROR(__xludf.DUMMYFUNCTION("""COMPUTED_VALUE"""),"FE")</f>
        <v>FE</v>
      </c>
      <c r="AG140" s="113">
        <f ca="1">IFERROR(__xludf.DUMMYFUNCTION("""COMPUTED_VALUE"""),0)</f>
        <v>0</v>
      </c>
      <c r="AH140" s="113">
        <f ca="1">IFERROR(__xludf.DUMMYFUNCTION("""COMPUTED_VALUE"""),0)</f>
        <v>0</v>
      </c>
      <c r="AI140" s="113">
        <f ca="1">IFERROR(__xludf.DUMMYFUNCTION("""COMPUTED_VALUE"""),13)</f>
        <v>13</v>
      </c>
      <c r="AJ140" s="113">
        <f ca="1">IFERROR(__xludf.DUMMYFUNCTION("""COMPUTED_VALUE"""),0)</f>
        <v>0</v>
      </c>
      <c r="AK140" s="113"/>
      <c r="AL140" s="116"/>
    </row>
    <row r="141" spans="1:38" ht="12.75">
      <c r="A141" s="112" t="str">
        <f ca="1">IFERROR(__xludf.DUMMYFUNCTION("""COMPUTED_VALUE"""),"17007852")</f>
        <v>17007852</v>
      </c>
      <c r="B141" s="113" t="str">
        <f ca="1">IFERROR(__xludf.DUMMYFUNCTION("""COMPUTED_VALUE"""),"Colinas")</f>
        <v>Colinas</v>
      </c>
      <c r="C141" s="113" t="str">
        <f ca="1">IFERROR(__xludf.DUMMYFUNCTION("""COMPUTED_VALUE"""),"Colinas do Tocantins")</f>
        <v>Colinas do Tocantins</v>
      </c>
      <c r="D141" s="114" t="str">
        <f ca="1">IFERROR(__xludf.DUMMYFUNCTION("""COMPUTED_VALUE"""),"A.A. E. PRESBITERIANA DE COLINAS")</f>
        <v>A.A. E. PRESBITERIANA DE COLINAS</v>
      </c>
      <c r="E141" s="113" t="str">
        <f ca="1">IFERROR(__xludf.DUMMYFUNCTION("""COMPUTED_VALUE"""),"Escola Presbiteriana de Colinas do Tocantins")</f>
        <v>Escola Presbiteriana de Colinas do Tocantins</v>
      </c>
      <c r="F141" s="115" t="str">
        <f ca="1">IFERROR(__xludf.DUMMYFUNCTION("""COMPUTED_VALUE"""),"17007852")</f>
        <v>17007852</v>
      </c>
      <c r="G141" s="113" t="str">
        <f ca="1">IFERROR(__xludf.DUMMYFUNCTION("""COMPUTED_VALUE"""),"01071410000196")</f>
        <v>01071410000196</v>
      </c>
      <c r="H141" s="115" t="str">
        <f ca="1">IFERROR(__xludf.DUMMYFUNCTION("""COMPUTED_VALUE"""),"001")</f>
        <v>001</v>
      </c>
      <c r="I141" s="115" t="str">
        <f ca="1">IFERROR(__xludf.DUMMYFUNCTION("""COMPUTED_VALUE"""),"0911")</f>
        <v>0911</v>
      </c>
      <c r="J141" s="115" t="str">
        <f ca="1">IFERROR(__xludf.DUMMYFUNCTION("""COMPUTED_VALUE"""),"368695")</f>
        <v>368695</v>
      </c>
      <c r="K141" s="113" t="e">
        <f ca="1"/>
        <v>#REF!</v>
      </c>
      <c r="L141" s="113" t="e">
        <f ca="1"/>
        <v>#REF!</v>
      </c>
      <c r="M141" s="113" t="e">
        <f ca="1"/>
        <v>#REF!</v>
      </c>
      <c r="N141" s="113" t="e">
        <f ca="1"/>
        <v>#REF!</v>
      </c>
      <c r="O141" s="113" t="e">
        <f ca="1"/>
        <v>#REF!</v>
      </c>
      <c r="P141" s="113" t="e">
        <f ca="1"/>
        <v>#REF!</v>
      </c>
      <c r="Q141" s="113" t="e">
        <f ca="1"/>
        <v>#REF!</v>
      </c>
      <c r="R141" s="113" t="e">
        <f ca="1"/>
        <v>#REF!</v>
      </c>
      <c r="S141" s="113" t="e">
        <f ca="1"/>
        <v>#REF!</v>
      </c>
      <c r="T141" s="113" t="e">
        <f ca="1"/>
        <v>#REF!</v>
      </c>
      <c r="U141" s="113" t="e">
        <f ca="1"/>
        <v>#REF!</v>
      </c>
      <c r="V141" s="113" t="e">
        <f ca="1"/>
        <v>#REF!</v>
      </c>
      <c r="W141" s="113" t="e">
        <f ca="1"/>
        <v>#REF!</v>
      </c>
      <c r="X141" s="113" t="e">
        <f ca="1"/>
        <v>#REF!</v>
      </c>
      <c r="Y141" s="113" t="e">
        <f ca="1"/>
        <v>#REF!</v>
      </c>
      <c r="Z141" s="113" t="e">
        <f ca="1"/>
        <v>#REF!</v>
      </c>
      <c r="AA141" s="113"/>
      <c r="AB141" s="113"/>
      <c r="AC141" s="113"/>
      <c r="AD141" s="113"/>
      <c r="AE141" s="113" t="str">
        <f ca="1">IFERROR(__xludf.DUMMYFUNCTION("""COMPUTED_VALUE"""),"Parcial/Integral")</f>
        <v>Parcial/Integral</v>
      </c>
      <c r="AF141" s="113" t="str">
        <f ca="1">IFERROR(__xludf.DUMMYFUNCTION("""COMPUTED_VALUE"""),"FE")</f>
        <v>FE</v>
      </c>
      <c r="AG141" s="113">
        <f ca="1">IFERROR(__xludf.DUMMYFUNCTION("""COMPUTED_VALUE"""),0)</f>
        <v>0</v>
      </c>
      <c r="AH141" s="113">
        <f ca="1">IFERROR(__xludf.DUMMYFUNCTION("""COMPUTED_VALUE"""),0)</f>
        <v>0</v>
      </c>
      <c r="AI141" s="113">
        <f ca="1">IFERROR(__xludf.DUMMYFUNCTION("""COMPUTED_VALUE"""),0)</f>
        <v>0</v>
      </c>
      <c r="AJ141" s="113">
        <f ca="1">IFERROR(__xludf.DUMMYFUNCTION("""COMPUTED_VALUE"""),0)</f>
        <v>0</v>
      </c>
      <c r="AK141" s="113"/>
      <c r="AL141" s="116"/>
    </row>
    <row r="142" spans="1:38" ht="12.75">
      <c r="A142" s="112" t="str">
        <f ca="1">IFERROR(__xludf.DUMMYFUNCTION("""COMPUTED_VALUE"""),"17051690")</f>
        <v>17051690</v>
      </c>
      <c r="B142" s="113" t="str">
        <f ca="1">IFERROR(__xludf.DUMMYFUNCTION("""COMPUTED_VALUE"""),"Colinas")</f>
        <v>Colinas</v>
      </c>
      <c r="C142" s="113" t="str">
        <f ca="1">IFERROR(__xludf.DUMMYFUNCTION("""COMPUTED_VALUE"""),"Colinas do Tocantins")</f>
        <v>Colinas do Tocantins</v>
      </c>
      <c r="D142" s="114" t="str">
        <f ca="1">IFERROR(__xludf.DUMMYFUNCTION("""COMPUTED_VALUE"""),"ASSOC. APOIO AO INSTITUTO EDUC. GUNNAR VINGREN")</f>
        <v>ASSOC. APOIO AO INSTITUTO EDUC. GUNNAR VINGREN</v>
      </c>
      <c r="E142" s="113" t="str">
        <f ca="1">IFERROR(__xludf.DUMMYFUNCTION("""COMPUTED_VALUE"""),"Instituto Educacional Gunnar Vingren")</f>
        <v>Instituto Educacional Gunnar Vingren</v>
      </c>
      <c r="F142" s="115" t="str">
        <f ca="1">IFERROR(__xludf.DUMMYFUNCTION("""COMPUTED_VALUE"""),"17051690")</f>
        <v>17051690</v>
      </c>
      <c r="G142" s="113" t="str">
        <f ca="1">IFERROR(__xludf.DUMMYFUNCTION("""COMPUTED_VALUE"""),"05537107000197")</f>
        <v>05537107000197</v>
      </c>
      <c r="H142" s="115" t="str">
        <f ca="1">IFERROR(__xludf.DUMMYFUNCTION("""COMPUTED_VALUE"""),"001")</f>
        <v>001</v>
      </c>
      <c r="I142" s="115" t="str">
        <f ca="1">IFERROR(__xludf.DUMMYFUNCTION("""COMPUTED_VALUE"""),"0911")</f>
        <v>0911</v>
      </c>
      <c r="J142" s="115" t="str">
        <f ca="1">IFERROR(__xludf.DUMMYFUNCTION("""COMPUTED_VALUE"""),"172286")</f>
        <v>172286</v>
      </c>
      <c r="K142" s="113" t="e">
        <f ca="1"/>
        <v>#REF!</v>
      </c>
      <c r="L142" s="113" t="e">
        <f ca="1"/>
        <v>#REF!</v>
      </c>
      <c r="M142" s="113" t="e">
        <f ca="1"/>
        <v>#REF!</v>
      </c>
      <c r="N142" s="113" t="e">
        <f ca="1"/>
        <v>#REF!</v>
      </c>
      <c r="O142" s="113" t="e">
        <f ca="1"/>
        <v>#REF!</v>
      </c>
      <c r="P142" s="113" t="e">
        <f ca="1"/>
        <v>#REF!</v>
      </c>
      <c r="Q142" s="113" t="e">
        <f ca="1"/>
        <v>#REF!</v>
      </c>
      <c r="R142" s="113" t="e">
        <f ca="1"/>
        <v>#REF!</v>
      </c>
      <c r="S142" s="113" t="e">
        <f ca="1"/>
        <v>#REF!</v>
      </c>
      <c r="T142" s="113" t="e">
        <f ca="1"/>
        <v>#REF!</v>
      </c>
      <c r="U142" s="113" t="e">
        <f ca="1"/>
        <v>#REF!</v>
      </c>
      <c r="V142" s="113" t="e">
        <f ca="1"/>
        <v>#REF!</v>
      </c>
      <c r="W142" s="113" t="e">
        <f ca="1"/>
        <v>#REF!</v>
      </c>
      <c r="X142" s="113" t="e">
        <f ca="1"/>
        <v>#REF!</v>
      </c>
      <c r="Y142" s="113" t="e">
        <f ca="1"/>
        <v>#REF!</v>
      </c>
      <c r="Z142" s="113" t="e">
        <f ca="1"/>
        <v>#REF!</v>
      </c>
      <c r="AA142" s="113"/>
      <c r="AB142" s="113"/>
      <c r="AC142" s="113"/>
      <c r="AD142" s="113"/>
      <c r="AE142" s="113" t="str">
        <f ca="1">IFERROR(__xludf.DUMMYFUNCTION("""COMPUTED_VALUE"""),"Integral")</f>
        <v>Integral</v>
      </c>
      <c r="AF142" s="113" t="str">
        <f ca="1">IFERROR(__xludf.DUMMYFUNCTION("""COMPUTED_VALUE"""),"FE")</f>
        <v>FE</v>
      </c>
      <c r="AG142" s="113">
        <f ca="1">IFERROR(__xludf.DUMMYFUNCTION("""COMPUTED_VALUE"""),0)</f>
        <v>0</v>
      </c>
      <c r="AH142" s="113">
        <f ca="1">IFERROR(__xludf.DUMMYFUNCTION("""COMPUTED_VALUE"""),0)</f>
        <v>0</v>
      </c>
      <c r="AI142" s="113">
        <f ca="1">IFERROR(__xludf.DUMMYFUNCTION("""COMPUTED_VALUE"""),0)</f>
        <v>0</v>
      </c>
      <c r="AJ142" s="113">
        <f ca="1">IFERROR(__xludf.DUMMYFUNCTION("""COMPUTED_VALUE"""),0)</f>
        <v>0</v>
      </c>
      <c r="AK142" s="113"/>
      <c r="AL142" s="116"/>
    </row>
    <row r="143" spans="1:38" ht="12.75">
      <c r="A143" s="112" t="str">
        <f ca="1">IFERROR(__xludf.DUMMYFUNCTION("""COMPUTED_VALUE"""),"17029449")</f>
        <v>17029449</v>
      </c>
      <c r="B143" s="113" t="str">
        <f ca="1">IFERROR(__xludf.DUMMYFUNCTION("""COMPUTED_VALUE"""),"Colinas")</f>
        <v>Colinas</v>
      </c>
      <c r="C143" s="113" t="str">
        <f ca="1">IFERROR(__xludf.DUMMYFUNCTION("""COMPUTED_VALUE"""),"Itapiratins")</f>
        <v>Itapiratins</v>
      </c>
      <c r="D143" s="114" t="str">
        <f ca="1">IFERROR(__xludf.DUMMYFUNCTION("""COMPUTED_VALUE"""),"A.A. ESCOLA ESTADUAL REZENDE DE ALMEIDA")</f>
        <v>A.A. ESCOLA ESTADUAL REZENDE DE ALMEIDA</v>
      </c>
      <c r="E143" s="113" t="str">
        <f ca="1">IFERROR(__xludf.DUMMYFUNCTION("""COMPUTED_VALUE"""),"Escola Estadual Rezende de Almeida")</f>
        <v>Escola Estadual Rezende de Almeida</v>
      </c>
      <c r="F143" s="115" t="str">
        <f ca="1">IFERROR(__xludf.DUMMYFUNCTION("""COMPUTED_VALUE"""),"17029449")</f>
        <v>17029449</v>
      </c>
      <c r="G143" s="113" t="str">
        <f ca="1">IFERROR(__xludf.DUMMYFUNCTION("""COMPUTED_VALUE"""),"01643863000140")</f>
        <v>01643863000140</v>
      </c>
      <c r="H143" s="115" t="str">
        <f ca="1">IFERROR(__xludf.DUMMYFUNCTION("""COMPUTED_VALUE"""),"001")</f>
        <v>001</v>
      </c>
      <c r="I143" s="115" t="str">
        <f ca="1">IFERROR(__xludf.DUMMYFUNCTION("""COMPUTED_VALUE"""),"2094")</f>
        <v>2094</v>
      </c>
      <c r="J143" s="115" t="str">
        <f ca="1">IFERROR(__xludf.DUMMYFUNCTION("""COMPUTED_VALUE"""),"27278")</f>
        <v>27278</v>
      </c>
      <c r="K143" s="113" t="e">
        <f ca="1"/>
        <v>#REF!</v>
      </c>
      <c r="L143" s="113" t="e">
        <f ca="1"/>
        <v>#REF!</v>
      </c>
      <c r="M143" s="113" t="e">
        <f ca="1"/>
        <v>#REF!</v>
      </c>
      <c r="N143" s="113" t="e">
        <f ca="1"/>
        <v>#REF!</v>
      </c>
      <c r="O143" s="113" t="e">
        <f ca="1"/>
        <v>#REF!</v>
      </c>
      <c r="P143" s="113" t="e">
        <f ca="1"/>
        <v>#REF!</v>
      </c>
      <c r="Q143" s="113" t="e">
        <f ca="1"/>
        <v>#REF!</v>
      </c>
      <c r="R143" s="113" t="e">
        <f ca="1"/>
        <v>#REF!</v>
      </c>
      <c r="S143" s="113" t="e">
        <f ca="1"/>
        <v>#REF!</v>
      </c>
      <c r="T143" s="113" t="e">
        <f ca="1"/>
        <v>#REF!</v>
      </c>
      <c r="U143" s="113" t="e">
        <f ca="1"/>
        <v>#REF!</v>
      </c>
      <c r="V143" s="113" t="e">
        <f ca="1"/>
        <v>#REF!</v>
      </c>
      <c r="W143" s="113" t="e">
        <f ca="1"/>
        <v>#REF!</v>
      </c>
      <c r="X143" s="113" t="e">
        <f ca="1"/>
        <v>#REF!</v>
      </c>
      <c r="Y143" s="113" t="e">
        <f ca="1"/>
        <v>#REF!</v>
      </c>
      <c r="Z143" s="113" t="e">
        <f ca="1"/>
        <v>#REF!</v>
      </c>
      <c r="AA143" s="113"/>
      <c r="AB143" s="113"/>
      <c r="AC143" s="113"/>
      <c r="AD143" s="113"/>
      <c r="AE143" s="113" t="str">
        <f ca="1">IFERROR(__xludf.DUMMYFUNCTION("""COMPUTED_VALUE"""),"Parcial")</f>
        <v>Parcial</v>
      </c>
      <c r="AF143" s="113" t="str">
        <f ca="1">IFERROR(__xludf.DUMMYFUNCTION("""COMPUTED_VALUE"""),"FE")</f>
        <v>FE</v>
      </c>
      <c r="AG143" s="113">
        <f ca="1">IFERROR(__xludf.DUMMYFUNCTION("""COMPUTED_VALUE"""),0)</f>
        <v>0</v>
      </c>
      <c r="AH143" s="113">
        <f ca="1">IFERROR(__xludf.DUMMYFUNCTION("""COMPUTED_VALUE"""),0)</f>
        <v>0</v>
      </c>
      <c r="AI143" s="113">
        <f ca="1">IFERROR(__xludf.DUMMYFUNCTION("""COMPUTED_VALUE"""),0)</f>
        <v>0</v>
      </c>
      <c r="AJ143" s="113">
        <f ca="1">IFERROR(__xludf.DUMMYFUNCTION("""COMPUTED_VALUE"""),0)</f>
        <v>0</v>
      </c>
      <c r="AK143" s="113"/>
      <c r="AL143" s="116"/>
    </row>
    <row r="144" spans="1:38" ht="12.75">
      <c r="A144" s="112" t="str">
        <f ca="1">IFERROR(__xludf.DUMMYFUNCTION("""COMPUTED_VALUE"""),"17014298")</f>
        <v>17014298</v>
      </c>
      <c r="B144" s="113" t="str">
        <f ca="1">IFERROR(__xludf.DUMMYFUNCTION("""COMPUTED_VALUE"""),"Colinas")</f>
        <v>Colinas</v>
      </c>
      <c r="C144" s="113" t="str">
        <f ca="1">IFERROR(__xludf.DUMMYFUNCTION("""COMPUTED_VALUE"""),"Juarina")</f>
        <v>Juarina</v>
      </c>
      <c r="D144" s="114" t="str">
        <f ca="1">IFERROR(__xludf.DUMMYFUNCTION("""COMPUTED_VALUE"""),"A.A. ESCOLA ESTADUAL ZICO DORNELAS")</f>
        <v>A.A. ESCOLA ESTADUAL ZICO DORNELAS</v>
      </c>
      <c r="E144" s="113" t="str">
        <f ca="1">IFERROR(__xludf.DUMMYFUNCTION("""COMPUTED_VALUE"""),"Colégio Estadual Zico dorneles")</f>
        <v>Colégio Estadual Zico dorneles</v>
      </c>
      <c r="F144" s="115" t="str">
        <f ca="1">IFERROR(__xludf.DUMMYFUNCTION("""COMPUTED_VALUE"""),"17014298")</f>
        <v>17014298</v>
      </c>
      <c r="G144" s="113" t="str">
        <f ca="1">IFERROR(__xludf.DUMMYFUNCTION("""COMPUTED_VALUE"""),"01136018000188")</f>
        <v>01136018000188</v>
      </c>
      <c r="H144" s="115" t="str">
        <f ca="1">IFERROR(__xludf.DUMMYFUNCTION("""COMPUTED_VALUE"""),"001")</f>
        <v>001</v>
      </c>
      <c r="I144" s="115" t="str">
        <f ca="1">IFERROR(__xludf.DUMMYFUNCTION("""COMPUTED_VALUE"""),"0911")</f>
        <v>0911</v>
      </c>
      <c r="J144" s="115" t="str">
        <f ca="1">IFERROR(__xludf.DUMMYFUNCTION("""COMPUTED_VALUE"""),"369349")</f>
        <v>369349</v>
      </c>
      <c r="K144" s="113" t="e">
        <f ca="1"/>
        <v>#REF!</v>
      </c>
      <c r="L144" s="113" t="e">
        <f ca="1"/>
        <v>#REF!</v>
      </c>
      <c r="M144" s="113" t="e">
        <f ca="1"/>
        <v>#REF!</v>
      </c>
      <c r="N144" s="113" t="e">
        <f ca="1"/>
        <v>#REF!</v>
      </c>
      <c r="O144" s="113" t="e">
        <f ca="1"/>
        <v>#REF!</v>
      </c>
      <c r="P144" s="113" t="e">
        <f ca="1"/>
        <v>#REF!</v>
      </c>
      <c r="Q144" s="113" t="e">
        <f ca="1"/>
        <v>#REF!</v>
      </c>
      <c r="R144" s="113" t="e">
        <f ca="1"/>
        <v>#REF!</v>
      </c>
      <c r="S144" s="113" t="e">
        <f ca="1"/>
        <v>#REF!</v>
      </c>
      <c r="T144" s="113" t="e">
        <f ca="1"/>
        <v>#REF!</v>
      </c>
      <c r="U144" s="113" t="e">
        <f ca="1"/>
        <v>#REF!</v>
      </c>
      <c r="V144" s="113" t="e">
        <f ca="1"/>
        <v>#REF!</v>
      </c>
      <c r="W144" s="113" t="e">
        <f ca="1"/>
        <v>#REF!</v>
      </c>
      <c r="X144" s="113" t="e">
        <f ca="1"/>
        <v>#REF!</v>
      </c>
      <c r="Y144" s="113" t="e">
        <f ca="1"/>
        <v>#REF!</v>
      </c>
      <c r="Z144" s="113" t="e">
        <f ca="1"/>
        <v>#REF!</v>
      </c>
      <c r="AA144" s="113"/>
      <c r="AB144" s="113"/>
      <c r="AC144" s="113"/>
      <c r="AD144" s="113"/>
      <c r="AE144" s="113" t="str">
        <f ca="1">IFERROR(__xludf.DUMMYFUNCTION("""COMPUTED_VALUE"""),"Parcial")</f>
        <v>Parcial</v>
      </c>
      <c r="AF144" s="113" t="str">
        <f ca="1">IFERROR(__xludf.DUMMYFUNCTION("""COMPUTED_VALUE"""),"FE")</f>
        <v>FE</v>
      </c>
      <c r="AG144" s="113">
        <f ca="1">IFERROR(__xludf.DUMMYFUNCTION("""COMPUTED_VALUE"""),0)</f>
        <v>0</v>
      </c>
      <c r="AH144" s="113">
        <f ca="1">IFERROR(__xludf.DUMMYFUNCTION("""COMPUTED_VALUE"""),0)</f>
        <v>0</v>
      </c>
      <c r="AI144" s="113">
        <f ca="1">IFERROR(__xludf.DUMMYFUNCTION("""COMPUTED_VALUE"""),0)</f>
        <v>0</v>
      </c>
      <c r="AJ144" s="113">
        <f ca="1">IFERROR(__xludf.DUMMYFUNCTION("""COMPUTED_VALUE"""),0)</f>
        <v>0</v>
      </c>
      <c r="AK144" s="113"/>
      <c r="AL144" s="116"/>
    </row>
    <row r="145" spans="1:38" ht="12.75">
      <c r="A145" s="112" t="str">
        <f ca="1">IFERROR(__xludf.DUMMYFUNCTION("""COMPUTED_VALUE"""),"17009316")</f>
        <v>17009316</v>
      </c>
      <c r="B145" s="113" t="str">
        <f ca="1">IFERROR(__xludf.DUMMYFUNCTION("""COMPUTED_VALUE"""),"Colinas")</f>
        <v>Colinas</v>
      </c>
      <c r="C145" s="113" t="str">
        <f ca="1">IFERROR(__xludf.DUMMYFUNCTION("""COMPUTED_VALUE"""),"Palmeirante")</f>
        <v>Palmeirante</v>
      </c>
      <c r="D145" s="114" t="str">
        <f ca="1">IFERROR(__xludf.DUMMYFUNCTION("""COMPUTED_VALUE"""),"ASS. COM. ESC. EST JOAO AIRES GABRIEL")</f>
        <v>ASS. COM. ESC. EST JOAO AIRES GABRIEL</v>
      </c>
      <c r="E145" s="113" t="str">
        <f ca="1">IFERROR(__xludf.DUMMYFUNCTION("""COMPUTED_VALUE"""),"Escola Estadual João Aires Gabriel")</f>
        <v>Escola Estadual João Aires Gabriel</v>
      </c>
      <c r="F145" s="115" t="str">
        <f ca="1">IFERROR(__xludf.DUMMYFUNCTION("""COMPUTED_VALUE"""),"17009316")</f>
        <v>17009316</v>
      </c>
      <c r="G145" s="113" t="str">
        <f ca="1">IFERROR(__xludf.DUMMYFUNCTION("""COMPUTED_VALUE"""),"01465793000187")</f>
        <v>01465793000187</v>
      </c>
      <c r="H145" s="115" t="str">
        <f ca="1">IFERROR(__xludf.DUMMYFUNCTION("""COMPUTED_VALUE"""),"001")</f>
        <v>001</v>
      </c>
      <c r="I145" s="115" t="str">
        <f ca="1">IFERROR(__xludf.DUMMYFUNCTION("""COMPUTED_VALUE"""),"0911")</f>
        <v>0911</v>
      </c>
      <c r="J145" s="115" t="str">
        <f ca="1">IFERROR(__xludf.DUMMYFUNCTION("""COMPUTED_VALUE"""),"342246")</f>
        <v>342246</v>
      </c>
      <c r="K145" s="113" t="e">
        <f ca="1"/>
        <v>#REF!</v>
      </c>
      <c r="L145" s="113" t="e">
        <f ca="1"/>
        <v>#REF!</v>
      </c>
      <c r="M145" s="113" t="e">
        <f ca="1"/>
        <v>#REF!</v>
      </c>
      <c r="N145" s="113" t="e">
        <f ca="1"/>
        <v>#REF!</v>
      </c>
      <c r="O145" s="113" t="e">
        <f ca="1"/>
        <v>#REF!</v>
      </c>
      <c r="P145" s="113" t="e">
        <f ca="1"/>
        <v>#REF!</v>
      </c>
      <c r="Q145" s="113" t="e">
        <f ca="1"/>
        <v>#REF!</v>
      </c>
      <c r="R145" s="113" t="e">
        <f ca="1"/>
        <v>#REF!</v>
      </c>
      <c r="S145" s="113" t="e">
        <f ca="1"/>
        <v>#REF!</v>
      </c>
      <c r="T145" s="113" t="e">
        <f ca="1"/>
        <v>#REF!</v>
      </c>
      <c r="U145" s="113" t="e">
        <f ca="1"/>
        <v>#REF!</v>
      </c>
      <c r="V145" s="113" t="e">
        <f ca="1"/>
        <v>#REF!</v>
      </c>
      <c r="W145" s="113" t="e">
        <f ca="1"/>
        <v>#REF!</v>
      </c>
      <c r="X145" s="113" t="e">
        <f ca="1"/>
        <v>#REF!</v>
      </c>
      <c r="Y145" s="113" t="e">
        <f ca="1"/>
        <v>#REF!</v>
      </c>
      <c r="Z145" s="113" t="e">
        <f ca="1"/>
        <v>#REF!</v>
      </c>
      <c r="AA145" s="113"/>
      <c r="AB145" s="113"/>
      <c r="AC145" s="113"/>
      <c r="AD145" s="113"/>
      <c r="AE145" s="113" t="str">
        <f ca="1">IFERROR(__xludf.DUMMYFUNCTION("""COMPUTED_VALUE"""),"Parcial")</f>
        <v>Parcial</v>
      </c>
      <c r="AF145" s="113" t="str">
        <f ca="1">IFERROR(__xludf.DUMMYFUNCTION("""COMPUTED_VALUE"""),"FE")</f>
        <v>FE</v>
      </c>
      <c r="AG145" s="113">
        <f ca="1">IFERROR(__xludf.DUMMYFUNCTION("""COMPUTED_VALUE"""),0)</f>
        <v>0</v>
      </c>
      <c r="AH145" s="113">
        <f ca="1">IFERROR(__xludf.DUMMYFUNCTION("""COMPUTED_VALUE"""),0)</f>
        <v>0</v>
      </c>
      <c r="AI145" s="113">
        <f ca="1">IFERROR(__xludf.DUMMYFUNCTION("""COMPUTED_VALUE"""),0)</f>
        <v>0</v>
      </c>
      <c r="AJ145" s="113">
        <f ca="1">IFERROR(__xludf.DUMMYFUNCTION("""COMPUTED_VALUE"""),0)</f>
        <v>0</v>
      </c>
      <c r="AK145" s="113"/>
      <c r="AL145" s="116"/>
    </row>
    <row r="146" spans="1:38" ht="12.75">
      <c r="A146" s="112" t="str">
        <f ca="1">IFERROR(__xludf.DUMMYFUNCTION("""COMPUTED_VALUE"""),"17040183")</f>
        <v>17040183</v>
      </c>
      <c r="B146" s="113" t="str">
        <f ca="1">IFERROR(__xludf.DUMMYFUNCTION("""COMPUTED_VALUE"""),"Colinas")</f>
        <v>Colinas</v>
      </c>
      <c r="C146" s="113" t="str">
        <f ca="1">IFERROR(__xludf.DUMMYFUNCTION("""COMPUTED_VALUE"""),"Pau D'arco")</f>
        <v>Pau D'arco</v>
      </c>
      <c r="D146" s="114" t="str">
        <f ca="1">IFERROR(__xludf.DUMMYFUNCTION("""COMPUTED_VALUE"""),"A.COM. ESCOLA EST. ULISSES GUIMARAES")</f>
        <v>A.COM. ESCOLA EST. ULISSES GUIMARAES</v>
      </c>
      <c r="E146" s="113" t="str">
        <f ca="1">IFERROR(__xludf.DUMMYFUNCTION("""COMPUTED_VALUE"""),"Colégio Estadual Ulisses Guimarães")</f>
        <v>Colégio Estadual Ulisses Guimarães</v>
      </c>
      <c r="F146" s="115" t="str">
        <f ca="1">IFERROR(__xludf.DUMMYFUNCTION("""COMPUTED_VALUE"""),"17040183")</f>
        <v>17040183</v>
      </c>
      <c r="G146" s="113" t="str">
        <f ca="1">IFERROR(__xludf.DUMMYFUNCTION("""COMPUTED_VALUE"""),"01181178000149")</f>
        <v>01181178000149</v>
      </c>
      <c r="H146" s="115" t="str">
        <f ca="1">IFERROR(__xludf.DUMMYFUNCTION("""COMPUTED_VALUE"""),"001")</f>
        <v>001</v>
      </c>
      <c r="I146" s="115" t="str">
        <f ca="1">IFERROR(__xludf.DUMMYFUNCTION("""COMPUTED_VALUE"""),"0911")</f>
        <v>0911</v>
      </c>
      <c r="J146" s="115" t="str">
        <f ca="1">IFERROR(__xludf.DUMMYFUNCTION("""COMPUTED_VALUE"""),"23485")</f>
        <v>23485</v>
      </c>
      <c r="K146" s="113" t="e">
        <f ca="1"/>
        <v>#REF!</v>
      </c>
      <c r="L146" s="113" t="e">
        <f ca="1"/>
        <v>#REF!</v>
      </c>
      <c r="M146" s="113" t="e">
        <f ca="1"/>
        <v>#REF!</v>
      </c>
      <c r="N146" s="113" t="e">
        <f ca="1"/>
        <v>#REF!</v>
      </c>
      <c r="O146" s="113" t="e">
        <f ca="1"/>
        <v>#REF!</v>
      </c>
      <c r="P146" s="113" t="e">
        <f ca="1"/>
        <v>#REF!</v>
      </c>
      <c r="Q146" s="113" t="e">
        <f ca="1"/>
        <v>#REF!</v>
      </c>
      <c r="R146" s="113" t="e">
        <f ca="1"/>
        <v>#REF!</v>
      </c>
      <c r="S146" s="113" t="e">
        <f ca="1"/>
        <v>#REF!</v>
      </c>
      <c r="T146" s="113" t="e">
        <f ca="1"/>
        <v>#REF!</v>
      </c>
      <c r="U146" s="113" t="e">
        <f ca="1"/>
        <v>#REF!</v>
      </c>
      <c r="V146" s="113" t="e">
        <f ca="1"/>
        <v>#REF!</v>
      </c>
      <c r="W146" s="113" t="e">
        <f ca="1"/>
        <v>#REF!</v>
      </c>
      <c r="X146" s="113" t="e">
        <f ca="1"/>
        <v>#REF!</v>
      </c>
      <c r="Y146" s="113" t="e">
        <f ca="1"/>
        <v>#REF!</v>
      </c>
      <c r="Z146" s="113" t="e">
        <f ca="1"/>
        <v>#REF!</v>
      </c>
      <c r="AA146" s="113"/>
      <c r="AB146" s="113"/>
      <c r="AC146" s="113"/>
      <c r="AD146" s="113"/>
      <c r="AE146" s="113" t="str">
        <f ca="1">IFERROR(__xludf.DUMMYFUNCTION("""COMPUTED_VALUE"""),"Parcial")</f>
        <v>Parcial</v>
      </c>
      <c r="AF146" s="113" t="str">
        <f ca="1">IFERROR(__xludf.DUMMYFUNCTION("""COMPUTED_VALUE"""),"FE")</f>
        <v>FE</v>
      </c>
      <c r="AG146" s="113">
        <f ca="1">IFERROR(__xludf.DUMMYFUNCTION("""COMPUTED_VALUE"""),0)</f>
        <v>0</v>
      </c>
      <c r="AH146" s="113">
        <f ca="1">IFERROR(__xludf.DUMMYFUNCTION("""COMPUTED_VALUE"""),0)</f>
        <v>0</v>
      </c>
      <c r="AI146" s="113">
        <f ca="1">IFERROR(__xludf.DUMMYFUNCTION("""COMPUTED_VALUE"""),0)</f>
        <v>0</v>
      </c>
      <c r="AJ146" s="113">
        <f ca="1">IFERROR(__xludf.DUMMYFUNCTION("""COMPUTED_VALUE"""),0)</f>
        <v>0</v>
      </c>
      <c r="AK146" s="113"/>
      <c r="AL146" s="116"/>
    </row>
    <row r="147" spans="1:38" ht="12.75">
      <c r="A147" s="112" t="str">
        <f ca="1">IFERROR(__xludf.DUMMYFUNCTION("""COMPUTED_VALUE"""),"17017041")</f>
        <v>17017041</v>
      </c>
      <c r="B147" s="113" t="str">
        <f ca="1">IFERROR(__xludf.DUMMYFUNCTION("""COMPUTED_VALUE"""),"Colinas")</f>
        <v>Colinas</v>
      </c>
      <c r="C147" s="113" t="str">
        <f ca="1">IFERROR(__xludf.DUMMYFUNCTION("""COMPUTED_VALUE"""),"Tupiratins")</f>
        <v>Tupiratins</v>
      </c>
      <c r="D147" s="114" t="str">
        <f ca="1">IFERROR(__xludf.DUMMYFUNCTION("""COMPUTED_VALUE"""),"A. DE AP. DA ESC. EST. SAO TOMAS DE AQUINO")</f>
        <v>A. DE AP. DA ESC. EST. SAO TOMAS DE AQUINO</v>
      </c>
      <c r="E147" s="113" t="str">
        <f ca="1">IFERROR(__xludf.DUMMYFUNCTION("""COMPUTED_VALUE"""),"Escola Estadual São Tomás de Aquino")</f>
        <v>Escola Estadual São Tomás de Aquino</v>
      </c>
      <c r="F147" s="115" t="str">
        <f ca="1">IFERROR(__xludf.DUMMYFUNCTION("""COMPUTED_VALUE"""),"17017041")</f>
        <v>17017041</v>
      </c>
      <c r="G147" s="113" t="str">
        <f ca="1">IFERROR(__xludf.DUMMYFUNCTION("""COMPUTED_VALUE"""),"01334791000159")</f>
        <v>01334791000159</v>
      </c>
      <c r="H147" s="115" t="str">
        <f ca="1">IFERROR(__xludf.DUMMYFUNCTION("""COMPUTED_VALUE"""),"001")</f>
        <v>001</v>
      </c>
      <c r="I147" s="115" t="str">
        <f ca="1">IFERROR(__xludf.DUMMYFUNCTION("""COMPUTED_VALUE"""),"0911")</f>
        <v>0911</v>
      </c>
      <c r="J147" s="115" t="str">
        <f ca="1">IFERROR(__xludf.DUMMYFUNCTION("""COMPUTED_VALUE"""),"370045")</f>
        <v>370045</v>
      </c>
      <c r="K147" s="113" t="e">
        <f ca="1"/>
        <v>#REF!</v>
      </c>
      <c r="L147" s="113" t="e">
        <f ca="1"/>
        <v>#REF!</v>
      </c>
      <c r="M147" s="113" t="e">
        <f ca="1"/>
        <v>#REF!</v>
      </c>
      <c r="N147" s="113" t="e">
        <f ca="1"/>
        <v>#REF!</v>
      </c>
      <c r="O147" s="113" t="e">
        <f ca="1"/>
        <v>#REF!</v>
      </c>
      <c r="P147" s="113" t="e">
        <f ca="1"/>
        <v>#REF!</v>
      </c>
      <c r="Q147" s="113" t="e">
        <f ca="1"/>
        <v>#REF!</v>
      </c>
      <c r="R147" s="113" t="e">
        <f ca="1"/>
        <v>#REF!</v>
      </c>
      <c r="S147" s="113" t="e">
        <f ca="1"/>
        <v>#REF!</v>
      </c>
      <c r="T147" s="113" t="e">
        <f ca="1"/>
        <v>#REF!</v>
      </c>
      <c r="U147" s="113" t="e">
        <f ca="1"/>
        <v>#REF!</v>
      </c>
      <c r="V147" s="113" t="e">
        <f ca="1"/>
        <v>#REF!</v>
      </c>
      <c r="W147" s="113" t="e">
        <f ca="1"/>
        <v>#REF!</v>
      </c>
      <c r="X147" s="113" t="e">
        <f ca="1"/>
        <v>#REF!</v>
      </c>
      <c r="Y147" s="113" t="e">
        <f ca="1"/>
        <v>#REF!</v>
      </c>
      <c r="Z147" s="113" t="e">
        <f ca="1"/>
        <v>#REF!</v>
      </c>
      <c r="AA147" s="113"/>
      <c r="AB147" s="113"/>
      <c r="AC147" s="113"/>
      <c r="AD147" s="113"/>
      <c r="AE147" s="113" t="str">
        <f ca="1">IFERROR(__xludf.DUMMYFUNCTION("""COMPUTED_VALUE"""),"Parcial")</f>
        <v>Parcial</v>
      </c>
      <c r="AF147" s="113" t="str">
        <f ca="1">IFERROR(__xludf.DUMMYFUNCTION("""COMPUTED_VALUE"""),"FE")</f>
        <v>FE</v>
      </c>
      <c r="AG147" s="113">
        <f ca="1">IFERROR(__xludf.DUMMYFUNCTION("""COMPUTED_VALUE"""),0)</f>
        <v>0</v>
      </c>
      <c r="AH147" s="113">
        <f ca="1">IFERROR(__xludf.DUMMYFUNCTION("""COMPUTED_VALUE"""),0)</f>
        <v>0</v>
      </c>
      <c r="AI147" s="113">
        <f ca="1">IFERROR(__xludf.DUMMYFUNCTION("""COMPUTED_VALUE"""),0)</f>
        <v>0</v>
      </c>
      <c r="AJ147" s="113">
        <f ca="1">IFERROR(__xludf.DUMMYFUNCTION("""COMPUTED_VALUE"""),0)</f>
        <v>0</v>
      </c>
      <c r="AK147" s="113"/>
      <c r="AL147" s="116"/>
    </row>
    <row r="148" spans="1:38" ht="12.75">
      <c r="A148" s="112" t="str">
        <f ca="1">IFERROR(__xludf.DUMMYFUNCTION("""COMPUTED_VALUE"""),"17032229")</f>
        <v>17032229</v>
      </c>
      <c r="B148" s="113" t="str">
        <f ca="1">IFERROR(__xludf.DUMMYFUNCTION("""COMPUTED_VALUE"""),"Dianópolis")</f>
        <v>Dianópolis</v>
      </c>
      <c r="C148" s="113" t="str">
        <f ca="1">IFERROR(__xludf.DUMMYFUNCTION("""COMPUTED_VALUE"""),"Almas")</f>
        <v>Almas</v>
      </c>
      <c r="D148" s="114" t="str">
        <f ca="1">IFERROR(__xludf.DUMMYFUNCTION("""COMPUTED_VALUE"""),"A.A. COL. E.II GRAU DR.ABNER A.PACINI")</f>
        <v>A.A. COL. E.II GRAU DR.ABNER A.PACINI</v>
      </c>
      <c r="E148" s="113" t="str">
        <f ca="1">IFERROR(__xludf.DUMMYFUNCTION("""COMPUTED_VALUE"""),"Colegio Estadual Doutor Abner Araujo Pacini")</f>
        <v>Colegio Estadual Doutor Abner Araujo Pacini</v>
      </c>
      <c r="F148" s="115" t="str">
        <f ca="1">IFERROR(__xludf.DUMMYFUNCTION("""COMPUTED_VALUE"""),"17032229")</f>
        <v>17032229</v>
      </c>
      <c r="G148" s="113" t="str">
        <f ca="1">IFERROR(__xludf.DUMMYFUNCTION("""COMPUTED_VALUE"""),"01197160000135")</f>
        <v>01197160000135</v>
      </c>
      <c r="H148" s="115" t="str">
        <f ca="1">IFERROR(__xludf.DUMMYFUNCTION("""COMPUTED_VALUE"""),"001")</f>
        <v>001</v>
      </c>
      <c r="I148" s="115" t="str">
        <f ca="1">IFERROR(__xludf.DUMMYFUNCTION("""COMPUTED_VALUE"""),"1307")</f>
        <v>1307</v>
      </c>
      <c r="J148" s="115" t="str">
        <f ca="1">IFERROR(__xludf.DUMMYFUNCTION("""COMPUTED_VALUE"""),"0107700")</f>
        <v>0107700</v>
      </c>
      <c r="K148" s="113" t="e">
        <f ca="1"/>
        <v>#REF!</v>
      </c>
      <c r="L148" s="113" t="e">
        <f ca="1"/>
        <v>#REF!</v>
      </c>
      <c r="M148" s="113" t="e">
        <f ca="1"/>
        <v>#REF!</v>
      </c>
      <c r="N148" s="113" t="e">
        <f ca="1"/>
        <v>#REF!</v>
      </c>
      <c r="O148" s="113" t="e">
        <f ca="1"/>
        <v>#REF!</v>
      </c>
      <c r="P148" s="113" t="e">
        <f ca="1"/>
        <v>#REF!</v>
      </c>
      <c r="Q148" s="113" t="e">
        <f ca="1"/>
        <v>#REF!</v>
      </c>
      <c r="R148" s="113" t="e">
        <f ca="1"/>
        <v>#REF!</v>
      </c>
      <c r="S148" s="113" t="e">
        <f ca="1"/>
        <v>#REF!</v>
      </c>
      <c r="T148" s="113" t="e">
        <f ca="1"/>
        <v>#REF!</v>
      </c>
      <c r="U148" s="113" t="e">
        <f ca="1"/>
        <v>#REF!</v>
      </c>
      <c r="V148" s="113" t="e">
        <f ca="1"/>
        <v>#REF!</v>
      </c>
      <c r="W148" s="113" t="e">
        <f ca="1"/>
        <v>#REF!</v>
      </c>
      <c r="X148" s="113" t="e">
        <f ca="1"/>
        <v>#REF!</v>
      </c>
      <c r="Y148" s="113" t="e">
        <f ca="1"/>
        <v>#REF!</v>
      </c>
      <c r="Z148" s="113" t="e">
        <f ca="1"/>
        <v>#REF!</v>
      </c>
      <c r="AA148" s="113"/>
      <c r="AB148" s="113"/>
      <c r="AC148" s="113"/>
      <c r="AD148" s="113"/>
      <c r="AE148" s="113" t="str">
        <f ca="1">IFERROR(__xludf.DUMMYFUNCTION("""COMPUTED_VALUE"""),"Integral")</f>
        <v>Integral</v>
      </c>
      <c r="AF148" s="113" t="str">
        <f ca="1">IFERROR(__xludf.DUMMYFUNCTION("""COMPUTED_VALUE"""),"FE")</f>
        <v>FE</v>
      </c>
      <c r="AG148" s="113">
        <f ca="1">IFERROR(__xludf.DUMMYFUNCTION("""COMPUTED_VALUE"""),0)</f>
        <v>0</v>
      </c>
      <c r="AH148" s="113">
        <f ca="1">IFERROR(__xludf.DUMMYFUNCTION("""COMPUTED_VALUE"""),0)</f>
        <v>0</v>
      </c>
      <c r="AI148" s="113">
        <f ca="1">IFERROR(__xludf.DUMMYFUNCTION("""COMPUTED_VALUE"""),0)</f>
        <v>0</v>
      </c>
      <c r="AJ148" s="113">
        <f ca="1">IFERROR(__xludf.DUMMYFUNCTION("""COMPUTED_VALUE"""),0)</f>
        <v>0</v>
      </c>
      <c r="AK148" s="113"/>
      <c r="AL148" s="116"/>
    </row>
    <row r="149" spans="1:38" ht="12.75">
      <c r="A149" s="112" t="str">
        <f ca="1">IFERROR(__xludf.DUMMYFUNCTION("""COMPUTED_VALUE"""),"17042798")</f>
        <v>17042798</v>
      </c>
      <c r="B149" s="113" t="str">
        <f ca="1">IFERROR(__xludf.DUMMYFUNCTION("""COMPUTED_VALUE"""),"Dianópolis")</f>
        <v>Dianópolis</v>
      </c>
      <c r="C149" s="113" t="str">
        <f ca="1">IFERROR(__xludf.DUMMYFUNCTION("""COMPUTED_VALUE"""),"Almas")</f>
        <v>Almas</v>
      </c>
      <c r="D149" s="114" t="str">
        <f ca="1">IFERROR(__xludf.DUMMYFUNCTION("""COMPUTED_VALUE"""),"ASSOC.MES.P.EDUC.FUNC.DO COL.AGROP.ALMAS")</f>
        <v>ASSOC.MES.P.EDUC.FUNC.DO COL.AGROP.ALMAS</v>
      </c>
      <c r="E149" s="113" t="str">
        <f ca="1">IFERROR(__xludf.DUMMYFUNCTION("""COMPUTED_VALUE"""),"Colégio Estadual Girassol de Tempo Integral Agropecuário de Almas")</f>
        <v>Colégio Estadual Girassol de Tempo Integral Agropecuário de Almas</v>
      </c>
      <c r="F149" s="115" t="str">
        <f ca="1">IFERROR(__xludf.DUMMYFUNCTION("""COMPUTED_VALUE"""),"17042798")</f>
        <v>17042798</v>
      </c>
      <c r="G149" s="113" t="str">
        <f ca="1">IFERROR(__xludf.DUMMYFUNCTION("""COMPUTED_VALUE"""),"03751406000102")</f>
        <v>03751406000102</v>
      </c>
      <c r="H149" s="115" t="str">
        <f ca="1">IFERROR(__xludf.DUMMYFUNCTION("""COMPUTED_VALUE"""),"001")</f>
        <v>001</v>
      </c>
      <c r="I149" s="115" t="str">
        <f ca="1">IFERROR(__xludf.DUMMYFUNCTION("""COMPUTED_VALUE"""),"1307")</f>
        <v>1307</v>
      </c>
      <c r="J149" s="115" t="str">
        <f ca="1">IFERROR(__xludf.DUMMYFUNCTION("""COMPUTED_VALUE"""),"115312")</f>
        <v>115312</v>
      </c>
      <c r="K149" s="113" t="e">
        <f ca="1"/>
        <v>#REF!</v>
      </c>
      <c r="L149" s="113" t="e">
        <f ca="1"/>
        <v>#REF!</v>
      </c>
      <c r="M149" s="113" t="e">
        <f ca="1"/>
        <v>#REF!</v>
      </c>
      <c r="N149" s="113" t="e">
        <f ca="1"/>
        <v>#REF!</v>
      </c>
      <c r="O149" s="113" t="e">
        <f ca="1"/>
        <v>#REF!</v>
      </c>
      <c r="P149" s="113" t="e">
        <f ca="1"/>
        <v>#REF!</v>
      </c>
      <c r="Q149" s="113" t="e">
        <f ca="1"/>
        <v>#REF!</v>
      </c>
      <c r="R149" s="113" t="e">
        <f ca="1"/>
        <v>#REF!</v>
      </c>
      <c r="S149" s="113" t="e">
        <f ca="1"/>
        <v>#REF!</v>
      </c>
      <c r="T149" s="113" t="e">
        <f ca="1"/>
        <v>#REF!</v>
      </c>
      <c r="U149" s="113" t="e">
        <f ca="1"/>
        <v>#REF!</v>
      </c>
      <c r="V149" s="113" t="e">
        <f ca="1"/>
        <v>#REF!</v>
      </c>
      <c r="W149" s="113" t="e">
        <f ca="1"/>
        <v>#REF!</v>
      </c>
      <c r="X149" s="113" t="e">
        <f ca="1"/>
        <v>#REF!</v>
      </c>
      <c r="Y149" s="113" t="e">
        <f ca="1"/>
        <v>#REF!</v>
      </c>
      <c r="Z149" s="113" t="e">
        <f ca="1"/>
        <v>#REF!</v>
      </c>
      <c r="AA149" s="113"/>
      <c r="AB149" s="113"/>
      <c r="AC149" s="113"/>
      <c r="AD149" s="113" t="str">
        <f ca="1">IFERROR(__xludf.DUMMYFUNCTION("""COMPUTED_VALUE"""),"INTERNATO/AGRÍCOLA")</f>
        <v>INTERNATO/AGRÍCOLA</v>
      </c>
      <c r="AE149" s="113" t="str">
        <f ca="1">IFERROR(__xludf.DUMMYFUNCTION("""COMPUTED_VALUE"""),"Parcial")</f>
        <v>Parcial</v>
      </c>
      <c r="AF149" s="113" t="str">
        <f ca="1">IFERROR(__xludf.DUMMYFUNCTION("""COMPUTED_VALUE"""),"FE")</f>
        <v>FE</v>
      </c>
      <c r="AG149" s="113">
        <f ca="1">IFERROR(__xludf.DUMMYFUNCTION("""COMPUTED_VALUE"""),0)</f>
        <v>0</v>
      </c>
      <c r="AH149" s="113">
        <f ca="1">IFERROR(__xludf.DUMMYFUNCTION("""COMPUTED_VALUE"""),9)</f>
        <v>9</v>
      </c>
      <c r="AI149" s="113">
        <f ca="1">IFERROR(__xludf.DUMMYFUNCTION("""COMPUTED_VALUE"""),20)</f>
        <v>20</v>
      </c>
      <c r="AJ149" s="113">
        <f ca="1">IFERROR(__xludf.DUMMYFUNCTION("""COMPUTED_VALUE"""),0)</f>
        <v>0</v>
      </c>
      <c r="AK149" s="113"/>
      <c r="AL149" s="116"/>
    </row>
    <row r="150" spans="1:38" ht="12.75">
      <c r="A150" s="112" t="str">
        <f ca="1">IFERROR(__xludf.DUMMYFUNCTION("""COMPUTED_VALUE"""),"17032270")</f>
        <v>17032270</v>
      </c>
      <c r="B150" s="113" t="str">
        <f ca="1">IFERROR(__xludf.DUMMYFUNCTION("""COMPUTED_VALUE"""),"Dianópolis")</f>
        <v>Dianópolis</v>
      </c>
      <c r="C150" s="113" t="str">
        <f ca="1">IFERROR(__xludf.DUMMYFUNCTION("""COMPUTED_VALUE"""),"Almas")</f>
        <v>Almas</v>
      </c>
      <c r="D150" s="114" t="str">
        <f ca="1">IFERROR(__xludf.DUMMYFUNCTION("""COMPUTED_VALUE"""),"A.A.  ESC. ESTADUAL DEOCLIDES MUNIZ")</f>
        <v>A.A.  ESC. ESTADUAL DEOCLIDES MUNIZ</v>
      </c>
      <c r="E150" s="113" t="str">
        <f ca="1">IFERROR(__xludf.DUMMYFUNCTION("""COMPUTED_VALUE"""),"Escola Estadual deoclides Muniz")</f>
        <v>Escola Estadual deoclides Muniz</v>
      </c>
      <c r="F150" s="115" t="str">
        <f ca="1">IFERROR(__xludf.DUMMYFUNCTION("""COMPUTED_VALUE"""),"17032270")</f>
        <v>17032270</v>
      </c>
      <c r="G150" s="113" t="str">
        <f ca="1">IFERROR(__xludf.DUMMYFUNCTION("""COMPUTED_VALUE"""),"01143807000146")</f>
        <v>01143807000146</v>
      </c>
      <c r="H150" s="115" t="str">
        <f ca="1">IFERROR(__xludf.DUMMYFUNCTION("""COMPUTED_VALUE"""),"001")</f>
        <v>001</v>
      </c>
      <c r="I150" s="115" t="str">
        <f ca="1">IFERROR(__xludf.DUMMYFUNCTION("""COMPUTED_VALUE"""),"1307")</f>
        <v>1307</v>
      </c>
      <c r="J150" s="115" t="str">
        <f ca="1">IFERROR(__xludf.DUMMYFUNCTION("""COMPUTED_VALUE"""),"107786")</f>
        <v>107786</v>
      </c>
      <c r="K150" s="113" t="e">
        <f ca="1"/>
        <v>#REF!</v>
      </c>
      <c r="L150" s="113" t="e">
        <f ca="1"/>
        <v>#REF!</v>
      </c>
      <c r="M150" s="113" t="e">
        <f ca="1"/>
        <v>#REF!</v>
      </c>
      <c r="N150" s="113" t="e">
        <f ca="1"/>
        <v>#REF!</v>
      </c>
      <c r="O150" s="113" t="e">
        <f ca="1"/>
        <v>#REF!</v>
      </c>
      <c r="P150" s="113" t="e">
        <f ca="1"/>
        <v>#REF!</v>
      </c>
      <c r="Q150" s="113" t="e">
        <f ca="1"/>
        <v>#REF!</v>
      </c>
      <c r="R150" s="113" t="e">
        <f ca="1"/>
        <v>#REF!</v>
      </c>
      <c r="S150" s="113" t="e">
        <f ca="1"/>
        <v>#REF!</v>
      </c>
      <c r="T150" s="113" t="e">
        <f ca="1"/>
        <v>#REF!</v>
      </c>
      <c r="U150" s="113" t="e">
        <f ca="1"/>
        <v>#REF!</v>
      </c>
      <c r="V150" s="113" t="e">
        <f ca="1"/>
        <v>#REF!</v>
      </c>
      <c r="W150" s="113" t="e">
        <f ca="1"/>
        <v>#REF!</v>
      </c>
      <c r="X150" s="113" t="e">
        <f ca="1"/>
        <v>#REF!</v>
      </c>
      <c r="Y150" s="113" t="e">
        <f ca="1"/>
        <v>#REF!</v>
      </c>
      <c r="Z150" s="113" t="e">
        <f ca="1"/>
        <v>#REF!</v>
      </c>
      <c r="AA150" s="113"/>
      <c r="AB150" s="113"/>
      <c r="AC150" s="113"/>
      <c r="AD150" s="113"/>
      <c r="AE150" s="113" t="str">
        <f ca="1">IFERROR(__xludf.DUMMYFUNCTION("""COMPUTED_VALUE"""),"Integral")</f>
        <v>Integral</v>
      </c>
      <c r="AF150" s="113" t="str">
        <f ca="1">IFERROR(__xludf.DUMMYFUNCTION("""COMPUTED_VALUE"""),"FE")</f>
        <v>FE</v>
      </c>
      <c r="AG150" s="113">
        <f ca="1">IFERROR(__xludf.DUMMYFUNCTION("""COMPUTED_VALUE"""),3)</f>
        <v>3</v>
      </c>
      <c r="AH150" s="113">
        <f ca="1">IFERROR(__xludf.DUMMYFUNCTION("""COMPUTED_VALUE"""),0)</f>
        <v>0</v>
      </c>
      <c r="AI150" s="113">
        <f ca="1">IFERROR(__xludf.DUMMYFUNCTION("""COMPUTED_VALUE"""),0)</f>
        <v>0</v>
      </c>
      <c r="AJ150" s="113">
        <f ca="1">IFERROR(__xludf.DUMMYFUNCTION("""COMPUTED_VALUE"""),11)</f>
        <v>11</v>
      </c>
      <c r="AK150" s="113"/>
      <c r="AL150" s="116"/>
    </row>
    <row r="151" spans="1:38" ht="12.75">
      <c r="A151" s="112" t="str">
        <f ca="1">IFERROR(__xludf.DUMMYFUNCTION("""COMPUTED_VALUE"""),"17033705")</f>
        <v>17033705</v>
      </c>
      <c r="B151" s="113" t="str">
        <f ca="1">IFERROR(__xludf.DUMMYFUNCTION("""COMPUTED_VALUE"""),"Dianópolis")</f>
        <v>Dianópolis</v>
      </c>
      <c r="C151" s="113" t="str">
        <f ca="1">IFERROR(__xludf.DUMMYFUNCTION("""COMPUTED_VALUE"""),"Conceicao do Tocantins")</f>
        <v>Conceicao do Tocantins</v>
      </c>
      <c r="D151" s="114" t="str">
        <f ca="1">IFERROR(__xludf.DUMMYFUNCTION("""COMPUTED_VALUE"""),"A.A. E. CEL JOSE FRANCISCO DE AZEVEDO")</f>
        <v>A.A. E. CEL JOSE FRANCISCO DE AZEVEDO</v>
      </c>
      <c r="E151" s="113" t="str">
        <f ca="1">IFERROR(__xludf.DUMMYFUNCTION("""COMPUTED_VALUE"""),"Colégio Estadual Coronel José Francisco de Azevedo")</f>
        <v>Colégio Estadual Coronel José Francisco de Azevedo</v>
      </c>
      <c r="F151" s="115" t="str">
        <f ca="1">IFERROR(__xludf.DUMMYFUNCTION("""COMPUTED_VALUE"""),"17033705")</f>
        <v>17033705</v>
      </c>
      <c r="G151" s="113" t="str">
        <f ca="1">IFERROR(__xludf.DUMMYFUNCTION("""COMPUTED_VALUE"""),"01136040000128")</f>
        <v>01136040000128</v>
      </c>
      <c r="H151" s="115" t="str">
        <f ca="1">IFERROR(__xludf.DUMMYFUNCTION("""COMPUTED_VALUE"""),"001")</f>
        <v>001</v>
      </c>
      <c r="I151" s="115" t="str">
        <f ca="1">IFERROR(__xludf.DUMMYFUNCTION("""COMPUTED_VALUE"""),"1307")</f>
        <v>1307</v>
      </c>
      <c r="J151" s="115" t="str">
        <f ca="1">IFERROR(__xludf.DUMMYFUNCTION("""COMPUTED_VALUE"""),"106208")</f>
        <v>106208</v>
      </c>
      <c r="K151" s="113" t="e">
        <f ca="1"/>
        <v>#REF!</v>
      </c>
      <c r="L151" s="113" t="e">
        <f ca="1"/>
        <v>#REF!</v>
      </c>
      <c r="M151" s="113" t="e">
        <f ca="1"/>
        <v>#REF!</v>
      </c>
      <c r="N151" s="113" t="e">
        <f ca="1"/>
        <v>#REF!</v>
      </c>
      <c r="O151" s="113" t="e">
        <f ca="1"/>
        <v>#REF!</v>
      </c>
      <c r="P151" s="113" t="e">
        <f ca="1"/>
        <v>#REF!</v>
      </c>
      <c r="Q151" s="113" t="e">
        <f ca="1"/>
        <v>#REF!</v>
      </c>
      <c r="R151" s="113" t="e">
        <f ca="1"/>
        <v>#REF!</v>
      </c>
      <c r="S151" s="113" t="e">
        <f ca="1"/>
        <v>#REF!</v>
      </c>
      <c r="T151" s="113" t="e">
        <f ca="1"/>
        <v>#REF!</v>
      </c>
      <c r="U151" s="113" t="e">
        <f ca="1"/>
        <v>#REF!</v>
      </c>
      <c r="V151" s="113" t="e">
        <f ca="1"/>
        <v>#REF!</v>
      </c>
      <c r="W151" s="113" t="e">
        <f ca="1"/>
        <v>#REF!</v>
      </c>
      <c r="X151" s="113" t="e">
        <f ca="1"/>
        <v>#REF!</v>
      </c>
      <c r="Y151" s="113" t="e">
        <f ca="1"/>
        <v>#REF!</v>
      </c>
      <c r="Z151" s="113" t="e">
        <f ca="1"/>
        <v>#REF!</v>
      </c>
      <c r="AA151" s="113"/>
      <c r="AB151" s="113"/>
      <c r="AC151" s="113"/>
      <c r="AD151" s="113"/>
      <c r="AE151" s="113" t="str">
        <f ca="1">IFERROR(__xludf.DUMMYFUNCTION("""COMPUTED_VALUE"""),"Parcial")</f>
        <v>Parcial</v>
      </c>
      <c r="AF151" s="113" t="str">
        <f ca="1">IFERROR(__xludf.DUMMYFUNCTION("""COMPUTED_VALUE"""),"FE")</f>
        <v>FE</v>
      </c>
      <c r="AG151" s="113">
        <f ca="1">IFERROR(__xludf.DUMMYFUNCTION("""COMPUTED_VALUE"""),0)</f>
        <v>0</v>
      </c>
      <c r="AH151" s="113">
        <f ca="1">IFERROR(__xludf.DUMMYFUNCTION("""COMPUTED_VALUE"""),0)</f>
        <v>0</v>
      </c>
      <c r="AI151" s="113">
        <f ca="1">IFERROR(__xludf.DUMMYFUNCTION("""COMPUTED_VALUE"""),0)</f>
        <v>0</v>
      </c>
      <c r="AJ151" s="113">
        <f ca="1">IFERROR(__xludf.DUMMYFUNCTION("""COMPUTED_VALUE"""),0)</f>
        <v>0</v>
      </c>
      <c r="AK151" s="113"/>
      <c r="AL151" s="116"/>
    </row>
    <row r="152" spans="1:38" ht="12.75">
      <c r="A152" s="112" t="str">
        <f ca="1">IFERROR(__xludf.DUMMYFUNCTION("""COMPUTED_VALUE"""),"17034027")</f>
        <v>17034027</v>
      </c>
      <c r="B152" s="113" t="str">
        <f ca="1">IFERROR(__xludf.DUMMYFUNCTION("""COMPUTED_VALUE"""),"Dianópolis")</f>
        <v>Dianópolis</v>
      </c>
      <c r="C152" s="113" t="str">
        <f ca="1">IFERROR(__xludf.DUMMYFUNCTION("""COMPUTED_VALUE"""),"Dianopolis")</f>
        <v>Dianopolis</v>
      </c>
      <c r="D152" s="114" t="str">
        <f ca="1">IFERROR(__xludf.DUMMYFUNCTION("""COMPUTED_VALUE"""),"A. ESC. COMUN.DA E. EST. ANTONIO POVOA")</f>
        <v>A. ESC. COMUN.DA E. EST. ANTONIO POVOA</v>
      </c>
      <c r="E152" s="113" t="str">
        <f ca="1">IFERROR(__xludf.DUMMYFUNCTION("""COMPUTED_VALUE"""),"Centro de Ensino Médio Antônio Póvoa")</f>
        <v>Centro de Ensino Médio Antônio Póvoa</v>
      </c>
      <c r="F152" s="115" t="str">
        <f ca="1">IFERROR(__xludf.DUMMYFUNCTION("""COMPUTED_VALUE"""),"17034027")</f>
        <v>17034027</v>
      </c>
      <c r="G152" s="113" t="str">
        <f ca="1">IFERROR(__xludf.DUMMYFUNCTION("""COMPUTED_VALUE"""),"00895665000100")</f>
        <v>00895665000100</v>
      </c>
      <c r="H152" s="115" t="str">
        <f ca="1">IFERROR(__xludf.DUMMYFUNCTION("""COMPUTED_VALUE"""),"001")</f>
        <v>001</v>
      </c>
      <c r="I152" s="115" t="str">
        <f ca="1">IFERROR(__xludf.DUMMYFUNCTION("""COMPUTED_VALUE"""),"1307")</f>
        <v>1307</v>
      </c>
      <c r="J152" s="115" t="str">
        <f ca="1">IFERROR(__xludf.DUMMYFUNCTION("""COMPUTED_VALUE"""),"010616X")</f>
        <v>010616X</v>
      </c>
      <c r="K152" s="113" t="e">
        <f ca="1"/>
        <v>#REF!</v>
      </c>
      <c r="L152" s="113" t="e">
        <f ca="1"/>
        <v>#REF!</v>
      </c>
      <c r="M152" s="113" t="e">
        <f ca="1"/>
        <v>#REF!</v>
      </c>
      <c r="N152" s="113" t="e">
        <f ca="1"/>
        <v>#REF!</v>
      </c>
      <c r="O152" s="113" t="e">
        <f ca="1"/>
        <v>#REF!</v>
      </c>
      <c r="P152" s="113" t="e">
        <f ca="1"/>
        <v>#REF!</v>
      </c>
      <c r="Q152" s="113" t="e">
        <f ca="1"/>
        <v>#REF!</v>
      </c>
      <c r="R152" s="113" t="e">
        <f ca="1"/>
        <v>#REF!</v>
      </c>
      <c r="S152" s="113" t="e">
        <f ca="1"/>
        <v>#REF!</v>
      </c>
      <c r="T152" s="113" t="e">
        <f ca="1"/>
        <v>#REF!</v>
      </c>
      <c r="U152" s="113" t="e">
        <f ca="1"/>
        <v>#REF!</v>
      </c>
      <c r="V152" s="113" t="e">
        <f ca="1"/>
        <v>#REF!</v>
      </c>
      <c r="W152" s="113" t="e">
        <f ca="1"/>
        <v>#REF!</v>
      </c>
      <c r="X152" s="113" t="e">
        <f ca="1"/>
        <v>#REF!</v>
      </c>
      <c r="Y152" s="113" t="e">
        <f ca="1"/>
        <v>#REF!</v>
      </c>
      <c r="Z152" s="113" t="e">
        <f ca="1"/>
        <v>#REF!</v>
      </c>
      <c r="AA152" s="113"/>
      <c r="AB152" s="113"/>
      <c r="AC152" s="113"/>
      <c r="AD152" s="113"/>
      <c r="AE152" s="113" t="str">
        <f ca="1">IFERROR(__xludf.DUMMYFUNCTION("""COMPUTED_VALUE"""),"Parcial")</f>
        <v>Parcial</v>
      </c>
      <c r="AF152" s="113" t="str">
        <f ca="1">IFERROR(__xludf.DUMMYFUNCTION("""COMPUTED_VALUE"""),"FE")</f>
        <v>FE</v>
      </c>
      <c r="AG152" s="113">
        <f ca="1">IFERROR(__xludf.DUMMYFUNCTION("""COMPUTED_VALUE"""),6)</f>
        <v>6</v>
      </c>
      <c r="AH152" s="113">
        <f ca="1">IFERROR(__xludf.DUMMYFUNCTION("""COMPUTED_VALUE"""),0)</f>
        <v>0</v>
      </c>
      <c r="AI152" s="113">
        <f ca="1">IFERROR(__xludf.DUMMYFUNCTION("""COMPUTED_VALUE"""),0)</f>
        <v>0</v>
      </c>
      <c r="AJ152" s="113">
        <f ca="1">IFERROR(__xludf.DUMMYFUNCTION("""COMPUTED_VALUE"""),3)</f>
        <v>3</v>
      </c>
      <c r="AK152" s="113"/>
      <c r="AL152" s="116"/>
    </row>
    <row r="153" spans="1:38" ht="12.75">
      <c r="A153" s="112" t="str">
        <f ca="1">IFERROR(__xludf.DUMMYFUNCTION("""COMPUTED_VALUE"""),"17033993")</f>
        <v>17033993</v>
      </c>
      <c r="B153" s="113" t="str">
        <f ca="1">IFERROR(__xludf.DUMMYFUNCTION("""COMPUTED_VALUE"""),"Dianópolis")</f>
        <v>Dianópolis</v>
      </c>
      <c r="C153" s="113" t="str">
        <f ca="1">IFERROR(__xludf.DUMMYFUNCTION("""COMPUTED_VALUE"""),"Dianopolis")</f>
        <v>Dianopolis</v>
      </c>
      <c r="D153" s="114" t="str">
        <f ca="1">IFERROR(__xludf.DUMMYFUNCTION("""COMPUTED_VALUE"""),"A. DE APOIO AO COLEGIO JOAO DE ABREU")</f>
        <v>A. DE APOIO AO COLEGIO JOAO DE ABREU</v>
      </c>
      <c r="E153" s="113" t="str">
        <f ca="1">IFERROR(__xludf.DUMMYFUNCTION("""COMPUTED_VALUE"""),"Colegio João D Abreu")</f>
        <v>Colegio João D Abreu</v>
      </c>
      <c r="F153" s="115" t="str">
        <f ca="1">IFERROR(__xludf.DUMMYFUNCTION("""COMPUTED_VALUE"""),"17033993")</f>
        <v>17033993</v>
      </c>
      <c r="G153" s="113" t="str">
        <f ca="1">IFERROR(__xludf.DUMMYFUNCTION("""COMPUTED_VALUE"""),"05059617000104")</f>
        <v>05059617000104</v>
      </c>
      <c r="H153" s="115" t="str">
        <f ca="1">IFERROR(__xludf.DUMMYFUNCTION("""COMPUTED_VALUE"""),"001")</f>
        <v>001</v>
      </c>
      <c r="I153" s="115" t="str">
        <f ca="1">IFERROR(__xludf.DUMMYFUNCTION("""COMPUTED_VALUE"""),"1307")</f>
        <v>1307</v>
      </c>
      <c r="J153" s="115" t="str">
        <f ca="1">IFERROR(__xludf.DUMMYFUNCTION("""COMPUTED_VALUE"""),"127027")</f>
        <v>127027</v>
      </c>
      <c r="K153" s="113" t="e">
        <f ca="1"/>
        <v>#REF!</v>
      </c>
      <c r="L153" s="113" t="e">
        <f ca="1"/>
        <v>#REF!</v>
      </c>
      <c r="M153" s="113" t="e">
        <f ca="1"/>
        <v>#REF!</v>
      </c>
      <c r="N153" s="113" t="e">
        <f ca="1"/>
        <v>#REF!</v>
      </c>
      <c r="O153" s="113" t="e">
        <f ca="1"/>
        <v>#REF!</v>
      </c>
      <c r="P153" s="113" t="e">
        <f ca="1"/>
        <v>#REF!</v>
      </c>
      <c r="Q153" s="113" t="e">
        <f ca="1"/>
        <v>#REF!</v>
      </c>
      <c r="R153" s="113" t="e">
        <f ca="1"/>
        <v>#REF!</v>
      </c>
      <c r="S153" s="113" t="e">
        <f ca="1"/>
        <v>#REF!</v>
      </c>
      <c r="T153" s="113" t="e">
        <f ca="1"/>
        <v>#REF!</v>
      </c>
      <c r="U153" s="113" t="e">
        <f ca="1"/>
        <v>#REF!</v>
      </c>
      <c r="V153" s="113" t="e">
        <f ca="1"/>
        <v>#REF!</v>
      </c>
      <c r="W153" s="113" t="e">
        <f ca="1"/>
        <v>#REF!</v>
      </c>
      <c r="X153" s="113" t="e">
        <f ca="1"/>
        <v>#REF!</v>
      </c>
      <c r="Y153" s="113" t="e">
        <f ca="1"/>
        <v>#REF!</v>
      </c>
      <c r="Z153" s="113" t="e">
        <f ca="1"/>
        <v>#REF!</v>
      </c>
      <c r="AA153" s="113"/>
      <c r="AB153" s="113"/>
      <c r="AC153" s="113"/>
      <c r="AD153" s="113"/>
      <c r="AE153" s="113" t="str">
        <f ca="1">IFERROR(__xludf.DUMMYFUNCTION("""COMPUTED_VALUE"""),"Parcial/Integral")</f>
        <v>Parcial/Integral</v>
      </c>
      <c r="AF153" s="113" t="str">
        <f ca="1">IFERROR(__xludf.DUMMYFUNCTION("""COMPUTED_VALUE"""),"FE")</f>
        <v>FE</v>
      </c>
      <c r="AG153" s="113">
        <f ca="1">IFERROR(__xludf.DUMMYFUNCTION("""COMPUTED_VALUE"""),0)</f>
        <v>0</v>
      </c>
      <c r="AH153" s="113">
        <f ca="1">IFERROR(__xludf.DUMMYFUNCTION("""COMPUTED_VALUE"""),0)</f>
        <v>0</v>
      </c>
      <c r="AI153" s="113">
        <f ca="1">IFERROR(__xludf.DUMMYFUNCTION("""COMPUTED_VALUE"""),0)</f>
        <v>0</v>
      </c>
      <c r="AJ153" s="113">
        <f ca="1">IFERROR(__xludf.DUMMYFUNCTION("""COMPUTED_VALUE"""),0)</f>
        <v>0</v>
      </c>
      <c r="AK153" s="113"/>
      <c r="AL153" s="116"/>
    </row>
    <row r="154" spans="1:38" ht="12.75">
      <c r="A154" s="112" t="str">
        <f ca="1">IFERROR(__xludf.DUMMYFUNCTION("""COMPUTED_VALUE"""),"17034221")</f>
        <v>17034221</v>
      </c>
      <c r="B154" s="113" t="str">
        <f ca="1">IFERROR(__xludf.DUMMYFUNCTION("""COMPUTED_VALUE"""),"Dianópolis")</f>
        <v>Dianópolis</v>
      </c>
      <c r="C154" s="113" t="str">
        <f ca="1">IFERROR(__xludf.DUMMYFUNCTION("""COMPUTED_VALUE"""),"Dianopolis")</f>
        <v>Dianopolis</v>
      </c>
      <c r="D154" s="114" t="str">
        <f ca="1">IFERROR(__xludf.DUMMYFUNCTION("""COMPUTED_VALUE"""),"ASSOC. DE APOIO A ESCOLA COOPERATIVA CHAPADÃO/DIANÓPOLIS")</f>
        <v>ASSOC. DE APOIO A ESCOLA COOPERATIVA CHAPADÃO/DIANÓPOLIS</v>
      </c>
      <c r="E154" s="113" t="str">
        <f ca="1">IFERROR(__xludf.DUMMYFUNCTION("""COMPUTED_VALUE"""),"Escola Cooperativa Chapadão")</f>
        <v>Escola Cooperativa Chapadão</v>
      </c>
      <c r="F154" s="115" t="str">
        <f ca="1">IFERROR(__xludf.DUMMYFUNCTION("""COMPUTED_VALUE"""),"17034221")</f>
        <v>17034221</v>
      </c>
      <c r="G154" s="113" t="str">
        <f ca="1">IFERROR(__xludf.DUMMYFUNCTION("""COMPUTED_VALUE"""),"07056712000171")</f>
        <v>07056712000171</v>
      </c>
      <c r="H154" s="115" t="str">
        <f ca="1">IFERROR(__xludf.DUMMYFUNCTION("""COMPUTED_VALUE"""),"001")</f>
        <v>001</v>
      </c>
      <c r="I154" s="115" t="str">
        <f ca="1">IFERROR(__xludf.DUMMYFUNCTION("""COMPUTED_VALUE"""),"1307")</f>
        <v>1307</v>
      </c>
      <c r="J154" s="115" t="str">
        <f ca="1">IFERROR(__xludf.DUMMYFUNCTION("""COMPUTED_VALUE"""),"15704X")</f>
        <v>15704X</v>
      </c>
      <c r="K154" s="113" t="e">
        <f ca="1"/>
        <v>#REF!</v>
      </c>
      <c r="L154" s="113" t="e">
        <f ca="1"/>
        <v>#REF!</v>
      </c>
      <c r="M154" s="113" t="e">
        <f ca="1"/>
        <v>#REF!</v>
      </c>
      <c r="N154" s="113" t="e">
        <f ca="1"/>
        <v>#REF!</v>
      </c>
      <c r="O154" s="113" t="e">
        <f ca="1"/>
        <v>#REF!</v>
      </c>
      <c r="P154" s="113" t="e">
        <f ca="1"/>
        <v>#REF!</v>
      </c>
      <c r="Q154" s="113" t="e">
        <f ca="1"/>
        <v>#REF!</v>
      </c>
      <c r="R154" s="113" t="e">
        <f ca="1"/>
        <v>#REF!</v>
      </c>
      <c r="S154" s="113" t="e">
        <f ca="1"/>
        <v>#REF!</v>
      </c>
      <c r="T154" s="113" t="e">
        <f ca="1"/>
        <v>#REF!</v>
      </c>
      <c r="U154" s="113" t="e">
        <f ca="1"/>
        <v>#REF!</v>
      </c>
      <c r="V154" s="113" t="e">
        <f ca="1"/>
        <v>#REF!</v>
      </c>
      <c r="W154" s="113" t="e">
        <f ca="1"/>
        <v>#REF!</v>
      </c>
      <c r="X154" s="113" t="e">
        <f ca="1"/>
        <v>#REF!</v>
      </c>
      <c r="Y154" s="113" t="e">
        <f ca="1"/>
        <v>#REF!</v>
      </c>
      <c r="Z154" s="113" t="e">
        <f ca="1"/>
        <v>#REF!</v>
      </c>
      <c r="AA154" s="113"/>
      <c r="AB154" s="113"/>
      <c r="AC154" s="113"/>
      <c r="AD154" s="113"/>
      <c r="AE154" s="113" t="str">
        <f ca="1">IFERROR(__xludf.DUMMYFUNCTION("""COMPUTED_VALUE"""),"Parcial")</f>
        <v>Parcial</v>
      </c>
      <c r="AF154" s="113" t="str">
        <f ca="1">IFERROR(__xludf.DUMMYFUNCTION("""COMPUTED_VALUE"""),"FE")</f>
        <v>FE</v>
      </c>
      <c r="AG154" s="113">
        <f ca="1">IFERROR(__xludf.DUMMYFUNCTION("""COMPUTED_VALUE"""),0)</f>
        <v>0</v>
      </c>
      <c r="AH154" s="113">
        <f ca="1">IFERROR(__xludf.DUMMYFUNCTION("""COMPUTED_VALUE"""),0)</f>
        <v>0</v>
      </c>
      <c r="AI154" s="113">
        <f ca="1">IFERROR(__xludf.DUMMYFUNCTION("""COMPUTED_VALUE"""),0)</f>
        <v>0</v>
      </c>
      <c r="AJ154" s="113">
        <f ca="1">IFERROR(__xludf.DUMMYFUNCTION("""COMPUTED_VALUE"""),0)</f>
        <v>0</v>
      </c>
      <c r="AK154" s="113"/>
      <c r="AL154" s="116"/>
    </row>
    <row r="155" spans="1:38" ht="12.75">
      <c r="A155" s="112" t="str">
        <f ca="1">IFERROR(__xludf.DUMMYFUNCTION("""COMPUTED_VALUE"""),"17074819")</f>
        <v>17074819</v>
      </c>
      <c r="B155" s="113" t="str">
        <f ca="1">IFERROR(__xludf.DUMMYFUNCTION("""COMPUTED_VALUE"""),"Dianópolis")</f>
        <v>Dianópolis</v>
      </c>
      <c r="C155" s="113" t="str">
        <f ca="1">IFERROR(__xludf.DUMMYFUNCTION("""COMPUTED_VALUE"""),"Dianopolis")</f>
        <v>Dianopolis</v>
      </c>
      <c r="D155" s="114" t="str">
        <f ca="1">IFERROR(__xludf.DUMMYFUNCTION("""COMPUTED_VALUE"""),"ESCOLA ESPECIAL COLIBRI")</f>
        <v>ESCOLA ESPECIAL COLIBRI</v>
      </c>
      <c r="E155" s="113" t="str">
        <f ca="1">IFERROR(__xludf.DUMMYFUNCTION("""COMPUTED_VALUE"""),"Escola Especial Colibri")</f>
        <v>Escola Especial Colibri</v>
      </c>
      <c r="F155" s="115" t="str">
        <f ca="1">IFERROR(__xludf.DUMMYFUNCTION("""COMPUTED_VALUE"""),"17074819")</f>
        <v>17074819</v>
      </c>
      <c r="G155" s="113" t="str">
        <f ca="1">IFERROR(__xludf.DUMMYFUNCTION("""COMPUTED_VALUE"""),"15413383000105")</f>
        <v>15413383000105</v>
      </c>
      <c r="H155" s="115" t="str">
        <f ca="1">IFERROR(__xludf.DUMMYFUNCTION("""COMPUTED_VALUE"""),"001")</f>
        <v>001</v>
      </c>
      <c r="I155" s="115" t="str">
        <f ca="1">IFERROR(__xludf.DUMMYFUNCTION("""COMPUTED_VALUE"""),"1307")</f>
        <v>1307</v>
      </c>
      <c r="J155" s="115" t="str">
        <f ca="1">IFERROR(__xludf.DUMMYFUNCTION("""COMPUTED_VALUE"""),"312967")</f>
        <v>312967</v>
      </c>
      <c r="K155" s="113" t="e">
        <f ca="1"/>
        <v>#REF!</v>
      </c>
      <c r="L155" s="113" t="e">
        <f ca="1"/>
        <v>#REF!</v>
      </c>
      <c r="M155" s="113" t="e">
        <f ca="1"/>
        <v>#REF!</v>
      </c>
      <c r="N155" s="113" t="e">
        <f ca="1"/>
        <v>#REF!</v>
      </c>
      <c r="O155" s="113" t="e">
        <f ca="1"/>
        <v>#REF!</v>
      </c>
      <c r="P155" s="113" t="e">
        <f ca="1"/>
        <v>#REF!</v>
      </c>
      <c r="Q155" s="113" t="e">
        <f ca="1"/>
        <v>#REF!</v>
      </c>
      <c r="R155" s="113" t="e">
        <f ca="1"/>
        <v>#REF!</v>
      </c>
      <c r="S155" s="113" t="e">
        <f ca="1"/>
        <v>#REF!</v>
      </c>
      <c r="T155" s="113" t="e">
        <f ca="1"/>
        <v>#REF!</v>
      </c>
      <c r="U155" s="113" t="e">
        <f ca="1"/>
        <v>#REF!</v>
      </c>
      <c r="V155" s="113" t="e">
        <f ca="1"/>
        <v>#REF!</v>
      </c>
      <c r="W155" s="113" t="e">
        <f ca="1"/>
        <v>#REF!</v>
      </c>
      <c r="X155" s="113" t="e">
        <f ca="1"/>
        <v>#REF!</v>
      </c>
      <c r="Y155" s="113" t="e">
        <f ca="1"/>
        <v>#REF!</v>
      </c>
      <c r="Z155" s="113" t="e">
        <f ca="1"/>
        <v>#REF!</v>
      </c>
      <c r="AA155" s="113"/>
      <c r="AB155" s="113"/>
      <c r="AC155" s="113"/>
      <c r="AD155" s="113" t="str">
        <f ca="1">IFERROR(__xludf.DUMMYFUNCTION("""COMPUTED_VALUE"""),"E.M. INTEGRADO")</f>
        <v>E.M. INTEGRADO</v>
      </c>
      <c r="AE155" s="113" t="str">
        <f ca="1">IFERROR(__xludf.DUMMYFUNCTION("""COMPUTED_VALUE"""),"Parcial")</f>
        <v>Parcial</v>
      </c>
      <c r="AF155" s="113" t="str">
        <f ca="1">IFERROR(__xludf.DUMMYFUNCTION("""COMPUTED_VALUE"""),"FE")</f>
        <v>FE</v>
      </c>
      <c r="AG155" s="113">
        <f ca="1">IFERROR(__xludf.DUMMYFUNCTION("""COMPUTED_VALUE"""),0)</f>
        <v>0</v>
      </c>
      <c r="AH155" s="113">
        <f ca="1">IFERROR(__xludf.DUMMYFUNCTION("""COMPUTED_VALUE"""),0)</f>
        <v>0</v>
      </c>
      <c r="AI155" s="113">
        <f ca="1">IFERROR(__xludf.DUMMYFUNCTION("""COMPUTED_VALUE"""),0)</f>
        <v>0</v>
      </c>
      <c r="AJ155" s="113">
        <f ca="1">IFERROR(__xludf.DUMMYFUNCTION("""COMPUTED_VALUE"""),0)</f>
        <v>0</v>
      </c>
      <c r="AK155" s="113"/>
      <c r="AL155" s="116"/>
    </row>
    <row r="156" spans="1:38" ht="12.75">
      <c r="A156" s="112" t="str">
        <f ca="1">IFERROR(__xludf.DUMMYFUNCTION("""COMPUTED_VALUE"""),"17034035")</f>
        <v>17034035</v>
      </c>
      <c r="B156" s="113" t="str">
        <f ca="1">IFERROR(__xludf.DUMMYFUNCTION("""COMPUTED_VALUE"""),"Dianópolis")</f>
        <v>Dianópolis</v>
      </c>
      <c r="C156" s="113" t="str">
        <f ca="1">IFERROR(__xludf.DUMMYFUNCTION("""COMPUTED_VALUE"""),"Dianopolis")</f>
        <v>Dianopolis</v>
      </c>
      <c r="D156" s="114" t="str">
        <f ca="1">IFERROR(__xludf.DUMMYFUNCTION("""COMPUTED_VALUE"""),"ASS. APOIO ESC. EST.CEL.ABILIO WOLNEY")</f>
        <v>ASS. APOIO ESC. EST.CEL.ABILIO WOLNEY</v>
      </c>
      <c r="E156" s="113" t="str">
        <f ca="1">IFERROR(__xludf.DUMMYFUNCTION("""COMPUTED_VALUE"""),"Escola Estadual Coronel Abílio Wolney")</f>
        <v>Escola Estadual Coronel Abílio Wolney</v>
      </c>
      <c r="F156" s="115" t="str">
        <f ca="1">IFERROR(__xludf.DUMMYFUNCTION("""COMPUTED_VALUE"""),"17034035")</f>
        <v>17034035</v>
      </c>
      <c r="G156" s="113" t="str">
        <f ca="1">IFERROR(__xludf.DUMMYFUNCTION("""COMPUTED_VALUE"""),"01197161000180")</f>
        <v>01197161000180</v>
      </c>
      <c r="H156" s="115" t="str">
        <f ca="1">IFERROR(__xludf.DUMMYFUNCTION("""COMPUTED_VALUE"""),"001")</f>
        <v>001</v>
      </c>
      <c r="I156" s="115" t="str">
        <f ca="1">IFERROR(__xludf.DUMMYFUNCTION("""COMPUTED_VALUE"""),"1307")</f>
        <v>1307</v>
      </c>
      <c r="J156" s="115" t="str">
        <f ca="1">IFERROR(__xludf.DUMMYFUNCTION("""COMPUTED_VALUE"""),"120464")</f>
        <v>120464</v>
      </c>
      <c r="K156" s="113" t="e">
        <f ca="1"/>
        <v>#REF!</v>
      </c>
      <c r="L156" s="113" t="e">
        <f ca="1"/>
        <v>#REF!</v>
      </c>
      <c r="M156" s="113" t="e">
        <f ca="1"/>
        <v>#REF!</v>
      </c>
      <c r="N156" s="113" t="e">
        <f ca="1"/>
        <v>#REF!</v>
      </c>
      <c r="O156" s="113" t="e">
        <f ca="1"/>
        <v>#REF!</v>
      </c>
      <c r="P156" s="113" t="e">
        <f ca="1"/>
        <v>#REF!</v>
      </c>
      <c r="Q156" s="113" t="e">
        <f ca="1"/>
        <v>#REF!</v>
      </c>
      <c r="R156" s="113" t="e">
        <f ca="1"/>
        <v>#REF!</v>
      </c>
      <c r="S156" s="113" t="e">
        <f ca="1"/>
        <v>#REF!</v>
      </c>
      <c r="T156" s="113" t="e">
        <f ca="1"/>
        <v>#REF!</v>
      </c>
      <c r="U156" s="113" t="e">
        <f ca="1"/>
        <v>#REF!</v>
      </c>
      <c r="V156" s="113" t="e">
        <f ca="1"/>
        <v>#REF!</v>
      </c>
      <c r="W156" s="113" t="e">
        <f ca="1"/>
        <v>#REF!</v>
      </c>
      <c r="X156" s="113" t="e">
        <f ca="1"/>
        <v>#REF!</v>
      </c>
      <c r="Y156" s="113" t="e">
        <f ca="1"/>
        <v>#REF!</v>
      </c>
      <c r="Z156" s="113" t="e">
        <f ca="1"/>
        <v>#REF!</v>
      </c>
      <c r="AA156" s="113"/>
      <c r="AB156" s="113"/>
      <c r="AC156" s="113"/>
      <c r="AD156" s="113"/>
      <c r="AE156" s="113" t="str">
        <f ca="1">IFERROR(__xludf.DUMMYFUNCTION("""COMPUTED_VALUE"""),"Parcial")</f>
        <v>Parcial</v>
      </c>
      <c r="AF156" s="113" t="str">
        <f ca="1">IFERROR(__xludf.DUMMYFUNCTION("""COMPUTED_VALUE"""),"FE")</f>
        <v>FE</v>
      </c>
      <c r="AG156" s="113">
        <f ca="1">IFERROR(__xludf.DUMMYFUNCTION("""COMPUTED_VALUE"""),0)</f>
        <v>0</v>
      </c>
      <c r="AH156" s="113">
        <f ca="1">IFERROR(__xludf.DUMMYFUNCTION("""COMPUTED_VALUE"""),0)</f>
        <v>0</v>
      </c>
      <c r="AI156" s="113">
        <f ca="1">IFERROR(__xludf.DUMMYFUNCTION("""COMPUTED_VALUE"""),0)</f>
        <v>0</v>
      </c>
      <c r="AJ156" s="113">
        <f ca="1">IFERROR(__xludf.DUMMYFUNCTION("""COMPUTED_VALUE"""),0)</f>
        <v>0</v>
      </c>
      <c r="AK156" s="113"/>
      <c r="AL156" s="116"/>
    </row>
    <row r="157" spans="1:38" ht="12.75">
      <c r="A157" s="112" t="str">
        <f ca="1">IFERROR(__xludf.DUMMYFUNCTION("""COMPUTED_VALUE"""),"17034078")</f>
        <v>17034078</v>
      </c>
      <c r="B157" s="113" t="str">
        <f ca="1">IFERROR(__xludf.DUMMYFUNCTION("""COMPUTED_VALUE"""),"Dianópolis")</f>
        <v>Dianópolis</v>
      </c>
      <c r="C157" s="113" t="str">
        <f ca="1">IFERROR(__xludf.DUMMYFUNCTION("""COMPUTED_VALUE"""),"Dianopolis")</f>
        <v>Dianopolis</v>
      </c>
      <c r="D157" s="114" t="str">
        <f ca="1">IFERROR(__xludf.DUMMYFUNCTION("""COMPUTED_VALUE"""),"A.A. ESCOLA ESTADUAL JOCA COSTA")</f>
        <v>A.A. ESCOLA ESTADUAL JOCA COSTA</v>
      </c>
      <c r="E157" s="113" t="str">
        <f ca="1">IFERROR(__xludf.DUMMYFUNCTION("""COMPUTED_VALUE"""),"Escola Estadual Joca Costa")</f>
        <v>Escola Estadual Joca Costa</v>
      </c>
      <c r="F157" s="115" t="str">
        <f ca="1">IFERROR(__xludf.DUMMYFUNCTION("""COMPUTED_VALUE"""),"17034078")</f>
        <v>17034078</v>
      </c>
      <c r="G157" s="113" t="str">
        <f ca="1">IFERROR(__xludf.DUMMYFUNCTION("""COMPUTED_VALUE"""),"01138323000109")</f>
        <v>01138323000109</v>
      </c>
      <c r="H157" s="115" t="str">
        <f ca="1">IFERROR(__xludf.DUMMYFUNCTION("""COMPUTED_VALUE"""),"001")</f>
        <v>001</v>
      </c>
      <c r="I157" s="115" t="str">
        <f ca="1">IFERROR(__xludf.DUMMYFUNCTION("""COMPUTED_VALUE"""),"1307")</f>
        <v>1307</v>
      </c>
      <c r="J157" s="115" t="str">
        <f ca="1">IFERROR(__xludf.DUMMYFUNCTION("""COMPUTED_VALUE"""),"107492")</f>
        <v>107492</v>
      </c>
      <c r="K157" s="113" t="e">
        <f ca="1"/>
        <v>#REF!</v>
      </c>
      <c r="L157" s="113" t="e">
        <f ca="1"/>
        <v>#REF!</v>
      </c>
      <c r="M157" s="113" t="e">
        <f ca="1"/>
        <v>#REF!</v>
      </c>
      <c r="N157" s="113" t="e">
        <f ca="1"/>
        <v>#REF!</v>
      </c>
      <c r="O157" s="113" t="e">
        <f ca="1"/>
        <v>#REF!</v>
      </c>
      <c r="P157" s="113" t="e">
        <f ca="1"/>
        <v>#REF!</v>
      </c>
      <c r="Q157" s="113" t="e">
        <f ca="1"/>
        <v>#REF!</v>
      </c>
      <c r="R157" s="113" t="e">
        <f ca="1"/>
        <v>#REF!</v>
      </c>
      <c r="S157" s="113" t="e">
        <f ca="1"/>
        <v>#REF!</v>
      </c>
      <c r="T157" s="113" t="e">
        <f ca="1"/>
        <v>#REF!</v>
      </c>
      <c r="U157" s="113" t="e">
        <f ca="1"/>
        <v>#REF!</v>
      </c>
      <c r="V157" s="113" t="e">
        <f ca="1"/>
        <v>#REF!</v>
      </c>
      <c r="W157" s="113" t="e">
        <f ca="1"/>
        <v>#REF!</v>
      </c>
      <c r="X157" s="113" t="e">
        <f ca="1"/>
        <v>#REF!</v>
      </c>
      <c r="Y157" s="113" t="e">
        <f ca="1"/>
        <v>#REF!</v>
      </c>
      <c r="Z157" s="113" t="e">
        <f ca="1"/>
        <v>#REF!</v>
      </c>
      <c r="AA157" s="113"/>
      <c r="AB157" s="113"/>
      <c r="AC157" s="113"/>
      <c r="AD157" s="113"/>
      <c r="AE157" s="113" t="str">
        <f ca="1">IFERROR(__xludf.DUMMYFUNCTION("""COMPUTED_VALUE"""),"Parcial")</f>
        <v>Parcial</v>
      </c>
      <c r="AF157" s="113" t="str">
        <f ca="1">IFERROR(__xludf.DUMMYFUNCTION("""COMPUTED_VALUE"""),"FE")</f>
        <v>FE</v>
      </c>
      <c r="AG157" s="113">
        <f ca="1">IFERROR(__xludf.DUMMYFUNCTION("""COMPUTED_VALUE"""),0)</f>
        <v>0</v>
      </c>
      <c r="AH157" s="113">
        <f ca="1">IFERROR(__xludf.DUMMYFUNCTION("""COMPUTED_VALUE"""),0)</f>
        <v>0</v>
      </c>
      <c r="AI157" s="113">
        <f ca="1">IFERROR(__xludf.DUMMYFUNCTION("""COMPUTED_VALUE"""),0)</f>
        <v>0</v>
      </c>
      <c r="AJ157" s="113">
        <f ca="1">IFERROR(__xludf.DUMMYFUNCTION("""COMPUTED_VALUE"""),0)</f>
        <v>0</v>
      </c>
      <c r="AK157" s="113"/>
      <c r="AL157" s="116"/>
    </row>
    <row r="158" spans="1:38" ht="12.75">
      <c r="A158" s="112" t="str">
        <f ca="1">IFERROR(__xludf.DUMMYFUNCTION("""COMPUTED_VALUE"""),"17035210")</f>
        <v>17035210</v>
      </c>
      <c r="B158" s="113" t="str">
        <f ca="1">IFERROR(__xludf.DUMMYFUNCTION("""COMPUTED_VALUE"""),"Dianópolis")</f>
        <v>Dianópolis</v>
      </c>
      <c r="C158" s="113" t="str">
        <f ca="1">IFERROR(__xludf.DUMMYFUNCTION("""COMPUTED_VALUE"""),"Novo Jardim")</f>
        <v>Novo Jardim</v>
      </c>
      <c r="D158" s="114" t="str">
        <f ca="1">IFERROR(__xludf.DUMMYFUNCTION("""COMPUTED_VALUE"""),"ASS. DE AP. DA ESCOLA ESTADUAL JARDIM")</f>
        <v>ASS. DE AP. DA ESCOLA ESTADUAL JARDIM</v>
      </c>
      <c r="E158" s="113" t="str">
        <f ca="1">IFERROR(__xludf.DUMMYFUNCTION("""COMPUTED_VALUE"""),"Escola Estadual Jardim")</f>
        <v>Escola Estadual Jardim</v>
      </c>
      <c r="F158" s="115" t="str">
        <f ca="1">IFERROR(__xludf.DUMMYFUNCTION("""COMPUTED_VALUE"""),"17035210")</f>
        <v>17035210</v>
      </c>
      <c r="G158" s="113" t="str">
        <f ca="1">IFERROR(__xludf.DUMMYFUNCTION("""COMPUTED_VALUE"""),"01408711000162")</f>
        <v>01408711000162</v>
      </c>
      <c r="H158" s="115" t="str">
        <f ca="1">IFERROR(__xludf.DUMMYFUNCTION("""COMPUTED_VALUE"""),"001")</f>
        <v>001</v>
      </c>
      <c r="I158" s="115" t="str">
        <f ca="1">IFERROR(__xludf.DUMMYFUNCTION("""COMPUTED_VALUE"""),"1307")</f>
        <v>1307</v>
      </c>
      <c r="J158" s="115" t="str">
        <f ca="1">IFERROR(__xludf.DUMMYFUNCTION("""COMPUTED_VALUE"""),"106453")</f>
        <v>106453</v>
      </c>
      <c r="K158" s="113" t="e">
        <f ca="1"/>
        <v>#REF!</v>
      </c>
      <c r="L158" s="113" t="e">
        <f ca="1"/>
        <v>#REF!</v>
      </c>
      <c r="M158" s="113" t="e">
        <f ca="1"/>
        <v>#REF!</v>
      </c>
      <c r="N158" s="113" t="e">
        <f ca="1"/>
        <v>#REF!</v>
      </c>
      <c r="O158" s="113" t="e">
        <f ca="1"/>
        <v>#REF!</v>
      </c>
      <c r="P158" s="113" t="e">
        <f ca="1"/>
        <v>#REF!</v>
      </c>
      <c r="Q158" s="113" t="e">
        <f ca="1"/>
        <v>#REF!</v>
      </c>
      <c r="R158" s="113" t="e">
        <f ca="1"/>
        <v>#REF!</v>
      </c>
      <c r="S158" s="113" t="e">
        <f ca="1"/>
        <v>#REF!</v>
      </c>
      <c r="T158" s="113" t="e">
        <f ca="1"/>
        <v>#REF!</v>
      </c>
      <c r="U158" s="113" t="e">
        <f ca="1"/>
        <v>#REF!</v>
      </c>
      <c r="V158" s="113" t="e">
        <f ca="1"/>
        <v>#REF!</v>
      </c>
      <c r="W158" s="113" t="e">
        <f ca="1"/>
        <v>#REF!</v>
      </c>
      <c r="X158" s="113" t="e">
        <f ca="1"/>
        <v>#REF!</v>
      </c>
      <c r="Y158" s="113" t="e">
        <f ca="1"/>
        <v>#REF!</v>
      </c>
      <c r="Z158" s="113" t="e">
        <f ca="1"/>
        <v>#REF!</v>
      </c>
      <c r="AA158" s="113"/>
      <c r="AB158" s="113"/>
      <c r="AC158" s="113"/>
      <c r="AD158" s="113" t="str">
        <f ca="1">IFERROR(__xludf.DUMMYFUNCTION("""COMPUTED_VALUE"""),"E.M. INTEGRADO")</f>
        <v>E.M. INTEGRADO</v>
      </c>
      <c r="AE158" s="113" t="str">
        <f ca="1">IFERROR(__xludf.DUMMYFUNCTION("""COMPUTED_VALUE"""),"Parcial")</f>
        <v>Parcial</v>
      </c>
      <c r="AF158" s="113" t="str">
        <f ca="1">IFERROR(__xludf.DUMMYFUNCTION("""COMPUTED_VALUE"""),"FE")</f>
        <v>FE</v>
      </c>
      <c r="AG158" s="113">
        <f ca="1">IFERROR(__xludf.DUMMYFUNCTION("""COMPUTED_VALUE"""),0)</f>
        <v>0</v>
      </c>
      <c r="AH158" s="113">
        <f ca="1">IFERROR(__xludf.DUMMYFUNCTION("""COMPUTED_VALUE"""),0)</f>
        <v>0</v>
      </c>
      <c r="AI158" s="113">
        <f ca="1">IFERROR(__xludf.DUMMYFUNCTION("""COMPUTED_VALUE"""),0)</f>
        <v>0</v>
      </c>
      <c r="AJ158" s="113">
        <f ca="1">IFERROR(__xludf.DUMMYFUNCTION("""COMPUTED_VALUE"""),0)</f>
        <v>0</v>
      </c>
      <c r="AK158" s="113"/>
      <c r="AL158" s="116"/>
    </row>
    <row r="159" spans="1:38" ht="12.75">
      <c r="A159" s="112" t="str">
        <f ca="1">IFERROR(__xludf.DUMMYFUNCTION("""COMPUTED_VALUE"""),"17036208")</f>
        <v>17036208</v>
      </c>
      <c r="B159" s="113" t="str">
        <f ca="1">IFERROR(__xludf.DUMMYFUNCTION("""COMPUTED_VALUE"""),"Dianópolis")</f>
        <v>Dianópolis</v>
      </c>
      <c r="C159" s="113" t="str">
        <f ca="1">IFERROR(__xludf.DUMMYFUNCTION("""COMPUTED_VALUE"""),"Ponte Alta do Bom Jesus")</f>
        <v>Ponte Alta do Bom Jesus</v>
      </c>
      <c r="D159" s="114" t="str">
        <f ca="1">IFERROR(__xludf.DUMMYFUNCTION("""COMPUTED_VALUE"""),"A.A. ESC. E. ANTONIO CARLOS DE FRANCA")</f>
        <v>A.A. ESC. E. ANTONIO CARLOS DE FRANCA</v>
      </c>
      <c r="E159" s="113" t="str">
        <f ca="1">IFERROR(__xludf.DUMMYFUNCTION("""COMPUTED_VALUE"""),"Colégio Estadual Antonio Carlos de França")</f>
        <v>Colégio Estadual Antonio Carlos de França</v>
      </c>
      <c r="F159" s="115" t="str">
        <f ca="1">IFERROR(__xludf.DUMMYFUNCTION("""COMPUTED_VALUE"""),"17036208")</f>
        <v>17036208</v>
      </c>
      <c r="G159" s="113" t="str">
        <f ca="1">IFERROR(__xludf.DUMMYFUNCTION("""COMPUTED_VALUE"""),"01223633000121")</f>
        <v>01223633000121</v>
      </c>
      <c r="H159" s="115" t="str">
        <f ca="1">IFERROR(__xludf.DUMMYFUNCTION("""COMPUTED_VALUE"""),"001")</f>
        <v>001</v>
      </c>
      <c r="I159" s="115" t="str">
        <f ca="1">IFERROR(__xludf.DUMMYFUNCTION("""COMPUTED_VALUE"""),"2704")</f>
        <v>2704</v>
      </c>
      <c r="J159" s="115" t="str">
        <f ca="1">IFERROR(__xludf.DUMMYFUNCTION("""COMPUTED_VALUE"""),"102733")</f>
        <v>102733</v>
      </c>
      <c r="K159" s="113" t="e">
        <f ca="1"/>
        <v>#REF!</v>
      </c>
      <c r="L159" s="113" t="e">
        <f ca="1"/>
        <v>#REF!</v>
      </c>
      <c r="M159" s="113" t="e">
        <f ca="1"/>
        <v>#REF!</v>
      </c>
      <c r="N159" s="113" t="e">
        <f ca="1"/>
        <v>#REF!</v>
      </c>
      <c r="O159" s="113" t="e">
        <f ca="1"/>
        <v>#REF!</v>
      </c>
      <c r="P159" s="113" t="e">
        <f ca="1"/>
        <v>#REF!</v>
      </c>
      <c r="Q159" s="113" t="e">
        <f ca="1"/>
        <v>#REF!</v>
      </c>
      <c r="R159" s="113" t="e">
        <f ca="1"/>
        <v>#REF!</v>
      </c>
      <c r="S159" s="113" t="e">
        <f ca="1"/>
        <v>#REF!</v>
      </c>
      <c r="T159" s="113" t="e">
        <f ca="1"/>
        <v>#REF!</v>
      </c>
      <c r="U159" s="113" t="e">
        <f ca="1"/>
        <v>#REF!</v>
      </c>
      <c r="V159" s="113" t="e">
        <f ca="1"/>
        <v>#REF!</v>
      </c>
      <c r="W159" s="113" t="e">
        <f ca="1"/>
        <v>#REF!</v>
      </c>
      <c r="X159" s="113" t="e">
        <f ca="1"/>
        <v>#REF!</v>
      </c>
      <c r="Y159" s="113" t="e">
        <f ca="1"/>
        <v>#REF!</v>
      </c>
      <c r="Z159" s="113" t="e">
        <f ca="1"/>
        <v>#REF!</v>
      </c>
      <c r="AA159" s="113"/>
      <c r="AB159" s="113"/>
      <c r="AC159" s="113"/>
      <c r="AD159" s="113"/>
      <c r="AE159" s="113" t="str">
        <f ca="1">IFERROR(__xludf.DUMMYFUNCTION("""COMPUTED_VALUE"""),"Parcial")</f>
        <v>Parcial</v>
      </c>
      <c r="AF159" s="113" t="str">
        <f ca="1">IFERROR(__xludf.DUMMYFUNCTION("""COMPUTED_VALUE"""),"FE")</f>
        <v>FE</v>
      </c>
      <c r="AG159" s="113">
        <f ca="1">IFERROR(__xludf.DUMMYFUNCTION("""COMPUTED_VALUE"""),0)</f>
        <v>0</v>
      </c>
      <c r="AH159" s="113">
        <f ca="1">IFERROR(__xludf.DUMMYFUNCTION("""COMPUTED_VALUE"""),0)</f>
        <v>0</v>
      </c>
      <c r="AI159" s="113">
        <f ca="1">IFERROR(__xludf.DUMMYFUNCTION("""COMPUTED_VALUE"""),0)</f>
        <v>0</v>
      </c>
      <c r="AJ159" s="113">
        <f ca="1">IFERROR(__xludf.DUMMYFUNCTION("""COMPUTED_VALUE"""),0)</f>
        <v>0</v>
      </c>
      <c r="AK159" s="113"/>
      <c r="AL159" s="116"/>
    </row>
    <row r="160" spans="1:38" ht="12.75">
      <c r="A160" s="112" t="str">
        <f ca="1">IFERROR(__xludf.DUMMYFUNCTION("""COMPUTED_VALUE"""),"17036275")</f>
        <v>17036275</v>
      </c>
      <c r="B160" s="113" t="str">
        <f ca="1">IFERROR(__xludf.DUMMYFUNCTION("""COMPUTED_VALUE"""),"Dianópolis")</f>
        <v>Dianópolis</v>
      </c>
      <c r="C160" s="113" t="str">
        <f ca="1">IFERROR(__xludf.DUMMYFUNCTION("""COMPUTED_VALUE"""),"Ponte Alta do Bom Jesus")</f>
        <v>Ponte Alta do Bom Jesus</v>
      </c>
      <c r="D160" s="114" t="str">
        <f ca="1">IFERROR(__xludf.DUMMYFUNCTION("""COMPUTED_VALUE"""),"A.A. E. ESC. EST. BOA VISTA DE BELEM")</f>
        <v>A.A. E. ESC. EST. BOA VISTA DE BELEM</v>
      </c>
      <c r="E160" s="113" t="str">
        <f ca="1">IFERROR(__xludf.DUMMYFUNCTION("""COMPUTED_VALUE"""),"Escola Estadual Boa Vista de Belém")</f>
        <v>Escola Estadual Boa Vista de Belém</v>
      </c>
      <c r="F160" s="115" t="str">
        <f ca="1">IFERROR(__xludf.DUMMYFUNCTION("""COMPUTED_VALUE"""),"17036275")</f>
        <v>17036275</v>
      </c>
      <c r="G160" s="113" t="str">
        <f ca="1">IFERROR(__xludf.DUMMYFUNCTION("""COMPUTED_VALUE"""),"01136045000150")</f>
        <v>01136045000150</v>
      </c>
      <c r="H160" s="115" t="str">
        <f ca="1">IFERROR(__xludf.DUMMYFUNCTION("""COMPUTED_VALUE"""),"001")</f>
        <v>001</v>
      </c>
      <c r="I160" s="115" t="str">
        <f ca="1">IFERROR(__xludf.DUMMYFUNCTION("""COMPUTED_VALUE"""),"1307")</f>
        <v>1307</v>
      </c>
      <c r="J160" s="115" t="str">
        <f ca="1">IFERROR(__xludf.DUMMYFUNCTION("""COMPUTED_VALUE"""),"010762X")</f>
        <v>010762X</v>
      </c>
      <c r="K160" s="113" t="e">
        <f ca="1"/>
        <v>#REF!</v>
      </c>
      <c r="L160" s="113" t="e">
        <f ca="1"/>
        <v>#REF!</v>
      </c>
      <c r="M160" s="113" t="e">
        <f ca="1"/>
        <v>#REF!</v>
      </c>
      <c r="N160" s="113" t="e">
        <f ca="1"/>
        <v>#REF!</v>
      </c>
      <c r="O160" s="113" t="e">
        <f ca="1"/>
        <v>#REF!</v>
      </c>
      <c r="P160" s="113" t="e">
        <f ca="1"/>
        <v>#REF!</v>
      </c>
      <c r="Q160" s="113" t="e">
        <f ca="1"/>
        <v>#REF!</v>
      </c>
      <c r="R160" s="113" t="e">
        <f ca="1"/>
        <v>#REF!</v>
      </c>
      <c r="S160" s="113" t="e">
        <f ca="1"/>
        <v>#REF!</v>
      </c>
      <c r="T160" s="113" t="e">
        <f ca="1"/>
        <v>#REF!</v>
      </c>
      <c r="U160" s="113" t="e">
        <f ca="1"/>
        <v>#REF!</v>
      </c>
      <c r="V160" s="113" t="e">
        <f ca="1"/>
        <v>#REF!</v>
      </c>
      <c r="W160" s="113" t="e">
        <f ca="1"/>
        <v>#REF!</v>
      </c>
      <c r="X160" s="113" t="e">
        <f ca="1"/>
        <v>#REF!</v>
      </c>
      <c r="Y160" s="113" t="e">
        <f ca="1"/>
        <v>#REF!</v>
      </c>
      <c r="Z160" s="113" t="e">
        <f ca="1"/>
        <v>#REF!</v>
      </c>
      <c r="AA160" s="113"/>
      <c r="AB160" s="113"/>
      <c r="AC160" s="113"/>
      <c r="AD160" s="113" t="str">
        <f ca="1">IFERROR(__xludf.DUMMYFUNCTION("""COMPUTED_VALUE"""),"E.M. INTEGRADO")</f>
        <v>E.M. INTEGRADO</v>
      </c>
      <c r="AE160" s="113" t="str">
        <f ca="1">IFERROR(__xludf.DUMMYFUNCTION("""COMPUTED_VALUE"""),"Parcial")</f>
        <v>Parcial</v>
      </c>
      <c r="AF160" s="113" t="str">
        <f ca="1">IFERROR(__xludf.DUMMYFUNCTION("""COMPUTED_VALUE"""),"FE")</f>
        <v>FE</v>
      </c>
      <c r="AG160" s="113">
        <f ca="1">IFERROR(__xludf.DUMMYFUNCTION("""COMPUTED_VALUE"""),0)</f>
        <v>0</v>
      </c>
      <c r="AH160" s="113">
        <f ca="1">IFERROR(__xludf.DUMMYFUNCTION("""COMPUTED_VALUE"""),0)</f>
        <v>0</v>
      </c>
      <c r="AI160" s="113">
        <f ca="1">IFERROR(__xludf.DUMMYFUNCTION("""COMPUTED_VALUE"""),0)</f>
        <v>0</v>
      </c>
      <c r="AJ160" s="113">
        <f ca="1">IFERROR(__xludf.DUMMYFUNCTION("""COMPUTED_VALUE"""),0)</f>
        <v>0</v>
      </c>
      <c r="AK160" s="113"/>
      <c r="AL160" s="116"/>
    </row>
    <row r="161" spans="1:38" ht="12.75">
      <c r="A161" s="112" t="str">
        <f ca="1">IFERROR(__xludf.DUMMYFUNCTION("""COMPUTED_VALUE"""),"17036577")</f>
        <v>17036577</v>
      </c>
      <c r="B161" s="113" t="str">
        <f ca="1">IFERROR(__xludf.DUMMYFUNCTION("""COMPUTED_VALUE"""),"Dianópolis")</f>
        <v>Dianópolis</v>
      </c>
      <c r="C161" s="113" t="str">
        <f ca="1">IFERROR(__xludf.DUMMYFUNCTION("""COMPUTED_VALUE"""),"Porto Alegre do Tocantins")</f>
        <v>Porto Alegre do Tocantins</v>
      </c>
      <c r="D161" s="114" t="str">
        <f ca="1">IFERROR(__xludf.DUMMYFUNCTION("""COMPUTED_VALUE"""),"ASSOC. APOIO ESC. EST. ALFREDO NASSER")</f>
        <v>ASSOC. APOIO ESC. EST. ALFREDO NASSER</v>
      </c>
      <c r="E161" s="113" t="str">
        <f ca="1">IFERROR(__xludf.DUMMYFUNCTION("""COMPUTED_VALUE"""),"Colegio Estadual Alfredo Nasser")</f>
        <v>Colegio Estadual Alfredo Nasser</v>
      </c>
      <c r="F161" s="115" t="str">
        <f ca="1">IFERROR(__xludf.DUMMYFUNCTION("""COMPUTED_VALUE"""),"17036577")</f>
        <v>17036577</v>
      </c>
      <c r="G161" s="113" t="str">
        <f ca="1">IFERROR(__xludf.DUMMYFUNCTION("""COMPUTED_VALUE"""),"01105525000154")</f>
        <v>01105525000154</v>
      </c>
      <c r="H161" s="115" t="str">
        <f ca="1">IFERROR(__xludf.DUMMYFUNCTION("""COMPUTED_VALUE"""),"001")</f>
        <v>001</v>
      </c>
      <c r="I161" s="115" t="str">
        <f ca="1">IFERROR(__xludf.DUMMYFUNCTION("""COMPUTED_VALUE"""),"1307")</f>
        <v>1307</v>
      </c>
      <c r="J161" s="115" t="str">
        <f ca="1">IFERROR(__xludf.DUMMYFUNCTION("""COMPUTED_VALUE"""),"0106321")</f>
        <v>0106321</v>
      </c>
      <c r="K161" s="113" t="e">
        <f ca="1"/>
        <v>#REF!</v>
      </c>
      <c r="L161" s="113" t="e">
        <f ca="1"/>
        <v>#REF!</v>
      </c>
      <c r="M161" s="113" t="e">
        <f ca="1"/>
        <v>#REF!</v>
      </c>
      <c r="N161" s="113" t="e">
        <f ca="1"/>
        <v>#REF!</v>
      </c>
      <c r="O161" s="113" t="e">
        <f ca="1"/>
        <v>#REF!</v>
      </c>
      <c r="P161" s="113" t="e">
        <f ca="1"/>
        <v>#REF!</v>
      </c>
      <c r="Q161" s="113" t="e">
        <f ca="1"/>
        <v>#REF!</v>
      </c>
      <c r="R161" s="113" t="e">
        <f ca="1"/>
        <v>#REF!</v>
      </c>
      <c r="S161" s="113" t="e">
        <f ca="1"/>
        <v>#REF!</v>
      </c>
      <c r="T161" s="113" t="e">
        <f ca="1"/>
        <v>#REF!</v>
      </c>
      <c r="U161" s="113" t="e">
        <f ca="1"/>
        <v>#REF!</v>
      </c>
      <c r="V161" s="113" t="e">
        <f ca="1"/>
        <v>#REF!</v>
      </c>
      <c r="W161" s="113" t="e">
        <f ca="1"/>
        <v>#REF!</v>
      </c>
      <c r="X161" s="113" t="e">
        <f ca="1"/>
        <v>#REF!</v>
      </c>
      <c r="Y161" s="113" t="e">
        <f ca="1"/>
        <v>#REF!</v>
      </c>
      <c r="Z161" s="113" t="e">
        <f ca="1"/>
        <v>#REF!</v>
      </c>
      <c r="AA161" s="113"/>
      <c r="AB161" s="113"/>
      <c r="AC161" s="113"/>
      <c r="AD161" s="113"/>
      <c r="AE161" s="113" t="str">
        <f ca="1">IFERROR(__xludf.DUMMYFUNCTION("""COMPUTED_VALUE"""),"Parcial")</f>
        <v>Parcial</v>
      </c>
      <c r="AF161" s="113" t="str">
        <f ca="1">IFERROR(__xludf.DUMMYFUNCTION("""COMPUTED_VALUE"""),"FE")</f>
        <v>FE</v>
      </c>
      <c r="AG161" s="113">
        <f ca="1">IFERROR(__xludf.DUMMYFUNCTION("""COMPUTED_VALUE"""),0)</f>
        <v>0</v>
      </c>
      <c r="AH161" s="113">
        <f ca="1">IFERROR(__xludf.DUMMYFUNCTION("""COMPUTED_VALUE"""),0)</f>
        <v>0</v>
      </c>
      <c r="AI161" s="113">
        <f ca="1">IFERROR(__xludf.DUMMYFUNCTION("""COMPUTED_VALUE"""),0)</f>
        <v>0</v>
      </c>
      <c r="AJ161" s="113">
        <f ca="1">IFERROR(__xludf.DUMMYFUNCTION("""COMPUTED_VALUE"""),0)</f>
        <v>0</v>
      </c>
      <c r="AK161" s="113"/>
      <c r="AL161" s="116"/>
    </row>
    <row r="162" spans="1:38" ht="12.75">
      <c r="A162" s="112" t="str">
        <f ca="1">IFERROR(__xludf.DUMMYFUNCTION("""COMPUTED_VALUE"""),"17036704")</f>
        <v>17036704</v>
      </c>
      <c r="B162" s="113" t="str">
        <f ca="1">IFERROR(__xludf.DUMMYFUNCTION("""COMPUTED_VALUE"""),"Dianópolis")</f>
        <v>Dianópolis</v>
      </c>
      <c r="C162" s="113" t="str">
        <f ca="1">IFERROR(__xludf.DUMMYFUNCTION("""COMPUTED_VALUE"""),"Rio da Conceicao")</f>
        <v>Rio da Conceicao</v>
      </c>
      <c r="D162" s="114" t="str">
        <f ca="1">IFERROR(__xludf.DUMMYFUNCTION("""COMPUTED_VALUE"""),"A.A. E. E.VIRGILIO FERREIRA DE FRANCA")</f>
        <v>A.A. E. E.VIRGILIO FERREIRA DE FRANCA</v>
      </c>
      <c r="E162" s="113" t="str">
        <f ca="1">IFERROR(__xludf.DUMMYFUNCTION("""COMPUTED_VALUE"""),"Escola Estadual Virgilio Ferreira de França")</f>
        <v>Escola Estadual Virgilio Ferreira de França</v>
      </c>
      <c r="F162" s="115" t="str">
        <f ca="1">IFERROR(__xludf.DUMMYFUNCTION("""COMPUTED_VALUE"""),"17036704")</f>
        <v>17036704</v>
      </c>
      <c r="G162" s="113" t="str">
        <f ca="1">IFERROR(__xludf.DUMMYFUNCTION("""COMPUTED_VALUE"""),"01136115000170")</f>
        <v>01136115000170</v>
      </c>
      <c r="H162" s="115" t="str">
        <f ca="1">IFERROR(__xludf.DUMMYFUNCTION("""COMPUTED_VALUE"""),"001")</f>
        <v>001</v>
      </c>
      <c r="I162" s="115" t="str">
        <f ca="1">IFERROR(__xludf.DUMMYFUNCTION("""COMPUTED_VALUE"""),"1307")</f>
        <v>1307</v>
      </c>
      <c r="J162" s="115" t="str">
        <f ca="1">IFERROR(__xludf.DUMMYFUNCTION("""COMPUTED_VALUE"""),"106305")</f>
        <v>106305</v>
      </c>
      <c r="K162" s="113" t="e">
        <f ca="1"/>
        <v>#REF!</v>
      </c>
      <c r="L162" s="113" t="e">
        <f ca="1"/>
        <v>#REF!</v>
      </c>
      <c r="M162" s="113" t="e">
        <f ca="1"/>
        <v>#REF!</v>
      </c>
      <c r="N162" s="113" t="e">
        <f ca="1"/>
        <v>#REF!</v>
      </c>
      <c r="O162" s="113" t="e">
        <f ca="1"/>
        <v>#REF!</v>
      </c>
      <c r="P162" s="113" t="e">
        <f ca="1"/>
        <v>#REF!</v>
      </c>
      <c r="Q162" s="113" t="e">
        <f ca="1"/>
        <v>#REF!</v>
      </c>
      <c r="R162" s="113" t="e">
        <f ca="1"/>
        <v>#REF!</v>
      </c>
      <c r="S162" s="113" t="e">
        <f ca="1"/>
        <v>#REF!</v>
      </c>
      <c r="T162" s="113" t="e">
        <f ca="1"/>
        <v>#REF!</v>
      </c>
      <c r="U162" s="113" t="e">
        <f ca="1"/>
        <v>#REF!</v>
      </c>
      <c r="V162" s="113" t="e">
        <f ca="1"/>
        <v>#REF!</v>
      </c>
      <c r="W162" s="113" t="e">
        <f ca="1"/>
        <v>#REF!</v>
      </c>
      <c r="X162" s="113" t="e">
        <f ca="1"/>
        <v>#REF!</v>
      </c>
      <c r="Y162" s="113" t="e">
        <f ca="1"/>
        <v>#REF!</v>
      </c>
      <c r="Z162" s="113" t="e">
        <f ca="1"/>
        <v>#REF!</v>
      </c>
      <c r="AA162" s="113"/>
      <c r="AB162" s="113"/>
      <c r="AC162" s="113"/>
      <c r="AD162" s="113"/>
      <c r="AE162" s="113" t="str">
        <f ca="1">IFERROR(__xludf.DUMMYFUNCTION("""COMPUTED_VALUE"""),"Parcial")</f>
        <v>Parcial</v>
      </c>
      <c r="AF162" s="113" t="str">
        <f ca="1">IFERROR(__xludf.DUMMYFUNCTION("""COMPUTED_VALUE"""),"FE")</f>
        <v>FE</v>
      </c>
      <c r="AG162" s="113">
        <f ca="1">IFERROR(__xludf.DUMMYFUNCTION("""COMPUTED_VALUE"""),0)</f>
        <v>0</v>
      </c>
      <c r="AH162" s="113">
        <f ca="1">IFERROR(__xludf.DUMMYFUNCTION("""COMPUTED_VALUE"""),0)</f>
        <v>0</v>
      </c>
      <c r="AI162" s="113">
        <f ca="1">IFERROR(__xludf.DUMMYFUNCTION("""COMPUTED_VALUE"""),0)</f>
        <v>0</v>
      </c>
      <c r="AJ162" s="113">
        <f ca="1">IFERROR(__xludf.DUMMYFUNCTION("""COMPUTED_VALUE"""),0)</f>
        <v>0</v>
      </c>
      <c r="AK162" s="113"/>
      <c r="AL162" s="116"/>
    </row>
    <row r="163" spans="1:38" ht="12.75">
      <c r="A163" s="112" t="str">
        <f ca="1">IFERROR(__xludf.DUMMYFUNCTION("""COMPUTED_VALUE"""),"17037220")</f>
        <v>17037220</v>
      </c>
      <c r="B163" s="113" t="str">
        <f ca="1">IFERROR(__xludf.DUMMYFUNCTION("""COMPUTED_VALUE"""),"Dianópolis")</f>
        <v>Dianópolis</v>
      </c>
      <c r="C163" s="113" t="str">
        <f ca="1">IFERROR(__xludf.DUMMYFUNCTION("""COMPUTED_VALUE"""),"Taguatinga")</f>
        <v>Taguatinga</v>
      </c>
      <c r="D163" s="114" t="str">
        <f ca="1">IFERROR(__xludf.DUMMYFUNCTION("""COMPUTED_VALUE"""),"A.A.  ESCOLA EST. JUSTINO DE ALMEIDA")</f>
        <v>A.A.  ESCOLA EST. JUSTINO DE ALMEIDA</v>
      </c>
      <c r="E163" s="113" t="str">
        <f ca="1">IFERROR(__xludf.DUMMYFUNCTION("""COMPUTED_VALUE"""),"Colegio Estadual Justino de Almeida")</f>
        <v>Colegio Estadual Justino de Almeida</v>
      </c>
      <c r="F163" s="115" t="str">
        <f ca="1">IFERROR(__xludf.DUMMYFUNCTION("""COMPUTED_VALUE"""),"17037220")</f>
        <v>17037220</v>
      </c>
      <c r="G163" s="113" t="str">
        <f ca="1">IFERROR(__xludf.DUMMYFUNCTION("""COMPUTED_VALUE"""),"01184379000108")</f>
        <v>01184379000108</v>
      </c>
      <c r="H163" s="115" t="str">
        <f ca="1">IFERROR(__xludf.DUMMYFUNCTION("""COMPUTED_VALUE"""),"001")</f>
        <v>001</v>
      </c>
      <c r="I163" s="115" t="str">
        <f ca="1">IFERROR(__xludf.DUMMYFUNCTION("""COMPUTED_VALUE"""),"2704")</f>
        <v>2704</v>
      </c>
      <c r="J163" s="115" t="str">
        <f ca="1">IFERROR(__xludf.DUMMYFUNCTION("""COMPUTED_VALUE"""),"102563")</f>
        <v>102563</v>
      </c>
      <c r="K163" s="113" t="e">
        <f ca="1"/>
        <v>#REF!</v>
      </c>
      <c r="L163" s="113" t="e">
        <f ca="1"/>
        <v>#REF!</v>
      </c>
      <c r="M163" s="113" t="e">
        <f ca="1"/>
        <v>#REF!</v>
      </c>
      <c r="N163" s="113" t="e">
        <f ca="1"/>
        <v>#REF!</v>
      </c>
      <c r="O163" s="113" t="e">
        <f ca="1"/>
        <v>#REF!</v>
      </c>
      <c r="P163" s="113" t="e">
        <f ca="1"/>
        <v>#REF!</v>
      </c>
      <c r="Q163" s="113" t="e">
        <f ca="1"/>
        <v>#REF!</v>
      </c>
      <c r="R163" s="113" t="e">
        <f ca="1"/>
        <v>#REF!</v>
      </c>
      <c r="S163" s="113" t="e">
        <f ca="1"/>
        <v>#REF!</v>
      </c>
      <c r="T163" s="113" t="e">
        <f ca="1"/>
        <v>#REF!</v>
      </c>
      <c r="U163" s="113" t="e">
        <f ca="1"/>
        <v>#REF!</v>
      </c>
      <c r="V163" s="113" t="e">
        <f ca="1"/>
        <v>#REF!</v>
      </c>
      <c r="W163" s="113" t="e">
        <f ca="1"/>
        <v>#REF!</v>
      </c>
      <c r="X163" s="113" t="e">
        <f ca="1"/>
        <v>#REF!</v>
      </c>
      <c r="Y163" s="113" t="e">
        <f ca="1"/>
        <v>#REF!</v>
      </c>
      <c r="Z163" s="113" t="e">
        <f ca="1"/>
        <v>#REF!</v>
      </c>
      <c r="AA163" s="113"/>
      <c r="AB163" s="113"/>
      <c r="AC163" s="113"/>
      <c r="AD163" s="113"/>
      <c r="AE163" s="113" t="str">
        <f ca="1">IFERROR(__xludf.DUMMYFUNCTION("""COMPUTED_VALUE"""),"Parcial")</f>
        <v>Parcial</v>
      </c>
      <c r="AF163" s="113" t="str">
        <f ca="1">IFERROR(__xludf.DUMMYFUNCTION("""COMPUTED_VALUE"""),"FE")</f>
        <v>FE</v>
      </c>
      <c r="AG163" s="113">
        <f ca="1">IFERROR(__xludf.DUMMYFUNCTION("""COMPUTED_VALUE"""),0)</f>
        <v>0</v>
      </c>
      <c r="AH163" s="113">
        <f ca="1">IFERROR(__xludf.DUMMYFUNCTION("""COMPUTED_VALUE"""),0)</f>
        <v>0</v>
      </c>
      <c r="AI163" s="113">
        <f ca="1">IFERROR(__xludf.DUMMYFUNCTION("""COMPUTED_VALUE"""),0)</f>
        <v>0</v>
      </c>
      <c r="AJ163" s="113">
        <f ca="1">IFERROR(__xludf.DUMMYFUNCTION("""COMPUTED_VALUE"""),0)</f>
        <v>0</v>
      </c>
      <c r="AK163" s="113"/>
      <c r="AL163" s="116"/>
    </row>
    <row r="164" spans="1:38" ht="12.75">
      <c r="A164" s="112" t="str">
        <f ca="1">IFERROR(__xludf.DUMMYFUNCTION("""COMPUTED_VALUE"""),"17037158")</f>
        <v>17037158</v>
      </c>
      <c r="B164" s="113" t="str">
        <f ca="1">IFERROR(__xludf.DUMMYFUNCTION("""COMPUTED_VALUE"""),"Dianópolis")</f>
        <v>Dianópolis</v>
      </c>
      <c r="C164" s="113" t="str">
        <f ca="1">IFERROR(__xludf.DUMMYFUNCTION("""COMPUTED_VALUE"""),"Taguatinga")</f>
        <v>Taguatinga</v>
      </c>
      <c r="D164" s="114" t="str">
        <f ca="1">IFERROR(__xludf.DUMMYFUNCTION("""COMPUTED_VALUE"""),"A.A. COL. EST. PROFESSOR AURELIANO")</f>
        <v>A.A. COL. EST. PROFESSOR AURELIANO</v>
      </c>
      <c r="E164" s="113" t="str">
        <f ca="1">IFERROR(__xludf.DUMMYFUNCTION("""COMPUTED_VALUE"""),"Colégio Estadual Professor Aureliano")</f>
        <v>Colégio Estadual Professor Aureliano</v>
      </c>
      <c r="F164" s="115" t="str">
        <f ca="1">IFERROR(__xludf.DUMMYFUNCTION("""COMPUTED_VALUE"""),"17037158")</f>
        <v>17037158</v>
      </c>
      <c r="G164" s="113" t="str">
        <f ca="1">IFERROR(__xludf.DUMMYFUNCTION("""COMPUTED_VALUE"""),"01133709000128")</f>
        <v>01133709000128</v>
      </c>
      <c r="H164" s="115" t="str">
        <f ca="1">IFERROR(__xludf.DUMMYFUNCTION("""COMPUTED_VALUE"""),"001")</f>
        <v>001</v>
      </c>
      <c r="I164" s="115" t="str">
        <f ca="1">IFERROR(__xludf.DUMMYFUNCTION("""COMPUTED_VALUE"""),"2704")</f>
        <v>2704</v>
      </c>
      <c r="J164" s="115" t="str">
        <f ca="1">IFERROR(__xludf.DUMMYFUNCTION("""COMPUTED_VALUE"""),"102717")</f>
        <v>102717</v>
      </c>
      <c r="K164" s="113" t="e">
        <f ca="1"/>
        <v>#REF!</v>
      </c>
      <c r="L164" s="113" t="e">
        <f ca="1"/>
        <v>#REF!</v>
      </c>
      <c r="M164" s="113" t="e">
        <f ca="1"/>
        <v>#REF!</v>
      </c>
      <c r="N164" s="113" t="e">
        <f ca="1"/>
        <v>#REF!</v>
      </c>
      <c r="O164" s="113" t="e">
        <f ca="1"/>
        <v>#REF!</v>
      </c>
      <c r="P164" s="113" t="e">
        <f ca="1"/>
        <v>#REF!</v>
      </c>
      <c r="Q164" s="113" t="e">
        <f ca="1"/>
        <v>#REF!</v>
      </c>
      <c r="R164" s="113" t="e">
        <f ca="1"/>
        <v>#REF!</v>
      </c>
      <c r="S164" s="113" t="e">
        <f ca="1"/>
        <v>#REF!</v>
      </c>
      <c r="T164" s="113" t="e">
        <f ca="1"/>
        <v>#REF!</v>
      </c>
      <c r="U164" s="113" t="e">
        <f ca="1"/>
        <v>#REF!</v>
      </c>
      <c r="V164" s="113" t="e">
        <f ca="1"/>
        <v>#REF!</v>
      </c>
      <c r="W164" s="113" t="e">
        <f ca="1"/>
        <v>#REF!</v>
      </c>
      <c r="X164" s="113" t="e">
        <f ca="1"/>
        <v>#REF!</v>
      </c>
      <c r="Y164" s="113" t="e">
        <f ca="1"/>
        <v>#REF!</v>
      </c>
      <c r="Z164" s="113" t="e">
        <f ca="1"/>
        <v>#REF!</v>
      </c>
      <c r="AA164" s="113"/>
      <c r="AB164" s="113"/>
      <c r="AC164" s="113"/>
      <c r="AD164" s="113"/>
      <c r="AE164" s="113" t="str">
        <f ca="1">IFERROR(__xludf.DUMMYFUNCTION("""COMPUTED_VALUE"""),"Parcial")</f>
        <v>Parcial</v>
      </c>
      <c r="AF164" s="113" t="str">
        <f ca="1">IFERROR(__xludf.DUMMYFUNCTION("""COMPUTED_VALUE"""),"FE")</f>
        <v>FE</v>
      </c>
      <c r="AG164" s="113">
        <f ca="1">IFERROR(__xludf.DUMMYFUNCTION("""COMPUTED_VALUE"""),8)</f>
        <v>8</v>
      </c>
      <c r="AH164" s="113">
        <f ca="1">IFERROR(__xludf.DUMMYFUNCTION("""COMPUTED_VALUE"""),0)</f>
        <v>0</v>
      </c>
      <c r="AI164" s="113">
        <f ca="1">IFERROR(__xludf.DUMMYFUNCTION("""COMPUTED_VALUE"""),0)</f>
        <v>0</v>
      </c>
      <c r="AJ164" s="113">
        <f ca="1">IFERROR(__xludf.DUMMYFUNCTION("""COMPUTED_VALUE"""),0)</f>
        <v>0</v>
      </c>
      <c r="AK164" s="113"/>
      <c r="AL164" s="116"/>
    </row>
    <row r="165" spans="1:38" ht="12.75">
      <c r="A165" s="112" t="str">
        <f ca="1">IFERROR(__xludf.DUMMYFUNCTION("""COMPUTED_VALUE"""),"17037174")</f>
        <v>17037174</v>
      </c>
      <c r="B165" s="113" t="str">
        <f ca="1">IFERROR(__xludf.DUMMYFUNCTION("""COMPUTED_VALUE"""),"Dianópolis")</f>
        <v>Dianópolis</v>
      </c>
      <c r="C165" s="113" t="str">
        <f ca="1">IFERROR(__xludf.DUMMYFUNCTION("""COMPUTED_VALUE"""),"Taguatinga")</f>
        <v>Taguatinga</v>
      </c>
      <c r="D165" s="114" t="str">
        <f ca="1">IFERROR(__xludf.DUMMYFUNCTION("""COMPUTED_VALUE"""),"A.A. ESC. EST. AGOSTINHO DE ALMEIDA")</f>
        <v>A.A. ESC. EST. AGOSTINHO DE ALMEIDA</v>
      </c>
      <c r="E165" s="113" t="str">
        <f ca="1">IFERROR(__xludf.DUMMYFUNCTION("""COMPUTED_VALUE"""),"Escola Estadual Agostinho de Almeida")</f>
        <v>Escola Estadual Agostinho de Almeida</v>
      </c>
      <c r="F165" s="115" t="str">
        <f ca="1">IFERROR(__xludf.DUMMYFUNCTION("""COMPUTED_VALUE"""),"17037174")</f>
        <v>17037174</v>
      </c>
      <c r="G165" s="113" t="str">
        <f ca="1">IFERROR(__xludf.DUMMYFUNCTION("""COMPUTED_VALUE"""),"01197159000100")</f>
        <v>01197159000100</v>
      </c>
      <c r="H165" s="115" t="str">
        <f ca="1">IFERROR(__xludf.DUMMYFUNCTION("""COMPUTED_VALUE"""),"001")</f>
        <v>001</v>
      </c>
      <c r="I165" s="115" t="str">
        <f ca="1">IFERROR(__xludf.DUMMYFUNCTION("""COMPUTED_VALUE"""),"2704")</f>
        <v>2704</v>
      </c>
      <c r="J165" s="115" t="str">
        <f ca="1">IFERROR(__xludf.DUMMYFUNCTION("""COMPUTED_VALUE"""),"102555")</f>
        <v>102555</v>
      </c>
      <c r="K165" s="113" t="e">
        <f ca="1"/>
        <v>#REF!</v>
      </c>
      <c r="L165" s="113" t="e">
        <f ca="1"/>
        <v>#REF!</v>
      </c>
      <c r="M165" s="113" t="e">
        <f ca="1"/>
        <v>#REF!</v>
      </c>
      <c r="N165" s="113" t="e">
        <f ca="1"/>
        <v>#REF!</v>
      </c>
      <c r="O165" s="113" t="e">
        <f ca="1"/>
        <v>#REF!</v>
      </c>
      <c r="P165" s="113" t="e">
        <f ca="1"/>
        <v>#REF!</v>
      </c>
      <c r="Q165" s="113" t="e">
        <f ca="1"/>
        <v>#REF!</v>
      </c>
      <c r="R165" s="113" t="e">
        <f ca="1"/>
        <v>#REF!</v>
      </c>
      <c r="S165" s="113" t="e">
        <f ca="1"/>
        <v>#REF!</v>
      </c>
      <c r="T165" s="113" t="e">
        <f ca="1"/>
        <v>#REF!</v>
      </c>
      <c r="U165" s="113" t="e">
        <f ca="1"/>
        <v>#REF!</v>
      </c>
      <c r="V165" s="113" t="e">
        <f ca="1"/>
        <v>#REF!</v>
      </c>
      <c r="W165" s="113" t="e">
        <f ca="1"/>
        <v>#REF!</v>
      </c>
      <c r="X165" s="113" t="e">
        <f ca="1"/>
        <v>#REF!</v>
      </c>
      <c r="Y165" s="113" t="e">
        <f ca="1"/>
        <v>#REF!</v>
      </c>
      <c r="Z165" s="113" t="e">
        <f ca="1"/>
        <v>#REF!</v>
      </c>
      <c r="AA165" s="113"/>
      <c r="AB165" s="113"/>
      <c r="AC165" s="113"/>
      <c r="AD165" s="113"/>
      <c r="AE165" s="113" t="str">
        <f ca="1">IFERROR(__xludf.DUMMYFUNCTION("""COMPUTED_VALUE"""),"Parcial")</f>
        <v>Parcial</v>
      </c>
      <c r="AF165" s="113" t="str">
        <f ca="1">IFERROR(__xludf.DUMMYFUNCTION("""COMPUTED_VALUE"""),"FE")</f>
        <v>FE</v>
      </c>
      <c r="AG165" s="113">
        <f ca="1">IFERROR(__xludf.DUMMYFUNCTION("""COMPUTED_VALUE"""),0)</f>
        <v>0</v>
      </c>
      <c r="AH165" s="113">
        <f ca="1">IFERROR(__xludf.DUMMYFUNCTION("""COMPUTED_VALUE"""),0)</f>
        <v>0</v>
      </c>
      <c r="AI165" s="113">
        <f ca="1">IFERROR(__xludf.DUMMYFUNCTION("""COMPUTED_VALUE"""),0)</f>
        <v>0</v>
      </c>
      <c r="AJ165" s="113">
        <f ca="1">IFERROR(__xludf.DUMMYFUNCTION("""COMPUTED_VALUE"""),0)</f>
        <v>0</v>
      </c>
      <c r="AK165" s="113"/>
      <c r="AL165" s="116"/>
    </row>
    <row r="166" spans="1:38" ht="12.75">
      <c r="A166" s="112" t="str">
        <f ca="1">IFERROR(__xludf.DUMMYFUNCTION("""COMPUTED_VALUE"""),"17037786")</f>
        <v>17037786</v>
      </c>
      <c r="B166" s="113" t="str">
        <f ca="1">IFERROR(__xludf.DUMMYFUNCTION("""COMPUTED_VALUE"""),"Dianópolis")</f>
        <v>Dianópolis</v>
      </c>
      <c r="C166" s="113" t="str">
        <f ca="1">IFERROR(__xludf.DUMMYFUNCTION("""COMPUTED_VALUE"""),"Taipas do Tocantins")</f>
        <v>Taipas do Tocantins</v>
      </c>
      <c r="D166" s="114" t="str">
        <f ca="1">IFERROR(__xludf.DUMMYFUNCTION("""COMPUTED_VALUE"""),"A.A. E. EST. JOAQUIM FRANCISCO AZEVEDO")</f>
        <v>A.A. E. EST. JOAQUIM FRANCISCO AZEVEDO</v>
      </c>
      <c r="E166" s="113" t="str">
        <f ca="1">IFERROR(__xludf.DUMMYFUNCTION("""COMPUTED_VALUE"""),"Escola Estadual Joaquim Francisco de Azevedo")</f>
        <v>Escola Estadual Joaquim Francisco de Azevedo</v>
      </c>
      <c r="F166" s="115" t="str">
        <f ca="1">IFERROR(__xludf.DUMMYFUNCTION("""COMPUTED_VALUE"""),"17037786")</f>
        <v>17037786</v>
      </c>
      <c r="G166" s="113" t="str">
        <f ca="1">IFERROR(__xludf.DUMMYFUNCTION("""COMPUTED_VALUE"""),"01136011000166")</f>
        <v>01136011000166</v>
      </c>
      <c r="H166" s="115" t="str">
        <f ca="1">IFERROR(__xludf.DUMMYFUNCTION("""COMPUTED_VALUE"""),"001")</f>
        <v>001</v>
      </c>
      <c r="I166" s="115" t="str">
        <f ca="1">IFERROR(__xludf.DUMMYFUNCTION("""COMPUTED_VALUE"""),"1307")</f>
        <v>1307</v>
      </c>
      <c r="J166" s="115" t="str">
        <f ca="1">IFERROR(__xludf.DUMMYFUNCTION("""COMPUTED_VALUE"""),"0106291")</f>
        <v>0106291</v>
      </c>
      <c r="K166" s="113" t="e">
        <f ca="1"/>
        <v>#REF!</v>
      </c>
      <c r="L166" s="113" t="e">
        <f ca="1"/>
        <v>#REF!</v>
      </c>
      <c r="M166" s="113" t="e">
        <f ca="1"/>
        <v>#REF!</v>
      </c>
      <c r="N166" s="113" t="e">
        <f ca="1"/>
        <v>#REF!</v>
      </c>
      <c r="O166" s="113" t="e">
        <f ca="1"/>
        <v>#REF!</v>
      </c>
      <c r="P166" s="113" t="e">
        <f ca="1"/>
        <v>#REF!</v>
      </c>
      <c r="Q166" s="113" t="e">
        <f ca="1"/>
        <v>#REF!</v>
      </c>
      <c r="R166" s="113" t="e">
        <f ca="1"/>
        <v>#REF!</v>
      </c>
      <c r="S166" s="113" t="e">
        <f ca="1"/>
        <v>#REF!</v>
      </c>
      <c r="T166" s="113" t="e">
        <f ca="1"/>
        <v>#REF!</v>
      </c>
      <c r="U166" s="113" t="e">
        <f ca="1"/>
        <v>#REF!</v>
      </c>
      <c r="V166" s="113" t="e">
        <f ca="1"/>
        <v>#REF!</v>
      </c>
      <c r="W166" s="113" t="e">
        <f ca="1"/>
        <v>#REF!</v>
      </c>
      <c r="X166" s="113" t="e">
        <f ca="1"/>
        <v>#REF!</v>
      </c>
      <c r="Y166" s="113" t="e">
        <f ca="1"/>
        <v>#REF!</v>
      </c>
      <c r="Z166" s="113" t="e">
        <f ca="1"/>
        <v>#REF!</v>
      </c>
      <c r="AA166" s="113"/>
      <c r="AB166" s="113"/>
      <c r="AC166" s="113"/>
      <c r="AD166" s="113"/>
      <c r="AE166" s="113" t="str">
        <f ca="1">IFERROR(__xludf.DUMMYFUNCTION("""COMPUTED_VALUE"""),"Parcial")</f>
        <v>Parcial</v>
      </c>
      <c r="AF166" s="113" t="str">
        <f ca="1">IFERROR(__xludf.DUMMYFUNCTION("""COMPUTED_VALUE"""),"FE")</f>
        <v>FE</v>
      </c>
      <c r="AG166" s="113">
        <f ca="1">IFERROR(__xludf.DUMMYFUNCTION("""COMPUTED_VALUE"""),0)</f>
        <v>0</v>
      </c>
      <c r="AH166" s="113">
        <f ca="1">IFERROR(__xludf.DUMMYFUNCTION("""COMPUTED_VALUE"""),0)</f>
        <v>0</v>
      </c>
      <c r="AI166" s="113">
        <f ca="1">IFERROR(__xludf.DUMMYFUNCTION("""COMPUTED_VALUE"""),0)</f>
        <v>0</v>
      </c>
      <c r="AJ166" s="113">
        <f ca="1">IFERROR(__xludf.DUMMYFUNCTION("""COMPUTED_VALUE"""),0)</f>
        <v>0</v>
      </c>
      <c r="AK166" s="113"/>
      <c r="AL166" s="116"/>
    </row>
    <row r="167" spans="1:38" ht="12.75">
      <c r="A167" s="112" t="str">
        <f ca="1">IFERROR(__xludf.DUMMYFUNCTION("""COMPUTED_VALUE"""),"17016231")</f>
        <v>17016231</v>
      </c>
      <c r="B167" s="113" t="str">
        <f ca="1">IFERROR(__xludf.DUMMYFUNCTION("""COMPUTED_VALUE"""),"Guaraí")</f>
        <v>Guaraí</v>
      </c>
      <c r="C167" s="113" t="str">
        <f ca="1">IFERROR(__xludf.DUMMYFUNCTION("""COMPUTED_VALUE"""),"Colmeia")</f>
        <v>Colmeia</v>
      </c>
      <c r="D167" s="114" t="str">
        <f ca="1">IFERROR(__xludf.DUMMYFUNCTION("""COMPUTED_VALUE"""),"A.A.  COL. EST. SERRA DAS CORDILHEIRAS")</f>
        <v>A.A.  COL. EST. SERRA DAS CORDILHEIRAS</v>
      </c>
      <c r="E167" s="113" t="str">
        <f ca="1">IFERROR(__xludf.DUMMYFUNCTION("""COMPUTED_VALUE"""),"Colégio Estadual Serra das Cordilheiras")</f>
        <v>Colégio Estadual Serra das Cordilheiras</v>
      </c>
      <c r="F167" s="115" t="str">
        <f ca="1">IFERROR(__xludf.DUMMYFUNCTION("""COMPUTED_VALUE"""),"17016231")</f>
        <v>17016231</v>
      </c>
      <c r="G167" s="113" t="str">
        <f ca="1">IFERROR(__xludf.DUMMYFUNCTION("""COMPUTED_VALUE"""),"01138330000100")</f>
        <v>01138330000100</v>
      </c>
      <c r="H167" s="115" t="str">
        <f ca="1">IFERROR(__xludf.DUMMYFUNCTION("""COMPUTED_VALUE"""),"001")</f>
        <v>001</v>
      </c>
      <c r="I167" s="115" t="str">
        <f ca="1">IFERROR(__xludf.DUMMYFUNCTION("""COMPUTED_VALUE"""),"1306")</f>
        <v>1306</v>
      </c>
      <c r="J167" s="115" t="str">
        <f ca="1">IFERROR(__xludf.DUMMYFUNCTION("""COMPUTED_VALUE"""),"102776")</f>
        <v>102776</v>
      </c>
      <c r="K167" s="113" t="e">
        <f ca="1"/>
        <v>#REF!</v>
      </c>
      <c r="L167" s="113" t="e">
        <f ca="1"/>
        <v>#REF!</v>
      </c>
      <c r="M167" s="113" t="e">
        <f ca="1"/>
        <v>#REF!</v>
      </c>
      <c r="N167" s="113" t="e">
        <f ca="1"/>
        <v>#REF!</v>
      </c>
      <c r="O167" s="113" t="e">
        <f ca="1"/>
        <v>#REF!</v>
      </c>
      <c r="P167" s="113" t="e">
        <f ca="1"/>
        <v>#REF!</v>
      </c>
      <c r="Q167" s="113" t="e">
        <f ca="1"/>
        <v>#REF!</v>
      </c>
      <c r="R167" s="113" t="e">
        <f ca="1"/>
        <v>#REF!</v>
      </c>
      <c r="S167" s="113" t="e">
        <f ca="1"/>
        <v>#REF!</v>
      </c>
      <c r="T167" s="113" t="e">
        <f ca="1"/>
        <v>#REF!</v>
      </c>
      <c r="U167" s="113" t="e">
        <f ca="1"/>
        <v>#REF!</v>
      </c>
      <c r="V167" s="113" t="e">
        <f ca="1"/>
        <v>#REF!</v>
      </c>
      <c r="W167" s="113" t="e">
        <f ca="1"/>
        <v>#REF!</v>
      </c>
      <c r="X167" s="113" t="e">
        <f ca="1"/>
        <v>#REF!</v>
      </c>
      <c r="Y167" s="113" t="e">
        <f ca="1"/>
        <v>#REF!</v>
      </c>
      <c r="Z167" s="113" t="e">
        <f ca="1"/>
        <v>#REF!</v>
      </c>
      <c r="AA167" s="113"/>
      <c r="AB167" s="113"/>
      <c r="AC167" s="113"/>
      <c r="AD167" s="113" t="str">
        <f ca="1">IFERROR(__xludf.DUMMYFUNCTION("""COMPUTED_VALUE"""),"CRECHE")</f>
        <v>CRECHE</v>
      </c>
      <c r="AE167" s="113" t="str">
        <f ca="1">IFERROR(__xludf.DUMMYFUNCTION("""COMPUTED_VALUE"""),"Parcial")</f>
        <v>Parcial</v>
      </c>
      <c r="AF167" s="113" t="str">
        <f ca="1">IFERROR(__xludf.DUMMYFUNCTION("""COMPUTED_VALUE"""),"FE")</f>
        <v>FE</v>
      </c>
      <c r="AG167" s="113">
        <f ca="1">IFERROR(__xludf.DUMMYFUNCTION("""COMPUTED_VALUE"""),0)</f>
        <v>0</v>
      </c>
      <c r="AH167" s="113">
        <f ca="1">IFERROR(__xludf.DUMMYFUNCTION("""COMPUTED_VALUE"""),0)</f>
        <v>0</v>
      </c>
      <c r="AI167" s="113">
        <f ca="1">IFERROR(__xludf.DUMMYFUNCTION("""COMPUTED_VALUE"""),0)</f>
        <v>0</v>
      </c>
      <c r="AJ167" s="113">
        <f ca="1">IFERROR(__xludf.DUMMYFUNCTION("""COMPUTED_VALUE"""),0)</f>
        <v>0</v>
      </c>
      <c r="AK167" s="113"/>
      <c r="AL167" s="116"/>
    </row>
    <row r="168" spans="1:38" ht="12.75">
      <c r="A168" s="112" t="str">
        <f ca="1">IFERROR(__xludf.DUMMYFUNCTION("""COMPUTED_VALUE"""),"17048664")</f>
        <v>17048664</v>
      </c>
      <c r="B168" s="113" t="str">
        <f ca="1">IFERROR(__xludf.DUMMYFUNCTION("""COMPUTED_VALUE"""),"Guaraí")</f>
        <v>Guaraí</v>
      </c>
      <c r="C168" s="113" t="str">
        <f ca="1">IFERROR(__xludf.DUMMYFUNCTION("""COMPUTED_VALUE"""),"Colmeia")</f>
        <v>Colmeia</v>
      </c>
      <c r="D168" s="114" t="str">
        <f ca="1">IFERROR(__xludf.DUMMYFUNCTION("""COMPUTED_VALUE"""),"A..A. ESC. ESPECIAL  FILHOS DA LUZ")</f>
        <v>A..A. ESC. ESPECIAL  FILHOS DA LUZ</v>
      </c>
      <c r="E168" s="113" t="str">
        <f ca="1">IFERROR(__xludf.DUMMYFUNCTION("""COMPUTED_VALUE"""),"Escola Especial Filhos da Luz")</f>
        <v>Escola Especial Filhos da Luz</v>
      </c>
      <c r="F168" s="115" t="str">
        <f ca="1">IFERROR(__xludf.DUMMYFUNCTION("""COMPUTED_VALUE"""),"17048664")</f>
        <v>17048664</v>
      </c>
      <c r="G168" s="113" t="str">
        <f ca="1">IFERROR(__xludf.DUMMYFUNCTION("""COMPUTED_VALUE"""),"07921086000134")</f>
        <v>07921086000134</v>
      </c>
      <c r="H168" s="115" t="str">
        <f ca="1">IFERROR(__xludf.DUMMYFUNCTION("""COMPUTED_VALUE"""),"001")</f>
        <v>001</v>
      </c>
      <c r="I168" s="115" t="str">
        <f ca="1">IFERROR(__xludf.DUMMYFUNCTION("""COMPUTED_VALUE"""),"1306")</f>
        <v>1306</v>
      </c>
      <c r="J168" s="115" t="str">
        <f ca="1">IFERROR(__xludf.DUMMYFUNCTION("""COMPUTED_VALUE"""),"167940")</f>
        <v>167940</v>
      </c>
      <c r="K168" s="113" t="e">
        <f ca="1"/>
        <v>#REF!</v>
      </c>
      <c r="L168" s="113" t="e">
        <f ca="1"/>
        <v>#REF!</v>
      </c>
      <c r="M168" s="113" t="e">
        <f ca="1"/>
        <v>#REF!</v>
      </c>
      <c r="N168" s="113" t="e">
        <f ca="1"/>
        <v>#REF!</v>
      </c>
      <c r="O168" s="113" t="e">
        <f ca="1"/>
        <v>#REF!</v>
      </c>
      <c r="P168" s="113" t="e">
        <f ca="1"/>
        <v>#REF!</v>
      </c>
      <c r="Q168" s="113" t="e">
        <f ca="1"/>
        <v>#REF!</v>
      </c>
      <c r="R168" s="113" t="e">
        <f ca="1"/>
        <v>#REF!</v>
      </c>
      <c r="S168" s="113" t="e">
        <f ca="1"/>
        <v>#REF!</v>
      </c>
      <c r="T168" s="113" t="e">
        <f ca="1"/>
        <v>#REF!</v>
      </c>
      <c r="U168" s="113" t="e">
        <f ca="1"/>
        <v>#REF!</v>
      </c>
      <c r="V168" s="113" t="e">
        <f ca="1"/>
        <v>#REF!</v>
      </c>
      <c r="W168" s="113" t="e">
        <f ca="1"/>
        <v>#REF!</v>
      </c>
      <c r="X168" s="113" t="e">
        <f ca="1"/>
        <v>#REF!</v>
      </c>
      <c r="Y168" s="113" t="e">
        <f ca="1"/>
        <v>#REF!</v>
      </c>
      <c r="Z168" s="113" t="e">
        <f ca="1"/>
        <v>#REF!</v>
      </c>
      <c r="AA168" s="113"/>
      <c r="AB168" s="113"/>
      <c r="AC168" s="113"/>
      <c r="AD168" s="113"/>
      <c r="AE168" s="113" t="str">
        <f ca="1">IFERROR(__xludf.DUMMYFUNCTION("""COMPUTED_VALUE"""),"Parcial")</f>
        <v>Parcial</v>
      </c>
      <c r="AF168" s="113" t="str">
        <f ca="1">IFERROR(__xludf.DUMMYFUNCTION("""COMPUTED_VALUE"""),"FE")</f>
        <v>FE</v>
      </c>
      <c r="AG168" s="113">
        <f ca="1">IFERROR(__xludf.DUMMYFUNCTION("""COMPUTED_VALUE"""),0)</f>
        <v>0</v>
      </c>
      <c r="AH168" s="113">
        <f ca="1">IFERROR(__xludf.DUMMYFUNCTION("""COMPUTED_VALUE"""),0)</f>
        <v>0</v>
      </c>
      <c r="AI168" s="113">
        <f ca="1">IFERROR(__xludf.DUMMYFUNCTION("""COMPUTED_VALUE"""),0)</f>
        <v>0</v>
      </c>
      <c r="AJ168" s="113">
        <f ca="1">IFERROR(__xludf.DUMMYFUNCTION("""COMPUTED_VALUE"""),0)</f>
        <v>0</v>
      </c>
      <c r="AK168" s="113"/>
      <c r="AL168" s="116"/>
    </row>
    <row r="169" spans="1:38" ht="12.75">
      <c r="A169" s="112" t="str">
        <f ca="1">IFERROR(__xludf.DUMMYFUNCTION("""COMPUTED_VALUE"""),"17016240")</f>
        <v>17016240</v>
      </c>
      <c r="B169" s="113" t="str">
        <f ca="1">IFERROR(__xludf.DUMMYFUNCTION("""COMPUTED_VALUE"""),"Guaraí")</f>
        <v>Guaraí</v>
      </c>
      <c r="C169" s="113" t="str">
        <f ca="1">IFERROR(__xludf.DUMMYFUNCTION("""COMPUTED_VALUE"""),"Colmeia")</f>
        <v>Colmeia</v>
      </c>
      <c r="D169" s="114" t="str">
        <f ca="1">IFERROR(__xludf.DUMMYFUNCTION("""COMPUTED_VALUE"""),"A.A. ESC. EST. ARY RIBEIRO VALADAO FILHO")</f>
        <v>A.A. ESC. EST. ARY RIBEIRO VALADAO FILHO</v>
      </c>
      <c r="E169" s="113" t="str">
        <f ca="1">IFERROR(__xludf.DUMMYFUNCTION("""COMPUTED_VALUE"""),"Escola Estadual Ary Ribeiro Valadão Filho")</f>
        <v>Escola Estadual Ary Ribeiro Valadão Filho</v>
      </c>
      <c r="F169" s="115" t="str">
        <f ca="1">IFERROR(__xludf.DUMMYFUNCTION("""COMPUTED_VALUE"""),"17016240")</f>
        <v>17016240</v>
      </c>
      <c r="G169" s="113" t="str">
        <f ca="1">IFERROR(__xludf.DUMMYFUNCTION("""COMPUTED_VALUE"""),"01138331000155")</f>
        <v>01138331000155</v>
      </c>
      <c r="H169" s="115" t="str">
        <f ca="1">IFERROR(__xludf.DUMMYFUNCTION("""COMPUTED_VALUE"""),"001")</f>
        <v>001</v>
      </c>
      <c r="I169" s="115" t="str">
        <f ca="1">IFERROR(__xludf.DUMMYFUNCTION("""COMPUTED_VALUE"""),"1306")</f>
        <v>1306</v>
      </c>
      <c r="J169" s="115" t="str">
        <f ca="1">IFERROR(__xludf.DUMMYFUNCTION("""COMPUTED_VALUE"""),"102806")</f>
        <v>102806</v>
      </c>
      <c r="K169" s="113" t="e">
        <f ca="1"/>
        <v>#REF!</v>
      </c>
      <c r="L169" s="113" t="e">
        <f ca="1"/>
        <v>#REF!</v>
      </c>
      <c r="M169" s="113" t="e">
        <f ca="1"/>
        <v>#REF!</v>
      </c>
      <c r="N169" s="113" t="e">
        <f ca="1"/>
        <v>#REF!</v>
      </c>
      <c r="O169" s="113" t="e">
        <f ca="1"/>
        <v>#REF!</v>
      </c>
      <c r="P169" s="113" t="e">
        <f ca="1"/>
        <v>#REF!</v>
      </c>
      <c r="Q169" s="113" t="e">
        <f ca="1"/>
        <v>#REF!</v>
      </c>
      <c r="R169" s="113" t="e">
        <f ca="1"/>
        <v>#REF!</v>
      </c>
      <c r="S169" s="113" t="e">
        <f ca="1"/>
        <v>#REF!</v>
      </c>
      <c r="T169" s="113" t="e">
        <f ca="1"/>
        <v>#REF!</v>
      </c>
      <c r="U169" s="113" t="e">
        <f ca="1"/>
        <v>#REF!</v>
      </c>
      <c r="V169" s="113" t="e">
        <f ca="1"/>
        <v>#REF!</v>
      </c>
      <c r="W169" s="113" t="e">
        <f ca="1"/>
        <v>#REF!</v>
      </c>
      <c r="X169" s="113" t="e">
        <f ca="1"/>
        <v>#REF!</v>
      </c>
      <c r="Y169" s="113" t="e">
        <f ca="1"/>
        <v>#REF!</v>
      </c>
      <c r="Z169" s="113" t="e">
        <f ca="1"/>
        <v>#REF!</v>
      </c>
      <c r="AA169" s="113"/>
      <c r="AB169" s="113"/>
      <c r="AC169" s="113"/>
      <c r="AD169" s="113"/>
      <c r="AE169" s="113" t="str">
        <f ca="1">IFERROR(__xludf.DUMMYFUNCTION("""COMPUTED_VALUE"""),"Parcial")</f>
        <v>Parcial</v>
      </c>
      <c r="AF169" s="113" t="str">
        <f ca="1">IFERROR(__xludf.DUMMYFUNCTION("""COMPUTED_VALUE"""),"FE")</f>
        <v>FE</v>
      </c>
      <c r="AG169" s="113">
        <f ca="1">IFERROR(__xludf.DUMMYFUNCTION("""COMPUTED_VALUE"""),0)</f>
        <v>0</v>
      </c>
      <c r="AH169" s="113">
        <f ca="1">IFERROR(__xludf.DUMMYFUNCTION("""COMPUTED_VALUE"""),0)</f>
        <v>0</v>
      </c>
      <c r="AI169" s="113">
        <f ca="1">IFERROR(__xludf.DUMMYFUNCTION("""COMPUTED_VALUE"""),0)</f>
        <v>0</v>
      </c>
      <c r="AJ169" s="113">
        <f ca="1">IFERROR(__xludf.DUMMYFUNCTION("""COMPUTED_VALUE"""),0)</f>
        <v>0</v>
      </c>
      <c r="AK169" s="113"/>
      <c r="AL169" s="116"/>
    </row>
    <row r="170" spans="1:38" ht="12.75">
      <c r="A170" s="112" t="str">
        <f ca="1">IFERROR(__xludf.DUMMYFUNCTION("""COMPUTED_VALUE"""),"17016282")</f>
        <v>17016282</v>
      </c>
      <c r="B170" s="113" t="str">
        <f ca="1">IFERROR(__xludf.DUMMYFUNCTION("""COMPUTED_VALUE"""),"Guaraí")</f>
        <v>Guaraí</v>
      </c>
      <c r="C170" s="113" t="str">
        <f ca="1">IFERROR(__xludf.DUMMYFUNCTION("""COMPUTED_VALUE"""),"Colmeia")</f>
        <v>Colmeia</v>
      </c>
      <c r="D170" s="114" t="str">
        <f ca="1">IFERROR(__xludf.DUMMYFUNCTION("""COMPUTED_VALUE"""),"A.A. ESC. EST. JUSCELINO K. DE OLIVEIRA")</f>
        <v>A.A. ESC. EST. JUSCELINO K. DE OLIVEIRA</v>
      </c>
      <c r="E170" s="113" t="str">
        <f ca="1">IFERROR(__xludf.DUMMYFUNCTION("""COMPUTED_VALUE"""),"Escola Estadual Juscelino Kubitscheck de Oliveira")</f>
        <v>Escola Estadual Juscelino Kubitscheck de Oliveira</v>
      </c>
      <c r="F170" s="115" t="str">
        <f ca="1">IFERROR(__xludf.DUMMYFUNCTION("""COMPUTED_VALUE"""),"17016282")</f>
        <v>17016282</v>
      </c>
      <c r="G170" s="113" t="str">
        <f ca="1">IFERROR(__xludf.DUMMYFUNCTION("""COMPUTED_VALUE"""),"01138328000131")</f>
        <v>01138328000131</v>
      </c>
      <c r="H170" s="115" t="str">
        <f ca="1">IFERROR(__xludf.DUMMYFUNCTION("""COMPUTED_VALUE"""),"001")</f>
        <v>001</v>
      </c>
      <c r="I170" s="115" t="str">
        <f ca="1">IFERROR(__xludf.DUMMYFUNCTION("""COMPUTED_VALUE"""),"1306")</f>
        <v>1306</v>
      </c>
      <c r="J170" s="115" t="str">
        <f ca="1">IFERROR(__xludf.DUMMYFUNCTION("""COMPUTED_VALUE"""),"102768")</f>
        <v>102768</v>
      </c>
      <c r="K170" s="113" t="e">
        <f ca="1"/>
        <v>#REF!</v>
      </c>
      <c r="L170" s="113" t="e">
        <f ca="1"/>
        <v>#REF!</v>
      </c>
      <c r="M170" s="113" t="e">
        <f ca="1"/>
        <v>#REF!</v>
      </c>
      <c r="N170" s="113" t="e">
        <f ca="1"/>
        <v>#REF!</v>
      </c>
      <c r="O170" s="113" t="e">
        <f ca="1"/>
        <v>#REF!</v>
      </c>
      <c r="P170" s="113" t="e">
        <f ca="1"/>
        <v>#REF!</v>
      </c>
      <c r="Q170" s="113" t="e">
        <f ca="1"/>
        <v>#REF!</v>
      </c>
      <c r="R170" s="113" t="e">
        <f ca="1"/>
        <v>#REF!</v>
      </c>
      <c r="S170" s="113" t="e">
        <f ca="1"/>
        <v>#REF!</v>
      </c>
      <c r="T170" s="113" t="e">
        <f ca="1"/>
        <v>#REF!</v>
      </c>
      <c r="U170" s="113" t="e">
        <f ca="1"/>
        <v>#REF!</v>
      </c>
      <c r="V170" s="113" t="e">
        <f ca="1"/>
        <v>#REF!</v>
      </c>
      <c r="W170" s="113" t="e">
        <f ca="1"/>
        <v>#REF!</v>
      </c>
      <c r="X170" s="113" t="e">
        <f ca="1"/>
        <v>#REF!</v>
      </c>
      <c r="Y170" s="113" t="e">
        <f ca="1"/>
        <v>#REF!</v>
      </c>
      <c r="Z170" s="113" t="e">
        <f ca="1"/>
        <v>#REF!</v>
      </c>
      <c r="AA170" s="113"/>
      <c r="AB170" s="113"/>
      <c r="AC170" s="113"/>
      <c r="AD170" s="113"/>
      <c r="AE170" s="113" t="str">
        <f ca="1">IFERROR(__xludf.DUMMYFUNCTION("""COMPUTED_VALUE"""),"Parcial")</f>
        <v>Parcial</v>
      </c>
      <c r="AF170" s="113" t="str">
        <f ca="1">IFERROR(__xludf.DUMMYFUNCTION("""COMPUTED_VALUE"""),"FE")</f>
        <v>FE</v>
      </c>
      <c r="AG170" s="113">
        <f ca="1">IFERROR(__xludf.DUMMYFUNCTION("""COMPUTED_VALUE"""),0)</f>
        <v>0</v>
      </c>
      <c r="AH170" s="113">
        <f ca="1">IFERROR(__xludf.DUMMYFUNCTION("""COMPUTED_VALUE"""),0)</f>
        <v>0</v>
      </c>
      <c r="AI170" s="113">
        <f ca="1">IFERROR(__xludf.DUMMYFUNCTION("""COMPUTED_VALUE"""),0)</f>
        <v>0</v>
      </c>
      <c r="AJ170" s="113">
        <f ca="1">IFERROR(__xludf.DUMMYFUNCTION("""COMPUTED_VALUE"""),0)</f>
        <v>0</v>
      </c>
      <c r="AK170" s="113"/>
      <c r="AL170" s="116"/>
    </row>
    <row r="171" spans="1:38" ht="12.75">
      <c r="A171" s="112" t="str">
        <f ca="1">IFERROR(__xludf.DUMMYFUNCTION("""COMPUTED_VALUE"""),"17011787")</f>
        <v>17011787</v>
      </c>
      <c r="B171" s="113" t="str">
        <f ca="1">IFERROR(__xludf.DUMMYFUNCTION("""COMPUTED_VALUE"""),"Guaraí")</f>
        <v>Guaraí</v>
      </c>
      <c r="C171" s="113" t="str">
        <f ca="1">IFERROR(__xludf.DUMMYFUNCTION("""COMPUTED_VALUE"""),"Couto Magalhaes")</f>
        <v>Couto Magalhaes</v>
      </c>
      <c r="D171" s="114" t="str">
        <f ca="1">IFERROR(__xludf.DUMMYFUNCTION("""COMPUTED_VALUE"""),"A.A. COL. EST. ARCHANGELA MILHOMEM")</f>
        <v>A.A. COL. EST. ARCHANGELA MILHOMEM</v>
      </c>
      <c r="E171" s="113" t="str">
        <f ca="1">IFERROR(__xludf.DUMMYFUNCTION("""COMPUTED_VALUE"""),"Colégio Estadual Archângela Milhomem")</f>
        <v>Colégio Estadual Archângela Milhomem</v>
      </c>
      <c r="F171" s="115" t="str">
        <f ca="1">IFERROR(__xludf.DUMMYFUNCTION("""COMPUTED_VALUE"""),"17011787")</f>
        <v>17011787</v>
      </c>
      <c r="G171" s="113" t="str">
        <f ca="1">IFERROR(__xludf.DUMMYFUNCTION("""COMPUTED_VALUE"""),"01138334000199")</f>
        <v>01138334000199</v>
      </c>
      <c r="H171" s="115" t="str">
        <f ca="1">IFERROR(__xludf.DUMMYFUNCTION("""COMPUTED_VALUE"""),"001")</f>
        <v>001</v>
      </c>
      <c r="I171" s="115" t="str">
        <f ca="1">IFERROR(__xludf.DUMMYFUNCTION("""COMPUTED_VALUE"""),"2094")</f>
        <v>2094</v>
      </c>
      <c r="J171" s="115" t="str">
        <f ca="1">IFERROR(__xludf.DUMMYFUNCTION("""COMPUTED_VALUE"""),"50385")</f>
        <v>50385</v>
      </c>
      <c r="K171" s="113" t="e">
        <f ca="1"/>
        <v>#REF!</v>
      </c>
      <c r="L171" s="113" t="e">
        <f ca="1"/>
        <v>#REF!</v>
      </c>
      <c r="M171" s="113" t="e">
        <f ca="1"/>
        <v>#REF!</v>
      </c>
      <c r="N171" s="113" t="e">
        <f ca="1"/>
        <v>#REF!</v>
      </c>
      <c r="O171" s="113" t="e">
        <f ca="1"/>
        <v>#REF!</v>
      </c>
      <c r="P171" s="113" t="e">
        <f ca="1"/>
        <v>#REF!</v>
      </c>
      <c r="Q171" s="113" t="e">
        <f ca="1"/>
        <v>#REF!</v>
      </c>
      <c r="R171" s="113" t="e">
        <f ca="1"/>
        <v>#REF!</v>
      </c>
      <c r="S171" s="113" t="e">
        <f ca="1"/>
        <v>#REF!</v>
      </c>
      <c r="T171" s="113" t="e">
        <f ca="1"/>
        <v>#REF!</v>
      </c>
      <c r="U171" s="113" t="e">
        <f ca="1"/>
        <v>#REF!</v>
      </c>
      <c r="V171" s="113" t="e">
        <f ca="1"/>
        <v>#REF!</v>
      </c>
      <c r="W171" s="113" t="e">
        <f ca="1"/>
        <v>#REF!</v>
      </c>
      <c r="X171" s="113" t="e">
        <f ca="1"/>
        <v>#REF!</v>
      </c>
      <c r="Y171" s="113" t="e">
        <f ca="1"/>
        <v>#REF!</v>
      </c>
      <c r="Z171" s="113" t="e">
        <f ca="1"/>
        <v>#REF!</v>
      </c>
      <c r="AA171" s="113"/>
      <c r="AB171" s="113"/>
      <c r="AC171" s="113"/>
      <c r="AD171" s="113"/>
      <c r="AE171" s="113" t="str">
        <f ca="1">IFERROR(__xludf.DUMMYFUNCTION("""COMPUTED_VALUE"""),"Parcial")</f>
        <v>Parcial</v>
      </c>
      <c r="AF171" s="113" t="str">
        <f ca="1">IFERROR(__xludf.DUMMYFUNCTION("""COMPUTED_VALUE"""),"FE")</f>
        <v>FE</v>
      </c>
      <c r="AG171" s="113">
        <f ca="1">IFERROR(__xludf.DUMMYFUNCTION("""COMPUTED_VALUE"""),0)</f>
        <v>0</v>
      </c>
      <c r="AH171" s="113">
        <f ca="1">IFERROR(__xludf.DUMMYFUNCTION("""COMPUTED_VALUE"""),0)</f>
        <v>0</v>
      </c>
      <c r="AI171" s="113">
        <f ca="1">IFERROR(__xludf.DUMMYFUNCTION("""COMPUTED_VALUE"""),0)</f>
        <v>0</v>
      </c>
      <c r="AJ171" s="113">
        <f ca="1">IFERROR(__xludf.DUMMYFUNCTION("""COMPUTED_VALUE"""),26)</f>
        <v>26</v>
      </c>
      <c r="AK171" s="113"/>
      <c r="AL171" s="116"/>
    </row>
    <row r="172" spans="1:38" ht="12.75">
      <c r="A172" s="112" t="str">
        <f ca="1">IFERROR(__xludf.DUMMYFUNCTION("""COMPUTED_VALUE"""),"17054931")</f>
        <v>17054931</v>
      </c>
      <c r="B172" s="113" t="str">
        <f ca="1">IFERROR(__xludf.DUMMYFUNCTION("""COMPUTED_VALUE"""),"Guaraí")</f>
        <v>Guaraí</v>
      </c>
      <c r="C172" s="113" t="str">
        <f ca="1">IFERROR(__xludf.DUMMYFUNCTION("""COMPUTED_VALUE"""),"Couto Magalhaes")</f>
        <v>Couto Magalhaes</v>
      </c>
      <c r="D172" s="114" t="str">
        <f ca="1">IFERROR(__xludf.DUMMYFUNCTION("""COMPUTED_VALUE"""),"A.A. ESC. ESPECIAL  DEUS É FIEL")</f>
        <v>A.A. ESC. ESPECIAL  DEUS É FIEL</v>
      </c>
      <c r="E172" s="113" t="str">
        <f ca="1">IFERROR(__xludf.DUMMYFUNCTION("""COMPUTED_VALUE"""),"Escola Especial Deus é Fiel")</f>
        <v>Escola Especial Deus é Fiel</v>
      </c>
      <c r="F172" s="115" t="str">
        <f ca="1">IFERROR(__xludf.DUMMYFUNCTION("""COMPUTED_VALUE"""),"17054931")</f>
        <v>17054931</v>
      </c>
      <c r="G172" s="113" t="str">
        <f ca="1">IFERROR(__xludf.DUMMYFUNCTION("""COMPUTED_VALUE"""),"17467216000164")</f>
        <v>17467216000164</v>
      </c>
      <c r="H172" s="115" t="str">
        <f ca="1">IFERROR(__xludf.DUMMYFUNCTION("""COMPUTED_VALUE"""),"001")</f>
        <v>001</v>
      </c>
      <c r="I172" s="115" t="str">
        <f ca="1">IFERROR(__xludf.DUMMYFUNCTION("""COMPUTED_VALUE"""),"1306")</f>
        <v>1306</v>
      </c>
      <c r="J172" s="115" t="str">
        <f ca="1">IFERROR(__xludf.DUMMYFUNCTION("""COMPUTED_VALUE"""),"265969")</f>
        <v>265969</v>
      </c>
      <c r="K172" s="113" t="e">
        <f ca="1"/>
        <v>#REF!</v>
      </c>
      <c r="L172" s="113" t="e">
        <f ca="1"/>
        <v>#REF!</v>
      </c>
      <c r="M172" s="113" t="e">
        <f ca="1"/>
        <v>#REF!</v>
      </c>
      <c r="N172" s="113" t="e">
        <f ca="1"/>
        <v>#REF!</v>
      </c>
      <c r="O172" s="113" t="e">
        <f ca="1"/>
        <v>#REF!</v>
      </c>
      <c r="P172" s="113" t="e">
        <f ca="1"/>
        <v>#REF!</v>
      </c>
      <c r="Q172" s="113" t="e">
        <f ca="1"/>
        <v>#REF!</v>
      </c>
      <c r="R172" s="113" t="e">
        <f ca="1"/>
        <v>#REF!</v>
      </c>
      <c r="S172" s="113" t="e">
        <f ca="1"/>
        <v>#REF!</v>
      </c>
      <c r="T172" s="113" t="e">
        <f ca="1"/>
        <v>#REF!</v>
      </c>
      <c r="U172" s="113" t="e">
        <f ca="1"/>
        <v>#REF!</v>
      </c>
      <c r="V172" s="113" t="e">
        <f ca="1"/>
        <v>#REF!</v>
      </c>
      <c r="W172" s="113" t="e">
        <f ca="1"/>
        <v>#REF!</v>
      </c>
      <c r="X172" s="113" t="e">
        <f ca="1"/>
        <v>#REF!</v>
      </c>
      <c r="Y172" s="113" t="e">
        <f ca="1"/>
        <v>#REF!</v>
      </c>
      <c r="Z172" s="113" t="e">
        <f ca="1"/>
        <v>#REF!</v>
      </c>
      <c r="AA172" s="113"/>
      <c r="AB172" s="113"/>
      <c r="AC172" s="113"/>
      <c r="AD172" s="113"/>
      <c r="AE172" s="113" t="str">
        <f ca="1">IFERROR(__xludf.DUMMYFUNCTION("""COMPUTED_VALUE"""),"Parcial")</f>
        <v>Parcial</v>
      </c>
      <c r="AF172" s="113" t="str">
        <f ca="1">IFERROR(__xludf.DUMMYFUNCTION("""COMPUTED_VALUE"""),"FE")</f>
        <v>FE</v>
      </c>
      <c r="AG172" s="113">
        <f ca="1">IFERROR(__xludf.DUMMYFUNCTION("""COMPUTED_VALUE"""),0)</f>
        <v>0</v>
      </c>
      <c r="AH172" s="113">
        <f ca="1">IFERROR(__xludf.DUMMYFUNCTION("""COMPUTED_VALUE"""),0)</f>
        <v>0</v>
      </c>
      <c r="AI172" s="113">
        <f ca="1">IFERROR(__xludf.DUMMYFUNCTION("""COMPUTED_VALUE"""),0)</f>
        <v>0</v>
      </c>
      <c r="AJ172" s="113">
        <f ca="1">IFERROR(__xludf.DUMMYFUNCTION("""COMPUTED_VALUE"""),0)</f>
        <v>0</v>
      </c>
      <c r="AK172" s="113"/>
      <c r="AL172" s="116"/>
    </row>
    <row r="173" spans="1:38" ht="12.75">
      <c r="A173" s="112" t="str">
        <f ca="1">IFERROR(__xludf.DUMMYFUNCTION("""COMPUTED_VALUE"""),"17011795")</f>
        <v>17011795</v>
      </c>
      <c r="B173" s="113" t="str">
        <f ca="1">IFERROR(__xludf.DUMMYFUNCTION("""COMPUTED_VALUE"""),"Guaraí")</f>
        <v>Guaraí</v>
      </c>
      <c r="C173" s="113" t="str">
        <f ca="1">IFERROR(__xludf.DUMMYFUNCTION("""COMPUTED_VALUE"""),"Couto Magalhaes")</f>
        <v>Couto Magalhaes</v>
      </c>
      <c r="D173" s="114" t="str">
        <f ca="1">IFERROR(__xludf.DUMMYFUNCTION("""COMPUTED_VALUE"""),"A.A. ESC. EST. ARLINDA ROSA DE SOUZA")</f>
        <v>A.A. ESC. EST. ARLINDA ROSA DE SOUZA</v>
      </c>
      <c r="E173" s="113" t="str">
        <f ca="1">IFERROR(__xludf.DUMMYFUNCTION("""COMPUTED_VALUE"""),"Escola Estadual Arlinda Rosa de Souza")</f>
        <v>Escola Estadual Arlinda Rosa de Souza</v>
      </c>
      <c r="F173" s="115" t="str">
        <f ca="1">IFERROR(__xludf.DUMMYFUNCTION("""COMPUTED_VALUE"""),"17011795")</f>
        <v>17011795</v>
      </c>
      <c r="G173" s="113" t="str">
        <f ca="1">IFERROR(__xludf.DUMMYFUNCTION("""COMPUTED_VALUE"""),"01221143000196")</f>
        <v>01221143000196</v>
      </c>
      <c r="H173" s="115" t="str">
        <f ca="1">IFERROR(__xludf.DUMMYFUNCTION("""COMPUTED_VALUE"""),"001")</f>
        <v>001</v>
      </c>
      <c r="I173" s="115" t="str">
        <f ca="1">IFERROR(__xludf.DUMMYFUNCTION("""COMPUTED_VALUE"""),"2094")</f>
        <v>2094</v>
      </c>
      <c r="J173" s="115" t="str">
        <f ca="1">IFERROR(__xludf.DUMMYFUNCTION("""COMPUTED_VALUE"""),"50350")</f>
        <v>50350</v>
      </c>
      <c r="K173" s="113" t="e">
        <f ca="1"/>
        <v>#REF!</v>
      </c>
      <c r="L173" s="113" t="e">
        <f ca="1"/>
        <v>#REF!</v>
      </c>
      <c r="M173" s="113" t="e">
        <f ca="1"/>
        <v>#REF!</v>
      </c>
      <c r="N173" s="113" t="e">
        <f ca="1"/>
        <v>#REF!</v>
      </c>
      <c r="O173" s="113" t="e">
        <f ca="1"/>
        <v>#REF!</v>
      </c>
      <c r="P173" s="113" t="e">
        <f ca="1"/>
        <v>#REF!</v>
      </c>
      <c r="Q173" s="113" t="e">
        <f ca="1"/>
        <v>#REF!</v>
      </c>
      <c r="R173" s="113" t="e">
        <f ca="1"/>
        <v>#REF!</v>
      </c>
      <c r="S173" s="113" t="e">
        <f ca="1"/>
        <v>#REF!</v>
      </c>
      <c r="T173" s="113" t="e">
        <f ca="1"/>
        <v>#REF!</v>
      </c>
      <c r="U173" s="113" t="e">
        <f ca="1"/>
        <v>#REF!</v>
      </c>
      <c r="V173" s="113" t="e">
        <f ca="1"/>
        <v>#REF!</v>
      </c>
      <c r="W173" s="113" t="e">
        <f ca="1"/>
        <v>#REF!</v>
      </c>
      <c r="X173" s="113" t="e">
        <f ca="1"/>
        <v>#REF!</v>
      </c>
      <c r="Y173" s="113" t="e">
        <f ca="1"/>
        <v>#REF!</v>
      </c>
      <c r="Z173" s="113" t="e">
        <f ca="1"/>
        <v>#REF!</v>
      </c>
      <c r="AA173" s="113"/>
      <c r="AB173" s="113"/>
      <c r="AC173" s="113"/>
      <c r="AD173" s="113"/>
      <c r="AE173" s="113" t="str">
        <f ca="1">IFERROR(__xludf.DUMMYFUNCTION("""COMPUTED_VALUE"""),"Parcial")</f>
        <v>Parcial</v>
      </c>
      <c r="AF173" s="113" t="str">
        <f ca="1">IFERROR(__xludf.DUMMYFUNCTION("""COMPUTED_VALUE"""),"FE")</f>
        <v>FE</v>
      </c>
      <c r="AG173" s="113">
        <f ca="1">IFERROR(__xludf.DUMMYFUNCTION("""COMPUTED_VALUE"""),0)</f>
        <v>0</v>
      </c>
      <c r="AH173" s="113">
        <f ca="1">IFERROR(__xludf.DUMMYFUNCTION("""COMPUTED_VALUE"""),0)</f>
        <v>0</v>
      </c>
      <c r="AI173" s="113">
        <f ca="1">IFERROR(__xludf.DUMMYFUNCTION("""COMPUTED_VALUE"""),0)</f>
        <v>0</v>
      </c>
      <c r="AJ173" s="113">
        <f ca="1">IFERROR(__xludf.DUMMYFUNCTION("""COMPUTED_VALUE"""),0)</f>
        <v>0</v>
      </c>
      <c r="AK173" s="113"/>
      <c r="AL173" s="116"/>
    </row>
    <row r="174" spans="1:38" ht="12.75">
      <c r="A174" s="112" t="str">
        <f ca="1">IFERROR(__xludf.DUMMYFUNCTION("""COMPUTED_VALUE"""),"17050871")</f>
        <v>17050871</v>
      </c>
      <c r="B174" s="113" t="str">
        <f ca="1">IFERROR(__xludf.DUMMYFUNCTION("""COMPUTED_VALUE"""),"Guaraí")</f>
        <v>Guaraí</v>
      </c>
      <c r="C174" s="113" t="str">
        <f ca="1">IFERROR(__xludf.DUMMYFUNCTION("""COMPUTED_VALUE"""),"Couto Magalhaes")</f>
        <v>Couto Magalhaes</v>
      </c>
      <c r="D174" s="114" t="str">
        <f ca="1">IFERROR(__xludf.DUMMYFUNCTION("""COMPUTED_VALUE"""),"A.A. ESCOLAR DA E. EST.ULTIMO DE CARVALHO")</f>
        <v>A.A. ESCOLAR DA E. EST.ULTIMO DE CARVALHO</v>
      </c>
      <c r="E174" s="113" t="str">
        <f ca="1">IFERROR(__xludf.DUMMYFUNCTION("""COMPUTED_VALUE"""),"Escola Estadual Ultimo de Carvalho")</f>
        <v>Escola Estadual Ultimo de Carvalho</v>
      </c>
      <c r="F174" s="115" t="str">
        <f ca="1">IFERROR(__xludf.DUMMYFUNCTION("""COMPUTED_VALUE"""),"17050871")</f>
        <v>17050871</v>
      </c>
      <c r="G174" s="113" t="str">
        <f ca="1">IFERROR(__xludf.DUMMYFUNCTION("""COMPUTED_VALUE"""),"04315063000198")</f>
        <v>04315063000198</v>
      </c>
      <c r="H174" s="115" t="str">
        <f ca="1">IFERROR(__xludf.DUMMYFUNCTION("""COMPUTED_VALUE"""),"001")</f>
        <v>001</v>
      </c>
      <c r="I174" s="115" t="str">
        <f ca="1">IFERROR(__xludf.DUMMYFUNCTION("""COMPUTED_VALUE"""),"1306")</f>
        <v>1306</v>
      </c>
      <c r="J174" s="115" t="str">
        <f ca="1">IFERROR(__xludf.DUMMYFUNCTION("""COMPUTED_VALUE"""),"74802")</f>
        <v>74802</v>
      </c>
      <c r="K174" s="113" t="e">
        <f ca="1"/>
        <v>#REF!</v>
      </c>
      <c r="L174" s="113" t="e">
        <f ca="1"/>
        <v>#REF!</v>
      </c>
      <c r="M174" s="113" t="e">
        <f ca="1"/>
        <v>#REF!</v>
      </c>
      <c r="N174" s="113" t="e">
        <f ca="1"/>
        <v>#REF!</v>
      </c>
      <c r="O174" s="113" t="e">
        <f ca="1"/>
        <v>#REF!</v>
      </c>
      <c r="P174" s="113" t="e">
        <f ca="1"/>
        <v>#REF!</v>
      </c>
      <c r="Q174" s="113" t="e">
        <f ca="1"/>
        <v>#REF!</v>
      </c>
      <c r="R174" s="113" t="e">
        <f ca="1"/>
        <v>#REF!</v>
      </c>
      <c r="S174" s="113" t="e">
        <f ca="1"/>
        <v>#REF!</v>
      </c>
      <c r="T174" s="113" t="e">
        <f ca="1"/>
        <v>#REF!</v>
      </c>
      <c r="U174" s="113" t="e">
        <f ca="1"/>
        <v>#REF!</v>
      </c>
      <c r="V174" s="113" t="e">
        <f ca="1"/>
        <v>#REF!</v>
      </c>
      <c r="W174" s="113" t="e">
        <f ca="1"/>
        <v>#REF!</v>
      </c>
      <c r="X174" s="113" t="e">
        <f ca="1"/>
        <v>#REF!</v>
      </c>
      <c r="Y174" s="113" t="e">
        <f ca="1"/>
        <v>#REF!</v>
      </c>
      <c r="Z174" s="113" t="e">
        <f ca="1"/>
        <v>#REF!</v>
      </c>
      <c r="AA174" s="113"/>
      <c r="AB174" s="113"/>
      <c r="AC174" s="113"/>
      <c r="AD174" s="113"/>
      <c r="AE174" s="113" t="str">
        <f ca="1">IFERROR(__xludf.DUMMYFUNCTION("""COMPUTED_VALUE"""),"Integral")</f>
        <v>Integral</v>
      </c>
      <c r="AF174" s="113" t="str">
        <f ca="1">IFERROR(__xludf.DUMMYFUNCTION("""COMPUTED_VALUE"""),"FE")</f>
        <v>FE</v>
      </c>
      <c r="AG174" s="113">
        <f ca="1">IFERROR(__xludf.DUMMYFUNCTION("""COMPUTED_VALUE"""),0)</f>
        <v>0</v>
      </c>
      <c r="AH174" s="113">
        <f ca="1">IFERROR(__xludf.DUMMYFUNCTION("""COMPUTED_VALUE"""),0)</f>
        <v>0</v>
      </c>
      <c r="AI174" s="113">
        <f ca="1">IFERROR(__xludf.DUMMYFUNCTION("""COMPUTED_VALUE"""),0)</f>
        <v>0</v>
      </c>
      <c r="AJ174" s="113">
        <f ca="1">IFERROR(__xludf.DUMMYFUNCTION("""COMPUTED_VALUE"""),0)</f>
        <v>0</v>
      </c>
      <c r="AK174" s="113"/>
      <c r="AL174" s="116"/>
    </row>
    <row r="175" spans="1:38" ht="12.75">
      <c r="A175" s="112" t="str">
        <f ca="1">IFERROR(__xludf.DUMMYFUNCTION("""COMPUTED_VALUE"""),"17054052")</f>
        <v>17054052</v>
      </c>
      <c r="B175" s="113" t="str">
        <f ca="1">IFERROR(__xludf.DUMMYFUNCTION("""COMPUTED_VALUE"""),"Guaraí")</f>
        <v>Guaraí</v>
      </c>
      <c r="C175" s="113" t="str">
        <f ca="1">IFERROR(__xludf.DUMMYFUNCTION("""COMPUTED_VALUE"""),"Fortaleza do Tabocao")</f>
        <v>Fortaleza do Tabocao</v>
      </c>
      <c r="D175" s="114" t="str">
        <f ca="1">IFERROR(__xludf.DUMMYFUNCTION("""COMPUTED_VALUE"""),"ASSOC. DE APOIO A ESCOLA ESPECIAL EDSON DUTRA")</f>
        <v>ASSOC. DE APOIO A ESCOLA ESPECIAL EDSON DUTRA</v>
      </c>
      <c r="E175" s="113" t="str">
        <f ca="1">IFERROR(__xludf.DUMMYFUNCTION("""COMPUTED_VALUE"""),"Escola Especial Edison Dutra")</f>
        <v>Escola Especial Edison Dutra</v>
      </c>
      <c r="F175" s="115" t="str">
        <f ca="1">IFERROR(__xludf.DUMMYFUNCTION("""COMPUTED_VALUE"""),"17054052")</f>
        <v>17054052</v>
      </c>
      <c r="G175" s="113" t="str">
        <f ca="1">IFERROR(__xludf.DUMMYFUNCTION("""COMPUTED_VALUE"""),"09405159000160")</f>
        <v>09405159000160</v>
      </c>
      <c r="H175" s="115" t="str">
        <f ca="1">IFERROR(__xludf.DUMMYFUNCTION("""COMPUTED_VALUE"""),"104")</f>
        <v>104</v>
      </c>
      <c r="I175" s="115" t="str">
        <f ca="1">IFERROR(__xludf.DUMMYFUNCTION("""COMPUTED_VALUE"""),"4481")</f>
        <v>4481</v>
      </c>
      <c r="J175" s="115" t="str">
        <f ca="1">IFERROR(__xludf.DUMMYFUNCTION("""COMPUTED_VALUE"""),"3982")</f>
        <v>3982</v>
      </c>
      <c r="K175" s="113" t="e">
        <f ca="1"/>
        <v>#REF!</v>
      </c>
      <c r="L175" s="113" t="e">
        <f ca="1"/>
        <v>#REF!</v>
      </c>
      <c r="M175" s="113" t="e">
        <f ca="1"/>
        <v>#REF!</v>
      </c>
      <c r="N175" s="113" t="e">
        <f ca="1"/>
        <v>#REF!</v>
      </c>
      <c r="O175" s="113" t="e">
        <f ca="1"/>
        <v>#REF!</v>
      </c>
      <c r="P175" s="113" t="e">
        <f ca="1"/>
        <v>#REF!</v>
      </c>
      <c r="Q175" s="113" t="e">
        <f ca="1"/>
        <v>#REF!</v>
      </c>
      <c r="R175" s="113" t="e">
        <f ca="1"/>
        <v>#REF!</v>
      </c>
      <c r="S175" s="113" t="e">
        <f ca="1"/>
        <v>#REF!</v>
      </c>
      <c r="T175" s="113" t="e">
        <f ca="1"/>
        <v>#REF!</v>
      </c>
      <c r="U175" s="113" t="e">
        <f ca="1"/>
        <v>#REF!</v>
      </c>
      <c r="V175" s="113" t="e">
        <f ca="1"/>
        <v>#REF!</v>
      </c>
      <c r="W175" s="113" t="e">
        <f ca="1"/>
        <v>#REF!</v>
      </c>
      <c r="X175" s="113" t="e">
        <f ca="1"/>
        <v>#REF!</v>
      </c>
      <c r="Y175" s="113" t="e">
        <f ca="1"/>
        <v>#REF!</v>
      </c>
      <c r="Z175" s="113" t="e">
        <f ca="1"/>
        <v>#REF!</v>
      </c>
      <c r="AA175" s="113"/>
      <c r="AB175" s="113"/>
      <c r="AC175" s="113"/>
      <c r="AD175" s="113"/>
      <c r="AE175" s="113" t="str">
        <f ca="1">IFERROR(__xludf.DUMMYFUNCTION("""COMPUTED_VALUE"""),"Integral")</f>
        <v>Integral</v>
      </c>
      <c r="AF175" s="113" t="str">
        <f ca="1">IFERROR(__xludf.DUMMYFUNCTION("""COMPUTED_VALUE"""),"FE")</f>
        <v>FE</v>
      </c>
      <c r="AG175" s="113">
        <f ca="1">IFERROR(__xludf.DUMMYFUNCTION("""COMPUTED_VALUE"""),0)</f>
        <v>0</v>
      </c>
      <c r="AH175" s="113">
        <f ca="1">IFERROR(__xludf.DUMMYFUNCTION("""COMPUTED_VALUE"""),0)</f>
        <v>0</v>
      </c>
      <c r="AI175" s="113">
        <f ca="1">IFERROR(__xludf.DUMMYFUNCTION("""COMPUTED_VALUE"""),0)</f>
        <v>0</v>
      </c>
      <c r="AJ175" s="113">
        <f ca="1">IFERROR(__xludf.DUMMYFUNCTION("""COMPUTED_VALUE"""),0)</f>
        <v>0</v>
      </c>
      <c r="AK175" s="113"/>
      <c r="AL175" s="116"/>
    </row>
    <row r="176" spans="1:38" ht="12.75">
      <c r="A176" s="112" t="str">
        <f ca="1">IFERROR(__xludf.DUMMYFUNCTION("""COMPUTED_VALUE"""),"17039436")</f>
        <v>17039436</v>
      </c>
      <c r="B176" s="113" t="str">
        <f ca="1">IFERROR(__xludf.DUMMYFUNCTION("""COMPUTED_VALUE"""),"Guaraí")</f>
        <v>Guaraí</v>
      </c>
      <c r="C176" s="113" t="str">
        <f ca="1">IFERROR(__xludf.DUMMYFUNCTION("""COMPUTED_VALUE"""),"Fortaleza do Tabocao")</f>
        <v>Fortaleza do Tabocao</v>
      </c>
      <c r="D176" s="114" t="str">
        <f ca="1">IFERROR(__xludf.DUMMYFUNCTION("""COMPUTED_VALUE"""),"A.A. DA ESC. EST. MAJOR JUVENAL P.DE SOUZA")</f>
        <v>A.A. DA ESC. EST. MAJOR JUVENAL P.DE SOUZA</v>
      </c>
      <c r="E176" s="113" t="str">
        <f ca="1">IFERROR(__xludf.DUMMYFUNCTION("""COMPUTED_VALUE"""),"Escola Estadual Major Juvenal Pereira de Souza")</f>
        <v>Escola Estadual Major Juvenal Pereira de Souza</v>
      </c>
      <c r="F176" s="115" t="str">
        <f ca="1">IFERROR(__xludf.DUMMYFUNCTION("""COMPUTED_VALUE"""),"17039436")</f>
        <v>17039436</v>
      </c>
      <c r="G176" s="113" t="str">
        <f ca="1">IFERROR(__xludf.DUMMYFUNCTION("""COMPUTED_VALUE"""),"01408714000104")</f>
        <v>01408714000104</v>
      </c>
      <c r="H176" s="115" t="str">
        <f ca="1">IFERROR(__xludf.DUMMYFUNCTION("""COMPUTED_VALUE"""),"001")</f>
        <v>001</v>
      </c>
      <c r="I176" s="115" t="str">
        <f ca="1">IFERROR(__xludf.DUMMYFUNCTION("""COMPUTED_VALUE"""),"2094")</f>
        <v>2094</v>
      </c>
      <c r="J176" s="115" t="str">
        <f ca="1">IFERROR(__xludf.DUMMYFUNCTION("""COMPUTED_VALUE"""),"46743X")</f>
        <v>46743X</v>
      </c>
      <c r="K176" s="113" t="e">
        <f ca="1"/>
        <v>#REF!</v>
      </c>
      <c r="L176" s="113" t="e">
        <f ca="1"/>
        <v>#REF!</v>
      </c>
      <c r="M176" s="113" t="e">
        <f ca="1"/>
        <v>#REF!</v>
      </c>
      <c r="N176" s="113" t="e">
        <f ca="1"/>
        <v>#REF!</v>
      </c>
      <c r="O176" s="113" t="e">
        <f ca="1"/>
        <v>#REF!</v>
      </c>
      <c r="P176" s="113" t="e">
        <f ca="1"/>
        <v>#REF!</v>
      </c>
      <c r="Q176" s="113" t="e">
        <f ca="1"/>
        <v>#REF!</v>
      </c>
      <c r="R176" s="113" t="e">
        <f ca="1"/>
        <v>#REF!</v>
      </c>
      <c r="S176" s="113" t="e">
        <f ca="1"/>
        <v>#REF!</v>
      </c>
      <c r="T176" s="113" t="e">
        <f ca="1"/>
        <v>#REF!</v>
      </c>
      <c r="U176" s="113" t="e">
        <f ca="1"/>
        <v>#REF!</v>
      </c>
      <c r="V176" s="113" t="e">
        <f ca="1"/>
        <v>#REF!</v>
      </c>
      <c r="W176" s="113" t="e">
        <f ca="1"/>
        <v>#REF!</v>
      </c>
      <c r="X176" s="113" t="e">
        <f ca="1"/>
        <v>#REF!</v>
      </c>
      <c r="Y176" s="113" t="e">
        <f ca="1"/>
        <v>#REF!</v>
      </c>
      <c r="Z176" s="113" t="e">
        <f ca="1"/>
        <v>#REF!</v>
      </c>
      <c r="AA176" s="113"/>
      <c r="AB176" s="113"/>
      <c r="AC176" s="113"/>
      <c r="AD176" s="113" t="str">
        <f ca="1">IFERROR(__xludf.DUMMYFUNCTION("""COMPUTED_VALUE"""),"CRECHE")</f>
        <v>CRECHE</v>
      </c>
      <c r="AE176" s="113" t="str">
        <f ca="1">IFERROR(__xludf.DUMMYFUNCTION("""COMPUTED_VALUE"""),"Parcial")</f>
        <v>Parcial</v>
      </c>
      <c r="AF176" s="113" t="str">
        <f ca="1">IFERROR(__xludf.DUMMYFUNCTION("""COMPUTED_VALUE"""),"FE")</f>
        <v>FE</v>
      </c>
      <c r="AG176" s="113">
        <f ca="1">IFERROR(__xludf.DUMMYFUNCTION("""COMPUTED_VALUE"""),9)</f>
        <v>9</v>
      </c>
      <c r="AH176" s="113">
        <f ca="1">IFERROR(__xludf.DUMMYFUNCTION("""COMPUTED_VALUE"""),0)</f>
        <v>0</v>
      </c>
      <c r="AI176" s="113">
        <f ca="1">IFERROR(__xludf.DUMMYFUNCTION("""COMPUTED_VALUE"""),0)</f>
        <v>0</v>
      </c>
      <c r="AJ176" s="113">
        <f ca="1">IFERROR(__xludf.DUMMYFUNCTION("""COMPUTED_VALUE"""),6)</f>
        <v>6</v>
      </c>
      <c r="AK176" s="113"/>
      <c r="AL176" s="116"/>
    </row>
    <row r="177" spans="1:38" ht="12.75">
      <c r="A177" s="112" t="str">
        <f ca="1">IFERROR(__xludf.DUMMYFUNCTION("""COMPUTED_VALUE"""),"17012970")</f>
        <v>17012970</v>
      </c>
      <c r="B177" s="113" t="str">
        <f ca="1">IFERROR(__xludf.DUMMYFUNCTION("""COMPUTED_VALUE"""),"Guaraí")</f>
        <v>Guaraí</v>
      </c>
      <c r="C177" s="113" t="str">
        <f ca="1">IFERROR(__xludf.DUMMYFUNCTION("""COMPUTED_VALUE"""),"Goianorte")</f>
        <v>Goianorte</v>
      </c>
      <c r="D177" s="114" t="str">
        <f ca="1">IFERROR(__xludf.DUMMYFUNCTION("""COMPUTED_VALUE"""),"A.A. DA ESC. EST. ANTENOR BARREIRA")</f>
        <v>A.A. DA ESC. EST. ANTENOR BARREIRA</v>
      </c>
      <c r="E177" s="113" t="str">
        <f ca="1">IFERROR(__xludf.DUMMYFUNCTION("""COMPUTED_VALUE"""),"Colégio Estadual Antenor Barreira")</f>
        <v>Colégio Estadual Antenor Barreira</v>
      </c>
      <c r="F177" s="115" t="str">
        <f ca="1">IFERROR(__xludf.DUMMYFUNCTION("""COMPUTED_VALUE"""),"17012970")</f>
        <v>17012970</v>
      </c>
      <c r="G177" s="113" t="str">
        <f ca="1">IFERROR(__xludf.DUMMYFUNCTION("""COMPUTED_VALUE"""),"02069808000150")</f>
        <v>02069808000150</v>
      </c>
      <c r="H177" s="115" t="str">
        <f ca="1">IFERROR(__xludf.DUMMYFUNCTION("""COMPUTED_VALUE"""),"001")</f>
        <v>001</v>
      </c>
      <c r="I177" s="115" t="str">
        <f ca="1">IFERROR(__xludf.DUMMYFUNCTION("""COMPUTED_VALUE"""),"1306")</f>
        <v>1306</v>
      </c>
      <c r="J177" s="115" t="str">
        <f ca="1">IFERROR(__xludf.DUMMYFUNCTION("""COMPUTED_VALUE"""),"54186")</f>
        <v>54186</v>
      </c>
      <c r="K177" s="113" t="e">
        <f ca="1"/>
        <v>#REF!</v>
      </c>
      <c r="L177" s="113" t="e">
        <f ca="1"/>
        <v>#REF!</v>
      </c>
      <c r="M177" s="113" t="e">
        <f ca="1"/>
        <v>#REF!</v>
      </c>
      <c r="N177" s="113" t="e">
        <f ca="1"/>
        <v>#REF!</v>
      </c>
      <c r="O177" s="113" t="e">
        <f ca="1"/>
        <v>#REF!</v>
      </c>
      <c r="P177" s="113" t="e">
        <f ca="1"/>
        <v>#REF!</v>
      </c>
      <c r="Q177" s="113" t="e">
        <f ca="1"/>
        <v>#REF!</v>
      </c>
      <c r="R177" s="113" t="e">
        <f ca="1"/>
        <v>#REF!</v>
      </c>
      <c r="S177" s="113" t="e">
        <f ca="1"/>
        <v>#REF!</v>
      </c>
      <c r="T177" s="113" t="e">
        <f ca="1"/>
        <v>#REF!</v>
      </c>
      <c r="U177" s="113" t="e">
        <f ca="1"/>
        <v>#REF!</v>
      </c>
      <c r="V177" s="113" t="e">
        <f ca="1"/>
        <v>#REF!</v>
      </c>
      <c r="W177" s="113" t="e">
        <f ca="1"/>
        <v>#REF!</v>
      </c>
      <c r="X177" s="113" t="e">
        <f ca="1"/>
        <v>#REF!</v>
      </c>
      <c r="Y177" s="113" t="e">
        <f ca="1"/>
        <v>#REF!</v>
      </c>
      <c r="Z177" s="113" t="e">
        <f ca="1"/>
        <v>#REF!</v>
      </c>
      <c r="AA177" s="113"/>
      <c r="AB177" s="113"/>
      <c r="AC177" s="113"/>
      <c r="AD177" s="113"/>
      <c r="AE177" s="113" t="str">
        <f ca="1">IFERROR(__xludf.DUMMYFUNCTION("""COMPUTED_VALUE"""),"Parcial")</f>
        <v>Parcial</v>
      </c>
      <c r="AF177" s="113" t="str">
        <f ca="1">IFERROR(__xludf.DUMMYFUNCTION("""COMPUTED_VALUE"""),"FE")</f>
        <v>FE</v>
      </c>
      <c r="AG177" s="113">
        <f ca="1">IFERROR(__xludf.DUMMYFUNCTION("""COMPUTED_VALUE"""),0)</f>
        <v>0</v>
      </c>
      <c r="AH177" s="113">
        <f ca="1">IFERROR(__xludf.DUMMYFUNCTION("""COMPUTED_VALUE"""),0)</f>
        <v>0</v>
      </c>
      <c r="AI177" s="113">
        <f ca="1">IFERROR(__xludf.DUMMYFUNCTION("""COMPUTED_VALUE"""),0)</f>
        <v>0</v>
      </c>
      <c r="AJ177" s="113">
        <f ca="1">IFERROR(__xludf.DUMMYFUNCTION("""COMPUTED_VALUE"""),0)</f>
        <v>0</v>
      </c>
      <c r="AK177" s="113"/>
      <c r="AL177" s="116"/>
    </row>
    <row r="178" spans="1:38" ht="12.75">
      <c r="A178" s="112" t="str">
        <f ca="1">IFERROR(__xludf.DUMMYFUNCTION("""COMPUTED_VALUE"""),"17054125")</f>
        <v>17054125</v>
      </c>
      <c r="B178" s="113" t="str">
        <f ca="1">IFERROR(__xludf.DUMMYFUNCTION("""COMPUTED_VALUE"""),"Guaraí")</f>
        <v>Guaraí</v>
      </c>
      <c r="C178" s="113" t="str">
        <f ca="1">IFERROR(__xludf.DUMMYFUNCTION("""COMPUTED_VALUE"""),"Goianorte")</f>
        <v>Goianorte</v>
      </c>
      <c r="D178" s="114" t="str">
        <f ca="1">IFERROR(__xludf.DUMMYFUNCTION("""COMPUTED_VALUE"""),"ASSOC. DE APOIO DA ESCOLA ESPECIAL NOVOV PARAÍSO - APAE")</f>
        <v>ASSOC. DE APOIO DA ESCOLA ESPECIAL NOVOV PARAÍSO - APAE</v>
      </c>
      <c r="E178" s="113" t="str">
        <f ca="1">IFERROR(__xludf.DUMMYFUNCTION("""COMPUTED_VALUE"""),"Escola Especial Novo Paraíso")</f>
        <v>Escola Especial Novo Paraíso</v>
      </c>
      <c r="F178" s="115" t="str">
        <f ca="1">IFERROR(__xludf.DUMMYFUNCTION("""COMPUTED_VALUE"""),"17054125")</f>
        <v>17054125</v>
      </c>
      <c r="G178" s="113" t="str">
        <f ca="1">IFERROR(__xludf.DUMMYFUNCTION("""COMPUTED_VALUE"""),"09510602000163")</f>
        <v>09510602000163</v>
      </c>
      <c r="H178" s="115" t="str">
        <f ca="1">IFERROR(__xludf.DUMMYFUNCTION("""COMPUTED_VALUE"""),"001")</f>
        <v>001</v>
      </c>
      <c r="I178" s="115" t="str">
        <f ca="1">IFERROR(__xludf.DUMMYFUNCTION("""COMPUTED_VALUE"""),"1306")</f>
        <v>1306</v>
      </c>
      <c r="J178" s="115" t="str">
        <f ca="1">IFERROR(__xludf.DUMMYFUNCTION("""COMPUTED_VALUE"""),"138258")</f>
        <v>138258</v>
      </c>
      <c r="K178" s="113" t="e">
        <f ca="1"/>
        <v>#REF!</v>
      </c>
      <c r="L178" s="113" t="e">
        <f ca="1"/>
        <v>#REF!</v>
      </c>
      <c r="M178" s="113" t="e">
        <f ca="1"/>
        <v>#REF!</v>
      </c>
      <c r="N178" s="113" t="e">
        <f ca="1"/>
        <v>#REF!</v>
      </c>
      <c r="O178" s="113" t="e">
        <f ca="1"/>
        <v>#REF!</v>
      </c>
      <c r="P178" s="113" t="e">
        <f ca="1"/>
        <v>#REF!</v>
      </c>
      <c r="Q178" s="113" t="e">
        <f ca="1"/>
        <v>#REF!</v>
      </c>
      <c r="R178" s="113" t="e">
        <f ca="1"/>
        <v>#REF!</v>
      </c>
      <c r="S178" s="113" t="e">
        <f ca="1"/>
        <v>#REF!</v>
      </c>
      <c r="T178" s="113" t="e">
        <f ca="1"/>
        <v>#REF!</v>
      </c>
      <c r="U178" s="113" t="e">
        <f ca="1"/>
        <v>#REF!</v>
      </c>
      <c r="V178" s="113" t="e">
        <f ca="1"/>
        <v>#REF!</v>
      </c>
      <c r="W178" s="113" t="e">
        <f ca="1"/>
        <v>#REF!</v>
      </c>
      <c r="X178" s="113" t="e">
        <f ca="1"/>
        <v>#REF!</v>
      </c>
      <c r="Y178" s="113" t="e">
        <f ca="1"/>
        <v>#REF!</v>
      </c>
      <c r="Z178" s="113" t="e">
        <f ca="1"/>
        <v>#REF!</v>
      </c>
      <c r="AA178" s="113"/>
      <c r="AB178" s="113"/>
      <c r="AC178" s="113"/>
      <c r="AD178" s="113"/>
      <c r="AE178" s="113" t="str">
        <f ca="1">IFERROR(__xludf.DUMMYFUNCTION("""COMPUTED_VALUE"""),"Parcial")</f>
        <v>Parcial</v>
      </c>
      <c r="AF178" s="113" t="str">
        <f ca="1">IFERROR(__xludf.DUMMYFUNCTION("""COMPUTED_VALUE"""),"FE")</f>
        <v>FE</v>
      </c>
      <c r="AG178" s="113">
        <f ca="1">IFERROR(__xludf.DUMMYFUNCTION("""COMPUTED_VALUE"""),0)</f>
        <v>0</v>
      </c>
      <c r="AH178" s="113">
        <f ca="1">IFERROR(__xludf.DUMMYFUNCTION("""COMPUTED_VALUE"""),0)</f>
        <v>0</v>
      </c>
      <c r="AI178" s="113">
        <f ca="1">IFERROR(__xludf.DUMMYFUNCTION("""COMPUTED_VALUE"""),0)</f>
        <v>0</v>
      </c>
      <c r="AJ178" s="113">
        <f ca="1">IFERROR(__xludf.DUMMYFUNCTION("""COMPUTED_VALUE"""),0)</f>
        <v>0</v>
      </c>
      <c r="AK178" s="113"/>
      <c r="AL178" s="116"/>
    </row>
    <row r="179" spans="1:38" ht="12.75">
      <c r="A179" s="112" t="str">
        <f ca="1">IFERROR(__xludf.DUMMYFUNCTION("""COMPUTED_VALUE"""),"17012988")</f>
        <v>17012988</v>
      </c>
      <c r="B179" s="113" t="str">
        <f ca="1">IFERROR(__xludf.DUMMYFUNCTION("""COMPUTED_VALUE"""),"Guaraí")</f>
        <v>Guaraí</v>
      </c>
      <c r="C179" s="113" t="str">
        <f ca="1">IFERROR(__xludf.DUMMYFUNCTION("""COMPUTED_VALUE"""),"Goianorte")</f>
        <v>Goianorte</v>
      </c>
      <c r="D179" s="114" t="str">
        <f ca="1">IFERROR(__xludf.DUMMYFUNCTION("""COMPUTED_VALUE"""),"A.A.  DA ESCOLA ESTADUAL MORRO DO MATO")</f>
        <v>A.A.  DA ESCOLA ESTADUAL MORRO DO MATO</v>
      </c>
      <c r="E179" s="113" t="str">
        <f ca="1">IFERROR(__xludf.DUMMYFUNCTION("""COMPUTED_VALUE"""),"Escola Estadual Morro do Mato")</f>
        <v>Escola Estadual Morro do Mato</v>
      </c>
      <c r="F179" s="115" t="str">
        <f ca="1">IFERROR(__xludf.DUMMYFUNCTION("""COMPUTED_VALUE"""),"17012988")</f>
        <v>17012988</v>
      </c>
      <c r="G179" s="113" t="str">
        <f ca="1">IFERROR(__xludf.DUMMYFUNCTION("""COMPUTED_VALUE"""),"01990368000107")</f>
        <v>01990368000107</v>
      </c>
      <c r="H179" s="115" t="str">
        <f ca="1">IFERROR(__xludf.DUMMYFUNCTION("""COMPUTED_VALUE"""),"001")</f>
        <v>001</v>
      </c>
      <c r="I179" s="115" t="str">
        <f ca="1">IFERROR(__xludf.DUMMYFUNCTION("""COMPUTED_VALUE"""),"1306")</f>
        <v>1306</v>
      </c>
      <c r="J179" s="115" t="str">
        <f ca="1">IFERROR(__xludf.DUMMYFUNCTION("""COMPUTED_VALUE"""),"54178")</f>
        <v>54178</v>
      </c>
      <c r="K179" s="113" t="e">
        <f ca="1"/>
        <v>#REF!</v>
      </c>
      <c r="L179" s="113" t="e">
        <f ca="1"/>
        <v>#REF!</v>
      </c>
      <c r="M179" s="113" t="e">
        <f ca="1"/>
        <v>#REF!</v>
      </c>
      <c r="N179" s="113" t="e">
        <f ca="1"/>
        <v>#REF!</v>
      </c>
      <c r="O179" s="113" t="e">
        <f ca="1"/>
        <v>#REF!</v>
      </c>
      <c r="P179" s="113" t="e">
        <f ca="1"/>
        <v>#REF!</v>
      </c>
      <c r="Q179" s="113" t="e">
        <f ca="1"/>
        <v>#REF!</v>
      </c>
      <c r="R179" s="113" t="e">
        <f ca="1"/>
        <v>#REF!</v>
      </c>
      <c r="S179" s="113" t="e">
        <f ca="1"/>
        <v>#REF!</v>
      </c>
      <c r="T179" s="113" t="e">
        <f ca="1"/>
        <v>#REF!</v>
      </c>
      <c r="U179" s="113" t="e">
        <f ca="1"/>
        <v>#REF!</v>
      </c>
      <c r="V179" s="113" t="e">
        <f ca="1"/>
        <v>#REF!</v>
      </c>
      <c r="W179" s="113" t="e">
        <f ca="1"/>
        <v>#REF!</v>
      </c>
      <c r="X179" s="113" t="e">
        <f ca="1"/>
        <v>#REF!</v>
      </c>
      <c r="Y179" s="113" t="e">
        <f ca="1"/>
        <v>#REF!</v>
      </c>
      <c r="Z179" s="113" t="e">
        <f ca="1"/>
        <v>#REF!</v>
      </c>
      <c r="AA179" s="113"/>
      <c r="AB179" s="113"/>
      <c r="AC179" s="113"/>
      <c r="AD179" s="113" t="str">
        <f ca="1">IFERROR(__xludf.DUMMYFUNCTION("""COMPUTED_VALUE"""),"CRECHE")</f>
        <v>CRECHE</v>
      </c>
      <c r="AE179" s="113" t="str">
        <f ca="1">IFERROR(__xludf.DUMMYFUNCTION("""COMPUTED_VALUE"""),"Parcial")</f>
        <v>Parcial</v>
      </c>
      <c r="AF179" s="113" t="str">
        <f ca="1">IFERROR(__xludf.DUMMYFUNCTION("""COMPUTED_VALUE"""),"FE")</f>
        <v>FE</v>
      </c>
      <c r="AG179" s="113">
        <f ca="1">IFERROR(__xludf.DUMMYFUNCTION("""COMPUTED_VALUE"""),0)</f>
        <v>0</v>
      </c>
      <c r="AH179" s="113">
        <f ca="1">IFERROR(__xludf.DUMMYFUNCTION("""COMPUTED_VALUE"""),0)</f>
        <v>0</v>
      </c>
      <c r="AI179" s="113">
        <f ca="1">IFERROR(__xludf.DUMMYFUNCTION("""COMPUTED_VALUE"""),0)</f>
        <v>0</v>
      </c>
      <c r="AJ179" s="113">
        <f ca="1">IFERROR(__xludf.DUMMYFUNCTION("""COMPUTED_VALUE"""),0)</f>
        <v>0</v>
      </c>
      <c r="AK179" s="113"/>
      <c r="AL179" s="116"/>
    </row>
    <row r="180" spans="1:38" ht="12.75">
      <c r="A180" s="112" t="str">
        <f ca="1">IFERROR(__xludf.DUMMYFUNCTION("""COMPUTED_VALUE"""),"17013453")</f>
        <v>17013453</v>
      </c>
      <c r="B180" s="113" t="str">
        <f ca="1">IFERROR(__xludf.DUMMYFUNCTION("""COMPUTED_VALUE"""),"Guaraí")</f>
        <v>Guaraí</v>
      </c>
      <c r="C180" s="113" t="str">
        <f ca="1">IFERROR(__xludf.DUMMYFUNCTION("""COMPUTED_VALUE"""),"Guarai")</f>
        <v>Guarai</v>
      </c>
      <c r="D180" s="114" t="str">
        <f ca="1">IFERROR(__xludf.DUMMYFUNCTION("""COMPUTED_VALUE"""),"ASSOC. DE APOIO ESC. EST. OQUERLINA TORRES")</f>
        <v>ASSOC. DE APOIO ESC. EST. OQUERLINA TORRES</v>
      </c>
      <c r="E180" s="113" t="str">
        <f ca="1">IFERROR(__xludf.DUMMYFUNCTION("""COMPUTED_VALUE"""),"Centro de Ensino Médio Oquerlina Torres")</f>
        <v>Centro de Ensino Médio Oquerlina Torres</v>
      </c>
      <c r="F180" s="115" t="str">
        <f ca="1">IFERROR(__xludf.DUMMYFUNCTION("""COMPUTED_VALUE"""),"17013453")</f>
        <v>17013453</v>
      </c>
      <c r="G180" s="113" t="str">
        <f ca="1">IFERROR(__xludf.DUMMYFUNCTION("""COMPUTED_VALUE"""),"01421201000125")</f>
        <v>01421201000125</v>
      </c>
      <c r="H180" s="115" t="str">
        <f ca="1">IFERROR(__xludf.DUMMYFUNCTION("""COMPUTED_VALUE"""),"001")</f>
        <v>001</v>
      </c>
      <c r="I180" s="115" t="str">
        <f ca="1">IFERROR(__xludf.DUMMYFUNCTION("""COMPUTED_VALUE"""),"2094")</f>
        <v>2094</v>
      </c>
      <c r="J180" s="115" t="str">
        <f ca="1">IFERROR(__xludf.DUMMYFUNCTION("""COMPUTED_VALUE"""),"19266X")</f>
        <v>19266X</v>
      </c>
      <c r="K180" s="113" t="e">
        <f ca="1"/>
        <v>#REF!</v>
      </c>
      <c r="L180" s="113" t="e">
        <f ca="1"/>
        <v>#REF!</v>
      </c>
      <c r="M180" s="113" t="e">
        <f ca="1"/>
        <v>#REF!</v>
      </c>
      <c r="N180" s="113" t="e">
        <f ca="1"/>
        <v>#REF!</v>
      </c>
      <c r="O180" s="113" t="e">
        <f ca="1"/>
        <v>#REF!</v>
      </c>
      <c r="P180" s="113" t="e">
        <f ca="1"/>
        <v>#REF!</v>
      </c>
      <c r="Q180" s="113" t="e">
        <f ca="1"/>
        <v>#REF!</v>
      </c>
      <c r="R180" s="113" t="e">
        <f ca="1"/>
        <v>#REF!</v>
      </c>
      <c r="S180" s="113" t="e">
        <f ca="1"/>
        <v>#REF!</v>
      </c>
      <c r="T180" s="113" t="e">
        <f ca="1"/>
        <v>#REF!</v>
      </c>
      <c r="U180" s="113" t="e">
        <f ca="1"/>
        <v>#REF!</v>
      </c>
      <c r="V180" s="113" t="e">
        <f ca="1"/>
        <v>#REF!</v>
      </c>
      <c r="W180" s="113" t="e">
        <f ca="1"/>
        <v>#REF!</v>
      </c>
      <c r="X180" s="113" t="e">
        <f ca="1"/>
        <v>#REF!</v>
      </c>
      <c r="Y180" s="113" t="e">
        <f ca="1"/>
        <v>#REF!</v>
      </c>
      <c r="Z180" s="113" t="e">
        <f ca="1"/>
        <v>#REF!</v>
      </c>
      <c r="AA180" s="113"/>
      <c r="AB180" s="113"/>
      <c r="AC180" s="113"/>
      <c r="AD180" s="113" t="str">
        <f ca="1">IFERROR(__xludf.DUMMYFUNCTION("""COMPUTED_VALUE"""),"E.M. INTEGRADO")</f>
        <v>E.M. INTEGRADO</v>
      </c>
      <c r="AE180" s="113" t="str">
        <f ca="1">IFERROR(__xludf.DUMMYFUNCTION("""COMPUTED_VALUE"""),"Parcial")</f>
        <v>Parcial</v>
      </c>
      <c r="AF180" s="113" t="str">
        <f ca="1">IFERROR(__xludf.DUMMYFUNCTION("""COMPUTED_VALUE"""),"FE")</f>
        <v>FE</v>
      </c>
      <c r="AG180" s="113">
        <f ca="1">IFERROR(__xludf.DUMMYFUNCTION("""COMPUTED_VALUE"""),15)</f>
        <v>15</v>
      </c>
      <c r="AH180" s="113">
        <f ca="1">IFERROR(__xludf.DUMMYFUNCTION("""COMPUTED_VALUE"""),0)</f>
        <v>0</v>
      </c>
      <c r="AI180" s="113">
        <f ca="1">IFERROR(__xludf.DUMMYFUNCTION("""COMPUTED_VALUE"""),0)</f>
        <v>0</v>
      </c>
      <c r="AJ180" s="113">
        <f ca="1">IFERROR(__xludf.DUMMYFUNCTION("""COMPUTED_VALUE"""),0)</f>
        <v>0</v>
      </c>
      <c r="AK180" s="113"/>
      <c r="AL180" s="116"/>
    </row>
    <row r="181" spans="1:38" ht="12.75">
      <c r="A181" s="112" t="str">
        <f ca="1">IFERROR(__xludf.DUMMYFUNCTION("""COMPUTED_VALUE"""),"17013410")</f>
        <v>17013410</v>
      </c>
      <c r="B181" s="113" t="str">
        <f ca="1">IFERROR(__xludf.DUMMYFUNCTION("""COMPUTED_VALUE"""),"Guaraí")</f>
        <v>Guaraí</v>
      </c>
      <c r="C181" s="113" t="str">
        <f ca="1">IFERROR(__xludf.DUMMYFUNCTION("""COMPUTED_VALUE"""),"Guarai")</f>
        <v>Guarai</v>
      </c>
      <c r="D181" s="114" t="str">
        <f ca="1">IFERROR(__xludf.DUMMYFUNCTION("""COMPUTED_VALUE"""),"A.A.  AS ESC. EST. ANTONIO ALENCAR LEAO")</f>
        <v>A.A.  AS ESC. EST. ANTONIO ALENCAR LEAO</v>
      </c>
      <c r="E181" s="113" t="str">
        <f ca="1">IFERROR(__xludf.DUMMYFUNCTION("""COMPUTED_VALUE"""),"Colégio Estadual Antônio Alencar Leão")</f>
        <v>Colégio Estadual Antônio Alencar Leão</v>
      </c>
      <c r="F181" s="115" t="str">
        <f ca="1">IFERROR(__xludf.DUMMYFUNCTION("""COMPUTED_VALUE"""),"17013410")</f>
        <v>17013410</v>
      </c>
      <c r="G181" s="113" t="str">
        <f ca="1">IFERROR(__xludf.DUMMYFUNCTION("""COMPUTED_VALUE"""),"01575370000110")</f>
        <v>01575370000110</v>
      </c>
      <c r="H181" s="115" t="str">
        <f ca="1">IFERROR(__xludf.DUMMYFUNCTION("""COMPUTED_VALUE"""),"001")</f>
        <v>001</v>
      </c>
      <c r="I181" s="115" t="str">
        <f ca="1">IFERROR(__xludf.DUMMYFUNCTION("""COMPUTED_VALUE"""),"2094")</f>
        <v>2094</v>
      </c>
      <c r="J181" s="115" t="str">
        <f ca="1">IFERROR(__xludf.DUMMYFUNCTION("""COMPUTED_VALUE"""),"476536")</f>
        <v>476536</v>
      </c>
      <c r="K181" s="113" t="e">
        <f ca="1"/>
        <v>#REF!</v>
      </c>
      <c r="L181" s="113" t="e">
        <f ca="1"/>
        <v>#REF!</v>
      </c>
      <c r="M181" s="113" t="e">
        <f ca="1"/>
        <v>#REF!</v>
      </c>
      <c r="N181" s="113" t="e">
        <f ca="1"/>
        <v>#REF!</v>
      </c>
      <c r="O181" s="113" t="e">
        <f ca="1"/>
        <v>#REF!</v>
      </c>
      <c r="P181" s="113" t="e">
        <f ca="1"/>
        <v>#REF!</v>
      </c>
      <c r="Q181" s="113" t="e">
        <f ca="1"/>
        <v>#REF!</v>
      </c>
      <c r="R181" s="113" t="e">
        <f ca="1"/>
        <v>#REF!</v>
      </c>
      <c r="S181" s="113" t="e">
        <f ca="1"/>
        <v>#REF!</v>
      </c>
      <c r="T181" s="113" t="e">
        <f ca="1"/>
        <v>#REF!</v>
      </c>
      <c r="U181" s="113" t="e">
        <f ca="1"/>
        <v>#REF!</v>
      </c>
      <c r="V181" s="113" t="e">
        <f ca="1"/>
        <v>#REF!</v>
      </c>
      <c r="W181" s="113" t="e">
        <f ca="1"/>
        <v>#REF!</v>
      </c>
      <c r="X181" s="113" t="e">
        <f ca="1"/>
        <v>#REF!</v>
      </c>
      <c r="Y181" s="113" t="e">
        <f ca="1"/>
        <v>#REF!</v>
      </c>
      <c r="Z181" s="113" t="e">
        <f ca="1"/>
        <v>#REF!</v>
      </c>
      <c r="AA181" s="113"/>
      <c r="AB181" s="113"/>
      <c r="AC181" s="113"/>
      <c r="AD181" s="113"/>
      <c r="AE181" s="113" t="str">
        <f ca="1">IFERROR(__xludf.DUMMYFUNCTION("""COMPUTED_VALUE"""),"Parcial")</f>
        <v>Parcial</v>
      </c>
      <c r="AF181" s="113" t="str">
        <f ca="1">IFERROR(__xludf.DUMMYFUNCTION("""COMPUTED_VALUE"""),"FE")</f>
        <v>FE</v>
      </c>
      <c r="AG181" s="113">
        <f ca="1">IFERROR(__xludf.DUMMYFUNCTION("""COMPUTED_VALUE"""),0)</f>
        <v>0</v>
      </c>
      <c r="AH181" s="113">
        <f ca="1">IFERROR(__xludf.DUMMYFUNCTION("""COMPUTED_VALUE"""),0)</f>
        <v>0</v>
      </c>
      <c r="AI181" s="113">
        <f ca="1">IFERROR(__xludf.DUMMYFUNCTION("""COMPUTED_VALUE"""),0)</f>
        <v>0</v>
      </c>
      <c r="AJ181" s="113">
        <f ca="1">IFERROR(__xludf.DUMMYFUNCTION("""COMPUTED_VALUE"""),0)</f>
        <v>0</v>
      </c>
      <c r="AK181" s="113"/>
      <c r="AL181" s="116"/>
    </row>
    <row r="182" spans="1:38" ht="12.75">
      <c r="A182" s="112" t="str">
        <f ca="1">IFERROR(__xludf.DUMMYFUNCTION("""COMPUTED_VALUE"""),"17013364")</f>
        <v>17013364</v>
      </c>
      <c r="B182" s="113" t="str">
        <f ca="1">IFERROR(__xludf.DUMMYFUNCTION("""COMPUTED_VALUE"""),"Guaraí")</f>
        <v>Guaraí</v>
      </c>
      <c r="C182" s="113" t="str">
        <f ca="1">IFERROR(__xludf.DUMMYFUNCTION("""COMPUTED_VALUE"""),"Guarai")</f>
        <v>Guarai</v>
      </c>
      <c r="D182" s="114" t="str">
        <f ca="1">IFERROR(__xludf.DUMMYFUNCTION("""COMPUTED_VALUE"""),"A.A. DO COL. EST. DONA ANAIDES B.MIRANDA")</f>
        <v>A.A. DO COL. EST. DONA ANAIDES B.MIRANDA</v>
      </c>
      <c r="E182" s="113" t="str">
        <f ca="1">IFERROR(__xludf.DUMMYFUNCTION("""COMPUTED_VALUE"""),"Colégio Estadual dona Anaídes Brito Miranda")</f>
        <v>Colégio Estadual dona Anaídes Brito Miranda</v>
      </c>
      <c r="F182" s="115" t="str">
        <f ca="1">IFERROR(__xludf.DUMMYFUNCTION("""COMPUTED_VALUE"""),"17013364")</f>
        <v>17013364</v>
      </c>
      <c r="G182" s="113" t="str">
        <f ca="1">IFERROR(__xludf.DUMMYFUNCTION("""COMPUTED_VALUE"""),"01867376000160")</f>
        <v>01867376000160</v>
      </c>
      <c r="H182" s="115" t="str">
        <f ca="1">IFERROR(__xludf.DUMMYFUNCTION("""COMPUTED_VALUE"""),"001")</f>
        <v>001</v>
      </c>
      <c r="I182" s="115" t="str">
        <f ca="1">IFERROR(__xludf.DUMMYFUNCTION("""COMPUTED_VALUE"""),"2094")</f>
        <v>2094</v>
      </c>
      <c r="J182" s="115" t="str">
        <f ca="1">IFERROR(__xludf.DUMMYFUNCTION("""COMPUTED_VALUE"""),"472123")</f>
        <v>472123</v>
      </c>
      <c r="K182" s="113" t="e">
        <f ca="1"/>
        <v>#REF!</v>
      </c>
      <c r="L182" s="113" t="e">
        <f ca="1"/>
        <v>#REF!</v>
      </c>
      <c r="M182" s="113" t="e">
        <f ca="1"/>
        <v>#REF!</v>
      </c>
      <c r="N182" s="113" t="e">
        <f ca="1"/>
        <v>#REF!</v>
      </c>
      <c r="O182" s="113" t="e">
        <f ca="1"/>
        <v>#REF!</v>
      </c>
      <c r="P182" s="113" t="e">
        <f ca="1"/>
        <v>#REF!</v>
      </c>
      <c r="Q182" s="113" t="e">
        <f ca="1"/>
        <v>#REF!</v>
      </c>
      <c r="R182" s="113" t="e">
        <f ca="1"/>
        <v>#REF!</v>
      </c>
      <c r="S182" s="113" t="e">
        <f ca="1"/>
        <v>#REF!</v>
      </c>
      <c r="T182" s="113" t="e">
        <f ca="1"/>
        <v>#REF!</v>
      </c>
      <c r="U182" s="113" t="e">
        <f ca="1"/>
        <v>#REF!</v>
      </c>
      <c r="V182" s="113" t="e">
        <f ca="1"/>
        <v>#REF!</v>
      </c>
      <c r="W182" s="113" t="e">
        <f ca="1"/>
        <v>#REF!</v>
      </c>
      <c r="X182" s="113" t="e">
        <f ca="1"/>
        <v>#REF!</v>
      </c>
      <c r="Y182" s="113" t="e">
        <f ca="1"/>
        <v>#REF!</v>
      </c>
      <c r="Z182" s="113" t="e">
        <f ca="1"/>
        <v>#REF!</v>
      </c>
      <c r="AA182" s="113"/>
      <c r="AB182" s="113"/>
      <c r="AC182" s="113"/>
      <c r="AD182" s="113"/>
      <c r="AE182" s="113" t="str">
        <f ca="1">IFERROR(__xludf.DUMMYFUNCTION("""COMPUTED_VALUE"""),"Parcial")</f>
        <v>Parcial</v>
      </c>
      <c r="AF182" s="113" t="str">
        <f ca="1">IFERROR(__xludf.DUMMYFUNCTION("""COMPUTED_VALUE"""),"FE")</f>
        <v>FE</v>
      </c>
      <c r="AG182" s="113">
        <f ca="1">IFERROR(__xludf.DUMMYFUNCTION("""COMPUTED_VALUE"""),0)</f>
        <v>0</v>
      </c>
      <c r="AH182" s="113">
        <f ca="1">IFERROR(__xludf.DUMMYFUNCTION("""COMPUTED_VALUE"""),0)</f>
        <v>0</v>
      </c>
      <c r="AI182" s="113">
        <f ca="1">IFERROR(__xludf.DUMMYFUNCTION("""COMPUTED_VALUE"""),0)</f>
        <v>0</v>
      </c>
      <c r="AJ182" s="113">
        <f ca="1">IFERROR(__xludf.DUMMYFUNCTION("""COMPUTED_VALUE"""),0)</f>
        <v>0</v>
      </c>
      <c r="AK182" s="113"/>
      <c r="AL182" s="116"/>
    </row>
    <row r="183" spans="1:38" ht="12.75">
      <c r="A183" s="112" t="str">
        <f ca="1">IFERROR(__xludf.DUMMYFUNCTION("""COMPUTED_VALUE"""),"17013372")</f>
        <v>17013372</v>
      </c>
      <c r="B183" s="113" t="str">
        <f ca="1">IFERROR(__xludf.DUMMYFUNCTION("""COMPUTED_VALUE"""),"Guaraí")</f>
        <v>Guaraí</v>
      </c>
      <c r="C183" s="113" t="str">
        <f ca="1">IFERROR(__xludf.DUMMYFUNCTION("""COMPUTED_VALUE"""),"Guarai")</f>
        <v>Guarai</v>
      </c>
      <c r="D183" s="114" t="str">
        <f ca="1">IFERROR(__xludf.DUMMYFUNCTION("""COMPUTED_VALUE"""),"A. ESCOLAR COM.COL. EST.RAIMUNDO A.LEAO")</f>
        <v>A. ESCOLAR COM.COL. EST.RAIMUNDO A.LEAO</v>
      </c>
      <c r="E183" s="113" t="str">
        <f ca="1">IFERROR(__xludf.DUMMYFUNCTION("""COMPUTED_VALUE"""),"Colégio Estadual Raimundo Alencar Leão")</f>
        <v>Colégio Estadual Raimundo Alencar Leão</v>
      </c>
      <c r="F183" s="115" t="str">
        <f ca="1">IFERROR(__xludf.DUMMYFUNCTION("""COMPUTED_VALUE"""),"17013372")</f>
        <v>17013372</v>
      </c>
      <c r="G183" s="113" t="str">
        <f ca="1">IFERROR(__xludf.DUMMYFUNCTION("""COMPUTED_VALUE"""),"00880649000144")</f>
        <v>00880649000144</v>
      </c>
      <c r="H183" s="115" t="str">
        <f ca="1">IFERROR(__xludf.DUMMYFUNCTION("""COMPUTED_VALUE"""),"001")</f>
        <v>001</v>
      </c>
      <c r="I183" s="115" t="str">
        <f ca="1">IFERROR(__xludf.DUMMYFUNCTION("""COMPUTED_VALUE"""),"2094")</f>
        <v>2094</v>
      </c>
      <c r="J183" s="115" t="str">
        <f ca="1">IFERROR(__xludf.DUMMYFUNCTION("""COMPUTED_VALUE"""),"0472719")</f>
        <v>0472719</v>
      </c>
      <c r="K183" s="113" t="e">
        <f ca="1"/>
        <v>#REF!</v>
      </c>
      <c r="L183" s="113" t="e">
        <f ca="1"/>
        <v>#REF!</v>
      </c>
      <c r="M183" s="113" t="e">
        <f ca="1"/>
        <v>#REF!</v>
      </c>
      <c r="N183" s="113" t="e">
        <f ca="1"/>
        <v>#REF!</v>
      </c>
      <c r="O183" s="113" t="e">
        <f ca="1"/>
        <v>#REF!</v>
      </c>
      <c r="P183" s="113" t="e">
        <f ca="1"/>
        <v>#REF!</v>
      </c>
      <c r="Q183" s="113" t="e">
        <f ca="1"/>
        <v>#REF!</v>
      </c>
      <c r="R183" s="113" t="e">
        <f ca="1"/>
        <v>#REF!</v>
      </c>
      <c r="S183" s="113" t="e">
        <f ca="1"/>
        <v>#REF!</v>
      </c>
      <c r="T183" s="113" t="e">
        <f ca="1"/>
        <v>#REF!</v>
      </c>
      <c r="U183" s="113" t="e">
        <f ca="1"/>
        <v>#REF!</v>
      </c>
      <c r="V183" s="113" t="e">
        <f ca="1"/>
        <v>#REF!</v>
      </c>
      <c r="W183" s="113" t="e">
        <f ca="1"/>
        <v>#REF!</v>
      </c>
      <c r="X183" s="113" t="e">
        <f ca="1"/>
        <v>#REF!</v>
      </c>
      <c r="Y183" s="113" t="e">
        <f ca="1"/>
        <v>#REF!</v>
      </c>
      <c r="Z183" s="113" t="e">
        <f ca="1"/>
        <v>#REF!</v>
      </c>
      <c r="AA183" s="113"/>
      <c r="AB183" s="113"/>
      <c r="AC183" s="113"/>
      <c r="AD183" s="113"/>
      <c r="AE183" s="113" t="str">
        <f ca="1">IFERROR(__xludf.DUMMYFUNCTION("""COMPUTED_VALUE"""),"Parcial")</f>
        <v>Parcial</v>
      </c>
      <c r="AF183" s="113" t="str">
        <f ca="1">IFERROR(__xludf.DUMMYFUNCTION("""COMPUTED_VALUE"""),"FE")</f>
        <v>FE</v>
      </c>
      <c r="AG183" s="113">
        <f ca="1">IFERROR(__xludf.DUMMYFUNCTION("""COMPUTED_VALUE"""),0)</f>
        <v>0</v>
      </c>
      <c r="AH183" s="113">
        <f ca="1">IFERROR(__xludf.DUMMYFUNCTION("""COMPUTED_VALUE"""),0)</f>
        <v>0</v>
      </c>
      <c r="AI183" s="113">
        <f ca="1">IFERROR(__xludf.DUMMYFUNCTION("""COMPUTED_VALUE"""),0)</f>
        <v>0</v>
      </c>
      <c r="AJ183" s="113">
        <f ca="1">IFERROR(__xludf.DUMMYFUNCTION("""COMPUTED_VALUE"""),0)</f>
        <v>0</v>
      </c>
      <c r="AK183" s="113"/>
      <c r="AL183" s="116"/>
    </row>
    <row r="184" spans="1:38" ht="12.75">
      <c r="A184" s="112" t="str">
        <f ca="1">IFERROR(__xludf.DUMMYFUNCTION("""COMPUTED_VALUE"""),"17039851")</f>
        <v>17039851</v>
      </c>
      <c r="B184" s="113" t="str">
        <f ca="1">IFERROR(__xludf.DUMMYFUNCTION("""COMPUTED_VALUE"""),"Guaraí")</f>
        <v>Guaraí</v>
      </c>
      <c r="C184" s="113" t="str">
        <f ca="1">IFERROR(__xludf.DUMMYFUNCTION("""COMPUTED_VALUE"""),"Guarai")</f>
        <v>Guarai</v>
      </c>
      <c r="D184" s="114" t="str">
        <f ca="1">IFERROR(__xludf.DUMMYFUNCTION("""COMPUTED_VALUE"""),"ASSOCIAÇÃO DE APOIO A ESCOLA ESPECIAL ESTRELA DA ESPERANÇA")</f>
        <v>ASSOCIAÇÃO DE APOIO A ESCOLA ESPECIAL ESTRELA DA ESPERANÇA</v>
      </c>
      <c r="E184" s="113" t="str">
        <f ca="1">IFERROR(__xludf.DUMMYFUNCTION("""COMPUTED_VALUE"""),"Escola Especial Estrela da Esperança")</f>
        <v>Escola Especial Estrela da Esperança</v>
      </c>
      <c r="F184" s="115" t="str">
        <f ca="1">IFERROR(__xludf.DUMMYFUNCTION("""COMPUTED_VALUE"""),"17039851")</f>
        <v>17039851</v>
      </c>
      <c r="G184" s="113" t="str">
        <f ca="1">IFERROR(__xludf.DUMMYFUNCTION("""COMPUTED_VALUE"""),"07938604000122")</f>
        <v>07938604000122</v>
      </c>
      <c r="H184" s="115" t="str">
        <f ca="1">IFERROR(__xludf.DUMMYFUNCTION("""COMPUTED_VALUE"""),"001")</f>
        <v>001</v>
      </c>
      <c r="I184" s="115" t="str">
        <f ca="1">IFERROR(__xludf.DUMMYFUNCTION("""COMPUTED_VALUE"""),"2094")</f>
        <v>2094</v>
      </c>
      <c r="J184" s="115" t="str">
        <f ca="1">IFERROR(__xludf.DUMMYFUNCTION("""COMPUTED_VALUE"""),"211621")</f>
        <v>211621</v>
      </c>
      <c r="K184" s="113" t="e">
        <f ca="1"/>
        <v>#REF!</v>
      </c>
      <c r="L184" s="113" t="e">
        <f ca="1"/>
        <v>#REF!</v>
      </c>
      <c r="M184" s="113" t="e">
        <f ca="1"/>
        <v>#REF!</v>
      </c>
      <c r="N184" s="113" t="e">
        <f ca="1"/>
        <v>#REF!</v>
      </c>
      <c r="O184" s="113" t="e">
        <f ca="1"/>
        <v>#REF!</v>
      </c>
      <c r="P184" s="113" t="e">
        <f ca="1"/>
        <v>#REF!</v>
      </c>
      <c r="Q184" s="113" t="e">
        <f ca="1"/>
        <v>#REF!</v>
      </c>
      <c r="R184" s="113" t="e">
        <f ca="1"/>
        <v>#REF!</v>
      </c>
      <c r="S184" s="113" t="e">
        <f ca="1"/>
        <v>#REF!</v>
      </c>
      <c r="T184" s="113" t="e">
        <f ca="1"/>
        <v>#REF!</v>
      </c>
      <c r="U184" s="113" t="e">
        <f ca="1"/>
        <v>#REF!</v>
      </c>
      <c r="V184" s="113" t="e">
        <f ca="1"/>
        <v>#REF!</v>
      </c>
      <c r="W184" s="113" t="e">
        <f ca="1"/>
        <v>#REF!</v>
      </c>
      <c r="X184" s="113" t="e">
        <f ca="1"/>
        <v>#REF!</v>
      </c>
      <c r="Y184" s="113" t="e">
        <f ca="1"/>
        <v>#REF!</v>
      </c>
      <c r="Z184" s="113" t="e">
        <f ca="1"/>
        <v>#REF!</v>
      </c>
      <c r="AA184" s="113"/>
      <c r="AB184" s="113"/>
      <c r="AC184" s="113"/>
      <c r="AD184" s="113"/>
      <c r="AE184" s="113" t="str">
        <f ca="1">IFERROR(__xludf.DUMMYFUNCTION("""COMPUTED_VALUE"""),"Parcial")</f>
        <v>Parcial</v>
      </c>
      <c r="AF184" s="113" t="str">
        <f ca="1">IFERROR(__xludf.DUMMYFUNCTION("""COMPUTED_VALUE"""),"FE")</f>
        <v>FE</v>
      </c>
      <c r="AG184" s="113">
        <f ca="1">IFERROR(__xludf.DUMMYFUNCTION("""COMPUTED_VALUE"""),0)</f>
        <v>0</v>
      </c>
      <c r="AH184" s="113">
        <f ca="1">IFERROR(__xludf.DUMMYFUNCTION("""COMPUTED_VALUE"""),0)</f>
        <v>0</v>
      </c>
      <c r="AI184" s="113">
        <f ca="1">IFERROR(__xludf.DUMMYFUNCTION("""COMPUTED_VALUE"""),0)</f>
        <v>0</v>
      </c>
      <c r="AJ184" s="113">
        <f ca="1">IFERROR(__xludf.DUMMYFUNCTION("""COMPUTED_VALUE"""),0)</f>
        <v>0</v>
      </c>
      <c r="AK184" s="113"/>
      <c r="AL184" s="116"/>
    </row>
    <row r="185" spans="1:38" ht="12.75">
      <c r="A185" s="112" t="str">
        <f ca="1">IFERROR(__xludf.DUMMYFUNCTION("""COMPUTED_VALUE"""),"17013429")</f>
        <v>17013429</v>
      </c>
      <c r="B185" s="113" t="str">
        <f ca="1">IFERROR(__xludf.DUMMYFUNCTION("""COMPUTED_VALUE"""),"Guaraí")</f>
        <v>Guaraí</v>
      </c>
      <c r="C185" s="113" t="str">
        <f ca="1">IFERROR(__xludf.DUMMYFUNCTION("""COMPUTED_VALUE"""),"Guarai")</f>
        <v>Guarai</v>
      </c>
      <c r="D185" s="114" t="str">
        <f ca="1">IFERROR(__xludf.DUMMYFUNCTION("""COMPUTED_VALUE"""),"A.A. ESC. EST.IRINEU ALBANO HENDGES")</f>
        <v>A.A. ESC. EST.IRINEU ALBANO HENDGES</v>
      </c>
      <c r="E185" s="113" t="str">
        <f ca="1">IFERROR(__xludf.DUMMYFUNCTION("""COMPUTED_VALUE"""),"Escola Estadual Irineu Albano Hendges")</f>
        <v>Escola Estadual Irineu Albano Hendges</v>
      </c>
      <c r="F185" s="115" t="str">
        <f ca="1">IFERROR(__xludf.DUMMYFUNCTION("""COMPUTED_VALUE"""),"17013429")</f>
        <v>17013429</v>
      </c>
      <c r="G185" s="113" t="str">
        <f ca="1">IFERROR(__xludf.DUMMYFUNCTION("""COMPUTED_VALUE"""),"01136012000100")</f>
        <v>01136012000100</v>
      </c>
      <c r="H185" s="115" t="str">
        <f ca="1">IFERROR(__xludf.DUMMYFUNCTION("""COMPUTED_VALUE"""),"001")</f>
        <v>001</v>
      </c>
      <c r="I185" s="115" t="str">
        <f ca="1">IFERROR(__xludf.DUMMYFUNCTION("""COMPUTED_VALUE"""),"2094")</f>
        <v>2094</v>
      </c>
      <c r="J185" s="115" t="str">
        <f ca="1">IFERROR(__xludf.DUMMYFUNCTION("""COMPUTED_VALUE"""),"0472433")</f>
        <v>0472433</v>
      </c>
      <c r="K185" s="113" t="e">
        <f ca="1"/>
        <v>#REF!</v>
      </c>
      <c r="L185" s="113" t="e">
        <f ca="1"/>
        <v>#REF!</v>
      </c>
      <c r="M185" s="113" t="e">
        <f ca="1"/>
        <v>#REF!</v>
      </c>
      <c r="N185" s="113" t="e">
        <f ca="1"/>
        <v>#REF!</v>
      </c>
      <c r="O185" s="113" t="e">
        <f ca="1"/>
        <v>#REF!</v>
      </c>
      <c r="P185" s="113" t="e">
        <f ca="1"/>
        <v>#REF!</v>
      </c>
      <c r="Q185" s="113" t="e">
        <f ca="1"/>
        <v>#REF!</v>
      </c>
      <c r="R185" s="113" t="e">
        <f ca="1"/>
        <v>#REF!</v>
      </c>
      <c r="S185" s="113" t="e">
        <f ca="1"/>
        <v>#REF!</v>
      </c>
      <c r="T185" s="113" t="e">
        <f ca="1"/>
        <v>#REF!</v>
      </c>
      <c r="U185" s="113" t="e">
        <f ca="1"/>
        <v>#REF!</v>
      </c>
      <c r="V185" s="113" t="e">
        <f ca="1"/>
        <v>#REF!</v>
      </c>
      <c r="W185" s="113" t="e">
        <f ca="1"/>
        <v>#REF!</v>
      </c>
      <c r="X185" s="113" t="e">
        <f ca="1"/>
        <v>#REF!</v>
      </c>
      <c r="Y185" s="113" t="e">
        <f ca="1"/>
        <v>#REF!</v>
      </c>
      <c r="Z185" s="113" t="e">
        <f ca="1"/>
        <v>#REF!</v>
      </c>
      <c r="AA185" s="113"/>
      <c r="AB185" s="113"/>
      <c r="AC185" s="113"/>
      <c r="AD185" s="113"/>
      <c r="AE185" s="113" t="str">
        <f ca="1">IFERROR(__xludf.DUMMYFUNCTION("""COMPUTED_VALUE"""),"Parcial/Integral")</f>
        <v>Parcial/Integral</v>
      </c>
      <c r="AF185" s="113" t="str">
        <f ca="1">IFERROR(__xludf.DUMMYFUNCTION("""COMPUTED_VALUE"""),"FE")</f>
        <v>FE</v>
      </c>
      <c r="AG185" s="113">
        <f ca="1">IFERROR(__xludf.DUMMYFUNCTION("""COMPUTED_VALUE"""),0)</f>
        <v>0</v>
      </c>
      <c r="AH185" s="113">
        <f ca="1">IFERROR(__xludf.DUMMYFUNCTION("""COMPUTED_VALUE"""),0)</f>
        <v>0</v>
      </c>
      <c r="AI185" s="113">
        <f ca="1">IFERROR(__xludf.DUMMYFUNCTION("""COMPUTED_VALUE"""),0)</f>
        <v>0</v>
      </c>
      <c r="AJ185" s="113">
        <f ca="1">IFERROR(__xludf.DUMMYFUNCTION("""COMPUTED_VALUE"""),0)</f>
        <v>0</v>
      </c>
      <c r="AK185" s="113"/>
      <c r="AL185" s="116"/>
    </row>
    <row r="186" spans="1:38" ht="12.75">
      <c r="A186" s="112" t="str">
        <f ca="1">IFERROR(__xludf.DUMMYFUNCTION("""COMPUTED_VALUE"""),"17013445")</f>
        <v>17013445</v>
      </c>
      <c r="B186" s="113" t="str">
        <f ca="1">IFERROR(__xludf.DUMMYFUNCTION("""COMPUTED_VALUE"""),"Guaraí")</f>
        <v>Guaraí</v>
      </c>
      <c r="C186" s="113" t="str">
        <f ca="1">IFERROR(__xludf.DUMMYFUNCTION("""COMPUTED_VALUE"""),"Guarai")</f>
        <v>Guarai</v>
      </c>
      <c r="D186" s="114" t="str">
        <f ca="1">IFERROR(__xludf.DUMMYFUNCTION("""COMPUTED_VALUE"""),"A.A. ESCOLA EST. JOSE COSTA SOARES")</f>
        <v>A.A. ESCOLA EST. JOSE COSTA SOARES</v>
      </c>
      <c r="E186" s="113" t="str">
        <f ca="1">IFERROR(__xludf.DUMMYFUNCTION("""COMPUTED_VALUE"""),"Escola Estadual José Costa Soares")</f>
        <v>Escola Estadual José Costa Soares</v>
      </c>
      <c r="F186" s="115" t="str">
        <f ca="1">IFERROR(__xludf.DUMMYFUNCTION("""COMPUTED_VALUE"""),"17013445")</f>
        <v>17013445</v>
      </c>
      <c r="G186" s="113" t="str">
        <f ca="1">IFERROR(__xludf.DUMMYFUNCTION("""COMPUTED_VALUE"""),"01421200000180")</f>
        <v>01421200000180</v>
      </c>
      <c r="H186" s="115" t="str">
        <f ca="1">IFERROR(__xludf.DUMMYFUNCTION("""COMPUTED_VALUE"""),"001")</f>
        <v>001</v>
      </c>
      <c r="I186" s="115" t="str">
        <f ca="1">IFERROR(__xludf.DUMMYFUNCTION("""COMPUTED_VALUE"""),"2094")</f>
        <v>2094</v>
      </c>
      <c r="J186" s="115" t="str">
        <f ca="1">IFERROR(__xludf.DUMMYFUNCTION("""COMPUTED_VALUE"""),"471577")</f>
        <v>471577</v>
      </c>
      <c r="K186" s="113" t="e">
        <f ca="1"/>
        <v>#REF!</v>
      </c>
      <c r="L186" s="113" t="e">
        <f ca="1"/>
        <v>#REF!</v>
      </c>
      <c r="M186" s="113" t="e">
        <f ca="1"/>
        <v>#REF!</v>
      </c>
      <c r="N186" s="113" t="e">
        <f ca="1"/>
        <v>#REF!</v>
      </c>
      <c r="O186" s="113" t="e">
        <f ca="1"/>
        <v>#REF!</v>
      </c>
      <c r="P186" s="113" t="e">
        <f ca="1"/>
        <v>#REF!</v>
      </c>
      <c r="Q186" s="113" t="e">
        <f ca="1"/>
        <v>#REF!</v>
      </c>
      <c r="R186" s="113" t="e">
        <f ca="1"/>
        <v>#REF!</v>
      </c>
      <c r="S186" s="113" t="e">
        <f ca="1"/>
        <v>#REF!</v>
      </c>
      <c r="T186" s="113" t="e">
        <f ca="1"/>
        <v>#REF!</v>
      </c>
      <c r="U186" s="113" t="e">
        <f ca="1"/>
        <v>#REF!</v>
      </c>
      <c r="V186" s="113" t="e">
        <f ca="1"/>
        <v>#REF!</v>
      </c>
      <c r="W186" s="113" t="e">
        <f ca="1"/>
        <v>#REF!</v>
      </c>
      <c r="X186" s="113" t="e">
        <f ca="1"/>
        <v>#REF!</v>
      </c>
      <c r="Y186" s="113" t="e">
        <f ca="1"/>
        <v>#REF!</v>
      </c>
      <c r="Z186" s="113" t="e">
        <f ca="1"/>
        <v>#REF!</v>
      </c>
      <c r="AA186" s="113"/>
      <c r="AB186" s="113"/>
      <c r="AC186" s="113"/>
      <c r="AD186" s="113" t="str">
        <f ca="1">IFERROR(__xludf.DUMMYFUNCTION("""COMPUTED_VALUE"""),"CRECHE")</f>
        <v>CRECHE</v>
      </c>
      <c r="AE186" s="113" t="str">
        <f ca="1">IFERROR(__xludf.DUMMYFUNCTION("""COMPUTED_VALUE"""),"Parcial")</f>
        <v>Parcial</v>
      </c>
      <c r="AF186" s="113" t="str">
        <f ca="1">IFERROR(__xludf.DUMMYFUNCTION("""COMPUTED_VALUE"""),"FE")</f>
        <v>FE</v>
      </c>
      <c r="AG186" s="113">
        <f ca="1">IFERROR(__xludf.DUMMYFUNCTION("""COMPUTED_VALUE"""),0)</f>
        <v>0</v>
      </c>
      <c r="AH186" s="113">
        <f ca="1">IFERROR(__xludf.DUMMYFUNCTION("""COMPUTED_VALUE"""),0)</f>
        <v>0</v>
      </c>
      <c r="AI186" s="113">
        <f ca="1">IFERROR(__xludf.DUMMYFUNCTION("""COMPUTED_VALUE"""),0)</f>
        <v>0</v>
      </c>
      <c r="AJ186" s="113">
        <f ca="1">IFERROR(__xludf.DUMMYFUNCTION("""COMPUTED_VALUE"""),0)</f>
        <v>0</v>
      </c>
      <c r="AK186" s="113"/>
      <c r="AL186" s="116"/>
    </row>
    <row r="187" spans="1:38" ht="12.75">
      <c r="A187" s="112" t="str">
        <f ca="1">IFERROR(__xludf.DUMMYFUNCTION("""COMPUTED_VALUE"""),"17014050")</f>
        <v>17014050</v>
      </c>
      <c r="B187" s="113" t="str">
        <f ca="1">IFERROR(__xludf.DUMMYFUNCTION("""COMPUTED_VALUE"""),"Guaraí")</f>
        <v>Guaraí</v>
      </c>
      <c r="C187" s="113" t="str">
        <f ca="1">IFERROR(__xludf.DUMMYFUNCTION("""COMPUTED_VALUE"""),"Itapora do Tocantins")</f>
        <v>Itapora do Tocantins</v>
      </c>
      <c r="D187" s="114" t="str">
        <f ca="1">IFERROR(__xludf.DUMMYFUNCTION("""COMPUTED_VALUE"""),"A.A. COL. EST. FRANCISCA ALVES ALENCAR")</f>
        <v>A.A. COL. EST. FRANCISCA ALVES ALENCAR</v>
      </c>
      <c r="E187" s="113" t="str">
        <f ca="1">IFERROR(__xludf.DUMMYFUNCTION("""COMPUTED_VALUE"""),"Colégio Estadual Francisca Alves de Alencar")</f>
        <v>Colégio Estadual Francisca Alves de Alencar</v>
      </c>
      <c r="F187" s="115" t="str">
        <f ca="1">IFERROR(__xludf.DUMMYFUNCTION("""COMPUTED_VALUE"""),"17014050")</f>
        <v>17014050</v>
      </c>
      <c r="G187" s="113" t="str">
        <f ca="1">IFERROR(__xludf.DUMMYFUNCTION("""COMPUTED_VALUE"""),"01190193000153")</f>
        <v>01190193000153</v>
      </c>
      <c r="H187" s="115" t="str">
        <f ca="1">IFERROR(__xludf.DUMMYFUNCTION("""COMPUTED_VALUE"""),"001")</f>
        <v>001</v>
      </c>
      <c r="I187" s="115" t="str">
        <f ca="1">IFERROR(__xludf.DUMMYFUNCTION("""COMPUTED_VALUE"""),"1306")</f>
        <v>1306</v>
      </c>
      <c r="J187" s="115" t="str">
        <f ca="1">IFERROR(__xludf.DUMMYFUNCTION("""COMPUTED_VALUE"""),"102865")</f>
        <v>102865</v>
      </c>
      <c r="K187" s="113" t="e">
        <f ca="1"/>
        <v>#REF!</v>
      </c>
      <c r="L187" s="113" t="e">
        <f ca="1"/>
        <v>#REF!</v>
      </c>
      <c r="M187" s="113" t="e">
        <f ca="1"/>
        <v>#REF!</v>
      </c>
      <c r="N187" s="113" t="e">
        <f ca="1"/>
        <v>#REF!</v>
      </c>
      <c r="O187" s="113" t="e">
        <f ca="1"/>
        <v>#REF!</v>
      </c>
      <c r="P187" s="113" t="e">
        <f ca="1"/>
        <v>#REF!</v>
      </c>
      <c r="Q187" s="113" t="e">
        <f ca="1"/>
        <v>#REF!</v>
      </c>
      <c r="R187" s="113" t="e">
        <f ca="1"/>
        <v>#REF!</v>
      </c>
      <c r="S187" s="113" t="e">
        <f ca="1"/>
        <v>#REF!</v>
      </c>
      <c r="T187" s="113" t="e">
        <f ca="1"/>
        <v>#REF!</v>
      </c>
      <c r="U187" s="113" t="e">
        <f ca="1"/>
        <v>#REF!</v>
      </c>
      <c r="V187" s="113" t="e">
        <f ca="1"/>
        <v>#REF!</v>
      </c>
      <c r="W187" s="113" t="e">
        <f ca="1"/>
        <v>#REF!</v>
      </c>
      <c r="X187" s="113" t="e">
        <f ca="1"/>
        <v>#REF!</v>
      </c>
      <c r="Y187" s="113" t="e">
        <f ca="1"/>
        <v>#REF!</v>
      </c>
      <c r="Z187" s="113" t="e">
        <f ca="1"/>
        <v>#REF!</v>
      </c>
      <c r="AA187" s="113"/>
      <c r="AB187" s="113"/>
      <c r="AC187" s="113"/>
      <c r="AD187" s="113"/>
      <c r="AE187" s="113" t="str">
        <f ca="1">IFERROR(__xludf.DUMMYFUNCTION("""COMPUTED_VALUE"""),"Parcial")</f>
        <v>Parcial</v>
      </c>
      <c r="AF187" s="113" t="str">
        <f ca="1">IFERROR(__xludf.DUMMYFUNCTION("""COMPUTED_VALUE"""),"FE")</f>
        <v>FE</v>
      </c>
      <c r="AG187" s="113">
        <f ca="1">IFERROR(__xludf.DUMMYFUNCTION("""COMPUTED_VALUE"""),0)</f>
        <v>0</v>
      </c>
      <c r="AH187" s="113">
        <f ca="1">IFERROR(__xludf.DUMMYFUNCTION("""COMPUTED_VALUE"""),0)</f>
        <v>0</v>
      </c>
      <c r="AI187" s="113">
        <f ca="1">IFERROR(__xludf.DUMMYFUNCTION("""COMPUTED_VALUE"""),0)</f>
        <v>0</v>
      </c>
      <c r="AJ187" s="113">
        <f ca="1">IFERROR(__xludf.DUMMYFUNCTION("""COMPUTED_VALUE"""),0)</f>
        <v>0</v>
      </c>
      <c r="AK187" s="113"/>
      <c r="AL187" s="116"/>
    </row>
    <row r="188" spans="1:38" ht="12.75">
      <c r="A188" s="112" t="str">
        <f ca="1">IFERROR(__xludf.DUMMYFUNCTION("""COMPUTED_VALUE"""),"17015952")</f>
        <v>17015952</v>
      </c>
      <c r="B188" s="113" t="str">
        <f ca="1">IFERROR(__xludf.DUMMYFUNCTION("""COMPUTED_VALUE"""),"Guaraí")</f>
        <v>Guaraí</v>
      </c>
      <c r="C188" s="113" t="str">
        <f ca="1">IFERROR(__xludf.DUMMYFUNCTION("""COMPUTED_VALUE"""),"Pequizeiro")</f>
        <v>Pequizeiro</v>
      </c>
      <c r="D188" s="114" t="str">
        <f ca="1">IFERROR(__xludf.DUMMYFUNCTION("""COMPUTED_VALUE"""),"ASSOC. DE APOIO ESC. EST. 1º DE JUNHO")</f>
        <v>ASSOC. DE APOIO ESC. EST. 1º DE JUNHO</v>
      </c>
      <c r="E188" s="113" t="str">
        <f ca="1">IFERROR(__xludf.DUMMYFUNCTION("""COMPUTED_VALUE"""),"Colégio Estadual 1º de Junho")</f>
        <v>Colégio Estadual 1º de Junho</v>
      </c>
      <c r="F188" s="115" t="str">
        <f ca="1">IFERROR(__xludf.DUMMYFUNCTION("""COMPUTED_VALUE"""),"17015952")</f>
        <v>17015952</v>
      </c>
      <c r="G188" s="113" t="str">
        <f ca="1">IFERROR(__xludf.DUMMYFUNCTION("""COMPUTED_VALUE"""),"02060455000128")</f>
        <v>02060455000128</v>
      </c>
      <c r="H188" s="115" t="str">
        <f ca="1">IFERROR(__xludf.DUMMYFUNCTION("""COMPUTED_VALUE"""),"001")</f>
        <v>001</v>
      </c>
      <c r="I188" s="115" t="str">
        <f ca="1">IFERROR(__xludf.DUMMYFUNCTION("""COMPUTED_VALUE"""),"1306")</f>
        <v>1306</v>
      </c>
      <c r="J188" s="115" t="str">
        <f ca="1">IFERROR(__xludf.DUMMYFUNCTION("""COMPUTED_VALUE"""),"147214")</f>
        <v>147214</v>
      </c>
      <c r="K188" s="113" t="e">
        <f ca="1"/>
        <v>#REF!</v>
      </c>
      <c r="L188" s="113" t="e">
        <f ca="1"/>
        <v>#REF!</v>
      </c>
      <c r="M188" s="113" t="e">
        <f ca="1"/>
        <v>#REF!</v>
      </c>
      <c r="N188" s="113" t="e">
        <f ca="1"/>
        <v>#REF!</v>
      </c>
      <c r="O188" s="113" t="e">
        <f ca="1"/>
        <v>#REF!</v>
      </c>
      <c r="P188" s="113" t="e">
        <f ca="1"/>
        <v>#REF!</v>
      </c>
      <c r="Q188" s="113" t="e">
        <f ca="1"/>
        <v>#REF!</v>
      </c>
      <c r="R188" s="113" t="e">
        <f ca="1"/>
        <v>#REF!</v>
      </c>
      <c r="S188" s="113" t="e">
        <f ca="1"/>
        <v>#REF!</v>
      </c>
      <c r="T188" s="113" t="e">
        <f ca="1"/>
        <v>#REF!</v>
      </c>
      <c r="U188" s="113" t="e">
        <f ca="1"/>
        <v>#REF!</v>
      </c>
      <c r="V188" s="113" t="e">
        <f ca="1"/>
        <v>#REF!</v>
      </c>
      <c r="W188" s="113" t="e">
        <f ca="1"/>
        <v>#REF!</v>
      </c>
      <c r="X188" s="113" t="e">
        <f ca="1"/>
        <v>#REF!</v>
      </c>
      <c r="Y188" s="113" t="e">
        <f ca="1"/>
        <v>#REF!</v>
      </c>
      <c r="Z188" s="113" t="e">
        <f ca="1"/>
        <v>#REF!</v>
      </c>
      <c r="AA188" s="113"/>
      <c r="AB188" s="113"/>
      <c r="AC188" s="113"/>
      <c r="AD188" s="113"/>
      <c r="AE188" s="113" t="str">
        <f ca="1">IFERROR(__xludf.DUMMYFUNCTION("""COMPUTED_VALUE"""),"Parcial")</f>
        <v>Parcial</v>
      </c>
      <c r="AF188" s="113" t="str">
        <f ca="1">IFERROR(__xludf.DUMMYFUNCTION("""COMPUTED_VALUE"""),"FE")</f>
        <v>FE</v>
      </c>
      <c r="AG188" s="113">
        <f ca="1">IFERROR(__xludf.DUMMYFUNCTION("""COMPUTED_VALUE"""),0)</f>
        <v>0</v>
      </c>
      <c r="AH188" s="113">
        <f ca="1">IFERROR(__xludf.DUMMYFUNCTION("""COMPUTED_VALUE"""),0)</f>
        <v>0</v>
      </c>
      <c r="AI188" s="113">
        <f ca="1">IFERROR(__xludf.DUMMYFUNCTION("""COMPUTED_VALUE"""),0)</f>
        <v>0</v>
      </c>
      <c r="AJ188" s="113">
        <f ca="1">IFERROR(__xludf.DUMMYFUNCTION("""COMPUTED_VALUE"""),0)</f>
        <v>0</v>
      </c>
      <c r="AK188" s="113"/>
      <c r="AL188" s="116"/>
    </row>
    <row r="189" spans="1:38" ht="12.75">
      <c r="A189" s="112" t="str">
        <f ca="1">IFERROR(__xludf.DUMMYFUNCTION("""COMPUTED_VALUE"""),"17015960")</f>
        <v>17015960</v>
      </c>
      <c r="B189" s="113" t="str">
        <f ca="1">IFERROR(__xludf.DUMMYFUNCTION("""COMPUTED_VALUE"""),"Guaraí")</f>
        <v>Guaraí</v>
      </c>
      <c r="C189" s="113" t="str">
        <f ca="1">IFERROR(__xludf.DUMMYFUNCTION("""COMPUTED_VALUE"""),"Pequizeiro")</f>
        <v>Pequizeiro</v>
      </c>
      <c r="D189" s="114" t="str">
        <f ca="1">IFERROR(__xludf.DUMMYFUNCTION("""COMPUTED_VALUE"""),"A.A. DO COLEGIO ESTADUAL BERNARDO SAYAO")</f>
        <v>A.A. DO COLEGIO ESTADUAL BERNARDO SAYAO</v>
      </c>
      <c r="E189" s="113" t="str">
        <f ca="1">IFERROR(__xludf.DUMMYFUNCTION("""COMPUTED_VALUE"""),"Colégio Estadual Bernardo Sayao")</f>
        <v>Colégio Estadual Bernardo Sayao</v>
      </c>
      <c r="F189" s="115" t="str">
        <f ca="1">IFERROR(__xludf.DUMMYFUNCTION("""COMPUTED_VALUE"""),"17015960")</f>
        <v>17015960</v>
      </c>
      <c r="G189" s="113" t="str">
        <f ca="1">IFERROR(__xludf.DUMMYFUNCTION("""COMPUTED_VALUE"""),"02160863000151")</f>
        <v>02160863000151</v>
      </c>
      <c r="H189" s="115" t="str">
        <f ca="1">IFERROR(__xludf.DUMMYFUNCTION("""COMPUTED_VALUE"""),"001")</f>
        <v>001</v>
      </c>
      <c r="I189" s="115" t="str">
        <f ca="1">IFERROR(__xludf.DUMMYFUNCTION("""COMPUTED_VALUE"""),"1306")</f>
        <v>1306</v>
      </c>
      <c r="J189" s="115" t="str">
        <f ca="1">IFERROR(__xludf.DUMMYFUNCTION("""COMPUTED_VALUE"""),"53910")</f>
        <v>53910</v>
      </c>
      <c r="K189" s="113" t="e">
        <f ca="1"/>
        <v>#REF!</v>
      </c>
      <c r="L189" s="113" t="e">
        <f ca="1"/>
        <v>#REF!</v>
      </c>
      <c r="M189" s="113" t="e">
        <f ca="1"/>
        <v>#REF!</v>
      </c>
      <c r="N189" s="113" t="e">
        <f ca="1"/>
        <v>#REF!</v>
      </c>
      <c r="O189" s="113" t="e">
        <f ca="1"/>
        <v>#REF!</v>
      </c>
      <c r="P189" s="113" t="e">
        <f ca="1"/>
        <v>#REF!</v>
      </c>
      <c r="Q189" s="113" t="e">
        <f ca="1"/>
        <v>#REF!</v>
      </c>
      <c r="R189" s="113" t="e">
        <f ca="1"/>
        <v>#REF!</v>
      </c>
      <c r="S189" s="113" t="e">
        <f ca="1"/>
        <v>#REF!</v>
      </c>
      <c r="T189" s="113" t="e">
        <f ca="1"/>
        <v>#REF!</v>
      </c>
      <c r="U189" s="113" t="e">
        <f ca="1"/>
        <v>#REF!</v>
      </c>
      <c r="V189" s="113" t="e">
        <f ca="1"/>
        <v>#REF!</v>
      </c>
      <c r="W189" s="113" t="e">
        <f ca="1"/>
        <v>#REF!</v>
      </c>
      <c r="X189" s="113" t="e">
        <f ca="1"/>
        <v>#REF!</v>
      </c>
      <c r="Y189" s="113" t="e">
        <f ca="1"/>
        <v>#REF!</v>
      </c>
      <c r="Z189" s="113" t="e">
        <f ca="1"/>
        <v>#REF!</v>
      </c>
      <c r="AA189" s="113"/>
      <c r="AB189" s="113"/>
      <c r="AC189" s="113"/>
      <c r="AD189" s="113" t="str">
        <f ca="1">IFERROR(__xludf.DUMMYFUNCTION("""COMPUTED_VALUE"""),"E.M. INTEGRADO")</f>
        <v>E.M. INTEGRADO</v>
      </c>
      <c r="AE189" s="113" t="str">
        <f ca="1">IFERROR(__xludf.DUMMYFUNCTION("""COMPUTED_VALUE"""),"Parcial")</f>
        <v>Parcial</v>
      </c>
      <c r="AF189" s="113" t="str">
        <f ca="1">IFERROR(__xludf.DUMMYFUNCTION("""COMPUTED_VALUE"""),"FE")</f>
        <v>FE</v>
      </c>
      <c r="AG189" s="113">
        <f ca="1">IFERROR(__xludf.DUMMYFUNCTION("""COMPUTED_VALUE"""),0)</f>
        <v>0</v>
      </c>
      <c r="AH189" s="113">
        <f ca="1">IFERROR(__xludf.DUMMYFUNCTION("""COMPUTED_VALUE"""),0)</f>
        <v>0</v>
      </c>
      <c r="AI189" s="113">
        <f ca="1">IFERROR(__xludf.DUMMYFUNCTION("""COMPUTED_VALUE"""),0)</f>
        <v>0</v>
      </c>
      <c r="AJ189" s="113">
        <f ca="1">IFERROR(__xludf.DUMMYFUNCTION("""COMPUTED_VALUE"""),0)</f>
        <v>0</v>
      </c>
      <c r="AK189" s="113"/>
      <c r="AL189" s="116"/>
    </row>
    <row r="190" spans="1:38" ht="12.75">
      <c r="A190" s="112" t="str">
        <f ca="1">IFERROR(__xludf.DUMMYFUNCTION("""COMPUTED_VALUE"""),"17016819")</f>
        <v>17016819</v>
      </c>
      <c r="B190" s="113" t="str">
        <f ca="1">IFERROR(__xludf.DUMMYFUNCTION("""COMPUTED_VALUE"""),"Guaraí")</f>
        <v>Guaraí</v>
      </c>
      <c r="C190" s="113" t="str">
        <f ca="1">IFERROR(__xludf.DUMMYFUNCTION("""COMPUTED_VALUE"""),"Presidente Kennedy")</f>
        <v>Presidente Kennedy</v>
      </c>
      <c r="D190" s="114" t="str">
        <f ca="1">IFERROR(__xludf.DUMMYFUNCTION("""COMPUTED_VALUE"""),"A.PAIS E M.COL. EST. JUSCELINO KUBITSCHEK")</f>
        <v>A.PAIS E M.COL. EST. JUSCELINO KUBITSCHEK</v>
      </c>
      <c r="E190" s="113" t="str">
        <f ca="1">IFERROR(__xludf.DUMMYFUNCTION("""COMPUTED_VALUE"""),"Colégio Estadual Juscelino Kubitschek")</f>
        <v>Colégio Estadual Juscelino Kubitschek</v>
      </c>
      <c r="F190" s="115" t="str">
        <f ca="1">IFERROR(__xludf.DUMMYFUNCTION("""COMPUTED_VALUE"""),"17016819")</f>
        <v>17016819</v>
      </c>
      <c r="G190" s="113" t="str">
        <f ca="1">IFERROR(__xludf.DUMMYFUNCTION("""COMPUTED_VALUE"""),"02060456000172")</f>
        <v>02060456000172</v>
      </c>
      <c r="H190" s="115" t="str">
        <f ca="1">IFERROR(__xludf.DUMMYFUNCTION("""COMPUTED_VALUE"""),"001")</f>
        <v>001</v>
      </c>
      <c r="I190" s="115" t="str">
        <f ca="1">IFERROR(__xludf.DUMMYFUNCTION("""COMPUTED_VALUE"""),"2094")</f>
        <v>2094</v>
      </c>
      <c r="J190" s="115" t="str">
        <f ca="1">IFERROR(__xludf.DUMMYFUNCTION("""COMPUTED_VALUE"""),"047553X")</f>
        <v>047553X</v>
      </c>
      <c r="K190" s="113" t="e">
        <f ca="1"/>
        <v>#REF!</v>
      </c>
      <c r="L190" s="113" t="e">
        <f ca="1"/>
        <v>#REF!</v>
      </c>
      <c r="M190" s="113" t="e">
        <f ca="1"/>
        <v>#REF!</v>
      </c>
      <c r="N190" s="113" t="e">
        <f ca="1"/>
        <v>#REF!</v>
      </c>
      <c r="O190" s="113" t="e">
        <f ca="1"/>
        <v>#REF!</v>
      </c>
      <c r="P190" s="113" t="e">
        <f ca="1"/>
        <v>#REF!</v>
      </c>
      <c r="Q190" s="113" t="e">
        <f ca="1"/>
        <v>#REF!</v>
      </c>
      <c r="R190" s="113" t="e">
        <f ca="1"/>
        <v>#REF!</v>
      </c>
      <c r="S190" s="113" t="e">
        <f ca="1"/>
        <v>#REF!</v>
      </c>
      <c r="T190" s="113" t="e">
        <f ca="1"/>
        <v>#REF!</v>
      </c>
      <c r="U190" s="113" t="e">
        <f ca="1"/>
        <v>#REF!</v>
      </c>
      <c r="V190" s="113" t="e">
        <f ca="1"/>
        <v>#REF!</v>
      </c>
      <c r="W190" s="113" t="e">
        <f ca="1"/>
        <v>#REF!</v>
      </c>
      <c r="X190" s="113" t="e">
        <f ca="1"/>
        <v>#REF!</v>
      </c>
      <c r="Y190" s="113" t="e">
        <f ca="1"/>
        <v>#REF!</v>
      </c>
      <c r="Z190" s="113" t="e">
        <f ca="1"/>
        <v>#REF!</v>
      </c>
      <c r="AA190" s="113"/>
      <c r="AB190" s="113"/>
      <c r="AC190" s="113"/>
      <c r="AD190" s="113"/>
      <c r="AE190" s="113" t="str">
        <f ca="1">IFERROR(__xludf.DUMMYFUNCTION("""COMPUTED_VALUE"""),"Parcial")</f>
        <v>Parcial</v>
      </c>
      <c r="AF190" s="113" t="str">
        <f ca="1">IFERROR(__xludf.DUMMYFUNCTION("""COMPUTED_VALUE"""),"FE")</f>
        <v>FE</v>
      </c>
      <c r="AG190" s="113">
        <f ca="1">IFERROR(__xludf.DUMMYFUNCTION("""COMPUTED_VALUE"""),0)</f>
        <v>0</v>
      </c>
      <c r="AH190" s="113">
        <f ca="1">IFERROR(__xludf.DUMMYFUNCTION("""COMPUTED_VALUE"""),0)</f>
        <v>0</v>
      </c>
      <c r="AI190" s="113">
        <f ca="1">IFERROR(__xludf.DUMMYFUNCTION("""COMPUTED_VALUE"""),0)</f>
        <v>0</v>
      </c>
      <c r="AJ190" s="113">
        <f ca="1">IFERROR(__xludf.DUMMYFUNCTION("""COMPUTED_VALUE"""),0)</f>
        <v>0</v>
      </c>
      <c r="AK190" s="113"/>
      <c r="AL190" s="116"/>
    </row>
    <row r="191" spans="1:38" ht="12.75">
      <c r="A191" s="112" t="str">
        <f ca="1">IFERROR(__xludf.DUMMYFUNCTION("""COMPUTED_VALUE"""),"17020336")</f>
        <v>17020336</v>
      </c>
      <c r="B191" s="113" t="str">
        <f ca="1">IFERROR(__xludf.DUMMYFUNCTION("""COMPUTED_VALUE"""),"Gurupi")</f>
        <v>Gurupi</v>
      </c>
      <c r="C191" s="113" t="str">
        <f ca="1">IFERROR(__xludf.DUMMYFUNCTION("""COMPUTED_VALUE"""),"Alianca do Tocantins")</f>
        <v>Alianca do Tocantins</v>
      </c>
      <c r="D191" s="114" t="str">
        <f ca="1">IFERROR(__xludf.DUMMYFUNCTION("""COMPUTED_VALUE"""),"ASS. APOIO COL. EST. ANITA CASSIMIRO MORENO")</f>
        <v>ASS. APOIO COL. EST. ANITA CASSIMIRO MORENO</v>
      </c>
      <c r="E191" s="113" t="str">
        <f ca="1">IFERROR(__xludf.DUMMYFUNCTION("""COMPUTED_VALUE"""),"Colégio Estadual Anita Cassimiro Moreno")</f>
        <v>Colégio Estadual Anita Cassimiro Moreno</v>
      </c>
      <c r="F191" s="115" t="str">
        <f ca="1">IFERROR(__xludf.DUMMYFUNCTION("""COMPUTED_VALUE"""),"17020336")</f>
        <v>17020336</v>
      </c>
      <c r="G191" s="113" t="str">
        <f ca="1">IFERROR(__xludf.DUMMYFUNCTION("""COMPUTED_VALUE"""),"01304570000138")</f>
        <v>01304570000138</v>
      </c>
      <c r="H191" s="115" t="str">
        <f ca="1">IFERROR(__xludf.DUMMYFUNCTION("""COMPUTED_VALUE"""),"001")</f>
        <v>001</v>
      </c>
      <c r="I191" s="115" t="str">
        <f ca="1">IFERROR(__xludf.DUMMYFUNCTION("""COMPUTED_VALUE"""),"3972")</f>
        <v>3972</v>
      </c>
      <c r="J191" s="115" t="str">
        <f ca="1">IFERROR(__xludf.DUMMYFUNCTION("""COMPUTED_VALUE"""),"245984")</f>
        <v>245984</v>
      </c>
      <c r="K191" s="113" t="e">
        <f ca="1"/>
        <v>#REF!</v>
      </c>
      <c r="L191" s="113" t="e">
        <f ca="1"/>
        <v>#REF!</v>
      </c>
      <c r="M191" s="113" t="e">
        <f ca="1"/>
        <v>#REF!</v>
      </c>
      <c r="N191" s="113" t="e">
        <f ca="1"/>
        <v>#REF!</v>
      </c>
      <c r="O191" s="113" t="e">
        <f ca="1"/>
        <v>#REF!</v>
      </c>
      <c r="P191" s="113" t="e">
        <f ca="1"/>
        <v>#REF!</v>
      </c>
      <c r="Q191" s="113" t="e">
        <f ca="1"/>
        <v>#REF!</v>
      </c>
      <c r="R191" s="113" t="e">
        <f ca="1"/>
        <v>#REF!</v>
      </c>
      <c r="S191" s="113" t="e">
        <f ca="1"/>
        <v>#REF!</v>
      </c>
      <c r="T191" s="113" t="e">
        <f ca="1"/>
        <v>#REF!</v>
      </c>
      <c r="U191" s="113" t="e">
        <f ca="1"/>
        <v>#REF!</v>
      </c>
      <c r="V191" s="113" t="e">
        <f ca="1"/>
        <v>#REF!</v>
      </c>
      <c r="W191" s="113" t="e">
        <f ca="1"/>
        <v>#REF!</v>
      </c>
      <c r="X191" s="113" t="e">
        <f ca="1"/>
        <v>#REF!</v>
      </c>
      <c r="Y191" s="113" t="e">
        <f ca="1"/>
        <v>#REF!</v>
      </c>
      <c r="Z191" s="113" t="e">
        <f ca="1"/>
        <v>#REF!</v>
      </c>
      <c r="AA191" s="113"/>
      <c r="AB191" s="113"/>
      <c r="AC191" s="113"/>
      <c r="AD191" s="113"/>
      <c r="AE191" s="113" t="str">
        <f ca="1">IFERROR(__xludf.DUMMYFUNCTION("""COMPUTED_VALUE"""),"Parcial")</f>
        <v>Parcial</v>
      </c>
      <c r="AF191" s="113" t="str">
        <f ca="1">IFERROR(__xludf.DUMMYFUNCTION("""COMPUTED_VALUE"""),"FE")</f>
        <v>FE</v>
      </c>
      <c r="AG191" s="113">
        <f ca="1">IFERROR(__xludf.DUMMYFUNCTION("""COMPUTED_VALUE"""),0)</f>
        <v>0</v>
      </c>
      <c r="AH191" s="113">
        <f ca="1">IFERROR(__xludf.DUMMYFUNCTION("""COMPUTED_VALUE"""),0)</f>
        <v>0</v>
      </c>
      <c r="AI191" s="113">
        <f ca="1">IFERROR(__xludf.DUMMYFUNCTION("""COMPUTED_VALUE"""),0)</f>
        <v>0</v>
      </c>
      <c r="AJ191" s="113">
        <f ca="1">IFERROR(__xludf.DUMMYFUNCTION("""COMPUTED_VALUE"""),0)</f>
        <v>0</v>
      </c>
      <c r="AK191" s="113"/>
      <c r="AL191" s="116"/>
    </row>
    <row r="192" spans="1:38" ht="12.75">
      <c r="A192" s="112" t="str">
        <f ca="1">IFERROR(__xludf.DUMMYFUNCTION("""COMPUTED_VALUE"""),"17020344")</f>
        <v>17020344</v>
      </c>
      <c r="B192" s="113" t="str">
        <f ca="1">IFERROR(__xludf.DUMMYFUNCTION("""COMPUTED_VALUE"""),"Gurupi")</f>
        <v>Gurupi</v>
      </c>
      <c r="C192" s="113" t="str">
        <f ca="1">IFERROR(__xludf.DUMMYFUNCTION("""COMPUTED_VALUE"""),"Alianca do Tocantins")</f>
        <v>Alianca do Tocantins</v>
      </c>
      <c r="D192" s="114" t="str">
        <f ca="1">IFERROR(__xludf.DUMMYFUNCTION("""COMPUTED_VALUE"""),"A.A.  AO EDUCANDARIO EVANGELICO JERUSALEM")</f>
        <v>A.A.  AO EDUCANDARIO EVANGELICO JERUSALEM</v>
      </c>
      <c r="E192" s="113" t="str">
        <f ca="1">IFERROR(__xludf.DUMMYFUNCTION("""COMPUTED_VALUE"""),"Educandário Evangélico Jerusalém")</f>
        <v>Educandário Evangélico Jerusalém</v>
      </c>
      <c r="F192" s="115" t="str">
        <f ca="1">IFERROR(__xludf.DUMMYFUNCTION("""COMPUTED_VALUE"""),"17020344")</f>
        <v>17020344</v>
      </c>
      <c r="G192" s="113" t="str">
        <f ca="1">IFERROR(__xludf.DUMMYFUNCTION("""COMPUTED_VALUE"""),"03172227000102")</f>
        <v>03172227000102</v>
      </c>
      <c r="H192" s="115" t="str">
        <f ca="1">IFERROR(__xludf.DUMMYFUNCTION("""COMPUTED_VALUE"""),"001")</f>
        <v>001</v>
      </c>
      <c r="I192" s="115" t="str">
        <f ca="1">IFERROR(__xludf.DUMMYFUNCTION("""COMPUTED_VALUE"""),"3972")</f>
        <v>3972</v>
      </c>
      <c r="J192" s="115" t="str">
        <f ca="1">IFERROR(__xludf.DUMMYFUNCTION("""COMPUTED_VALUE"""),"54666")</f>
        <v>54666</v>
      </c>
      <c r="K192" s="113" t="e">
        <f ca="1"/>
        <v>#REF!</v>
      </c>
      <c r="L192" s="113" t="e">
        <f ca="1"/>
        <v>#REF!</v>
      </c>
      <c r="M192" s="113" t="e">
        <f ca="1"/>
        <v>#REF!</v>
      </c>
      <c r="N192" s="113" t="e">
        <f ca="1"/>
        <v>#REF!</v>
      </c>
      <c r="O192" s="113" t="e">
        <f ca="1"/>
        <v>#REF!</v>
      </c>
      <c r="P192" s="113" t="e">
        <f ca="1"/>
        <v>#REF!</v>
      </c>
      <c r="Q192" s="113" t="e">
        <f ca="1"/>
        <v>#REF!</v>
      </c>
      <c r="R192" s="113" t="e">
        <f ca="1"/>
        <v>#REF!</v>
      </c>
      <c r="S192" s="113" t="e">
        <f ca="1"/>
        <v>#REF!</v>
      </c>
      <c r="T192" s="113" t="e">
        <f ca="1"/>
        <v>#REF!</v>
      </c>
      <c r="U192" s="113" t="e">
        <f ca="1"/>
        <v>#REF!</v>
      </c>
      <c r="V192" s="113" t="e">
        <f ca="1"/>
        <v>#REF!</v>
      </c>
      <c r="W192" s="113" t="e">
        <f ca="1"/>
        <v>#REF!</v>
      </c>
      <c r="X192" s="113" t="e">
        <f ca="1"/>
        <v>#REF!</v>
      </c>
      <c r="Y192" s="113" t="e">
        <f ca="1"/>
        <v>#REF!</v>
      </c>
      <c r="Z192" s="113" t="e">
        <f ca="1"/>
        <v>#REF!</v>
      </c>
      <c r="AA192" s="113"/>
      <c r="AB192" s="113"/>
      <c r="AC192" s="113"/>
      <c r="AD192" s="113"/>
      <c r="AE192" s="113" t="str">
        <f ca="1">IFERROR(__xludf.DUMMYFUNCTION("""COMPUTED_VALUE"""),"Parcial")</f>
        <v>Parcial</v>
      </c>
      <c r="AF192" s="113" t="str">
        <f ca="1">IFERROR(__xludf.DUMMYFUNCTION("""COMPUTED_VALUE"""),"FE")</f>
        <v>FE</v>
      </c>
      <c r="AG192" s="113">
        <f ca="1">IFERROR(__xludf.DUMMYFUNCTION("""COMPUTED_VALUE"""),0)</f>
        <v>0</v>
      </c>
      <c r="AH192" s="113">
        <f ca="1">IFERROR(__xludf.DUMMYFUNCTION("""COMPUTED_VALUE"""),0)</f>
        <v>0</v>
      </c>
      <c r="AI192" s="113">
        <f ca="1">IFERROR(__xludf.DUMMYFUNCTION("""COMPUTED_VALUE"""),0)</f>
        <v>0</v>
      </c>
      <c r="AJ192" s="113">
        <f ca="1">IFERROR(__xludf.DUMMYFUNCTION("""COMPUTED_VALUE"""),0)</f>
        <v>0</v>
      </c>
      <c r="AK192" s="113"/>
      <c r="AL192" s="116"/>
    </row>
    <row r="193" spans="1:38" ht="12.75">
      <c r="A193" s="112" t="str">
        <f ca="1">IFERROR(__xludf.DUMMYFUNCTION("""COMPUTED_VALUE"""),"17048834")</f>
        <v>17048834</v>
      </c>
      <c r="B193" s="113" t="str">
        <f ca="1">IFERROR(__xludf.DUMMYFUNCTION("""COMPUTED_VALUE"""),"Gurupi")</f>
        <v>Gurupi</v>
      </c>
      <c r="C193" s="113" t="str">
        <f ca="1">IFERROR(__xludf.DUMMYFUNCTION("""COMPUTED_VALUE"""),"Alianca do Tocantins")</f>
        <v>Alianca do Tocantins</v>
      </c>
      <c r="D193" s="114" t="str">
        <f ca="1">IFERROR(__xludf.DUMMYFUNCTION("""COMPUTED_VALUE"""),"ASSOCIAÇÃO DE APOIO A ESCOLA ESPECIAL AMOR FRATERNAL")</f>
        <v>ASSOCIAÇÃO DE APOIO A ESCOLA ESPECIAL AMOR FRATERNAL</v>
      </c>
      <c r="E193" s="113" t="str">
        <f ca="1">IFERROR(__xludf.DUMMYFUNCTION("""COMPUTED_VALUE"""),"Escola Especial Amor Fraternal")</f>
        <v>Escola Especial Amor Fraternal</v>
      </c>
      <c r="F193" s="115" t="str">
        <f ca="1">IFERROR(__xludf.DUMMYFUNCTION("""COMPUTED_VALUE"""),"17048834")</f>
        <v>17048834</v>
      </c>
      <c r="G193" s="113" t="str">
        <f ca="1">IFERROR(__xludf.DUMMYFUNCTION("""COMPUTED_VALUE"""),"07953958000146")</f>
        <v>07953958000146</v>
      </c>
      <c r="H193" s="115" t="str">
        <f ca="1">IFERROR(__xludf.DUMMYFUNCTION("""COMPUTED_VALUE"""),"001")</f>
        <v>001</v>
      </c>
      <c r="I193" s="115" t="str">
        <f ca="1">IFERROR(__xludf.DUMMYFUNCTION("""COMPUTED_VALUE"""),"3972")</f>
        <v>3972</v>
      </c>
      <c r="J193" s="115" t="str">
        <f ca="1">IFERROR(__xludf.DUMMYFUNCTION("""COMPUTED_VALUE"""),"90115")</f>
        <v>90115</v>
      </c>
      <c r="K193" s="113" t="e">
        <f ca="1"/>
        <v>#REF!</v>
      </c>
      <c r="L193" s="113" t="e">
        <f ca="1"/>
        <v>#REF!</v>
      </c>
      <c r="M193" s="113" t="e">
        <f ca="1"/>
        <v>#REF!</v>
      </c>
      <c r="N193" s="113" t="e">
        <f ca="1"/>
        <v>#REF!</v>
      </c>
      <c r="O193" s="113" t="e">
        <f ca="1"/>
        <v>#REF!</v>
      </c>
      <c r="P193" s="113" t="e">
        <f ca="1"/>
        <v>#REF!</v>
      </c>
      <c r="Q193" s="113" t="e">
        <f ca="1"/>
        <v>#REF!</v>
      </c>
      <c r="R193" s="113" t="e">
        <f ca="1"/>
        <v>#REF!</v>
      </c>
      <c r="S193" s="113" t="e">
        <f ca="1"/>
        <v>#REF!</v>
      </c>
      <c r="T193" s="113" t="e">
        <f ca="1"/>
        <v>#REF!</v>
      </c>
      <c r="U193" s="113" t="e">
        <f ca="1"/>
        <v>#REF!</v>
      </c>
      <c r="V193" s="113" t="e">
        <f ca="1"/>
        <v>#REF!</v>
      </c>
      <c r="W193" s="113" t="e">
        <f ca="1"/>
        <v>#REF!</v>
      </c>
      <c r="X193" s="113" t="e">
        <f ca="1"/>
        <v>#REF!</v>
      </c>
      <c r="Y193" s="113" t="e">
        <f ca="1"/>
        <v>#REF!</v>
      </c>
      <c r="Z193" s="113" t="e">
        <f ca="1"/>
        <v>#REF!</v>
      </c>
      <c r="AA193" s="113"/>
      <c r="AB193" s="113"/>
      <c r="AC193" s="113"/>
      <c r="AD193" s="113" t="str">
        <f ca="1">IFERROR(__xludf.DUMMYFUNCTION("""COMPUTED_VALUE"""),"E.M. INTEGRADO")</f>
        <v>E.M. INTEGRADO</v>
      </c>
      <c r="AE193" s="113" t="str">
        <f ca="1">IFERROR(__xludf.DUMMYFUNCTION("""COMPUTED_VALUE"""),"Parcial")</f>
        <v>Parcial</v>
      </c>
      <c r="AF193" s="113" t="str">
        <f ca="1">IFERROR(__xludf.DUMMYFUNCTION("""COMPUTED_VALUE"""),"FE")</f>
        <v>FE</v>
      </c>
      <c r="AG193" s="113">
        <f ca="1">IFERROR(__xludf.DUMMYFUNCTION("""COMPUTED_VALUE"""),0)</f>
        <v>0</v>
      </c>
      <c r="AH193" s="113">
        <f ca="1">IFERROR(__xludf.DUMMYFUNCTION("""COMPUTED_VALUE"""),0)</f>
        <v>0</v>
      </c>
      <c r="AI193" s="113">
        <f ca="1">IFERROR(__xludf.DUMMYFUNCTION("""COMPUTED_VALUE"""),0)</f>
        <v>0</v>
      </c>
      <c r="AJ193" s="113">
        <f ca="1">IFERROR(__xludf.DUMMYFUNCTION("""COMPUTED_VALUE"""),0)</f>
        <v>0</v>
      </c>
      <c r="AK193" s="113"/>
      <c r="AL193" s="116"/>
    </row>
    <row r="194" spans="1:38" ht="12.75">
      <c r="A194" s="112" t="str">
        <f ca="1">IFERROR(__xludf.DUMMYFUNCTION("""COMPUTED_VALUE"""),"17020360")</f>
        <v>17020360</v>
      </c>
      <c r="B194" s="113" t="str">
        <f ca="1">IFERROR(__xludf.DUMMYFUNCTION("""COMPUTED_VALUE"""),"Gurupi")</f>
        <v>Gurupi</v>
      </c>
      <c r="C194" s="113" t="str">
        <f ca="1">IFERROR(__xludf.DUMMYFUNCTION("""COMPUTED_VALUE"""),"Alianca do Tocantins")</f>
        <v>Alianca do Tocantins</v>
      </c>
      <c r="D194" s="114" t="str">
        <f ca="1">IFERROR(__xludf.DUMMYFUNCTION("""COMPUTED_VALUE"""),"A. PAIS E MESTRES ESC. EST.N.SRA.DO CARMO")</f>
        <v>A. PAIS E MESTRES ESC. EST.N.SRA.DO CARMO</v>
      </c>
      <c r="E194" s="113" t="str">
        <f ca="1">IFERROR(__xludf.DUMMYFUNCTION("""COMPUTED_VALUE"""),"Escola Estadual Nossa Senhora do Carmo")</f>
        <v>Escola Estadual Nossa Senhora do Carmo</v>
      </c>
      <c r="F194" s="115" t="str">
        <f ca="1">IFERROR(__xludf.DUMMYFUNCTION("""COMPUTED_VALUE"""),"17020360")</f>
        <v>17020360</v>
      </c>
      <c r="G194" s="113" t="str">
        <f ca="1">IFERROR(__xludf.DUMMYFUNCTION("""COMPUTED_VALUE"""),"01034192000110")</f>
        <v>01034192000110</v>
      </c>
      <c r="H194" s="115" t="str">
        <f ca="1">IFERROR(__xludf.DUMMYFUNCTION("""COMPUTED_VALUE"""),"001")</f>
        <v>001</v>
      </c>
      <c r="I194" s="115" t="str">
        <f ca="1">IFERROR(__xludf.DUMMYFUNCTION("""COMPUTED_VALUE"""),"3972")</f>
        <v>3972</v>
      </c>
      <c r="J194" s="115" t="str">
        <f ca="1">IFERROR(__xludf.DUMMYFUNCTION("""COMPUTED_VALUE"""),"243590")</f>
        <v>243590</v>
      </c>
      <c r="K194" s="113" t="e">
        <f ca="1"/>
        <v>#REF!</v>
      </c>
      <c r="L194" s="113" t="e">
        <f ca="1"/>
        <v>#REF!</v>
      </c>
      <c r="M194" s="113" t="e">
        <f ca="1"/>
        <v>#REF!</v>
      </c>
      <c r="N194" s="113" t="e">
        <f ca="1"/>
        <v>#REF!</v>
      </c>
      <c r="O194" s="113" t="e">
        <f ca="1"/>
        <v>#REF!</v>
      </c>
      <c r="P194" s="113" t="e">
        <f ca="1"/>
        <v>#REF!</v>
      </c>
      <c r="Q194" s="113" t="e">
        <f ca="1"/>
        <v>#REF!</v>
      </c>
      <c r="R194" s="113" t="e">
        <f ca="1"/>
        <v>#REF!</v>
      </c>
      <c r="S194" s="113" t="e">
        <f ca="1"/>
        <v>#REF!</v>
      </c>
      <c r="T194" s="113" t="e">
        <f ca="1"/>
        <v>#REF!</v>
      </c>
      <c r="U194" s="113" t="e">
        <f ca="1"/>
        <v>#REF!</v>
      </c>
      <c r="V194" s="113" t="e">
        <f ca="1"/>
        <v>#REF!</v>
      </c>
      <c r="W194" s="113" t="e">
        <f ca="1"/>
        <v>#REF!</v>
      </c>
      <c r="X194" s="113" t="e">
        <f ca="1"/>
        <v>#REF!</v>
      </c>
      <c r="Y194" s="113" t="e">
        <f ca="1"/>
        <v>#REF!</v>
      </c>
      <c r="Z194" s="113" t="e">
        <f ca="1"/>
        <v>#REF!</v>
      </c>
      <c r="AA194" s="113"/>
      <c r="AB194" s="113"/>
      <c r="AC194" s="113"/>
      <c r="AD194" s="113" t="str">
        <f ca="1">IFERROR(__xludf.DUMMYFUNCTION("""COMPUTED_VALUE"""),"CRECHE")</f>
        <v>CRECHE</v>
      </c>
      <c r="AE194" s="113" t="str">
        <f ca="1">IFERROR(__xludf.DUMMYFUNCTION("""COMPUTED_VALUE"""),"Parcial")</f>
        <v>Parcial</v>
      </c>
      <c r="AF194" s="113" t="str">
        <f ca="1">IFERROR(__xludf.DUMMYFUNCTION("""COMPUTED_VALUE"""),"FE")</f>
        <v>FE</v>
      </c>
      <c r="AG194" s="113">
        <f ca="1">IFERROR(__xludf.DUMMYFUNCTION("""COMPUTED_VALUE"""),0)</f>
        <v>0</v>
      </c>
      <c r="AH194" s="113">
        <f ca="1">IFERROR(__xludf.DUMMYFUNCTION("""COMPUTED_VALUE"""),0)</f>
        <v>0</v>
      </c>
      <c r="AI194" s="113">
        <f ca="1">IFERROR(__xludf.DUMMYFUNCTION("""COMPUTED_VALUE"""),0)</f>
        <v>0</v>
      </c>
      <c r="AJ194" s="113">
        <f ca="1">IFERROR(__xludf.DUMMYFUNCTION("""COMPUTED_VALUE"""),10)</f>
        <v>10</v>
      </c>
      <c r="AK194" s="113"/>
      <c r="AL194" s="116"/>
    </row>
    <row r="195" spans="1:38" ht="12.75">
      <c r="A195" s="112" t="str">
        <f ca="1">IFERROR(__xludf.DUMMYFUNCTION("""COMPUTED_VALUE"""),"17020581")</f>
        <v>17020581</v>
      </c>
      <c r="B195" s="113" t="str">
        <f ca="1">IFERROR(__xludf.DUMMYFUNCTION("""COMPUTED_VALUE"""),"Gurupi")</f>
        <v>Gurupi</v>
      </c>
      <c r="C195" s="113" t="str">
        <f ca="1">IFERROR(__xludf.DUMMYFUNCTION("""COMPUTED_VALUE"""),"Alvorada")</f>
        <v>Alvorada</v>
      </c>
      <c r="D195" s="114" t="str">
        <f ca="1">IFERROR(__xludf.DUMMYFUNCTION("""COMPUTED_VALUE"""),"ASS. APOIO COL. EST. ADJULIO BALTHAZAR")</f>
        <v>ASS. APOIO COL. EST. ADJULIO BALTHAZAR</v>
      </c>
      <c r="E195" s="113" t="str">
        <f ca="1">IFERROR(__xludf.DUMMYFUNCTION("""COMPUTED_VALUE"""),"Colégio Estadual Adjúlio Balthazar")</f>
        <v>Colégio Estadual Adjúlio Balthazar</v>
      </c>
      <c r="F195" s="115" t="str">
        <f ca="1">IFERROR(__xludf.DUMMYFUNCTION("""COMPUTED_VALUE"""),"17020581")</f>
        <v>17020581</v>
      </c>
      <c r="G195" s="113" t="str">
        <f ca="1">IFERROR(__xludf.DUMMYFUNCTION("""COMPUTED_VALUE"""),"01138432000126")</f>
        <v>01138432000126</v>
      </c>
      <c r="H195" s="115" t="str">
        <f ca="1">IFERROR(__xludf.DUMMYFUNCTION("""COMPUTED_VALUE"""),"001")</f>
        <v>001</v>
      </c>
      <c r="I195" s="115" t="str">
        <f ca="1">IFERROR(__xludf.DUMMYFUNCTION("""COMPUTED_VALUE"""),"1303")</f>
        <v>1303</v>
      </c>
      <c r="J195" s="115" t="str">
        <f ca="1">IFERROR(__xludf.DUMMYFUNCTION("""COMPUTED_VALUE"""),"103462")</f>
        <v>103462</v>
      </c>
      <c r="K195" s="113" t="e">
        <f ca="1"/>
        <v>#REF!</v>
      </c>
      <c r="L195" s="113" t="e">
        <f ca="1"/>
        <v>#REF!</v>
      </c>
      <c r="M195" s="113" t="e">
        <f ca="1"/>
        <v>#REF!</v>
      </c>
      <c r="N195" s="113" t="e">
        <f ca="1"/>
        <v>#REF!</v>
      </c>
      <c r="O195" s="113" t="e">
        <f ca="1"/>
        <v>#REF!</v>
      </c>
      <c r="P195" s="113" t="e">
        <f ca="1"/>
        <v>#REF!</v>
      </c>
      <c r="Q195" s="113" t="e">
        <f ca="1"/>
        <v>#REF!</v>
      </c>
      <c r="R195" s="113" t="e">
        <f ca="1"/>
        <v>#REF!</v>
      </c>
      <c r="S195" s="113" t="e">
        <f ca="1"/>
        <v>#REF!</v>
      </c>
      <c r="T195" s="113" t="e">
        <f ca="1"/>
        <v>#REF!</v>
      </c>
      <c r="U195" s="113" t="e">
        <f ca="1"/>
        <v>#REF!</v>
      </c>
      <c r="V195" s="113" t="e">
        <f ca="1"/>
        <v>#REF!</v>
      </c>
      <c r="W195" s="113" t="e">
        <f ca="1"/>
        <v>#REF!</v>
      </c>
      <c r="X195" s="113" t="e">
        <f ca="1"/>
        <v>#REF!</v>
      </c>
      <c r="Y195" s="113" t="e">
        <f ca="1"/>
        <v>#REF!</v>
      </c>
      <c r="Z195" s="113" t="e">
        <f ca="1"/>
        <v>#REF!</v>
      </c>
      <c r="AA195" s="113"/>
      <c r="AB195" s="113"/>
      <c r="AC195" s="113"/>
      <c r="AD195" s="113" t="str">
        <f ca="1">IFERROR(__xludf.DUMMYFUNCTION("""COMPUTED_VALUE"""),"E.M. INTEGRADO")</f>
        <v>E.M. INTEGRADO</v>
      </c>
      <c r="AE195" s="113" t="str">
        <f ca="1">IFERROR(__xludf.DUMMYFUNCTION("""COMPUTED_VALUE"""),"Parcial")</f>
        <v>Parcial</v>
      </c>
      <c r="AF195" s="113" t="str">
        <f ca="1">IFERROR(__xludf.DUMMYFUNCTION("""COMPUTED_VALUE"""),"FE")</f>
        <v>FE</v>
      </c>
      <c r="AG195" s="113">
        <f ca="1">IFERROR(__xludf.DUMMYFUNCTION("""COMPUTED_VALUE"""),0)</f>
        <v>0</v>
      </c>
      <c r="AH195" s="113">
        <f ca="1">IFERROR(__xludf.DUMMYFUNCTION("""COMPUTED_VALUE"""),0)</f>
        <v>0</v>
      </c>
      <c r="AI195" s="113">
        <f ca="1">IFERROR(__xludf.DUMMYFUNCTION("""COMPUTED_VALUE"""),0)</f>
        <v>0</v>
      </c>
      <c r="AJ195" s="113">
        <f ca="1">IFERROR(__xludf.DUMMYFUNCTION("""COMPUTED_VALUE"""),0)</f>
        <v>0</v>
      </c>
      <c r="AK195" s="113"/>
      <c r="AL195" s="116"/>
    </row>
    <row r="196" spans="1:38" ht="12.75">
      <c r="A196" s="112" t="str">
        <f ca="1">IFERROR(__xludf.DUMMYFUNCTION("""COMPUTED_VALUE"""),"17020590")</f>
        <v>17020590</v>
      </c>
      <c r="B196" s="113" t="str">
        <f ca="1">IFERROR(__xludf.DUMMYFUNCTION("""COMPUTED_VALUE"""),"Gurupi")</f>
        <v>Gurupi</v>
      </c>
      <c r="C196" s="113" t="str">
        <f ca="1">IFERROR(__xludf.DUMMYFUNCTION("""COMPUTED_VALUE"""),"Alvorada")</f>
        <v>Alvorada</v>
      </c>
      <c r="D196" s="114" t="str">
        <f ca="1">IFERROR(__xludf.DUMMYFUNCTION("""COMPUTED_VALUE"""),"A.A.  COLEGIO ESTADUAL DE ALVORADA")</f>
        <v>A.A.  COLEGIO ESTADUAL DE ALVORADA</v>
      </c>
      <c r="E196" s="113" t="str">
        <f ca="1">IFERROR(__xludf.DUMMYFUNCTION("""COMPUTED_VALUE"""),"Colégio Estadual de Alvorada")</f>
        <v>Colégio Estadual de Alvorada</v>
      </c>
      <c r="F196" s="115" t="str">
        <f ca="1">IFERROR(__xludf.DUMMYFUNCTION("""COMPUTED_VALUE"""),"17020590")</f>
        <v>17020590</v>
      </c>
      <c r="G196" s="113" t="str">
        <f ca="1">IFERROR(__xludf.DUMMYFUNCTION("""COMPUTED_VALUE"""),"01269283000134")</f>
        <v>01269283000134</v>
      </c>
      <c r="H196" s="115" t="str">
        <f ca="1">IFERROR(__xludf.DUMMYFUNCTION("""COMPUTED_VALUE"""),"001")</f>
        <v>001</v>
      </c>
      <c r="I196" s="115" t="str">
        <f ca="1">IFERROR(__xludf.DUMMYFUNCTION("""COMPUTED_VALUE"""),"1303")</f>
        <v>1303</v>
      </c>
      <c r="J196" s="115" t="str">
        <f ca="1">IFERROR(__xludf.DUMMYFUNCTION("""COMPUTED_VALUE"""),"0088544")</f>
        <v>0088544</v>
      </c>
      <c r="K196" s="113" t="e">
        <f ca="1"/>
        <v>#REF!</v>
      </c>
      <c r="L196" s="113" t="e">
        <f ca="1"/>
        <v>#REF!</v>
      </c>
      <c r="M196" s="113" t="e">
        <f ca="1"/>
        <v>#REF!</v>
      </c>
      <c r="N196" s="113" t="e">
        <f ca="1"/>
        <v>#REF!</v>
      </c>
      <c r="O196" s="113" t="e">
        <f ca="1"/>
        <v>#REF!</v>
      </c>
      <c r="P196" s="113" t="e">
        <f ca="1"/>
        <v>#REF!</v>
      </c>
      <c r="Q196" s="113" t="e">
        <f ca="1"/>
        <v>#REF!</v>
      </c>
      <c r="R196" s="113" t="e">
        <f ca="1"/>
        <v>#REF!</v>
      </c>
      <c r="S196" s="113" t="e">
        <f ca="1"/>
        <v>#REF!</v>
      </c>
      <c r="T196" s="113" t="e">
        <f ca="1"/>
        <v>#REF!</v>
      </c>
      <c r="U196" s="113" t="e">
        <f ca="1"/>
        <v>#REF!</v>
      </c>
      <c r="V196" s="113" t="e">
        <f ca="1"/>
        <v>#REF!</v>
      </c>
      <c r="W196" s="113" t="e">
        <f ca="1"/>
        <v>#REF!</v>
      </c>
      <c r="X196" s="113" t="e">
        <f ca="1"/>
        <v>#REF!</v>
      </c>
      <c r="Y196" s="113" t="e">
        <f ca="1"/>
        <v>#REF!</v>
      </c>
      <c r="Z196" s="113" t="e">
        <f ca="1"/>
        <v>#REF!</v>
      </c>
      <c r="AA196" s="113"/>
      <c r="AB196" s="113"/>
      <c r="AC196" s="113"/>
      <c r="AD196" s="113" t="str">
        <f ca="1">IFERROR(__xludf.DUMMYFUNCTION("""COMPUTED_VALUE"""),"CRECHE")</f>
        <v>CRECHE</v>
      </c>
      <c r="AE196" s="113" t="str">
        <f ca="1">IFERROR(__xludf.DUMMYFUNCTION("""COMPUTED_VALUE"""),"Parcial")</f>
        <v>Parcial</v>
      </c>
      <c r="AF196" s="113" t="str">
        <f ca="1">IFERROR(__xludf.DUMMYFUNCTION("""COMPUTED_VALUE"""),"FE")</f>
        <v>FE</v>
      </c>
      <c r="AG196" s="113">
        <f ca="1">IFERROR(__xludf.DUMMYFUNCTION("""COMPUTED_VALUE"""),0)</f>
        <v>0</v>
      </c>
      <c r="AH196" s="113">
        <f ca="1">IFERROR(__xludf.DUMMYFUNCTION("""COMPUTED_VALUE"""),0)</f>
        <v>0</v>
      </c>
      <c r="AI196" s="113">
        <f ca="1">IFERROR(__xludf.DUMMYFUNCTION("""COMPUTED_VALUE"""),0)</f>
        <v>0</v>
      </c>
      <c r="AJ196" s="113">
        <f ca="1">IFERROR(__xludf.DUMMYFUNCTION("""COMPUTED_VALUE"""),0)</f>
        <v>0</v>
      </c>
      <c r="AK196" s="113"/>
      <c r="AL196" s="116"/>
    </row>
    <row r="197" spans="1:38" ht="12.75">
      <c r="A197" s="112" t="str">
        <f ca="1">IFERROR(__xludf.DUMMYFUNCTION("""COMPUTED_VALUE"""),"17048931")</f>
        <v>17048931</v>
      </c>
      <c r="B197" s="113" t="str">
        <f ca="1">IFERROR(__xludf.DUMMYFUNCTION("""COMPUTED_VALUE"""),"Gurupi")</f>
        <v>Gurupi</v>
      </c>
      <c r="C197" s="113" t="str">
        <f ca="1">IFERROR(__xludf.DUMMYFUNCTION("""COMPUTED_VALUE"""),"Alvorada")</f>
        <v>Alvorada</v>
      </c>
      <c r="D197" s="114" t="str">
        <f ca="1">IFERROR(__xludf.DUMMYFUNCTION("""COMPUTED_VALUE"""),"A.P.A.DOS EXCEP. DE ALVORADA-APAE")</f>
        <v>A.P.A.DOS EXCEP. DE ALVORADA-APAE</v>
      </c>
      <c r="E197" s="113" t="str">
        <f ca="1">IFERROR(__xludf.DUMMYFUNCTION("""COMPUTED_VALUE"""),"Escola Especial Raio de Luz")</f>
        <v>Escola Especial Raio de Luz</v>
      </c>
      <c r="F197" s="115" t="str">
        <f ca="1">IFERROR(__xludf.DUMMYFUNCTION("""COMPUTED_VALUE"""),"17048931")</f>
        <v>17048931</v>
      </c>
      <c r="G197" s="113" t="str">
        <f ca="1">IFERROR(__xludf.DUMMYFUNCTION("""COMPUTED_VALUE"""),"02201735000109")</f>
        <v>02201735000109</v>
      </c>
      <c r="H197" s="115" t="str">
        <f ca="1">IFERROR(__xludf.DUMMYFUNCTION("""COMPUTED_VALUE"""),"001")</f>
        <v>001</v>
      </c>
      <c r="I197" s="115" t="str">
        <f ca="1">IFERROR(__xludf.DUMMYFUNCTION("""COMPUTED_VALUE"""),"1303")</f>
        <v>1303</v>
      </c>
      <c r="J197" s="115" t="str">
        <f ca="1">IFERROR(__xludf.DUMMYFUNCTION("""COMPUTED_VALUE"""),"101826")</f>
        <v>101826</v>
      </c>
      <c r="K197" s="113" t="e">
        <f ca="1"/>
        <v>#REF!</v>
      </c>
      <c r="L197" s="113" t="e">
        <f ca="1"/>
        <v>#REF!</v>
      </c>
      <c r="M197" s="113" t="e">
        <f ca="1"/>
        <v>#REF!</v>
      </c>
      <c r="N197" s="113" t="e">
        <f ca="1"/>
        <v>#REF!</v>
      </c>
      <c r="O197" s="113" t="e">
        <f ca="1"/>
        <v>#REF!</v>
      </c>
      <c r="P197" s="113" t="e">
        <f ca="1"/>
        <v>#REF!</v>
      </c>
      <c r="Q197" s="113" t="e">
        <f ca="1"/>
        <v>#REF!</v>
      </c>
      <c r="R197" s="113" t="e">
        <f ca="1"/>
        <v>#REF!</v>
      </c>
      <c r="S197" s="113" t="e">
        <f ca="1"/>
        <v>#REF!</v>
      </c>
      <c r="T197" s="113" t="e">
        <f ca="1"/>
        <v>#REF!</v>
      </c>
      <c r="U197" s="113" t="e">
        <f ca="1"/>
        <v>#REF!</v>
      </c>
      <c r="V197" s="113" t="e">
        <f ca="1"/>
        <v>#REF!</v>
      </c>
      <c r="W197" s="113" t="e">
        <f ca="1"/>
        <v>#REF!</v>
      </c>
      <c r="X197" s="113" t="e">
        <f ca="1"/>
        <v>#REF!</v>
      </c>
      <c r="Y197" s="113" t="e">
        <f ca="1"/>
        <v>#REF!</v>
      </c>
      <c r="Z197" s="113" t="e">
        <f ca="1"/>
        <v>#REF!</v>
      </c>
      <c r="AA197" s="113"/>
      <c r="AB197" s="113"/>
      <c r="AC197" s="113"/>
      <c r="AD197" s="113"/>
      <c r="AE197" s="113" t="str">
        <f ca="1">IFERROR(__xludf.DUMMYFUNCTION("""COMPUTED_VALUE"""),"Parcial")</f>
        <v>Parcial</v>
      </c>
      <c r="AF197" s="113" t="str">
        <f ca="1">IFERROR(__xludf.DUMMYFUNCTION("""COMPUTED_VALUE"""),"FE")</f>
        <v>FE</v>
      </c>
      <c r="AG197" s="113">
        <f ca="1">IFERROR(__xludf.DUMMYFUNCTION("""COMPUTED_VALUE"""),0)</f>
        <v>0</v>
      </c>
      <c r="AH197" s="113">
        <f ca="1">IFERROR(__xludf.DUMMYFUNCTION("""COMPUTED_VALUE"""),0)</f>
        <v>0</v>
      </c>
      <c r="AI197" s="113">
        <f ca="1">IFERROR(__xludf.DUMMYFUNCTION("""COMPUTED_VALUE"""),0)</f>
        <v>0</v>
      </c>
      <c r="AJ197" s="113">
        <f ca="1">IFERROR(__xludf.DUMMYFUNCTION("""COMPUTED_VALUE"""),0)</f>
        <v>0</v>
      </c>
      <c r="AK197" s="113"/>
      <c r="AL197" s="116"/>
    </row>
    <row r="198" spans="1:38" ht="12.75">
      <c r="A198" s="112" t="str">
        <f ca="1">IFERROR(__xludf.DUMMYFUNCTION("""COMPUTED_VALUE"""),"17020611")</f>
        <v>17020611</v>
      </c>
      <c r="B198" s="113" t="str">
        <f ca="1">IFERROR(__xludf.DUMMYFUNCTION("""COMPUTED_VALUE"""),"Gurupi")</f>
        <v>Gurupi</v>
      </c>
      <c r="C198" s="113" t="str">
        <f ca="1">IFERROR(__xludf.DUMMYFUNCTION("""COMPUTED_VALUE"""),"Alvorada")</f>
        <v>Alvorada</v>
      </c>
      <c r="D198" s="114" t="str">
        <f ca="1">IFERROR(__xludf.DUMMYFUNCTION("""COMPUTED_VALUE"""),"ASS. APOIO ESC. EST. ANA MARIA DE JESUS")</f>
        <v>ASS. APOIO ESC. EST. ANA MARIA DE JESUS</v>
      </c>
      <c r="E198" s="113" t="str">
        <f ca="1">IFERROR(__xludf.DUMMYFUNCTION("""COMPUTED_VALUE"""),"Escola Estadual Ana Maria de Jesus")</f>
        <v>Escola Estadual Ana Maria de Jesus</v>
      </c>
      <c r="F198" s="115" t="str">
        <f ca="1">IFERROR(__xludf.DUMMYFUNCTION("""COMPUTED_VALUE"""),"17020611")</f>
        <v>17020611</v>
      </c>
      <c r="G198" s="113" t="str">
        <f ca="1">IFERROR(__xludf.DUMMYFUNCTION("""COMPUTED_VALUE"""),"01221145000185")</f>
        <v>01221145000185</v>
      </c>
      <c r="H198" s="115" t="str">
        <f ca="1">IFERROR(__xludf.DUMMYFUNCTION("""COMPUTED_VALUE"""),"001")</f>
        <v>001</v>
      </c>
      <c r="I198" s="115" t="str">
        <f ca="1">IFERROR(__xludf.DUMMYFUNCTION("""COMPUTED_VALUE"""),"1303")</f>
        <v>1303</v>
      </c>
      <c r="J198" s="115" t="str">
        <f ca="1">IFERROR(__xludf.DUMMYFUNCTION("""COMPUTED_VALUE"""),"103691")</f>
        <v>103691</v>
      </c>
      <c r="K198" s="113" t="e">
        <f ca="1"/>
        <v>#REF!</v>
      </c>
      <c r="L198" s="113" t="e">
        <f ca="1"/>
        <v>#REF!</v>
      </c>
      <c r="M198" s="113" t="e">
        <f ca="1"/>
        <v>#REF!</v>
      </c>
      <c r="N198" s="113" t="e">
        <f ca="1"/>
        <v>#REF!</v>
      </c>
      <c r="O198" s="113" t="e">
        <f ca="1"/>
        <v>#REF!</v>
      </c>
      <c r="P198" s="113" t="e">
        <f ca="1"/>
        <v>#REF!</v>
      </c>
      <c r="Q198" s="113" t="e">
        <f ca="1"/>
        <v>#REF!</v>
      </c>
      <c r="R198" s="113" t="e">
        <f ca="1"/>
        <v>#REF!</v>
      </c>
      <c r="S198" s="113" t="e">
        <f ca="1"/>
        <v>#REF!</v>
      </c>
      <c r="T198" s="113" t="e">
        <f ca="1"/>
        <v>#REF!</v>
      </c>
      <c r="U198" s="113" t="e">
        <f ca="1"/>
        <v>#REF!</v>
      </c>
      <c r="V198" s="113" t="e">
        <f ca="1"/>
        <v>#REF!</v>
      </c>
      <c r="W198" s="113" t="e">
        <f ca="1"/>
        <v>#REF!</v>
      </c>
      <c r="X198" s="113" t="e">
        <f ca="1"/>
        <v>#REF!</v>
      </c>
      <c r="Y198" s="113" t="e">
        <f ca="1"/>
        <v>#REF!</v>
      </c>
      <c r="Z198" s="113" t="e">
        <f ca="1"/>
        <v>#REF!</v>
      </c>
      <c r="AA198" s="113"/>
      <c r="AB198" s="113"/>
      <c r="AC198" s="113"/>
      <c r="AD198" s="113"/>
      <c r="AE198" s="113" t="str">
        <f ca="1">IFERROR(__xludf.DUMMYFUNCTION("""COMPUTED_VALUE"""),"Parcial")</f>
        <v>Parcial</v>
      </c>
      <c r="AF198" s="113" t="str">
        <f ca="1">IFERROR(__xludf.DUMMYFUNCTION("""COMPUTED_VALUE"""),"FE")</f>
        <v>FE</v>
      </c>
      <c r="AG198" s="113">
        <f ca="1">IFERROR(__xludf.DUMMYFUNCTION("""COMPUTED_VALUE"""),0)</f>
        <v>0</v>
      </c>
      <c r="AH198" s="113">
        <f ca="1">IFERROR(__xludf.DUMMYFUNCTION("""COMPUTED_VALUE"""),0)</f>
        <v>0</v>
      </c>
      <c r="AI198" s="113">
        <f ca="1">IFERROR(__xludf.DUMMYFUNCTION("""COMPUTED_VALUE"""),0)</f>
        <v>0</v>
      </c>
      <c r="AJ198" s="113">
        <f ca="1">IFERROR(__xludf.DUMMYFUNCTION("""COMPUTED_VALUE"""),0)</f>
        <v>0</v>
      </c>
      <c r="AK198" s="113"/>
      <c r="AL198" s="116"/>
    </row>
    <row r="199" spans="1:38" ht="12.75">
      <c r="A199" s="112" t="str">
        <f ca="1">IFERROR(__xludf.DUMMYFUNCTION("""COMPUTED_VALUE"""),"17017165")</f>
        <v>17017165</v>
      </c>
      <c r="B199" s="113" t="str">
        <f ca="1">IFERROR(__xludf.DUMMYFUNCTION("""COMPUTED_VALUE"""),"Gurupi")</f>
        <v>Gurupi</v>
      </c>
      <c r="C199" s="113" t="str">
        <f ca="1">IFERROR(__xludf.DUMMYFUNCTION("""COMPUTED_VALUE"""),"Araguacu")</f>
        <v>Araguacu</v>
      </c>
      <c r="D199" s="114" t="str">
        <f ca="1">IFERROR(__xludf.DUMMYFUNCTION("""COMPUTED_VALUE"""),"ASS. APOIO ESC. EST. JOAO TAVARES MARTINS")</f>
        <v>ASS. APOIO ESC. EST. JOAO TAVARES MARTINS</v>
      </c>
      <c r="E199" s="113" t="str">
        <f ca="1">IFERROR(__xludf.DUMMYFUNCTION("""COMPUTED_VALUE"""),"Colégio Estadual João Tavares Martins")</f>
        <v>Colégio Estadual João Tavares Martins</v>
      </c>
      <c r="F199" s="115" t="str">
        <f ca="1">IFERROR(__xludf.DUMMYFUNCTION("""COMPUTED_VALUE"""),"17017165")</f>
        <v>17017165</v>
      </c>
      <c r="G199" s="113" t="str">
        <f ca="1">IFERROR(__xludf.DUMMYFUNCTION("""COMPUTED_VALUE"""),"01133707000139")</f>
        <v>01133707000139</v>
      </c>
      <c r="H199" s="115" t="str">
        <f ca="1">IFERROR(__xludf.DUMMYFUNCTION("""COMPUTED_VALUE"""),"001")</f>
        <v>001</v>
      </c>
      <c r="I199" s="115" t="str">
        <f ca="1">IFERROR(__xludf.DUMMYFUNCTION("""COMPUTED_VALUE"""),"1304")</f>
        <v>1304</v>
      </c>
      <c r="J199" s="115" t="str">
        <f ca="1">IFERROR(__xludf.DUMMYFUNCTION("""COMPUTED_VALUE"""),"112542")</f>
        <v>112542</v>
      </c>
      <c r="K199" s="113" t="e">
        <f ca="1"/>
        <v>#REF!</v>
      </c>
      <c r="L199" s="113" t="e">
        <f ca="1"/>
        <v>#REF!</v>
      </c>
      <c r="M199" s="113" t="e">
        <f ca="1"/>
        <v>#REF!</v>
      </c>
      <c r="N199" s="113" t="e">
        <f ca="1"/>
        <v>#REF!</v>
      </c>
      <c r="O199" s="113" t="e">
        <f ca="1"/>
        <v>#REF!</v>
      </c>
      <c r="P199" s="113" t="e">
        <f ca="1"/>
        <v>#REF!</v>
      </c>
      <c r="Q199" s="113" t="e">
        <f ca="1"/>
        <v>#REF!</v>
      </c>
      <c r="R199" s="113" t="e">
        <f ca="1"/>
        <v>#REF!</v>
      </c>
      <c r="S199" s="113" t="e">
        <f ca="1"/>
        <v>#REF!</v>
      </c>
      <c r="T199" s="113" t="e">
        <f ca="1"/>
        <v>#REF!</v>
      </c>
      <c r="U199" s="113" t="e">
        <f ca="1"/>
        <v>#REF!</v>
      </c>
      <c r="V199" s="113" t="e">
        <f ca="1"/>
        <v>#REF!</v>
      </c>
      <c r="W199" s="113" t="e">
        <f ca="1"/>
        <v>#REF!</v>
      </c>
      <c r="X199" s="113" t="e">
        <f ca="1"/>
        <v>#REF!</v>
      </c>
      <c r="Y199" s="113" t="e">
        <f ca="1"/>
        <v>#REF!</v>
      </c>
      <c r="Z199" s="113" t="e">
        <f ca="1"/>
        <v>#REF!</v>
      </c>
      <c r="AA199" s="113"/>
      <c r="AB199" s="113"/>
      <c r="AC199" s="113"/>
      <c r="AD199" s="113" t="str">
        <f ca="1">IFERROR(__xludf.DUMMYFUNCTION("""COMPUTED_VALUE"""),"CRECHE")</f>
        <v>CRECHE</v>
      </c>
      <c r="AE199" s="113" t="str">
        <f ca="1">IFERROR(__xludf.DUMMYFUNCTION("""COMPUTED_VALUE"""),"Parcial")</f>
        <v>Parcial</v>
      </c>
      <c r="AF199" s="113" t="str">
        <f ca="1">IFERROR(__xludf.DUMMYFUNCTION("""COMPUTED_VALUE"""),"FE")</f>
        <v>FE</v>
      </c>
      <c r="AG199" s="113">
        <f ca="1">IFERROR(__xludf.DUMMYFUNCTION("""COMPUTED_VALUE"""),0)</f>
        <v>0</v>
      </c>
      <c r="AH199" s="113">
        <f ca="1">IFERROR(__xludf.DUMMYFUNCTION("""COMPUTED_VALUE"""),0)</f>
        <v>0</v>
      </c>
      <c r="AI199" s="113">
        <f ca="1">IFERROR(__xludf.DUMMYFUNCTION("""COMPUTED_VALUE"""),0)</f>
        <v>0</v>
      </c>
      <c r="AJ199" s="113">
        <f ca="1">IFERROR(__xludf.DUMMYFUNCTION("""COMPUTED_VALUE"""),0)</f>
        <v>0</v>
      </c>
      <c r="AK199" s="113"/>
      <c r="AL199" s="116"/>
    </row>
    <row r="200" spans="1:38" ht="12.75">
      <c r="A200" s="112" t="str">
        <f ca="1">IFERROR(__xludf.DUMMYFUNCTION("""COMPUTED_VALUE"""),"17045045")</f>
        <v>17045045</v>
      </c>
      <c r="B200" s="113" t="str">
        <f ca="1">IFERROR(__xludf.DUMMYFUNCTION("""COMPUTED_VALUE"""),"Gurupi")</f>
        <v>Gurupi</v>
      </c>
      <c r="C200" s="113" t="str">
        <f ca="1">IFERROR(__xludf.DUMMYFUNCTION("""COMPUTED_VALUE"""),"Araguacu")</f>
        <v>Araguacu</v>
      </c>
      <c r="D200" s="114" t="str">
        <f ca="1">IFERROR(__xludf.DUMMYFUNCTION("""COMPUTED_VALUE"""),"A..A. ESC. ESPECIAL  ABELINHA EM BUSCA DO SABER")</f>
        <v>A..A. ESC. ESPECIAL  ABELINHA EM BUSCA DO SABER</v>
      </c>
      <c r="E200" s="113" t="str">
        <f ca="1">IFERROR(__xludf.DUMMYFUNCTION("""COMPUTED_VALUE"""),"Escola Especial Abelhinha em Busca do Saber")</f>
        <v>Escola Especial Abelhinha em Busca do Saber</v>
      </c>
      <c r="F200" s="115" t="str">
        <f ca="1">IFERROR(__xludf.DUMMYFUNCTION("""COMPUTED_VALUE"""),"17045045")</f>
        <v>17045045</v>
      </c>
      <c r="G200" s="113" t="str">
        <f ca="1">IFERROR(__xludf.DUMMYFUNCTION("""COMPUTED_VALUE"""),"07924466000122")</f>
        <v>07924466000122</v>
      </c>
      <c r="H200" s="115" t="str">
        <f ca="1">IFERROR(__xludf.DUMMYFUNCTION("""COMPUTED_VALUE"""),"001")</f>
        <v>001</v>
      </c>
      <c r="I200" s="115" t="str">
        <f ca="1">IFERROR(__xludf.DUMMYFUNCTION("""COMPUTED_VALUE"""),"1304")</f>
        <v>1304</v>
      </c>
      <c r="J200" s="115" t="str">
        <f ca="1">IFERROR(__xludf.DUMMYFUNCTION("""COMPUTED_VALUE"""),"136417")</f>
        <v>136417</v>
      </c>
      <c r="K200" s="113" t="e">
        <f ca="1"/>
        <v>#REF!</v>
      </c>
      <c r="L200" s="113" t="e">
        <f ca="1"/>
        <v>#REF!</v>
      </c>
      <c r="M200" s="113" t="e">
        <f ca="1"/>
        <v>#REF!</v>
      </c>
      <c r="N200" s="113" t="e">
        <f ca="1"/>
        <v>#REF!</v>
      </c>
      <c r="O200" s="113" t="e">
        <f ca="1"/>
        <v>#REF!</v>
      </c>
      <c r="P200" s="113" t="e">
        <f ca="1"/>
        <v>#REF!</v>
      </c>
      <c r="Q200" s="113" t="e">
        <f ca="1"/>
        <v>#REF!</v>
      </c>
      <c r="R200" s="113" t="e">
        <f ca="1"/>
        <v>#REF!</v>
      </c>
      <c r="S200" s="113" t="e">
        <f ca="1"/>
        <v>#REF!</v>
      </c>
      <c r="T200" s="113" t="e">
        <f ca="1"/>
        <v>#REF!</v>
      </c>
      <c r="U200" s="113" t="e">
        <f ca="1"/>
        <v>#REF!</v>
      </c>
      <c r="V200" s="113" t="e">
        <f ca="1"/>
        <v>#REF!</v>
      </c>
      <c r="W200" s="113" t="e">
        <f ca="1"/>
        <v>#REF!</v>
      </c>
      <c r="X200" s="113" t="e">
        <f ca="1"/>
        <v>#REF!</v>
      </c>
      <c r="Y200" s="113" t="e">
        <f ca="1"/>
        <v>#REF!</v>
      </c>
      <c r="Z200" s="113" t="e">
        <f ca="1"/>
        <v>#REF!</v>
      </c>
      <c r="AA200" s="113"/>
      <c r="AB200" s="113"/>
      <c r="AC200" s="113"/>
      <c r="AD200" s="113"/>
      <c r="AE200" s="113" t="str">
        <f ca="1">IFERROR(__xludf.DUMMYFUNCTION("""COMPUTED_VALUE"""),"Parcial")</f>
        <v>Parcial</v>
      </c>
      <c r="AF200" s="113" t="str">
        <f ca="1">IFERROR(__xludf.DUMMYFUNCTION("""COMPUTED_VALUE"""),"FE")</f>
        <v>FE</v>
      </c>
      <c r="AG200" s="113">
        <f ca="1">IFERROR(__xludf.DUMMYFUNCTION("""COMPUTED_VALUE"""),0)</f>
        <v>0</v>
      </c>
      <c r="AH200" s="113">
        <f ca="1">IFERROR(__xludf.DUMMYFUNCTION("""COMPUTED_VALUE"""),0)</f>
        <v>0</v>
      </c>
      <c r="AI200" s="113">
        <f ca="1">IFERROR(__xludf.DUMMYFUNCTION("""COMPUTED_VALUE"""),0)</f>
        <v>0</v>
      </c>
      <c r="AJ200" s="113">
        <f ca="1">IFERROR(__xludf.DUMMYFUNCTION("""COMPUTED_VALUE"""),0)</f>
        <v>0</v>
      </c>
      <c r="AK200" s="113"/>
      <c r="AL200" s="116"/>
    </row>
    <row r="201" spans="1:38" ht="12.75">
      <c r="A201" s="112" t="str">
        <f ca="1">IFERROR(__xludf.DUMMYFUNCTION("""COMPUTED_VALUE"""),"17017203")</f>
        <v>17017203</v>
      </c>
      <c r="B201" s="113" t="str">
        <f ca="1">IFERROR(__xludf.DUMMYFUNCTION("""COMPUTED_VALUE"""),"Gurupi")</f>
        <v>Gurupi</v>
      </c>
      <c r="C201" s="113" t="str">
        <f ca="1">IFERROR(__xludf.DUMMYFUNCTION("""COMPUTED_VALUE"""),"Araguacu")</f>
        <v>Araguacu</v>
      </c>
      <c r="D201" s="114" t="str">
        <f ca="1">IFERROR(__xludf.DUMMYFUNCTION("""COMPUTED_VALUE"""),"ASS. APOIO ESC. EST. SALVADOR CAETANO")</f>
        <v>ASS. APOIO ESC. EST. SALVADOR CAETANO</v>
      </c>
      <c r="E201" s="113" t="str">
        <f ca="1">IFERROR(__xludf.DUMMYFUNCTION("""COMPUTED_VALUE"""),"Escola Estadual Salvador Caetano")</f>
        <v>Escola Estadual Salvador Caetano</v>
      </c>
      <c r="F201" s="115" t="str">
        <f ca="1">IFERROR(__xludf.DUMMYFUNCTION("""COMPUTED_VALUE"""),"17017203")</f>
        <v>17017203</v>
      </c>
      <c r="G201" s="113" t="str">
        <f ca="1">IFERROR(__xludf.DUMMYFUNCTION("""COMPUTED_VALUE"""),"01341484000103")</f>
        <v>01341484000103</v>
      </c>
      <c r="H201" s="115" t="str">
        <f ca="1">IFERROR(__xludf.DUMMYFUNCTION("""COMPUTED_VALUE"""),"001")</f>
        <v>001</v>
      </c>
      <c r="I201" s="115" t="str">
        <f ca="1">IFERROR(__xludf.DUMMYFUNCTION("""COMPUTED_VALUE"""),"1304")</f>
        <v>1304</v>
      </c>
      <c r="J201" s="115" t="str">
        <f ca="1">IFERROR(__xludf.DUMMYFUNCTION("""COMPUTED_VALUE"""),"0105589")</f>
        <v>0105589</v>
      </c>
      <c r="K201" s="113" t="e">
        <f ca="1"/>
        <v>#REF!</v>
      </c>
      <c r="L201" s="113" t="e">
        <f ca="1"/>
        <v>#REF!</v>
      </c>
      <c r="M201" s="113" t="e">
        <f ca="1"/>
        <v>#REF!</v>
      </c>
      <c r="N201" s="113" t="e">
        <f ca="1"/>
        <v>#REF!</v>
      </c>
      <c r="O201" s="113" t="e">
        <f ca="1"/>
        <v>#REF!</v>
      </c>
      <c r="P201" s="113" t="e">
        <f ca="1"/>
        <v>#REF!</v>
      </c>
      <c r="Q201" s="113" t="e">
        <f ca="1"/>
        <v>#REF!</v>
      </c>
      <c r="R201" s="113" t="e">
        <f ca="1"/>
        <v>#REF!</v>
      </c>
      <c r="S201" s="113" t="e">
        <f ca="1"/>
        <v>#REF!</v>
      </c>
      <c r="T201" s="113" t="e">
        <f ca="1"/>
        <v>#REF!</v>
      </c>
      <c r="U201" s="113" t="e">
        <f ca="1"/>
        <v>#REF!</v>
      </c>
      <c r="V201" s="113" t="e">
        <f ca="1"/>
        <v>#REF!</v>
      </c>
      <c r="W201" s="113" t="e">
        <f ca="1"/>
        <v>#REF!</v>
      </c>
      <c r="X201" s="113" t="e">
        <f ca="1"/>
        <v>#REF!</v>
      </c>
      <c r="Y201" s="113" t="e">
        <f ca="1"/>
        <v>#REF!</v>
      </c>
      <c r="Z201" s="113" t="e">
        <f ca="1"/>
        <v>#REF!</v>
      </c>
      <c r="AA201" s="113"/>
      <c r="AB201" s="113"/>
      <c r="AC201" s="113"/>
      <c r="AD201" s="113"/>
      <c r="AE201" s="113" t="str">
        <f ca="1">IFERROR(__xludf.DUMMYFUNCTION("""COMPUTED_VALUE"""),"Parcial")</f>
        <v>Parcial</v>
      </c>
      <c r="AF201" s="113" t="str">
        <f ca="1">IFERROR(__xludf.DUMMYFUNCTION("""COMPUTED_VALUE"""),"FE")</f>
        <v>FE</v>
      </c>
      <c r="AG201" s="113">
        <f ca="1">IFERROR(__xludf.DUMMYFUNCTION("""COMPUTED_VALUE"""),0)</f>
        <v>0</v>
      </c>
      <c r="AH201" s="113">
        <f ca="1">IFERROR(__xludf.DUMMYFUNCTION("""COMPUTED_VALUE"""),0)</f>
        <v>0</v>
      </c>
      <c r="AI201" s="113">
        <f ca="1">IFERROR(__xludf.DUMMYFUNCTION("""COMPUTED_VALUE"""),0)</f>
        <v>0</v>
      </c>
      <c r="AJ201" s="113">
        <f ca="1">IFERROR(__xludf.DUMMYFUNCTION("""COMPUTED_VALUE"""),0)</f>
        <v>0</v>
      </c>
      <c r="AK201" s="113"/>
      <c r="AL201" s="116"/>
    </row>
    <row r="202" spans="1:38" ht="12.75">
      <c r="A202" s="112" t="str">
        <f ca="1">IFERROR(__xludf.DUMMYFUNCTION("""COMPUTED_VALUE"""),"17021146")</f>
        <v>17021146</v>
      </c>
      <c r="B202" s="113" t="str">
        <f ca="1">IFERROR(__xludf.DUMMYFUNCTION("""COMPUTED_VALUE"""),"Gurupi")</f>
        <v>Gurupi</v>
      </c>
      <c r="C202" s="113" t="str">
        <f ca="1">IFERROR(__xludf.DUMMYFUNCTION("""COMPUTED_VALUE"""),"Cariri do Tocantins")</f>
        <v>Cariri do Tocantins</v>
      </c>
      <c r="D202" s="114" t="str">
        <f ca="1">IFERROR(__xludf.DUMMYFUNCTION("""COMPUTED_VALUE"""),"ASS. APOIO ESCOLA ESTADUAL TARSO DUTRA")</f>
        <v>ASS. APOIO ESCOLA ESTADUAL TARSO DUTRA</v>
      </c>
      <c r="E202" s="113" t="str">
        <f ca="1">IFERROR(__xludf.DUMMYFUNCTION("""COMPUTED_VALUE"""),"Escola Estadual Tarso Dutra")</f>
        <v>Escola Estadual Tarso Dutra</v>
      </c>
      <c r="F202" s="115" t="str">
        <f ca="1">IFERROR(__xludf.DUMMYFUNCTION("""COMPUTED_VALUE"""),"17021146")</f>
        <v>17021146</v>
      </c>
      <c r="G202" s="113" t="str">
        <f ca="1">IFERROR(__xludf.DUMMYFUNCTION("""COMPUTED_VALUE"""),"01239275000145")</f>
        <v>01239275000145</v>
      </c>
      <c r="H202" s="115" t="str">
        <f ca="1">IFERROR(__xludf.DUMMYFUNCTION("""COMPUTED_VALUE"""),"001")</f>
        <v>001</v>
      </c>
      <c r="I202" s="115" t="str">
        <f ca="1">IFERROR(__xludf.DUMMYFUNCTION("""COMPUTED_VALUE"""),"0794")</f>
        <v>0794</v>
      </c>
      <c r="J202" s="115" t="str">
        <f ca="1">IFERROR(__xludf.DUMMYFUNCTION("""COMPUTED_VALUE"""),"245496")</f>
        <v>245496</v>
      </c>
      <c r="K202" s="113" t="e">
        <f ca="1"/>
        <v>#REF!</v>
      </c>
      <c r="L202" s="113" t="e">
        <f ca="1"/>
        <v>#REF!</v>
      </c>
      <c r="M202" s="113" t="e">
        <f ca="1"/>
        <v>#REF!</v>
      </c>
      <c r="N202" s="113" t="e">
        <f ca="1"/>
        <v>#REF!</v>
      </c>
      <c r="O202" s="113" t="e">
        <f ca="1"/>
        <v>#REF!</v>
      </c>
      <c r="P202" s="113" t="e">
        <f ca="1"/>
        <v>#REF!</v>
      </c>
      <c r="Q202" s="113" t="e">
        <f ca="1"/>
        <v>#REF!</v>
      </c>
      <c r="R202" s="113" t="e">
        <f ca="1"/>
        <v>#REF!</v>
      </c>
      <c r="S202" s="113" t="e">
        <f ca="1"/>
        <v>#REF!</v>
      </c>
      <c r="T202" s="113" t="e">
        <f ca="1"/>
        <v>#REF!</v>
      </c>
      <c r="U202" s="113" t="e">
        <f ca="1"/>
        <v>#REF!</v>
      </c>
      <c r="V202" s="113" t="e">
        <f ca="1"/>
        <v>#REF!</v>
      </c>
      <c r="W202" s="113" t="e">
        <f ca="1"/>
        <v>#REF!</v>
      </c>
      <c r="X202" s="113" t="e">
        <f ca="1"/>
        <v>#REF!</v>
      </c>
      <c r="Y202" s="113" t="e">
        <f ca="1"/>
        <v>#REF!</v>
      </c>
      <c r="Z202" s="113" t="e">
        <f ca="1"/>
        <v>#REF!</v>
      </c>
      <c r="AA202" s="113"/>
      <c r="AB202" s="113"/>
      <c r="AC202" s="113"/>
      <c r="AD202" s="113"/>
      <c r="AE202" s="113" t="str">
        <f ca="1">IFERROR(__xludf.DUMMYFUNCTION("""COMPUTED_VALUE"""),"Parcial")</f>
        <v>Parcial</v>
      </c>
      <c r="AF202" s="113" t="str">
        <f ca="1">IFERROR(__xludf.DUMMYFUNCTION("""COMPUTED_VALUE"""),"FE")</f>
        <v>FE</v>
      </c>
      <c r="AG202" s="113">
        <f ca="1">IFERROR(__xludf.DUMMYFUNCTION("""COMPUTED_VALUE"""),0)</f>
        <v>0</v>
      </c>
      <c r="AH202" s="113">
        <f ca="1">IFERROR(__xludf.DUMMYFUNCTION("""COMPUTED_VALUE"""),0)</f>
        <v>0</v>
      </c>
      <c r="AI202" s="113">
        <f ca="1">IFERROR(__xludf.DUMMYFUNCTION("""COMPUTED_VALUE"""),0)</f>
        <v>0</v>
      </c>
      <c r="AJ202" s="113">
        <f ca="1">IFERROR(__xludf.DUMMYFUNCTION("""COMPUTED_VALUE"""),0)</f>
        <v>0</v>
      </c>
      <c r="AK202" s="113"/>
      <c r="AL202" s="116"/>
    </row>
    <row r="203" spans="1:38" ht="12.75">
      <c r="A203" s="112" t="str">
        <f ca="1">IFERROR(__xludf.DUMMYFUNCTION("""COMPUTED_VALUE"""),"17040841")</f>
        <v>17040841</v>
      </c>
      <c r="B203" s="113" t="str">
        <f ca="1">IFERROR(__xludf.DUMMYFUNCTION("""COMPUTED_VALUE"""),"Gurupi")</f>
        <v>Gurupi</v>
      </c>
      <c r="C203" s="113" t="str">
        <f ca="1">IFERROR(__xludf.DUMMYFUNCTION("""COMPUTED_VALUE"""),"Crixas do Tocantins")</f>
        <v>Crixas do Tocantins</v>
      </c>
      <c r="D203" s="114" t="str">
        <f ca="1">IFERROR(__xludf.DUMMYFUNCTION("""COMPUTED_VALUE"""),"ASSOC. DE AP. DA ESC. EST. OLAVO BILAC")</f>
        <v>ASSOC. DE AP. DA ESC. EST. OLAVO BILAC</v>
      </c>
      <c r="E203" s="113" t="str">
        <f ca="1">IFERROR(__xludf.DUMMYFUNCTION("""COMPUTED_VALUE"""),"Escola Estadual Olavo Bilac-Crixás")</f>
        <v>Escola Estadual Olavo Bilac-Crixás</v>
      </c>
      <c r="F203" s="115" t="str">
        <f ca="1">IFERROR(__xludf.DUMMYFUNCTION("""COMPUTED_VALUE"""),"17040841")</f>
        <v>17040841</v>
      </c>
      <c r="G203" s="113" t="str">
        <f ca="1">IFERROR(__xludf.DUMMYFUNCTION("""COMPUTED_VALUE"""),"01892440000163")</f>
        <v>01892440000163</v>
      </c>
      <c r="H203" s="115" t="str">
        <f ca="1">IFERROR(__xludf.DUMMYFUNCTION("""COMPUTED_VALUE"""),"001")</f>
        <v>001</v>
      </c>
      <c r="I203" s="115" t="str">
        <f ca="1">IFERROR(__xludf.DUMMYFUNCTION("""COMPUTED_VALUE"""),"0794")</f>
        <v>0794</v>
      </c>
      <c r="J203" s="115" t="str">
        <f ca="1">IFERROR(__xludf.DUMMYFUNCTION("""COMPUTED_VALUE"""),"13498")</f>
        <v>13498</v>
      </c>
      <c r="K203" s="113" t="e">
        <f ca="1"/>
        <v>#REF!</v>
      </c>
      <c r="L203" s="113" t="e">
        <f ca="1"/>
        <v>#REF!</v>
      </c>
      <c r="M203" s="113" t="e">
        <f ca="1"/>
        <v>#REF!</v>
      </c>
      <c r="N203" s="113" t="e">
        <f ca="1"/>
        <v>#REF!</v>
      </c>
      <c r="O203" s="113" t="e">
        <f ca="1"/>
        <v>#REF!</v>
      </c>
      <c r="P203" s="113" t="e">
        <f ca="1"/>
        <v>#REF!</v>
      </c>
      <c r="Q203" s="113" t="e">
        <f ca="1"/>
        <v>#REF!</v>
      </c>
      <c r="R203" s="113" t="e">
        <f ca="1"/>
        <v>#REF!</v>
      </c>
      <c r="S203" s="113" t="e">
        <f ca="1"/>
        <v>#REF!</v>
      </c>
      <c r="T203" s="113" t="e">
        <f ca="1"/>
        <v>#REF!</v>
      </c>
      <c r="U203" s="113" t="e">
        <f ca="1"/>
        <v>#REF!</v>
      </c>
      <c r="V203" s="113" t="e">
        <f ca="1"/>
        <v>#REF!</v>
      </c>
      <c r="W203" s="113" t="e">
        <f ca="1"/>
        <v>#REF!</v>
      </c>
      <c r="X203" s="113" t="e">
        <f ca="1"/>
        <v>#REF!</v>
      </c>
      <c r="Y203" s="113" t="e">
        <f ca="1"/>
        <v>#REF!</v>
      </c>
      <c r="Z203" s="113" t="e">
        <f ca="1"/>
        <v>#REF!</v>
      </c>
      <c r="AA203" s="113"/>
      <c r="AB203" s="113"/>
      <c r="AC203" s="113"/>
      <c r="AD203" s="113"/>
      <c r="AE203" s="113" t="str">
        <f ca="1">IFERROR(__xludf.DUMMYFUNCTION("""COMPUTED_VALUE"""),"Parcial")</f>
        <v>Parcial</v>
      </c>
      <c r="AF203" s="113" t="str">
        <f ca="1">IFERROR(__xludf.DUMMYFUNCTION("""COMPUTED_VALUE"""),"FE")</f>
        <v>FE</v>
      </c>
      <c r="AG203" s="113">
        <f ca="1">IFERROR(__xludf.DUMMYFUNCTION("""COMPUTED_VALUE"""),0)</f>
        <v>0</v>
      </c>
      <c r="AH203" s="113">
        <f ca="1">IFERROR(__xludf.DUMMYFUNCTION("""COMPUTED_VALUE"""),0)</f>
        <v>0</v>
      </c>
      <c r="AI203" s="113">
        <f ca="1">IFERROR(__xludf.DUMMYFUNCTION("""COMPUTED_VALUE"""),0)</f>
        <v>0</v>
      </c>
      <c r="AJ203" s="113">
        <f ca="1">IFERROR(__xludf.DUMMYFUNCTION("""COMPUTED_VALUE"""),0)</f>
        <v>0</v>
      </c>
      <c r="AK203" s="113"/>
      <c r="AL203" s="116"/>
    </row>
    <row r="204" spans="1:38" ht="12.75">
      <c r="A204" s="112" t="str">
        <f ca="1">IFERROR(__xludf.DUMMYFUNCTION("""COMPUTED_VALUE"""),"17017912")</f>
        <v>17017912</v>
      </c>
      <c r="B204" s="113" t="str">
        <f ca="1">IFERROR(__xludf.DUMMYFUNCTION("""COMPUTED_VALUE"""),"Gurupi")</f>
        <v>Gurupi</v>
      </c>
      <c r="C204" s="113" t="str">
        <f ca="1">IFERROR(__xludf.DUMMYFUNCTION("""COMPUTED_VALUE"""),"Duere")</f>
        <v>Duere</v>
      </c>
      <c r="D204" s="114" t="str">
        <f ca="1">IFERROR(__xludf.DUMMYFUNCTION("""COMPUTED_VALUE"""),"A.P.MESTRES DA ESCOLA EST.ELESBAO LIMA")</f>
        <v>A.P.MESTRES DA ESCOLA EST.ELESBAO LIMA</v>
      </c>
      <c r="E204" s="113" t="str">
        <f ca="1">IFERROR(__xludf.DUMMYFUNCTION("""COMPUTED_VALUE"""),"Colégio Estadual Elesbão Lima")</f>
        <v>Colégio Estadual Elesbão Lima</v>
      </c>
      <c r="F204" s="115" t="str">
        <f ca="1">IFERROR(__xludf.DUMMYFUNCTION("""COMPUTED_VALUE"""),"17017912")</f>
        <v>17017912</v>
      </c>
      <c r="G204" s="113" t="str">
        <f ca="1">IFERROR(__xludf.DUMMYFUNCTION("""COMPUTED_VALUE"""),"01865387000101")</f>
        <v>01865387000101</v>
      </c>
      <c r="H204" s="115" t="str">
        <f ca="1">IFERROR(__xludf.DUMMYFUNCTION("""COMPUTED_VALUE"""),"001")</f>
        <v>001</v>
      </c>
      <c r="I204" s="115" t="str">
        <f ca="1">IFERROR(__xludf.DUMMYFUNCTION("""COMPUTED_VALUE"""),"0794")</f>
        <v>0794</v>
      </c>
      <c r="J204" s="115" t="str">
        <f ca="1">IFERROR(__xludf.DUMMYFUNCTION("""COMPUTED_VALUE"""),"6758X")</f>
        <v>6758X</v>
      </c>
      <c r="K204" s="113" t="e">
        <f ca="1"/>
        <v>#REF!</v>
      </c>
      <c r="L204" s="113" t="e">
        <f ca="1"/>
        <v>#REF!</v>
      </c>
      <c r="M204" s="113" t="e">
        <f ca="1"/>
        <v>#REF!</v>
      </c>
      <c r="N204" s="113" t="e">
        <f ca="1"/>
        <v>#REF!</v>
      </c>
      <c r="O204" s="113" t="e">
        <f ca="1"/>
        <v>#REF!</v>
      </c>
      <c r="P204" s="113" t="e">
        <f ca="1"/>
        <v>#REF!</v>
      </c>
      <c r="Q204" s="113" t="e">
        <f ca="1"/>
        <v>#REF!</v>
      </c>
      <c r="R204" s="113" t="e">
        <f ca="1"/>
        <v>#REF!</v>
      </c>
      <c r="S204" s="113" t="e">
        <f ca="1"/>
        <v>#REF!</v>
      </c>
      <c r="T204" s="113" t="e">
        <f ca="1"/>
        <v>#REF!</v>
      </c>
      <c r="U204" s="113" t="e">
        <f ca="1"/>
        <v>#REF!</v>
      </c>
      <c r="V204" s="113" t="e">
        <f ca="1"/>
        <v>#REF!</v>
      </c>
      <c r="W204" s="113" t="e">
        <f ca="1"/>
        <v>#REF!</v>
      </c>
      <c r="X204" s="113" t="e">
        <f ca="1"/>
        <v>#REF!</v>
      </c>
      <c r="Y204" s="113" t="e">
        <f ca="1"/>
        <v>#REF!</v>
      </c>
      <c r="Z204" s="113" t="e">
        <f ca="1"/>
        <v>#REF!</v>
      </c>
      <c r="AA204" s="113"/>
      <c r="AB204" s="113"/>
      <c r="AC204" s="113"/>
      <c r="AD204" s="113"/>
      <c r="AE204" s="113" t="str">
        <f ca="1">IFERROR(__xludf.DUMMYFUNCTION("""COMPUTED_VALUE"""),"Parcial")</f>
        <v>Parcial</v>
      </c>
      <c r="AF204" s="113" t="str">
        <f ca="1">IFERROR(__xludf.DUMMYFUNCTION("""COMPUTED_VALUE"""),"FE")</f>
        <v>FE</v>
      </c>
      <c r="AG204" s="113">
        <f ca="1">IFERROR(__xludf.DUMMYFUNCTION("""COMPUTED_VALUE"""),0)</f>
        <v>0</v>
      </c>
      <c r="AH204" s="113">
        <f ca="1">IFERROR(__xludf.DUMMYFUNCTION("""COMPUTED_VALUE"""),0)</f>
        <v>0</v>
      </c>
      <c r="AI204" s="113">
        <f ca="1">IFERROR(__xludf.DUMMYFUNCTION("""COMPUTED_VALUE"""),0)</f>
        <v>0</v>
      </c>
      <c r="AJ204" s="113">
        <f ca="1">IFERROR(__xludf.DUMMYFUNCTION("""COMPUTED_VALUE"""),0)</f>
        <v>0</v>
      </c>
      <c r="AK204" s="113"/>
      <c r="AL204" s="116"/>
    </row>
    <row r="205" spans="1:38" ht="12.75">
      <c r="A205" s="112" t="str">
        <f ca="1">IFERROR(__xludf.DUMMYFUNCTION("""COMPUTED_VALUE"""),"17021243")</f>
        <v>17021243</v>
      </c>
      <c r="B205" s="113" t="str">
        <f ca="1">IFERROR(__xludf.DUMMYFUNCTION("""COMPUTED_VALUE"""),"Gurupi")</f>
        <v>Gurupi</v>
      </c>
      <c r="C205" s="113" t="str">
        <f ca="1">IFERROR(__xludf.DUMMYFUNCTION("""COMPUTED_VALUE"""),"Figueiropolis")</f>
        <v>Figueiropolis</v>
      </c>
      <c r="D205" s="114" t="str">
        <f ca="1">IFERROR(__xludf.DUMMYFUNCTION("""COMPUTED_VALUE"""),"A. APOIO COL. EST. ALAIR SENA CONCEICAO")</f>
        <v>A. APOIO COL. EST. ALAIR SENA CONCEICAO</v>
      </c>
      <c r="E205" s="113" t="str">
        <f ca="1">IFERROR(__xludf.DUMMYFUNCTION("""COMPUTED_VALUE"""),"Colégio Estadual Alair Sena Conceição")</f>
        <v>Colégio Estadual Alair Sena Conceição</v>
      </c>
      <c r="F205" s="115" t="str">
        <f ca="1">IFERROR(__xludf.DUMMYFUNCTION("""COMPUTED_VALUE"""),"17021243")</f>
        <v>17021243</v>
      </c>
      <c r="G205" s="113" t="str">
        <f ca="1">IFERROR(__xludf.DUMMYFUNCTION("""COMPUTED_VALUE"""),"01257080000128")</f>
        <v>01257080000128</v>
      </c>
      <c r="H205" s="115" t="str">
        <f ca="1">IFERROR(__xludf.DUMMYFUNCTION("""COMPUTED_VALUE"""),"001")</f>
        <v>001</v>
      </c>
      <c r="I205" s="115" t="str">
        <f ca="1">IFERROR(__xludf.DUMMYFUNCTION("""COMPUTED_VALUE"""),"3978")</f>
        <v>3978</v>
      </c>
      <c r="J205" s="115" t="str">
        <f ca="1">IFERROR(__xludf.DUMMYFUNCTION("""COMPUTED_VALUE"""),"52639")</f>
        <v>52639</v>
      </c>
      <c r="K205" s="113" t="e">
        <f ca="1"/>
        <v>#REF!</v>
      </c>
      <c r="L205" s="113" t="e">
        <f ca="1"/>
        <v>#REF!</v>
      </c>
      <c r="M205" s="113" t="e">
        <f ca="1"/>
        <v>#REF!</v>
      </c>
      <c r="N205" s="113" t="e">
        <f ca="1"/>
        <v>#REF!</v>
      </c>
      <c r="O205" s="113" t="e">
        <f ca="1"/>
        <v>#REF!</v>
      </c>
      <c r="P205" s="113" t="e">
        <f ca="1"/>
        <v>#REF!</v>
      </c>
      <c r="Q205" s="113" t="e">
        <f ca="1"/>
        <v>#REF!</v>
      </c>
      <c r="R205" s="113" t="e">
        <f ca="1"/>
        <v>#REF!</v>
      </c>
      <c r="S205" s="113" t="e">
        <f ca="1"/>
        <v>#REF!</v>
      </c>
      <c r="T205" s="113" t="e">
        <f ca="1"/>
        <v>#REF!</v>
      </c>
      <c r="U205" s="113" t="e">
        <f ca="1"/>
        <v>#REF!</v>
      </c>
      <c r="V205" s="113" t="e">
        <f ca="1"/>
        <v>#REF!</v>
      </c>
      <c r="W205" s="113" t="e">
        <f ca="1"/>
        <v>#REF!</v>
      </c>
      <c r="X205" s="113" t="e">
        <f ca="1"/>
        <v>#REF!</v>
      </c>
      <c r="Y205" s="113" t="e">
        <f ca="1"/>
        <v>#REF!</v>
      </c>
      <c r="Z205" s="113" t="e">
        <f ca="1"/>
        <v>#REF!</v>
      </c>
      <c r="AA205" s="113"/>
      <c r="AB205" s="113"/>
      <c r="AC205" s="113"/>
      <c r="AD205" s="113"/>
      <c r="AE205" s="113" t="str">
        <f ca="1">IFERROR(__xludf.DUMMYFUNCTION("""COMPUTED_VALUE"""),"Parcial")</f>
        <v>Parcial</v>
      </c>
      <c r="AF205" s="113" t="str">
        <f ca="1">IFERROR(__xludf.DUMMYFUNCTION("""COMPUTED_VALUE"""),"FE")</f>
        <v>FE</v>
      </c>
      <c r="AG205" s="113">
        <f ca="1">IFERROR(__xludf.DUMMYFUNCTION("""COMPUTED_VALUE"""),0)</f>
        <v>0</v>
      </c>
      <c r="AH205" s="113">
        <f ca="1">IFERROR(__xludf.DUMMYFUNCTION("""COMPUTED_VALUE"""),0)</f>
        <v>0</v>
      </c>
      <c r="AI205" s="113">
        <f ca="1">IFERROR(__xludf.DUMMYFUNCTION("""COMPUTED_VALUE"""),0)</f>
        <v>0</v>
      </c>
      <c r="AJ205" s="113">
        <f ca="1">IFERROR(__xludf.DUMMYFUNCTION("""COMPUTED_VALUE"""),0)</f>
        <v>0</v>
      </c>
      <c r="AK205" s="113"/>
      <c r="AL205" s="116"/>
    </row>
    <row r="206" spans="1:38" ht="12.75">
      <c r="A206" s="112" t="str">
        <f ca="1">IFERROR(__xludf.DUMMYFUNCTION("""COMPUTED_VALUE"""),"17021251")</f>
        <v>17021251</v>
      </c>
      <c r="B206" s="113" t="str">
        <f ca="1">IFERROR(__xludf.DUMMYFUNCTION("""COMPUTED_VALUE"""),"Gurupi")</f>
        <v>Gurupi</v>
      </c>
      <c r="C206" s="113" t="str">
        <f ca="1">IFERROR(__xludf.DUMMYFUNCTION("""COMPUTED_VALUE"""),"Figueiropolis")</f>
        <v>Figueiropolis</v>
      </c>
      <c r="D206" s="114" t="str">
        <f ca="1">IFERROR(__xludf.DUMMYFUNCTION("""COMPUTED_VALUE"""),"A. APOIO COLEGIO EST. CANDIDO FIGUEIRA")</f>
        <v>A. APOIO COLEGIO EST. CANDIDO FIGUEIRA</v>
      </c>
      <c r="E206" s="113" t="str">
        <f ca="1">IFERROR(__xludf.DUMMYFUNCTION("""COMPUTED_VALUE"""),"Colégio Estadual Cândido Figueira")</f>
        <v>Colégio Estadual Cândido Figueira</v>
      </c>
      <c r="F206" s="115" t="str">
        <f ca="1">IFERROR(__xludf.DUMMYFUNCTION("""COMPUTED_VALUE"""),"17021251")</f>
        <v>17021251</v>
      </c>
      <c r="G206" s="113" t="str">
        <f ca="1">IFERROR(__xludf.DUMMYFUNCTION("""COMPUTED_VALUE"""),"01262902000169")</f>
        <v>01262902000169</v>
      </c>
      <c r="H206" s="115" t="str">
        <f ca="1">IFERROR(__xludf.DUMMYFUNCTION("""COMPUTED_VALUE"""),"001")</f>
        <v>001</v>
      </c>
      <c r="I206" s="115" t="str">
        <f ca="1">IFERROR(__xludf.DUMMYFUNCTION("""COMPUTED_VALUE"""),"3978")</f>
        <v>3978</v>
      </c>
      <c r="J206" s="115" t="str">
        <f ca="1">IFERROR(__xludf.DUMMYFUNCTION("""COMPUTED_VALUE"""),"4802X")</f>
        <v>4802X</v>
      </c>
      <c r="K206" s="113" t="e">
        <f ca="1"/>
        <v>#REF!</v>
      </c>
      <c r="L206" s="113" t="e">
        <f ca="1"/>
        <v>#REF!</v>
      </c>
      <c r="M206" s="113" t="e">
        <f ca="1"/>
        <v>#REF!</v>
      </c>
      <c r="N206" s="113" t="e">
        <f ca="1"/>
        <v>#REF!</v>
      </c>
      <c r="O206" s="113" t="e">
        <f ca="1"/>
        <v>#REF!</v>
      </c>
      <c r="P206" s="113" t="e">
        <f ca="1"/>
        <v>#REF!</v>
      </c>
      <c r="Q206" s="113" t="e">
        <f ca="1"/>
        <v>#REF!</v>
      </c>
      <c r="R206" s="113" t="e">
        <f ca="1"/>
        <v>#REF!</v>
      </c>
      <c r="S206" s="113" t="e">
        <f ca="1"/>
        <v>#REF!</v>
      </c>
      <c r="T206" s="113" t="e">
        <f ca="1"/>
        <v>#REF!</v>
      </c>
      <c r="U206" s="113" t="e">
        <f ca="1"/>
        <v>#REF!</v>
      </c>
      <c r="V206" s="113" t="e">
        <f ca="1"/>
        <v>#REF!</v>
      </c>
      <c r="W206" s="113" t="e">
        <f ca="1"/>
        <v>#REF!</v>
      </c>
      <c r="X206" s="113" t="e">
        <f ca="1"/>
        <v>#REF!</v>
      </c>
      <c r="Y206" s="113" t="e">
        <f ca="1"/>
        <v>#REF!</v>
      </c>
      <c r="Z206" s="113" t="e">
        <f ca="1"/>
        <v>#REF!</v>
      </c>
      <c r="AA206" s="113"/>
      <c r="AB206" s="113"/>
      <c r="AC206" s="113"/>
      <c r="AD206" s="113"/>
      <c r="AE206" s="113" t="str">
        <f ca="1">IFERROR(__xludf.DUMMYFUNCTION("""COMPUTED_VALUE"""),"Parcial")</f>
        <v>Parcial</v>
      </c>
      <c r="AF206" s="113" t="str">
        <f ca="1">IFERROR(__xludf.DUMMYFUNCTION("""COMPUTED_VALUE"""),"FE")</f>
        <v>FE</v>
      </c>
      <c r="AG206" s="113">
        <f ca="1">IFERROR(__xludf.DUMMYFUNCTION("""COMPUTED_VALUE"""),0)</f>
        <v>0</v>
      </c>
      <c r="AH206" s="113">
        <f ca="1">IFERROR(__xludf.DUMMYFUNCTION("""COMPUTED_VALUE"""),0)</f>
        <v>0</v>
      </c>
      <c r="AI206" s="113">
        <f ca="1">IFERROR(__xludf.DUMMYFUNCTION("""COMPUTED_VALUE"""),0)</f>
        <v>0</v>
      </c>
      <c r="AJ206" s="113">
        <f ca="1">IFERROR(__xludf.DUMMYFUNCTION("""COMPUTED_VALUE"""),0)</f>
        <v>0</v>
      </c>
      <c r="AK206" s="113"/>
      <c r="AL206" s="116"/>
    </row>
    <row r="207" spans="1:38" ht="12.75">
      <c r="A207" s="112" t="str">
        <f ca="1">IFERROR(__xludf.DUMMYFUNCTION("""COMPUTED_VALUE"""),"17018382")</f>
        <v>17018382</v>
      </c>
      <c r="B207" s="113" t="str">
        <f ca="1">IFERROR(__xludf.DUMMYFUNCTION("""COMPUTED_VALUE"""),"Gurupi")</f>
        <v>Gurupi</v>
      </c>
      <c r="C207" s="113" t="str">
        <f ca="1">IFERROR(__xludf.DUMMYFUNCTION("""COMPUTED_VALUE"""),"Formoso do Araguaia")</f>
        <v>Formoso do Araguaia</v>
      </c>
      <c r="D207" s="114" t="str">
        <f ca="1">IFERROR(__xludf.DUMMYFUNCTION("""COMPUTED_VALUE"""),"A.P.E MESTRES DA E. E.BENEDITO P.BANDEIRA")</f>
        <v>A.P.E MESTRES DA E. E.BENEDITO P.BANDEIRA</v>
      </c>
      <c r="E207" s="113" t="str">
        <f ca="1">IFERROR(__xludf.DUMMYFUNCTION("""COMPUTED_VALUE"""),"Colégio Estadual Benedito Pereira Bandeira")</f>
        <v>Colégio Estadual Benedito Pereira Bandeira</v>
      </c>
      <c r="F207" s="115" t="str">
        <f ca="1">IFERROR(__xludf.DUMMYFUNCTION("""COMPUTED_VALUE"""),"17018382")</f>
        <v>17018382</v>
      </c>
      <c r="G207" s="113" t="str">
        <f ca="1">IFERROR(__xludf.DUMMYFUNCTION("""COMPUTED_VALUE"""),"01136026000124")</f>
        <v>01136026000124</v>
      </c>
      <c r="H207" s="115" t="str">
        <f ca="1">IFERROR(__xludf.DUMMYFUNCTION("""COMPUTED_VALUE"""),"001")</f>
        <v>001</v>
      </c>
      <c r="I207" s="115" t="str">
        <f ca="1">IFERROR(__xludf.DUMMYFUNCTION("""COMPUTED_VALUE"""),"3123")</f>
        <v>3123</v>
      </c>
      <c r="J207" s="115" t="str">
        <f ca="1">IFERROR(__xludf.DUMMYFUNCTION("""COMPUTED_VALUE"""),"0303240")</f>
        <v>0303240</v>
      </c>
      <c r="K207" s="113" t="e">
        <f ca="1"/>
        <v>#REF!</v>
      </c>
      <c r="L207" s="113" t="e">
        <f ca="1"/>
        <v>#REF!</v>
      </c>
      <c r="M207" s="113" t="e">
        <f ca="1"/>
        <v>#REF!</v>
      </c>
      <c r="N207" s="113" t="e">
        <f ca="1"/>
        <v>#REF!</v>
      </c>
      <c r="O207" s="113" t="e">
        <f ca="1"/>
        <v>#REF!</v>
      </c>
      <c r="P207" s="113" t="e">
        <f ca="1"/>
        <v>#REF!</v>
      </c>
      <c r="Q207" s="113" t="e">
        <f ca="1"/>
        <v>#REF!</v>
      </c>
      <c r="R207" s="113" t="e">
        <f ca="1"/>
        <v>#REF!</v>
      </c>
      <c r="S207" s="113" t="e">
        <f ca="1"/>
        <v>#REF!</v>
      </c>
      <c r="T207" s="113" t="e">
        <f ca="1"/>
        <v>#REF!</v>
      </c>
      <c r="U207" s="113" t="e">
        <f ca="1"/>
        <v>#REF!</v>
      </c>
      <c r="V207" s="113" t="e">
        <f ca="1"/>
        <v>#REF!</v>
      </c>
      <c r="W207" s="113" t="e">
        <f ca="1"/>
        <v>#REF!</v>
      </c>
      <c r="X207" s="113" t="e">
        <f ca="1"/>
        <v>#REF!</v>
      </c>
      <c r="Y207" s="113" t="e">
        <f ca="1"/>
        <v>#REF!</v>
      </c>
      <c r="Z207" s="113" t="e">
        <f ca="1"/>
        <v>#REF!</v>
      </c>
      <c r="AA207" s="113"/>
      <c r="AB207" s="113"/>
      <c r="AC207" s="113"/>
      <c r="AD207" s="113"/>
      <c r="AE207" s="113" t="str">
        <f ca="1">IFERROR(__xludf.DUMMYFUNCTION("""COMPUTED_VALUE"""),"Parcial")</f>
        <v>Parcial</v>
      </c>
      <c r="AF207" s="113" t="str">
        <f ca="1">IFERROR(__xludf.DUMMYFUNCTION("""COMPUTED_VALUE"""),"FE")</f>
        <v>FE</v>
      </c>
      <c r="AG207" s="113">
        <f ca="1">IFERROR(__xludf.DUMMYFUNCTION("""COMPUTED_VALUE"""),0)</f>
        <v>0</v>
      </c>
      <c r="AH207" s="113">
        <f ca="1">IFERROR(__xludf.DUMMYFUNCTION("""COMPUTED_VALUE"""),0)</f>
        <v>0</v>
      </c>
      <c r="AI207" s="113">
        <f ca="1">IFERROR(__xludf.DUMMYFUNCTION("""COMPUTED_VALUE"""),0)</f>
        <v>0</v>
      </c>
      <c r="AJ207" s="113">
        <f ca="1">IFERROR(__xludf.DUMMYFUNCTION("""COMPUTED_VALUE"""),0)</f>
        <v>0</v>
      </c>
      <c r="AK207" s="113"/>
      <c r="AL207" s="116"/>
    </row>
    <row r="208" spans="1:38" ht="12.75">
      <c r="A208" s="112" t="str">
        <f ca="1">IFERROR(__xludf.DUMMYFUNCTION("""COMPUTED_VALUE"""),"17018390")</f>
        <v>17018390</v>
      </c>
      <c r="B208" s="113" t="str">
        <f ca="1">IFERROR(__xludf.DUMMYFUNCTION("""COMPUTED_VALUE"""),"Gurupi")</f>
        <v>Gurupi</v>
      </c>
      <c r="C208" s="113" t="str">
        <f ca="1">IFERROR(__xludf.DUMMYFUNCTION("""COMPUTED_VALUE"""),"Formoso do Araguaia")</f>
        <v>Formoso do Araguaia</v>
      </c>
      <c r="D208" s="114" t="str">
        <f ca="1">IFERROR(__xludf.DUMMYFUNCTION("""COMPUTED_VALUE"""),"A.A. COLEGIO ESTADUAL TIRADENTES")</f>
        <v>A.A. COLEGIO ESTADUAL TIRADENTES</v>
      </c>
      <c r="E208" s="113" t="str">
        <f ca="1">IFERROR(__xludf.DUMMYFUNCTION("""COMPUTED_VALUE"""),"Colégio Estadual Tiradentes")</f>
        <v>Colégio Estadual Tiradentes</v>
      </c>
      <c r="F208" s="115" t="str">
        <f ca="1">IFERROR(__xludf.DUMMYFUNCTION("""COMPUTED_VALUE"""),"17018390")</f>
        <v>17018390</v>
      </c>
      <c r="G208" s="113" t="str">
        <f ca="1">IFERROR(__xludf.DUMMYFUNCTION("""COMPUTED_VALUE"""),"01263350000103")</f>
        <v>01263350000103</v>
      </c>
      <c r="H208" s="115" t="str">
        <f ca="1">IFERROR(__xludf.DUMMYFUNCTION("""COMPUTED_VALUE"""),"001")</f>
        <v>001</v>
      </c>
      <c r="I208" s="115" t="str">
        <f ca="1">IFERROR(__xludf.DUMMYFUNCTION("""COMPUTED_VALUE"""),"3123")</f>
        <v>3123</v>
      </c>
      <c r="J208" s="115" t="str">
        <f ca="1">IFERROR(__xludf.DUMMYFUNCTION("""COMPUTED_VALUE"""),"302988")</f>
        <v>302988</v>
      </c>
      <c r="K208" s="113" t="e">
        <f ca="1"/>
        <v>#REF!</v>
      </c>
      <c r="L208" s="113" t="e">
        <f ca="1"/>
        <v>#REF!</v>
      </c>
      <c r="M208" s="113" t="e">
        <f ca="1"/>
        <v>#REF!</v>
      </c>
      <c r="N208" s="113" t="e">
        <f ca="1"/>
        <v>#REF!</v>
      </c>
      <c r="O208" s="113" t="e">
        <f ca="1"/>
        <v>#REF!</v>
      </c>
      <c r="P208" s="113" t="e">
        <f ca="1"/>
        <v>#REF!</v>
      </c>
      <c r="Q208" s="113" t="e">
        <f ca="1"/>
        <v>#REF!</v>
      </c>
      <c r="R208" s="113" t="e">
        <f ca="1"/>
        <v>#REF!</v>
      </c>
      <c r="S208" s="113" t="e">
        <f ca="1"/>
        <v>#REF!</v>
      </c>
      <c r="T208" s="113" t="e">
        <f ca="1"/>
        <v>#REF!</v>
      </c>
      <c r="U208" s="113" t="e">
        <f ca="1"/>
        <v>#REF!</v>
      </c>
      <c r="V208" s="113" t="e">
        <f ca="1"/>
        <v>#REF!</v>
      </c>
      <c r="W208" s="113" t="e">
        <f ca="1"/>
        <v>#REF!</v>
      </c>
      <c r="X208" s="113" t="e">
        <f ca="1"/>
        <v>#REF!</v>
      </c>
      <c r="Y208" s="113" t="e">
        <f ca="1"/>
        <v>#REF!</v>
      </c>
      <c r="Z208" s="113" t="e">
        <f ca="1"/>
        <v>#REF!</v>
      </c>
      <c r="AA208" s="113"/>
      <c r="AB208" s="113"/>
      <c r="AC208" s="113"/>
      <c r="AD208" s="113"/>
      <c r="AE208" s="113" t="str">
        <f ca="1">IFERROR(__xludf.DUMMYFUNCTION("""COMPUTED_VALUE"""),"Parcial")</f>
        <v>Parcial</v>
      </c>
      <c r="AF208" s="113" t="str">
        <f ca="1">IFERROR(__xludf.DUMMYFUNCTION("""COMPUTED_VALUE"""),"FE")</f>
        <v>FE</v>
      </c>
      <c r="AG208" s="113">
        <f ca="1">IFERROR(__xludf.DUMMYFUNCTION("""COMPUTED_VALUE"""),0)</f>
        <v>0</v>
      </c>
      <c r="AH208" s="113">
        <f ca="1">IFERROR(__xludf.DUMMYFUNCTION("""COMPUTED_VALUE"""),0)</f>
        <v>0</v>
      </c>
      <c r="AI208" s="113">
        <f ca="1">IFERROR(__xludf.DUMMYFUNCTION("""COMPUTED_VALUE"""),0)</f>
        <v>0</v>
      </c>
      <c r="AJ208" s="113">
        <f ca="1">IFERROR(__xludf.DUMMYFUNCTION("""COMPUTED_VALUE"""),0)</f>
        <v>0</v>
      </c>
      <c r="AK208" s="113"/>
      <c r="AL208" s="116"/>
    </row>
    <row r="209" spans="1:38" ht="12.75">
      <c r="A209" s="112" t="str">
        <f ca="1">IFERROR(__xludf.DUMMYFUNCTION("""COMPUTED_VALUE"""),"17067600")</f>
        <v>17067600</v>
      </c>
      <c r="B209" s="113" t="str">
        <f ca="1">IFERROR(__xludf.DUMMYFUNCTION("""COMPUTED_VALUE"""),"Gurupi")</f>
        <v>Gurupi</v>
      </c>
      <c r="C209" s="113" t="str">
        <f ca="1">IFERROR(__xludf.DUMMYFUNCTION("""COMPUTED_VALUE"""),"Formoso do Araguaia")</f>
        <v>Formoso do Araguaia</v>
      </c>
      <c r="D209" s="114" t="str">
        <f ca="1">IFERROR(__xludf.DUMMYFUNCTION("""COMPUTED_VALUE"""),"A.A. ESC ESPECIAL ANJO DA GUARDA")</f>
        <v>A.A. ESC ESPECIAL ANJO DA GUARDA</v>
      </c>
      <c r="E209" s="113" t="str">
        <f ca="1">IFERROR(__xludf.DUMMYFUNCTION("""COMPUTED_VALUE"""),"Escola Especial Anjo da Guarda")</f>
        <v>Escola Especial Anjo da Guarda</v>
      </c>
      <c r="F209" s="115" t="str">
        <f ca="1">IFERROR(__xludf.DUMMYFUNCTION("""COMPUTED_VALUE"""),"17067600")</f>
        <v>17067600</v>
      </c>
      <c r="G209" s="113" t="str">
        <f ca="1">IFERROR(__xludf.DUMMYFUNCTION("""COMPUTED_VALUE"""),"17617389000111")</f>
        <v>17617389000111</v>
      </c>
      <c r="H209" s="115" t="str">
        <f ca="1">IFERROR(__xludf.DUMMYFUNCTION("""COMPUTED_VALUE"""),"001")</f>
        <v>001</v>
      </c>
      <c r="I209" s="115" t="str">
        <f ca="1">IFERROR(__xludf.DUMMYFUNCTION("""COMPUTED_VALUE"""),"3123")</f>
        <v>3123</v>
      </c>
      <c r="J209" s="115" t="str">
        <f ca="1">IFERROR(__xludf.DUMMYFUNCTION("""COMPUTED_VALUE"""),"168211")</f>
        <v>168211</v>
      </c>
      <c r="K209" s="113" t="e">
        <f ca="1"/>
        <v>#REF!</v>
      </c>
      <c r="L209" s="113" t="e">
        <f ca="1"/>
        <v>#REF!</v>
      </c>
      <c r="M209" s="113" t="e">
        <f ca="1"/>
        <v>#REF!</v>
      </c>
      <c r="N209" s="113" t="e">
        <f ca="1"/>
        <v>#REF!</v>
      </c>
      <c r="O209" s="113" t="e">
        <f ca="1"/>
        <v>#REF!</v>
      </c>
      <c r="P209" s="113" t="e">
        <f ca="1"/>
        <v>#REF!</v>
      </c>
      <c r="Q209" s="113" t="e">
        <f ca="1"/>
        <v>#REF!</v>
      </c>
      <c r="R209" s="113" t="e">
        <f ca="1"/>
        <v>#REF!</v>
      </c>
      <c r="S209" s="113" t="e">
        <f ca="1"/>
        <v>#REF!</v>
      </c>
      <c r="T209" s="113" t="e">
        <f ca="1"/>
        <v>#REF!</v>
      </c>
      <c r="U209" s="113" t="e">
        <f ca="1"/>
        <v>#REF!</v>
      </c>
      <c r="V209" s="113" t="e">
        <f ca="1"/>
        <v>#REF!</v>
      </c>
      <c r="W209" s="113" t="e">
        <f ca="1"/>
        <v>#REF!</v>
      </c>
      <c r="X209" s="113" t="e">
        <f ca="1"/>
        <v>#REF!</v>
      </c>
      <c r="Y209" s="113" t="e">
        <f ca="1"/>
        <v>#REF!</v>
      </c>
      <c r="Z209" s="113" t="e">
        <f ca="1"/>
        <v>#REF!</v>
      </c>
      <c r="AA209" s="113"/>
      <c r="AB209" s="113"/>
      <c r="AC209" s="113"/>
      <c r="AD209" s="113"/>
      <c r="AE209" s="113" t="str">
        <f ca="1">IFERROR(__xludf.DUMMYFUNCTION("""COMPUTED_VALUE"""),"Parcial")</f>
        <v>Parcial</v>
      </c>
      <c r="AF209" s="113" t="str">
        <f ca="1">IFERROR(__xludf.DUMMYFUNCTION("""COMPUTED_VALUE"""),"FE")</f>
        <v>FE</v>
      </c>
      <c r="AG209" s="113">
        <f ca="1">IFERROR(__xludf.DUMMYFUNCTION("""COMPUTED_VALUE"""),0)</f>
        <v>0</v>
      </c>
      <c r="AH209" s="113">
        <f ca="1">IFERROR(__xludf.DUMMYFUNCTION("""COMPUTED_VALUE"""),0)</f>
        <v>0</v>
      </c>
      <c r="AI209" s="113">
        <f ca="1">IFERROR(__xludf.DUMMYFUNCTION("""COMPUTED_VALUE"""),0)</f>
        <v>0</v>
      </c>
      <c r="AJ209" s="113">
        <f ca="1">IFERROR(__xludf.DUMMYFUNCTION("""COMPUTED_VALUE"""),0)</f>
        <v>0</v>
      </c>
      <c r="AK209" s="113"/>
      <c r="AL209" s="116"/>
    </row>
    <row r="210" spans="1:38" ht="12.75">
      <c r="A210" s="112" t="str">
        <f ca="1">IFERROR(__xludf.DUMMYFUNCTION("""COMPUTED_VALUE"""),"17018404")</f>
        <v>17018404</v>
      </c>
      <c r="B210" s="113" t="str">
        <f ca="1">IFERROR(__xludf.DUMMYFUNCTION("""COMPUTED_VALUE"""),"Gurupi")</f>
        <v>Gurupi</v>
      </c>
      <c r="C210" s="113" t="str">
        <f ca="1">IFERROR(__xludf.DUMMYFUNCTION("""COMPUTED_VALUE"""),"Formoso do Araguaia")</f>
        <v>Formoso do Araguaia</v>
      </c>
      <c r="D210" s="114" t="str">
        <f ca="1">IFERROR(__xludf.DUMMYFUNCTION("""COMPUTED_VALUE"""),"A.A. ESC. EST. DONA GERCINA BORGES TEIXEIRA")</f>
        <v>A.A. ESC. EST. DONA GERCINA BORGES TEIXEIRA</v>
      </c>
      <c r="E210" s="113" t="str">
        <f ca="1">IFERROR(__xludf.DUMMYFUNCTION("""COMPUTED_VALUE"""),"Escola Estadual Gercina Borges Teixeira")</f>
        <v>Escola Estadual Gercina Borges Teixeira</v>
      </c>
      <c r="F210" s="115" t="str">
        <f ca="1">IFERROR(__xludf.DUMMYFUNCTION("""COMPUTED_VALUE"""),"17018404")</f>
        <v>17018404</v>
      </c>
      <c r="G210" s="113" t="str">
        <f ca="1">IFERROR(__xludf.DUMMYFUNCTION("""COMPUTED_VALUE"""),"01268334000103")</f>
        <v>01268334000103</v>
      </c>
      <c r="H210" s="115" t="str">
        <f ca="1">IFERROR(__xludf.DUMMYFUNCTION("""COMPUTED_VALUE"""),"001")</f>
        <v>001</v>
      </c>
      <c r="I210" s="115" t="str">
        <f ca="1">IFERROR(__xludf.DUMMYFUNCTION("""COMPUTED_VALUE"""),"3123")</f>
        <v>3123</v>
      </c>
      <c r="J210" s="115" t="str">
        <f ca="1">IFERROR(__xludf.DUMMYFUNCTION("""COMPUTED_VALUE"""),"302880")</f>
        <v>302880</v>
      </c>
      <c r="K210" s="113" t="e">
        <f ca="1"/>
        <v>#REF!</v>
      </c>
      <c r="L210" s="113" t="e">
        <f ca="1"/>
        <v>#REF!</v>
      </c>
      <c r="M210" s="113" t="e">
        <f ca="1"/>
        <v>#REF!</v>
      </c>
      <c r="N210" s="113" t="e">
        <f ca="1"/>
        <v>#REF!</v>
      </c>
      <c r="O210" s="113" t="e">
        <f ca="1"/>
        <v>#REF!</v>
      </c>
      <c r="P210" s="113" t="e">
        <f ca="1"/>
        <v>#REF!</v>
      </c>
      <c r="Q210" s="113" t="e">
        <f ca="1"/>
        <v>#REF!</v>
      </c>
      <c r="R210" s="113" t="e">
        <f ca="1"/>
        <v>#REF!</v>
      </c>
      <c r="S210" s="113" t="e">
        <f ca="1"/>
        <v>#REF!</v>
      </c>
      <c r="T210" s="113" t="e">
        <f ca="1"/>
        <v>#REF!</v>
      </c>
      <c r="U210" s="113" t="e">
        <f ca="1"/>
        <v>#REF!</v>
      </c>
      <c r="V210" s="113" t="e">
        <f ca="1"/>
        <v>#REF!</v>
      </c>
      <c r="W210" s="113" t="e">
        <f ca="1"/>
        <v>#REF!</v>
      </c>
      <c r="X210" s="113" t="e">
        <f ca="1"/>
        <v>#REF!</v>
      </c>
      <c r="Y210" s="113" t="e">
        <f ca="1"/>
        <v>#REF!</v>
      </c>
      <c r="Z210" s="113" t="e">
        <f ca="1"/>
        <v>#REF!</v>
      </c>
      <c r="AA210" s="113"/>
      <c r="AB210" s="113"/>
      <c r="AC210" s="113"/>
      <c r="AD210" s="113"/>
      <c r="AE210" s="113" t="str">
        <f ca="1">IFERROR(__xludf.DUMMYFUNCTION("""COMPUTED_VALUE"""),"Parcial")</f>
        <v>Parcial</v>
      </c>
      <c r="AF210" s="113" t="str">
        <f ca="1">IFERROR(__xludf.DUMMYFUNCTION("""COMPUTED_VALUE"""),"FE")</f>
        <v>FE</v>
      </c>
      <c r="AG210" s="113">
        <f ca="1">IFERROR(__xludf.DUMMYFUNCTION("""COMPUTED_VALUE"""),0)</f>
        <v>0</v>
      </c>
      <c r="AH210" s="113">
        <f ca="1">IFERROR(__xludf.DUMMYFUNCTION("""COMPUTED_VALUE"""),0)</f>
        <v>0</v>
      </c>
      <c r="AI210" s="113">
        <f ca="1">IFERROR(__xludf.DUMMYFUNCTION("""COMPUTED_VALUE"""),0)</f>
        <v>0</v>
      </c>
      <c r="AJ210" s="113">
        <f ca="1">IFERROR(__xludf.DUMMYFUNCTION("""COMPUTED_VALUE"""),0)</f>
        <v>0</v>
      </c>
      <c r="AK210" s="113"/>
      <c r="AL210" s="116"/>
    </row>
    <row r="211" spans="1:38" ht="12.75">
      <c r="A211" s="112" t="str">
        <f ca="1">IFERROR(__xludf.DUMMYFUNCTION("""COMPUTED_VALUE"""),"17043026")</f>
        <v>17043026</v>
      </c>
      <c r="B211" s="113" t="str">
        <f ca="1">IFERROR(__xludf.DUMMYFUNCTION("""COMPUTED_VALUE"""),"Gurupi")</f>
        <v>Gurupi</v>
      </c>
      <c r="C211" s="113" t="str">
        <f ca="1">IFERROR(__xludf.DUMMYFUNCTION("""COMPUTED_VALUE"""),"Formoso do Araguaia")</f>
        <v>Formoso do Araguaia</v>
      </c>
      <c r="D211" s="114" t="str">
        <f ca="1">IFERROR(__xludf.DUMMYFUNCTION("""COMPUTED_VALUE"""),"ASSOCIAÇÃO DE APOIO DA ESCOLA INDÍGENA TAINÁ DA ALDEIA CANUANA")</f>
        <v>ASSOCIAÇÃO DE APOIO DA ESCOLA INDÍGENA TAINÁ DA ALDEIA CANUANA</v>
      </c>
      <c r="E211" s="113" t="str">
        <f ca="1">IFERROR(__xludf.DUMMYFUNCTION("""COMPUTED_VALUE"""),"Escola Indigena Tainá")</f>
        <v>Escola Indigena Tainá</v>
      </c>
      <c r="F211" s="115" t="str">
        <f ca="1">IFERROR(__xludf.DUMMYFUNCTION("""COMPUTED_VALUE"""),"17043026")</f>
        <v>17043026</v>
      </c>
      <c r="G211" s="113" t="str">
        <f ca="1">IFERROR(__xludf.DUMMYFUNCTION("""COMPUTED_VALUE"""),"27701257000127")</f>
        <v>27701257000127</v>
      </c>
      <c r="H211" s="115" t="str">
        <f ca="1">IFERROR(__xludf.DUMMYFUNCTION("""COMPUTED_VALUE"""),"001")</f>
        <v>001</v>
      </c>
      <c r="I211" s="115" t="str">
        <f ca="1">IFERROR(__xludf.DUMMYFUNCTION("""COMPUTED_VALUE"""),"3123")</f>
        <v>3123</v>
      </c>
      <c r="J211" s="115" t="str">
        <f ca="1">IFERROR(__xludf.DUMMYFUNCTION("""COMPUTED_VALUE"""),"171174")</f>
        <v>171174</v>
      </c>
      <c r="K211" s="113" t="e">
        <f ca="1"/>
        <v>#REF!</v>
      </c>
      <c r="L211" s="113" t="e">
        <f ca="1"/>
        <v>#REF!</v>
      </c>
      <c r="M211" s="113" t="e">
        <f ca="1"/>
        <v>#REF!</v>
      </c>
      <c r="N211" s="113" t="e">
        <f ca="1"/>
        <v>#REF!</v>
      </c>
      <c r="O211" s="113" t="e">
        <f ca="1"/>
        <v>#REF!</v>
      </c>
      <c r="P211" s="113" t="e">
        <f ca="1"/>
        <v>#REF!</v>
      </c>
      <c r="Q211" s="113" t="e">
        <f ca="1"/>
        <v>#REF!</v>
      </c>
      <c r="R211" s="113" t="e">
        <f ca="1"/>
        <v>#REF!</v>
      </c>
      <c r="S211" s="113" t="e">
        <f ca="1"/>
        <v>#REF!</v>
      </c>
      <c r="T211" s="113" t="e">
        <f ca="1"/>
        <v>#REF!</v>
      </c>
      <c r="U211" s="113" t="e">
        <f ca="1"/>
        <v>#REF!</v>
      </c>
      <c r="V211" s="113" t="e">
        <f ca="1"/>
        <v>#REF!</v>
      </c>
      <c r="W211" s="113" t="e">
        <f ca="1"/>
        <v>#REF!</v>
      </c>
      <c r="X211" s="113" t="e">
        <f ca="1"/>
        <v>#REF!</v>
      </c>
      <c r="Y211" s="113" t="e">
        <f ca="1"/>
        <v>#REF!</v>
      </c>
      <c r="Z211" s="113" t="e">
        <f ca="1"/>
        <v>#REF!</v>
      </c>
      <c r="AA211" s="113"/>
      <c r="AB211" s="113"/>
      <c r="AC211" s="113"/>
      <c r="AD211" s="113" t="str">
        <f ca="1">IFERROR(__xludf.DUMMYFUNCTION("""COMPUTED_VALUE"""),"INDIGENA /QUILOMBOLA PARCIAL")</f>
        <v>INDIGENA /QUILOMBOLA PARCIAL</v>
      </c>
      <c r="AE211" s="113" t="str">
        <f ca="1">IFERROR(__xludf.DUMMYFUNCTION("""COMPUTED_VALUE"""),"Parcial")</f>
        <v>Parcial</v>
      </c>
      <c r="AF211" s="113" t="str">
        <f ca="1">IFERROR(__xludf.DUMMYFUNCTION("""COMPUTED_VALUE"""),"FE")</f>
        <v>FE</v>
      </c>
      <c r="AG211" s="113">
        <f ca="1">IFERROR(__xludf.DUMMYFUNCTION("""COMPUTED_VALUE"""),0)</f>
        <v>0</v>
      </c>
      <c r="AH211" s="113">
        <f ca="1">IFERROR(__xludf.DUMMYFUNCTION("""COMPUTED_VALUE"""),0)</f>
        <v>0</v>
      </c>
      <c r="AI211" s="113">
        <f ca="1">IFERROR(__xludf.DUMMYFUNCTION("""COMPUTED_VALUE"""),0)</f>
        <v>0</v>
      </c>
      <c r="AJ211" s="113">
        <f ca="1">IFERROR(__xludf.DUMMYFUNCTION("""COMPUTED_VALUE"""),0)</f>
        <v>0</v>
      </c>
      <c r="AK211" s="113"/>
      <c r="AL211" s="116"/>
    </row>
    <row r="212" spans="1:38" ht="12.75">
      <c r="A212" s="112" t="str">
        <f ca="1">IFERROR(__xludf.DUMMYFUNCTION("""COMPUTED_VALUE"""),"17039150")</f>
        <v>17039150</v>
      </c>
      <c r="B212" s="113" t="str">
        <f ca="1">IFERROR(__xludf.DUMMYFUNCTION("""COMPUTED_VALUE"""),"Gurupi")</f>
        <v>Gurupi</v>
      </c>
      <c r="C212" s="113" t="str">
        <f ca="1">IFERROR(__xludf.DUMMYFUNCTION("""COMPUTED_VALUE"""),"Formoso do Araguaia")</f>
        <v>Formoso do Araguaia</v>
      </c>
      <c r="D212" s="114" t="str">
        <f ca="1">IFERROR(__xludf.DUMMYFUNCTION("""COMPUTED_VALUE"""),"ASSOCIAÇÃO DE APOIO DA ESCOLA INDÍGENA TEMANARE")</f>
        <v>ASSOCIAÇÃO DE APOIO DA ESCOLA INDÍGENA TEMANARE</v>
      </c>
      <c r="E212" s="113" t="str">
        <f ca="1">IFERROR(__xludf.DUMMYFUNCTION("""COMPUTED_VALUE"""),"Escola Indígena Temanare")</f>
        <v>Escola Indígena Temanare</v>
      </c>
      <c r="F212" s="115" t="str">
        <f ca="1">IFERROR(__xludf.DUMMYFUNCTION("""COMPUTED_VALUE"""),"17039150")</f>
        <v>17039150</v>
      </c>
      <c r="G212" s="113" t="str">
        <f ca="1">IFERROR(__xludf.DUMMYFUNCTION("""COMPUTED_VALUE"""),"47800676000123")</f>
        <v>47800676000123</v>
      </c>
      <c r="H212" s="115" t="str">
        <f ca="1">IFERROR(__xludf.DUMMYFUNCTION("""COMPUTED_VALUE"""),"001")</f>
        <v>001</v>
      </c>
      <c r="I212" s="115" t="str">
        <f ca="1">IFERROR(__xludf.DUMMYFUNCTION("""COMPUTED_VALUE"""),"3123")</f>
        <v>3123</v>
      </c>
      <c r="J212" s="115" t="str">
        <f ca="1">IFERROR(__xludf.DUMMYFUNCTION("""COMPUTED_VALUE"""),"207160")</f>
        <v>207160</v>
      </c>
      <c r="K212" s="113" t="e">
        <f ca="1"/>
        <v>#REF!</v>
      </c>
      <c r="L212" s="113" t="e">
        <f ca="1"/>
        <v>#REF!</v>
      </c>
      <c r="M212" s="113" t="e">
        <f ca="1"/>
        <v>#REF!</v>
      </c>
      <c r="N212" s="113" t="e">
        <f ca="1"/>
        <v>#REF!</v>
      </c>
      <c r="O212" s="113" t="e">
        <f ca="1"/>
        <v>#REF!</v>
      </c>
      <c r="P212" s="113" t="e">
        <f ca="1"/>
        <v>#REF!</v>
      </c>
      <c r="Q212" s="113" t="e">
        <f ca="1"/>
        <v>#REF!</v>
      </c>
      <c r="R212" s="113" t="e">
        <f ca="1"/>
        <v>#REF!</v>
      </c>
      <c r="S212" s="113" t="e">
        <f ca="1"/>
        <v>#REF!</v>
      </c>
      <c r="T212" s="113" t="e">
        <f ca="1"/>
        <v>#REF!</v>
      </c>
      <c r="U212" s="113" t="e">
        <f ca="1"/>
        <v>#REF!</v>
      </c>
      <c r="V212" s="113" t="e">
        <f ca="1"/>
        <v>#REF!</v>
      </c>
      <c r="W212" s="113" t="e">
        <f ca="1"/>
        <v>#REF!</v>
      </c>
      <c r="X212" s="113" t="e">
        <f ca="1"/>
        <v>#REF!</v>
      </c>
      <c r="Y212" s="113" t="e">
        <f ca="1"/>
        <v>#REF!</v>
      </c>
      <c r="Z212" s="113" t="e">
        <f ca="1"/>
        <v>#REF!</v>
      </c>
      <c r="AA212" s="113"/>
      <c r="AB212" s="113"/>
      <c r="AC212" s="113"/>
      <c r="AD212" s="113" t="str">
        <f ca="1">IFERROR(__xludf.DUMMYFUNCTION("""COMPUTED_VALUE"""),"INDIGENA /QUILOMBOLA PARCIAL")</f>
        <v>INDIGENA /QUILOMBOLA PARCIAL</v>
      </c>
      <c r="AE212" s="113" t="str">
        <f ca="1">IFERROR(__xludf.DUMMYFUNCTION("""COMPUTED_VALUE"""),"Parcial")</f>
        <v>Parcial</v>
      </c>
      <c r="AF212" s="113" t="str">
        <f ca="1">IFERROR(__xludf.DUMMYFUNCTION("""COMPUTED_VALUE"""),"FE")</f>
        <v>FE</v>
      </c>
      <c r="AG212" s="113">
        <f ca="1">IFERROR(__xludf.DUMMYFUNCTION("""COMPUTED_VALUE"""),0)</f>
        <v>0</v>
      </c>
      <c r="AH212" s="113">
        <f ca="1">IFERROR(__xludf.DUMMYFUNCTION("""COMPUTED_VALUE"""),0)</f>
        <v>0</v>
      </c>
      <c r="AI212" s="113">
        <f ca="1">IFERROR(__xludf.DUMMYFUNCTION("""COMPUTED_VALUE"""),0)</f>
        <v>0</v>
      </c>
      <c r="AJ212" s="113">
        <f ca="1">IFERROR(__xludf.DUMMYFUNCTION("""COMPUTED_VALUE"""),0)</f>
        <v>0</v>
      </c>
      <c r="AK212" s="113"/>
      <c r="AL212" s="116"/>
    </row>
    <row r="213" spans="1:38" ht="12.75">
      <c r="A213" s="112" t="str">
        <f ca="1">IFERROR(__xludf.DUMMYFUNCTION("""COMPUTED_VALUE"""),"17051746")</f>
        <v>17051746</v>
      </c>
      <c r="B213" s="113" t="str">
        <f ca="1">IFERROR(__xludf.DUMMYFUNCTION("""COMPUTED_VALUE"""),"Gurupi")</f>
        <v>Gurupi</v>
      </c>
      <c r="C213" s="113" t="str">
        <f ca="1">IFERROR(__xludf.DUMMYFUNCTION("""COMPUTED_VALUE"""),"Formoso do Araguaia")</f>
        <v>Formoso do Araguaia</v>
      </c>
      <c r="D213" s="114" t="str">
        <f ca="1">IFERROR(__xludf.DUMMYFUNCTION("""COMPUTED_VALUE"""),"ASSOCIAÇÃO DE APOIO ESCOLAR DA ESCOLA INDÍGENA TXUIRI HINÃ")</f>
        <v>ASSOCIAÇÃO DE APOIO ESCOLAR DA ESCOLA INDÍGENA TXUIRI HINÃ</v>
      </c>
      <c r="E213" s="113" t="str">
        <f ca="1">IFERROR(__xludf.DUMMYFUNCTION("""COMPUTED_VALUE"""),"Escola Indígena Txuiri Hina")</f>
        <v>Escola Indígena Txuiri Hina</v>
      </c>
      <c r="F213" s="115" t="str">
        <f ca="1">IFERROR(__xludf.DUMMYFUNCTION("""COMPUTED_VALUE"""),"17051746")</f>
        <v>17051746</v>
      </c>
      <c r="G213" s="113" t="str">
        <f ca="1">IFERROR(__xludf.DUMMYFUNCTION("""COMPUTED_VALUE"""),"47801073000146")</f>
        <v>47801073000146</v>
      </c>
      <c r="H213" s="115" t="str">
        <f ca="1">IFERROR(__xludf.DUMMYFUNCTION("""COMPUTED_VALUE"""),"001")</f>
        <v>001</v>
      </c>
      <c r="I213" s="115" t="str">
        <f ca="1">IFERROR(__xludf.DUMMYFUNCTION("""COMPUTED_VALUE"""),"3123")</f>
        <v>3123</v>
      </c>
      <c r="J213" s="115" t="str">
        <f ca="1">IFERROR(__xludf.DUMMYFUNCTION("""COMPUTED_VALUE"""),"206458")</f>
        <v>206458</v>
      </c>
      <c r="K213" s="113" t="e">
        <f ca="1"/>
        <v>#REF!</v>
      </c>
      <c r="L213" s="113" t="e">
        <f ca="1"/>
        <v>#REF!</v>
      </c>
      <c r="M213" s="113" t="e">
        <f ca="1"/>
        <v>#REF!</v>
      </c>
      <c r="N213" s="113" t="e">
        <f ca="1"/>
        <v>#REF!</v>
      </c>
      <c r="O213" s="113" t="e">
        <f ca="1"/>
        <v>#REF!</v>
      </c>
      <c r="P213" s="113" t="e">
        <f ca="1"/>
        <v>#REF!</v>
      </c>
      <c r="Q213" s="113" t="e">
        <f ca="1"/>
        <v>#REF!</v>
      </c>
      <c r="R213" s="113" t="e">
        <f ca="1"/>
        <v>#REF!</v>
      </c>
      <c r="S213" s="113" t="e">
        <f ca="1"/>
        <v>#REF!</v>
      </c>
      <c r="T213" s="113" t="e">
        <f ca="1"/>
        <v>#REF!</v>
      </c>
      <c r="U213" s="113" t="e">
        <f ca="1"/>
        <v>#REF!</v>
      </c>
      <c r="V213" s="113" t="e">
        <f ca="1"/>
        <v>#REF!</v>
      </c>
      <c r="W213" s="113" t="e">
        <f ca="1"/>
        <v>#REF!</v>
      </c>
      <c r="X213" s="113" t="e">
        <f ca="1"/>
        <v>#REF!</v>
      </c>
      <c r="Y213" s="113" t="e">
        <f ca="1"/>
        <v>#REF!</v>
      </c>
      <c r="Z213" s="113" t="e">
        <f ca="1"/>
        <v>#REF!</v>
      </c>
      <c r="AA213" s="113"/>
      <c r="AB213" s="113"/>
      <c r="AC213" s="113"/>
      <c r="AD213" s="113" t="str">
        <f ca="1">IFERROR(__xludf.DUMMYFUNCTION("""COMPUTED_VALUE"""),"INDIGENA /QUILOMBOLA PARCIAL")</f>
        <v>INDIGENA /QUILOMBOLA PARCIAL</v>
      </c>
      <c r="AE213" s="113" t="str">
        <f ca="1">IFERROR(__xludf.DUMMYFUNCTION("""COMPUTED_VALUE"""),"Parcial")</f>
        <v>Parcial</v>
      </c>
      <c r="AF213" s="113" t="str">
        <f ca="1">IFERROR(__xludf.DUMMYFUNCTION("""COMPUTED_VALUE"""),"FE")</f>
        <v>FE</v>
      </c>
      <c r="AG213" s="113">
        <f ca="1">IFERROR(__xludf.DUMMYFUNCTION("""COMPUTED_VALUE"""),0)</f>
        <v>0</v>
      </c>
      <c r="AH213" s="113">
        <f ca="1">IFERROR(__xludf.DUMMYFUNCTION("""COMPUTED_VALUE"""),0)</f>
        <v>0</v>
      </c>
      <c r="AI213" s="113">
        <f ca="1">IFERROR(__xludf.DUMMYFUNCTION("""COMPUTED_VALUE"""),0)</f>
        <v>0</v>
      </c>
      <c r="AJ213" s="113">
        <f ca="1">IFERROR(__xludf.DUMMYFUNCTION("""COMPUTED_VALUE"""),0)</f>
        <v>0</v>
      </c>
      <c r="AK213" s="113"/>
      <c r="AL213" s="116"/>
    </row>
    <row r="214" spans="1:38" ht="12.75">
      <c r="A214" s="112" t="str">
        <f ca="1">IFERROR(__xludf.DUMMYFUNCTION("""COMPUTED_VALUE"""),"17107806")</f>
        <v>17107806</v>
      </c>
      <c r="B214" s="113" t="str">
        <f ca="1">IFERROR(__xludf.DUMMYFUNCTION("""COMPUTED_VALUE"""),"Gurupi")</f>
        <v>Gurupi</v>
      </c>
      <c r="C214" s="113" t="str">
        <f ca="1">IFERROR(__xludf.DUMMYFUNCTION("""COMPUTED_VALUE"""),"Formoso do Araguaia")</f>
        <v>Formoso do Araguaia</v>
      </c>
      <c r="D214" s="114" t="str">
        <f ca="1">IFERROR(__xludf.DUMMYFUNCTION("""COMPUTED_VALUE"""),"ASSOCIAÇÃO DE APOIO ESCOLAR DA ESCOLA INDÍGENA WATAKURI")</f>
        <v>ASSOCIAÇÃO DE APOIO ESCOLAR DA ESCOLA INDÍGENA WATAKURI</v>
      </c>
      <c r="E214" s="113" t="str">
        <f ca="1">IFERROR(__xludf.DUMMYFUNCTION("""COMPUTED_VALUE"""),"Escola Indígena Watakuri")</f>
        <v>Escola Indígena Watakuri</v>
      </c>
      <c r="F214" s="118" t="str">
        <f ca="1">IFERROR(__xludf.DUMMYFUNCTION("""COMPUTED_VALUE"""),"17107806")</f>
        <v>17107806</v>
      </c>
      <c r="G214" s="113" t="str">
        <f ca="1">IFERROR(__xludf.DUMMYFUNCTION("""COMPUTED_VALUE"""),"48057828000102")</f>
        <v>48057828000102</v>
      </c>
      <c r="H214" s="115" t="str">
        <f ca="1">IFERROR(__xludf.DUMMYFUNCTION("""COMPUTED_VALUE"""),"001")</f>
        <v>001</v>
      </c>
      <c r="I214" s="115" t="str">
        <f ca="1">IFERROR(__xludf.DUMMYFUNCTION("""COMPUTED_VALUE"""),"3123")</f>
        <v>3123</v>
      </c>
      <c r="J214" s="115" t="str">
        <f ca="1">IFERROR(__xludf.DUMMYFUNCTION("""COMPUTED_VALUE"""),"206695")</f>
        <v>206695</v>
      </c>
      <c r="K214" s="113" t="e">
        <f ca="1"/>
        <v>#REF!</v>
      </c>
      <c r="L214" s="113" t="e">
        <f ca="1"/>
        <v>#REF!</v>
      </c>
      <c r="M214" s="113" t="e">
        <f ca="1"/>
        <v>#REF!</v>
      </c>
      <c r="N214" s="113" t="e">
        <f ca="1"/>
        <v>#REF!</v>
      </c>
      <c r="O214" s="113" t="e">
        <f ca="1"/>
        <v>#REF!</v>
      </c>
      <c r="P214" s="113" t="e">
        <f ca="1"/>
        <v>#REF!</v>
      </c>
      <c r="Q214" s="113" t="e">
        <f ca="1"/>
        <v>#REF!</v>
      </c>
      <c r="R214" s="113" t="e">
        <f ca="1"/>
        <v>#REF!</v>
      </c>
      <c r="S214" s="113" t="e">
        <f ca="1"/>
        <v>#REF!</v>
      </c>
      <c r="T214" s="113" t="e">
        <f ca="1"/>
        <v>#REF!</v>
      </c>
      <c r="U214" s="113" t="e">
        <f ca="1"/>
        <v>#REF!</v>
      </c>
      <c r="V214" s="113" t="e">
        <f ca="1"/>
        <v>#REF!</v>
      </c>
      <c r="W214" s="113" t="e">
        <f ca="1"/>
        <v>#REF!</v>
      </c>
      <c r="X214" s="113" t="e">
        <f ca="1"/>
        <v>#REF!</v>
      </c>
      <c r="Y214" s="113" t="e">
        <f ca="1"/>
        <v>#REF!</v>
      </c>
      <c r="Z214" s="113" t="e">
        <f ca="1"/>
        <v>#REF!</v>
      </c>
      <c r="AA214" s="113"/>
      <c r="AB214" s="113"/>
      <c r="AC214" s="113"/>
      <c r="AD214" s="113" t="str">
        <f ca="1">IFERROR(__xludf.DUMMYFUNCTION("""COMPUTED_VALUE"""),"INDIGENA /QUILOMBOLA PARCIAL")</f>
        <v>INDIGENA /QUILOMBOLA PARCIAL</v>
      </c>
      <c r="AE214" s="113" t="str">
        <f ca="1">IFERROR(__xludf.DUMMYFUNCTION("""COMPUTED_VALUE"""),"Parcial")</f>
        <v>Parcial</v>
      </c>
      <c r="AF214" s="113" t="str">
        <f ca="1">IFERROR(__xludf.DUMMYFUNCTION("""COMPUTED_VALUE"""),"FE")</f>
        <v>FE</v>
      </c>
      <c r="AG214" s="113">
        <f ca="1">IFERROR(__xludf.DUMMYFUNCTION("""COMPUTED_VALUE"""),0)</f>
        <v>0</v>
      </c>
      <c r="AH214" s="113">
        <f ca="1">IFERROR(__xludf.DUMMYFUNCTION("""COMPUTED_VALUE"""),0)</f>
        <v>0</v>
      </c>
      <c r="AI214" s="113">
        <f ca="1">IFERROR(__xludf.DUMMYFUNCTION("""COMPUTED_VALUE"""),0)</f>
        <v>0</v>
      </c>
      <c r="AJ214" s="113">
        <f ca="1">IFERROR(__xludf.DUMMYFUNCTION("""COMPUTED_VALUE"""),0)</f>
        <v>0</v>
      </c>
      <c r="AK214" s="113"/>
      <c r="AL214" s="116"/>
    </row>
    <row r="215" spans="1:38" ht="12.75">
      <c r="A215" s="112" t="str">
        <f ca="1">IFERROR(__xludf.DUMMYFUNCTION("""COMPUTED_VALUE"""),"17107806")</f>
        <v>17107806</v>
      </c>
      <c r="B215" s="113" t="str">
        <f ca="1">IFERROR(__xludf.DUMMYFUNCTION("""COMPUTED_VALUE"""),"Gurupi")</f>
        <v>Gurupi</v>
      </c>
      <c r="C215" s="113" t="str">
        <f ca="1">IFERROR(__xludf.DUMMYFUNCTION("""COMPUTED_VALUE"""),"Gurupi")</f>
        <v>Gurupi</v>
      </c>
      <c r="D215" s="114" t="str">
        <f ca="1">IFERROR(__xludf.DUMMYFUNCTION("""COMPUTED_VALUE"""),"A.A. ESC. EST.ISOL.E IND.REG.DE GURUPI")</f>
        <v>A.A. ESC. EST.ISOL.E IND.REG.DE GURUPI</v>
      </c>
      <c r="E215" s="113" t="str">
        <f ca="1">IFERROR(__xludf.DUMMYFUNCTION("""COMPUTED_VALUE"""),"Associação das Esc Est Isol Ind de Gurupi")</f>
        <v>Associação das Esc Est Isol Ind de Gurupi</v>
      </c>
      <c r="F215" s="115" t="str">
        <f ca="1">IFERROR(__xludf.DUMMYFUNCTION("""COMPUTED_VALUE"""),"17107806")</f>
        <v>17107806</v>
      </c>
      <c r="G215" s="113" t="str">
        <f ca="1">IFERROR(__xludf.DUMMYFUNCTION("""COMPUTED_VALUE"""),"03011592000135")</f>
        <v>03011592000135</v>
      </c>
      <c r="H215" s="115" t="str">
        <f ca="1">IFERROR(__xludf.DUMMYFUNCTION("""COMPUTED_VALUE"""),"001")</f>
        <v>001</v>
      </c>
      <c r="I215" s="115" t="str">
        <f ca="1">IFERROR(__xludf.DUMMYFUNCTION("""COMPUTED_VALUE"""),"0794")</f>
        <v>0794</v>
      </c>
      <c r="J215" s="115" t="str">
        <f ca="1">IFERROR(__xludf.DUMMYFUNCTION("""COMPUTED_VALUE"""),"67563")</f>
        <v>67563</v>
      </c>
      <c r="K215" s="113" t="e">
        <f ca="1"/>
        <v>#REF!</v>
      </c>
      <c r="L215" s="113" t="e">
        <f ca="1"/>
        <v>#REF!</v>
      </c>
      <c r="M215" s="113" t="e">
        <f ca="1"/>
        <v>#REF!</v>
      </c>
      <c r="N215" s="113" t="e">
        <f ca="1"/>
        <v>#REF!</v>
      </c>
      <c r="O215" s="113" t="e">
        <f ca="1"/>
        <v>#REF!</v>
      </c>
      <c r="P215" s="113" t="e">
        <f ca="1"/>
        <v>#REF!</v>
      </c>
      <c r="Q215" s="113" t="e">
        <f ca="1"/>
        <v>#REF!</v>
      </c>
      <c r="R215" s="113" t="e">
        <f ca="1"/>
        <v>#REF!</v>
      </c>
      <c r="S215" s="113" t="e">
        <f ca="1"/>
        <v>#REF!</v>
      </c>
      <c r="T215" s="113" t="e">
        <f ca="1"/>
        <v>#REF!</v>
      </c>
      <c r="U215" s="113" t="e">
        <f ca="1"/>
        <v>#REF!</v>
      </c>
      <c r="V215" s="113" t="e">
        <f ca="1"/>
        <v>#REF!</v>
      </c>
      <c r="W215" s="113" t="e">
        <f ca="1"/>
        <v>#REF!</v>
      </c>
      <c r="X215" s="113" t="e">
        <f ca="1"/>
        <v>#REF!</v>
      </c>
      <c r="Y215" s="113" t="e">
        <f ca="1"/>
        <v>#REF!</v>
      </c>
      <c r="Z215" s="113" t="e">
        <f ca="1"/>
        <v>#REF!</v>
      </c>
      <c r="AA215" s="113"/>
      <c r="AB215" s="113"/>
      <c r="AC215" s="113"/>
      <c r="AD215" s="113"/>
      <c r="AE215" s="113" t="str">
        <f ca="1">IFERROR(__xludf.DUMMYFUNCTION("""COMPUTED_VALUE"""),"Parcial")</f>
        <v>Parcial</v>
      </c>
      <c r="AF215" s="113" t="str">
        <f ca="1">IFERROR(__xludf.DUMMYFUNCTION("""COMPUTED_VALUE"""),"FE")</f>
        <v>FE</v>
      </c>
      <c r="AG215" s="113">
        <f ca="1">IFERROR(__xludf.DUMMYFUNCTION("""COMPUTED_VALUE"""),0)</f>
        <v>0</v>
      </c>
      <c r="AH215" s="113">
        <f ca="1">IFERROR(__xludf.DUMMYFUNCTION("""COMPUTED_VALUE"""),0)</f>
        <v>0</v>
      </c>
      <c r="AI215" s="113">
        <f ca="1">IFERROR(__xludf.DUMMYFUNCTION("""COMPUTED_VALUE"""),0)</f>
        <v>0</v>
      </c>
      <c r="AJ215" s="113">
        <f ca="1">IFERROR(__xludf.DUMMYFUNCTION("""COMPUTED_VALUE"""),0)</f>
        <v>0</v>
      </c>
      <c r="AK215" s="113"/>
      <c r="AL215" s="116"/>
    </row>
    <row r="216" spans="1:38" ht="12.75">
      <c r="A216" s="112" t="str">
        <f ca="1">IFERROR(__xludf.DUMMYFUNCTION("""COMPUTED_VALUE"""),"17021502")</f>
        <v>17021502</v>
      </c>
      <c r="B216" s="113" t="str">
        <f ca="1">IFERROR(__xludf.DUMMYFUNCTION("""COMPUTED_VALUE"""),"Gurupi")</f>
        <v>Gurupi</v>
      </c>
      <c r="C216" s="113" t="str">
        <f ca="1">IFERROR(__xludf.DUMMYFUNCTION("""COMPUTED_VALUE"""),"Gurupi")</f>
        <v>Gurupi</v>
      </c>
      <c r="D216" s="114" t="str">
        <f ca="1">IFERROR(__xludf.DUMMYFUNCTION("""COMPUTED_VALUE"""),"ASSOC. A. CENTRO DE ENS. MÉDIO ARY R. VALADÃO FILHO")</f>
        <v>ASSOC. A. CENTRO DE ENS. MÉDIO ARY R. VALADÃO FILHO</v>
      </c>
      <c r="E216" s="113" t="str">
        <f ca="1">IFERROR(__xludf.DUMMYFUNCTION("""COMPUTED_VALUE"""),"Centro de Ensino Médio Ary Ribeiro Valadão Filho")</f>
        <v>Centro de Ensino Médio Ary Ribeiro Valadão Filho</v>
      </c>
      <c r="F216" s="115" t="str">
        <f ca="1">IFERROR(__xludf.DUMMYFUNCTION("""COMPUTED_VALUE"""),"17021502")</f>
        <v>17021502</v>
      </c>
      <c r="G216" s="113" t="str">
        <f ca="1">IFERROR(__xludf.DUMMYFUNCTION("""COMPUTED_VALUE"""),"02152392000130")</f>
        <v>02152392000130</v>
      </c>
      <c r="H216" s="115" t="str">
        <f ca="1">IFERROR(__xludf.DUMMYFUNCTION("""COMPUTED_VALUE"""),"001")</f>
        <v>001</v>
      </c>
      <c r="I216" s="115" t="str">
        <f ca="1">IFERROR(__xludf.DUMMYFUNCTION("""COMPUTED_VALUE"""),"0794")</f>
        <v>0794</v>
      </c>
      <c r="J216" s="115" t="str">
        <f ca="1">IFERROR(__xludf.DUMMYFUNCTION("""COMPUTED_VALUE"""),"420646")</f>
        <v>420646</v>
      </c>
      <c r="K216" s="113" t="e">
        <f ca="1"/>
        <v>#REF!</v>
      </c>
      <c r="L216" s="113" t="e">
        <f ca="1"/>
        <v>#REF!</v>
      </c>
      <c r="M216" s="113" t="e">
        <f ca="1"/>
        <v>#REF!</v>
      </c>
      <c r="N216" s="113" t="e">
        <f ca="1"/>
        <v>#REF!</v>
      </c>
      <c r="O216" s="113" t="e">
        <f ca="1"/>
        <v>#REF!</v>
      </c>
      <c r="P216" s="113" t="e">
        <f ca="1"/>
        <v>#REF!</v>
      </c>
      <c r="Q216" s="113" t="e">
        <f ca="1"/>
        <v>#REF!</v>
      </c>
      <c r="R216" s="113" t="e">
        <f ca="1"/>
        <v>#REF!</v>
      </c>
      <c r="S216" s="113" t="e">
        <f ca="1"/>
        <v>#REF!</v>
      </c>
      <c r="T216" s="113" t="e">
        <f ca="1"/>
        <v>#REF!</v>
      </c>
      <c r="U216" s="113" t="e">
        <f ca="1"/>
        <v>#REF!</v>
      </c>
      <c r="V216" s="113" t="e">
        <f ca="1"/>
        <v>#REF!</v>
      </c>
      <c r="W216" s="113" t="e">
        <f ca="1"/>
        <v>#REF!</v>
      </c>
      <c r="X216" s="113" t="e">
        <f ca="1"/>
        <v>#REF!</v>
      </c>
      <c r="Y216" s="113" t="e">
        <f ca="1"/>
        <v>#REF!</v>
      </c>
      <c r="Z216" s="113" t="e">
        <f ca="1"/>
        <v>#REF!</v>
      </c>
      <c r="AA216" s="113"/>
      <c r="AB216" s="113"/>
      <c r="AC216" s="113"/>
      <c r="AD216" s="113"/>
      <c r="AE216" s="113" t="str">
        <f ca="1">IFERROR(__xludf.DUMMYFUNCTION("""COMPUTED_VALUE"""),"Integral")</f>
        <v>Integral</v>
      </c>
      <c r="AF216" s="113" t="str">
        <f ca="1">IFERROR(__xludf.DUMMYFUNCTION("""COMPUTED_VALUE"""),"FE")</f>
        <v>FE</v>
      </c>
      <c r="AG216" s="113">
        <f ca="1">IFERROR(__xludf.DUMMYFUNCTION("""COMPUTED_VALUE"""),0)</f>
        <v>0</v>
      </c>
      <c r="AH216" s="113">
        <f ca="1">IFERROR(__xludf.DUMMYFUNCTION("""COMPUTED_VALUE"""),0)</f>
        <v>0</v>
      </c>
      <c r="AI216" s="113">
        <f ca="1">IFERROR(__xludf.DUMMYFUNCTION("""COMPUTED_VALUE"""),0)</f>
        <v>0</v>
      </c>
      <c r="AJ216" s="113">
        <f ca="1">IFERROR(__xludf.DUMMYFUNCTION("""COMPUTED_VALUE"""),0)</f>
        <v>0</v>
      </c>
      <c r="AK216" s="113"/>
      <c r="AL216" s="116"/>
    </row>
    <row r="217" spans="1:38" ht="12.75">
      <c r="A217" s="112" t="str">
        <f ca="1">IFERROR(__xludf.DUMMYFUNCTION("""COMPUTED_VALUE"""),"17021685")</f>
        <v>17021685</v>
      </c>
      <c r="B217" s="113" t="str">
        <f ca="1">IFERROR(__xludf.DUMMYFUNCTION("""COMPUTED_VALUE"""),"Gurupi")</f>
        <v>Gurupi</v>
      </c>
      <c r="C217" s="113" t="str">
        <f ca="1">IFERROR(__xludf.DUMMYFUNCTION("""COMPUTED_VALUE"""),"Gurupi")</f>
        <v>Gurupi</v>
      </c>
      <c r="D217" s="114" t="str">
        <f ca="1">IFERROR(__xludf.DUMMYFUNCTION("""COMPUTED_VALUE"""),"ASSOC. DE APOIO ESC. EST. BOM JESUS")</f>
        <v>ASSOC. DE APOIO ESC. EST. BOM JESUS</v>
      </c>
      <c r="E217" s="113" t="str">
        <f ca="1">IFERROR(__xludf.DUMMYFUNCTION("""COMPUTED_VALUE"""),"Centro de Ensino Médio Bom Jesus")</f>
        <v>Centro de Ensino Médio Bom Jesus</v>
      </c>
      <c r="F217" s="115" t="str">
        <f ca="1">IFERROR(__xludf.DUMMYFUNCTION("""COMPUTED_VALUE"""),"17021685")</f>
        <v>17021685</v>
      </c>
      <c r="G217" s="113" t="str">
        <f ca="1">IFERROR(__xludf.DUMMYFUNCTION("""COMPUTED_VALUE"""),"01865430000139")</f>
        <v>01865430000139</v>
      </c>
      <c r="H217" s="115" t="str">
        <f ca="1">IFERROR(__xludf.DUMMYFUNCTION("""COMPUTED_VALUE"""),"001")</f>
        <v>001</v>
      </c>
      <c r="I217" s="115" t="str">
        <f ca="1">IFERROR(__xludf.DUMMYFUNCTION("""COMPUTED_VALUE"""),"0794")</f>
        <v>0794</v>
      </c>
      <c r="J217" s="115" t="str">
        <f ca="1">IFERROR(__xludf.DUMMYFUNCTION("""COMPUTED_VALUE"""),"420603")</f>
        <v>420603</v>
      </c>
      <c r="K217" s="113" t="e">
        <f ca="1"/>
        <v>#REF!</v>
      </c>
      <c r="L217" s="113" t="e">
        <f ca="1"/>
        <v>#REF!</v>
      </c>
      <c r="M217" s="113" t="e">
        <f ca="1"/>
        <v>#REF!</v>
      </c>
      <c r="N217" s="113" t="e">
        <f ca="1"/>
        <v>#REF!</v>
      </c>
      <c r="O217" s="113" t="e">
        <f ca="1"/>
        <v>#REF!</v>
      </c>
      <c r="P217" s="113" t="e">
        <f ca="1"/>
        <v>#REF!</v>
      </c>
      <c r="Q217" s="113" t="e">
        <f ca="1"/>
        <v>#REF!</v>
      </c>
      <c r="R217" s="113" t="e">
        <f ca="1"/>
        <v>#REF!</v>
      </c>
      <c r="S217" s="113" t="e">
        <f ca="1"/>
        <v>#REF!</v>
      </c>
      <c r="T217" s="113" t="e">
        <f ca="1"/>
        <v>#REF!</v>
      </c>
      <c r="U217" s="113" t="e">
        <f ca="1"/>
        <v>#REF!</v>
      </c>
      <c r="V217" s="113" t="e">
        <f ca="1"/>
        <v>#REF!</v>
      </c>
      <c r="W217" s="113" t="e">
        <f ca="1"/>
        <v>#REF!</v>
      </c>
      <c r="X217" s="113" t="e">
        <f ca="1"/>
        <v>#REF!</v>
      </c>
      <c r="Y217" s="113" t="e">
        <f ca="1"/>
        <v>#REF!</v>
      </c>
      <c r="Z217" s="113" t="e">
        <f ca="1"/>
        <v>#REF!</v>
      </c>
      <c r="AA217" s="113"/>
      <c r="AB217" s="113"/>
      <c r="AC217" s="113"/>
      <c r="AD217" s="113"/>
      <c r="AE217" s="113" t="str">
        <f ca="1">IFERROR(__xludf.DUMMYFUNCTION("""COMPUTED_VALUE"""),"Parcial")</f>
        <v>Parcial</v>
      </c>
      <c r="AF217" s="113" t="str">
        <f ca="1">IFERROR(__xludf.DUMMYFUNCTION("""COMPUTED_VALUE"""),"FE")</f>
        <v>FE</v>
      </c>
      <c r="AG217" s="113">
        <f ca="1">IFERROR(__xludf.DUMMYFUNCTION("""COMPUTED_VALUE"""),19)</f>
        <v>19</v>
      </c>
      <c r="AH217" s="113">
        <f ca="1">IFERROR(__xludf.DUMMYFUNCTION("""COMPUTED_VALUE"""),0)</f>
        <v>0</v>
      </c>
      <c r="AI217" s="113">
        <f ca="1">IFERROR(__xludf.DUMMYFUNCTION("""COMPUTED_VALUE"""),0)</f>
        <v>0</v>
      </c>
      <c r="AJ217" s="113">
        <f ca="1">IFERROR(__xludf.DUMMYFUNCTION("""COMPUTED_VALUE"""),0)</f>
        <v>0</v>
      </c>
      <c r="AK217" s="113"/>
      <c r="AL217" s="116"/>
    </row>
    <row r="218" spans="1:38" ht="12.75">
      <c r="A218" s="112" t="str">
        <f ca="1">IFERROR(__xludf.DUMMYFUNCTION("""COMPUTED_VALUE"""),"17021553")</f>
        <v>17021553</v>
      </c>
      <c r="B218" s="113" t="str">
        <f ca="1">IFERROR(__xludf.DUMMYFUNCTION("""COMPUTED_VALUE"""),"Gurupi")</f>
        <v>Gurupi</v>
      </c>
      <c r="C218" s="113" t="str">
        <f ca="1">IFERROR(__xludf.DUMMYFUNCTION("""COMPUTED_VALUE"""),"Gurupi")</f>
        <v>Gurupi</v>
      </c>
      <c r="D218" s="114" t="str">
        <f ca="1">IFERROR(__xludf.DUMMYFUNCTION("""COMPUTED_VALUE"""),"ASSOC. DE APOIO COL. EST. DE GURUPI")</f>
        <v>ASSOC. DE APOIO COL. EST. DE GURUPI</v>
      </c>
      <c r="E218" s="113" t="str">
        <f ca="1">IFERROR(__xludf.DUMMYFUNCTION("""COMPUTED_VALUE"""),"Centro de Ensino Médio de Gurupi")</f>
        <v>Centro de Ensino Médio de Gurupi</v>
      </c>
      <c r="F218" s="115" t="str">
        <f ca="1">IFERROR(__xludf.DUMMYFUNCTION("""COMPUTED_VALUE"""),"17021553")</f>
        <v>17021553</v>
      </c>
      <c r="G218" s="113" t="str">
        <f ca="1">IFERROR(__xludf.DUMMYFUNCTION("""COMPUTED_VALUE"""),"01887135000183")</f>
        <v>01887135000183</v>
      </c>
      <c r="H218" s="115" t="str">
        <f ca="1">IFERROR(__xludf.DUMMYFUNCTION("""COMPUTED_VALUE"""),"001")</f>
        <v>001</v>
      </c>
      <c r="I218" s="115" t="str">
        <f ca="1">IFERROR(__xludf.DUMMYFUNCTION("""COMPUTED_VALUE"""),"0794")</f>
        <v>0794</v>
      </c>
      <c r="J218" s="115" t="str">
        <f ca="1">IFERROR(__xludf.DUMMYFUNCTION("""COMPUTED_VALUE"""),"420700")</f>
        <v>420700</v>
      </c>
      <c r="K218" s="113" t="e">
        <f ca="1"/>
        <v>#REF!</v>
      </c>
      <c r="L218" s="113" t="e">
        <f ca="1"/>
        <v>#REF!</v>
      </c>
      <c r="M218" s="113" t="e">
        <f ca="1"/>
        <v>#REF!</v>
      </c>
      <c r="N218" s="113" t="e">
        <f ca="1"/>
        <v>#REF!</v>
      </c>
      <c r="O218" s="113" t="e">
        <f ca="1"/>
        <v>#REF!</v>
      </c>
      <c r="P218" s="113" t="e">
        <f ca="1"/>
        <v>#REF!</v>
      </c>
      <c r="Q218" s="113" t="e">
        <f ca="1"/>
        <v>#REF!</v>
      </c>
      <c r="R218" s="113" t="e">
        <f ca="1"/>
        <v>#REF!</v>
      </c>
      <c r="S218" s="113" t="e">
        <f ca="1"/>
        <v>#REF!</v>
      </c>
      <c r="T218" s="113" t="e">
        <f ca="1"/>
        <v>#REF!</v>
      </c>
      <c r="U218" s="113" t="e">
        <f ca="1"/>
        <v>#REF!</v>
      </c>
      <c r="V218" s="113" t="e">
        <f ca="1"/>
        <v>#REF!</v>
      </c>
      <c r="W218" s="113" t="e">
        <f ca="1"/>
        <v>#REF!</v>
      </c>
      <c r="X218" s="113" t="e">
        <f ca="1"/>
        <v>#REF!</v>
      </c>
      <c r="Y218" s="113" t="e">
        <f ca="1"/>
        <v>#REF!</v>
      </c>
      <c r="Z218" s="113" t="e">
        <f ca="1"/>
        <v>#REF!</v>
      </c>
      <c r="AA218" s="113"/>
      <c r="AB218" s="113"/>
      <c r="AC218" s="113"/>
      <c r="AD218" s="113"/>
      <c r="AE218" s="113" t="str">
        <f ca="1">IFERROR(__xludf.DUMMYFUNCTION("""COMPUTED_VALUE"""),"Integral")</f>
        <v>Integral</v>
      </c>
      <c r="AF218" s="113" t="str">
        <f ca="1">IFERROR(__xludf.DUMMYFUNCTION("""COMPUTED_VALUE"""),"FE")</f>
        <v>FE</v>
      </c>
      <c r="AG218" s="113">
        <f ca="1">IFERROR(__xludf.DUMMYFUNCTION("""COMPUTED_VALUE"""),6)</f>
        <v>6</v>
      </c>
      <c r="AH218" s="113">
        <f ca="1">IFERROR(__xludf.DUMMYFUNCTION("""COMPUTED_VALUE"""),0)</f>
        <v>0</v>
      </c>
      <c r="AI218" s="113">
        <f ca="1">IFERROR(__xludf.DUMMYFUNCTION("""COMPUTED_VALUE"""),0)</f>
        <v>0</v>
      </c>
      <c r="AJ218" s="113">
        <f ca="1">IFERROR(__xludf.DUMMYFUNCTION("""COMPUTED_VALUE"""),0)</f>
        <v>0</v>
      </c>
      <c r="AK218" s="113"/>
      <c r="AL218" s="116"/>
    </row>
    <row r="219" spans="1:38" ht="12.75">
      <c r="A219" s="112" t="str">
        <f ca="1">IFERROR(__xludf.DUMMYFUNCTION("""COMPUTED_VALUE"""),"17038359")</f>
        <v>17038359</v>
      </c>
      <c r="B219" s="113" t="str">
        <f ca="1">IFERROR(__xludf.DUMMYFUNCTION("""COMPUTED_VALUE"""),"Gurupi")</f>
        <v>Gurupi</v>
      </c>
      <c r="C219" s="113" t="str">
        <f ca="1">IFERROR(__xludf.DUMMYFUNCTION("""COMPUTED_VALUE"""),"Gurupi")</f>
        <v>Gurupi</v>
      </c>
      <c r="D219" s="114" t="str">
        <f ca="1">IFERROR(__xludf.DUMMYFUNCTION("""COMPUTED_VALUE"""),"A.A.  DO COL. PAROQUIAL BERNARDO SAYAO")</f>
        <v>A.A.  DO COL. PAROQUIAL BERNARDO SAYAO</v>
      </c>
      <c r="E219" s="113" t="str">
        <f ca="1">IFERROR(__xludf.DUMMYFUNCTION("""COMPUTED_VALUE"""),"Centro Educacional Fé E Alegria Paroquial Bernardo Sayão")</f>
        <v>Centro Educacional Fé E Alegria Paroquial Bernardo Sayão</v>
      </c>
      <c r="F219" s="115" t="str">
        <f ca="1">IFERROR(__xludf.DUMMYFUNCTION("""COMPUTED_VALUE"""),"17038359")</f>
        <v>17038359</v>
      </c>
      <c r="G219" s="113" t="str">
        <f ca="1">IFERROR(__xludf.DUMMYFUNCTION("""COMPUTED_VALUE"""),"01865371000107")</f>
        <v>01865371000107</v>
      </c>
      <c r="H219" s="115" t="str">
        <f ca="1">IFERROR(__xludf.DUMMYFUNCTION("""COMPUTED_VALUE"""),"001")</f>
        <v>001</v>
      </c>
      <c r="I219" s="115" t="str">
        <f ca="1">IFERROR(__xludf.DUMMYFUNCTION("""COMPUTED_VALUE"""),"0794")</f>
        <v>0794</v>
      </c>
      <c r="J219" s="115" t="str">
        <f ca="1">IFERROR(__xludf.DUMMYFUNCTION("""COMPUTED_VALUE"""),"66796")</f>
        <v>66796</v>
      </c>
      <c r="K219" s="113" t="e">
        <f ca="1"/>
        <v>#REF!</v>
      </c>
      <c r="L219" s="113" t="e">
        <f ca="1"/>
        <v>#REF!</v>
      </c>
      <c r="M219" s="113" t="e">
        <f ca="1"/>
        <v>#REF!</v>
      </c>
      <c r="N219" s="113" t="e">
        <f ca="1"/>
        <v>#REF!</v>
      </c>
      <c r="O219" s="113" t="e">
        <f ca="1"/>
        <v>#REF!</v>
      </c>
      <c r="P219" s="113" t="e">
        <f ca="1"/>
        <v>#REF!</v>
      </c>
      <c r="Q219" s="113" t="e">
        <f ca="1"/>
        <v>#REF!</v>
      </c>
      <c r="R219" s="113" t="e">
        <f ca="1"/>
        <v>#REF!</v>
      </c>
      <c r="S219" s="113" t="e">
        <f ca="1"/>
        <v>#REF!</v>
      </c>
      <c r="T219" s="113" t="e">
        <f ca="1"/>
        <v>#REF!</v>
      </c>
      <c r="U219" s="113" t="e">
        <f ca="1"/>
        <v>#REF!</v>
      </c>
      <c r="V219" s="113" t="e">
        <f ca="1"/>
        <v>#REF!</v>
      </c>
      <c r="W219" s="113" t="e">
        <f ca="1"/>
        <v>#REF!</v>
      </c>
      <c r="X219" s="113" t="e">
        <f ca="1"/>
        <v>#REF!</v>
      </c>
      <c r="Y219" s="113" t="e">
        <f ca="1"/>
        <v>#REF!</v>
      </c>
      <c r="Z219" s="113" t="e">
        <f ca="1"/>
        <v>#REF!</v>
      </c>
      <c r="AA219" s="113"/>
      <c r="AB219" s="113"/>
      <c r="AC219" s="113"/>
      <c r="AD219" s="113"/>
      <c r="AE219" s="113" t="str">
        <f ca="1">IFERROR(__xludf.DUMMYFUNCTION("""COMPUTED_VALUE"""),"Parcial")</f>
        <v>Parcial</v>
      </c>
      <c r="AF219" s="113" t="str">
        <f ca="1">IFERROR(__xludf.DUMMYFUNCTION("""COMPUTED_VALUE"""),"FE")</f>
        <v>FE</v>
      </c>
      <c r="AG219" s="113">
        <f ca="1">IFERROR(__xludf.DUMMYFUNCTION("""COMPUTED_VALUE"""),0)</f>
        <v>0</v>
      </c>
      <c r="AH219" s="113">
        <f ca="1">IFERROR(__xludf.DUMMYFUNCTION("""COMPUTED_VALUE"""),0)</f>
        <v>0</v>
      </c>
      <c r="AI219" s="113">
        <f ca="1">IFERROR(__xludf.DUMMYFUNCTION("""COMPUTED_VALUE"""),0)</f>
        <v>0</v>
      </c>
      <c r="AJ219" s="113">
        <f ca="1">IFERROR(__xludf.DUMMYFUNCTION("""COMPUTED_VALUE"""),0)</f>
        <v>0</v>
      </c>
      <c r="AK219" s="113"/>
      <c r="AL219" s="116"/>
    </row>
    <row r="220" spans="1:38" ht="12.75">
      <c r="A220" s="112" t="str">
        <f ca="1">IFERROR(__xludf.DUMMYFUNCTION("""COMPUTED_VALUE"""),"17021561")</f>
        <v>17021561</v>
      </c>
      <c r="B220" s="113" t="str">
        <f ca="1">IFERROR(__xludf.DUMMYFUNCTION("""COMPUTED_VALUE"""),"Gurupi")</f>
        <v>Gurupi</v>
      </c>
      <c r="C220" s="113" t="str">
        <f ca="1">IFERROR(__xludf.DUMMYFUNCTION("""COMPUTED_VALUE"""),"Gurupi")</f>
        <v>Gurupi</v>
      </c>
      <c r="D220" s="114" t="str">
        <f ca="1">IFERROR(__xludf.DUMMYFUNCTION("""COMPUTED_VALUE"""),"A.A.  ESCOLAR DO COL. EST. JOSE SEABRA")</f>
        <v>A.A.  ESCOLAR DO COL. EST. JOSE SEABRA</v>
      </c>
      <c r="E220" s="113" t="str">
        <f ca="1">IFERROR(__xludf.DUMMYFUNCTION("""COMPUTED_VALUE"""),"Colégio Estadual Girassol de Tempo Integral José Seabra Lemos")</f>
        <v>Colégio Estadual Girassol de Tempo Integral José Seabra Lemos</v>
      </c>
      <c r="F220" s="115" t="str">
        <f ca="1">IFERROR(__xludf.DUMMYFUNCTION("""COMPUTED_VALUE"""),"17021561")</f>
        <v>17021561</v>
      </c>
      <c r="G220" s="113" t="str">
        <f ca="1">IFERROR(__xludf.DUMMYFUNCTION("""COMPUTED_VALUE"""),"01910570000181")</f>
        <v>01910570000181</v>
      </c>
      <c r="H220" s="115" t="str">
        <f ca="1">IFERROR(__xludf.DUMMYFUNCTION("""COMPUTED_VALUE"""),"001")</f>
        <v>001</v>
      </c>
      <c r="I220" s="115" t="str">
        <f ca="1">IFERROR(__xludf.DUMMYFUNCTION("""COMPUTED_VALUE"""),"0794")</f>
        <v>0794</v>
      </c>
      <c r="J220" s="115" t="str">
        <f ca="1">IFERROR(__xludf.DUMMYFUNCTION("""COMPUTED_VALUE"""),"66982")</f>
        <v>66982</v>
      </c>
      <c r="K220" s="113" t="e">
        <f ca="1"/>
        <v>#REF!</v>
      </c>
      <c r="L220" s="113" t="e">
        <f ca="1"/>
        <v>#REF!</v>
      </c>
      <c r="M220" s="113" t="e">
        <f ca="1"/>
        <v>#REF!</v>
      </c>
      <c r="N220" s="113" t="e">
        <f ca="1"/>
        <v>#REF!</v>
      </c>
      <c r="O220" s="113" t="e">
        <f ca="1"/>
        <v>#REF!</v>
      </c>
      <c r="P220" s="113" t="e">
        <f ca="1"/>
        <v>#REF!</v>
      </c>
      <c r="Q220" s="113" t="e">
        <f ca="1"/>
        <v>#REF!</v>
      </c>
      <c r="R220" s="113" t="e">
        <f ca="1"/>
        <v>#REF!</v>
      </c>
      <c r="S220" s="113" t="e">
        <f ca="1"/>
        <v>#REF!</v>
      </c>
      <c r="T220" s="113" t="e">
        <f ca="1"/>
        <v>#REF!</v>
      </c>
      <c r="U220" s="113" t="e">
        <f ca="1"/>
        <v>#REF!</v>
      </c>
      <c r="V220" s="113" t="e">
        <f ca="1"/>
        <v>#REF!</v>
      </c>
      <c r="W220" s="113" t="e">
        <f ca="1"/>
        <v>#REF!</v>
      </c>
      <c r="X220" s="113" t="e">
        <f ca="1"/>
        <v>#REF!</v>
      </c>
      <c r="Y220" s="113" t="e">
        <f ca="1"/>
        <v>#REF!</v>
      </c>
      <c r="Z220" s="113" t="e">
        <f ca="1"/>
        <v>#REF!</v>
      </c>
      <c r="AA220" s="113"/>
      <c r="AB220" s="113"/>
      <c r="AC220" s="113"/>
      <c r="AD220" s="113"/>
      <c r="AE220" s="113" t="str">
        <f ca="1">IFERROR(__xludf.DUMMYFUNCTION("""COMPUTED_VALUE"""),"Parcial")</f>
        <v>Parcial</v>
      </c>
      <c r="AF220" s="113" t="str">
        <f ca="1">IFERROR(__xludf.DUMMYFUNCTION("""COMPUTED_VALUE"""),"FE")</f>
        <v>FE</v>
      </c>
      <c r="AG220" s="113">
        <f ca="1">IFERROR(__xludf.DUMMYFUNCTION("""COMPUTED_VALUE"""),0)</f>
        <v>0</v>
      </c>
      <c r="AH220" s="113">
        <f ca="1">IFERROR(__xludf.DUMMYFUNCTION("""COMPUTED_VALUE"""),0)</f>
        <v>0</v>
      </c>
      <c r="AI220" s="113">
        <f ca="1">IFERROR(__xludf.DUMMYFUNCTION("""COMPUTED_VALUE"""),0)</f>
        <v>0</v>
      </c>
      <c r="AJ220" s="113">
        <f ca="1">IFERROR(__xludf.DUMMYFUNCTION("""COMPUTED_VALUE"""),42)</f>
        <v>42</v>
      </c>
      <c r="AK220" s="113"/>
      <c r="AL220" s="116"/>
    </row>
    <row r="221" spans="1:38" ht="12.75">
      <c r="A221" s="112" t="str">
        <f ca="1">IFERROR(__xludf.DUMMYFUNCTION("""COMPUTED_VALUE"""),"17021596")</f>
        <v>17021596</v>
      </c>
      <c r="B221" s="113" t="str">
        <f ca="1">IFERROR(__xludf.DUMMYFUNCTION("""COMPUTED_VALUE"""),"Gurupi")</f>
        <v>Gurupi</v>
      </c>
      <c r="C221" s="113" t="str">
        <f ca="1">IFERROR(__xludf.DUMMYFUNCTION("""COMPUTED_VALUE"""),"Gurupi")</f>
        <v>Gurupi</v>
      </c>
      <c r="D221" s="114" t="str">
        <f ca="1">IFERROR(__xludf.DUMMYFUNCTION("""COMPUTED_VALUE"""),"A.P.M.AL.MAIORES DE ID.C.POSITIVO GURUPI")</f>
        <v>A.P.M.AL.MAIORES DE ID.C.POSITIVO GURUPI</v>
      </c>
      <c r="E221" s="113" t="str">
        <f ca="1">IFERROR(__xludf.DUMMYFUNCTION("""COMPUTED_VALUE"""),"Colégio Positivo de Gurupi")</f>
        <v>Colégio Positivo de Gurupi</v>
      </c>
      <c r="F221" s="115" t="str">
        <f ca="1">IFERROR(__xludf.DUMMYFUNCTION("""COMPUTED_VALUE"""),"17021596")</f>
        <v>17021596</v>
      </c>
      <c r="G221" s="113" t="str">
        <f ca="1">IFERROR(__xludf.DUMMYFUNCTION("""COMPUTED_VALUE"""),"01865432000128")</f>
        <v>01865432000128</v>
      </c>
      <c r="H221" s="115" t="str">
        <f ca="1">IFERROR(__xludf.DUMMYFUNCTION("""COMPUTED_VALUE"""),"104")</f>
        <v>104</v>
      </c>
      <c r="I221" s="115" t="str">
        <f ca="1">IFERROR(__xludf.DUMMYFUNCTION("""COMPUTED_VALUE"""),"0793")</f>
        <v>0793</v>
      </c>
      <c r="J221" s="115" t="str">
        <f ca="1">IFERROR(__xludf.DUMMYFUNCTION("""COMPUTED_VALUE"""),"12138")</f>
        <v>12138</v>
      </c>
      <c r="K221" s="113" t="e">
        <f ca="1"/>
        <v>#REF!</v>
      </c>
      <c r="L221" s="113" t="e">
        <f ca="1"/>
        <v>#REF!</v>
      </c>
      <c r="M221" s="113" t="e">
        <f ca="1"/>
        <v>#REF!</v>
      </c>
      <c r="N221" s="113" t="e">
        <f ca="1"/>
        <v>#REF!</v>
      </c>
      <c r="O221" s="113" t="e">
        <f ca="1"/>
        <v>#REF!</v>
      </c>
      <c r="P221" s="113" t="e">
        <f ca="1"/>
        <v>#REF!</v>
      </c>
      <c r="Q221" s="113" t="e">
        <f ca="1"/>
        <v>#REF!</v>
      </c>
      <c r="R221" s="113" t="e">
        <f ca="1"/>
        <v>#REF!</v>
      </c>
      <c r="S221" s="113" t="e">
        <f ca="1"/>
        <v>#REF!</v>
      </c>
      <c r="T221" s="113" t="e">
        <f ca="1"/>
        <v>#REF!</v>
      </c>
      <c r="U221" s="113" t="e">
        <f ca="1"/>
        <v>#REF!</v>
      </c>
      <c r="V221" s="113" t="e">
        <f ca="1"/>
        <v>#REF!</v>
      </c>
      <c r="W221" s="113" t="e">
        <f ca="1"/>
        <v>#REF!</v>
      </c>
      <c r="X221" s="113" t="e">
        <f ca="1"/>
        <v>#REF!</v>
      </c>
      <c r="Y221" s="113" t="e">
        <f ca="1"/>
        <v>#REF!</v>
      </c>
      <c r="Z221" s="113" t="e">
        <f ca="1"/>
        <v>#REF!</v>
      </c>
      <c r="AA221" s="113"/>
      <c r="AB221" s="113"/>
      <c r="AC221" s="113"/>
      <c r="AD221" s="113"/>
      <c r="AE221" s="113" t="str">
        <f ca="1">IFERROR(__xludf.DUMMYFUNCTION("""COMPUTED_VALUE"""),"Parcial")</f>
        <v>Parcial</v>
      </c>
      <c r="AF221" s="113" t="str">
        <f ca="1">IFERROR(__xludf.DUMMYFUNCTION("""COMPUTED_VALUE"""),"FE")</f>
        <v>FE</v>
      </c>
      <c r="AG221" s="113">
        <f ca="1">IFERROR(__xludf.DUMMYFUNCTION("""COMPUTED_VALUE"""),0)</f>
        <v>0</v>
      </c>
      <c r="AH221" s="113">
        <f ca="1">IFERROR(__xludf.DUMMYFUNCTION("""COMPUTED_VALUE"""),0)</f>
        <v>0</v>
      </c>
      <c r="AI221" s="113">
        <f ca="1">IFERROR(__xludf.DUMMYFUNCTION("""COMPUTED_VALUE"""),0)</f>
        <v>0</v>
      </c>
      <c r="AJ221" s="113">
        <f ca="1">IFERROR(__xludf.DUMMYFUNCTION("""COMPUTED_VALUE"""),0)</f>
        <v>0</v>
      </c>
      <c r="AK221" s="113"/>
      <c r="AL221" s="116"/>
    </row>
    <row r="222" spans="1:38" ht="12.75">
      <c r="A222" s="112" t="str">
        <f ca="1">IFERROR(__xludf.DUMMYFUNCTION("""COMPUTED_VALUE"""),"17039509")</f>
        <v>17039509</v>
      </c>
      <c r="B222" s="113" t="str">
        <f ca="1">IFERROR(__xludf.DUMMYFUNCTION("""COMPUTED_VALUE"""),"Gurupi")</f>
        <v>Gurupi</v>
      </c>
      <c r="C222" s="113" t="str">
        <f ca="1">IFERROR(__xludf.DUMMYFUNCTION("""COMPUTED_VALUE"""),"Gurupi")</f>
        <v>Gurupi</v>
      </c>
      <c r="D222" s="114" t="str">
        <f ca="1">IFERROR(__xludf.DUMMYFUNCTION("""COMPUTED_VALUE"""),"INSTITUTO SOCIAL EVANG DE GURUPI/EDUC. EVANG. EBENÉZER")</f>
        <v>INSTITUTO SOCIAL EVANG DE GURUPI/EDUC. EVANG. EBENÉZER</v>
      </c>
      <c r="E222" s="113" t="str">
        <f ca="1">IFERROR(__xludf.DUMMYFUNCTION("""COMPUTED_VALUE"""),"Educandário Evangélico Ebenézer")</f>
        <v>Educandário Evangélico Ebenézer</v>
      </c>
      <c r="F222" s="115" t="str">
        <f ca="1">IFERROR(__xludf.DUMMYFUNCTION("""COMPUTED_VALUE"""),"17039509")</f>
        <v>17039509</v>
      </c>
      <c r="G222" s="113" t="str">
        <f ca="1">IFERROR(__xludf.DUMMYFUNCTION("""COMPUTED_VALUE"""),"17194297000176")</f>
        <v>17194297000176</v>
      </c>
      <c r="H222" s="115" t="str">
        <f ca="1">IFERROR(__xludf.DUMMYFUNCTION("""COMPUTED_VALUE"""),"001")</f>
        <v>001</v>
      </c>
      <c r="I222" s="115" t="str">
        <f ca="1">IFERROR(__xludf.DUMMYFUNCTION("""COMPUTED_VALUE"""),"0794")</f>
        <v>0794</v>
      </c>
      <c r="J222" s="115" t="str">
        <f ca="1">IFERROR(__xludf.DUMMYFUNCTION("""COMPUTED_VALUE"""),"493066")</f>
        <v>493066</v>
      </c>
      <c r="K222" s="113" t="e">
        <f ca="1"/>
        <v>#REF!</v>
      </c>
      <c r="L222" s="113" t="e">
        <f ca="1"/>
        <v>#REF!</v>
      </c>
      <c r="M222" s="113" t="e">
        <f ca="1"/>
        <v>#REF!</v>
      </c>
      <c r="N222" s="113" t="e">
        <f ca="1"/>
        <v>#REF!</v>
      </c>
      <c r="O222" s="113" t="e">
        <f ca="1"/>
        <v>#REF!</v>
      </c>
      <c r="P222" s="113" t="e">
        <f ca="1"/>
        <v>#REF!</v>
      </c>
      <c r="Q222" s="113" t="e">
        <f ca="1"/>
        <v>#REF!</v>
      </c>
      <c r="R222" s="113" t="e">
        <f ca="1"/>
        <v>#REF!</v>
      </c>
      <c r="S222" s="113" t="e">
        <f ca="1"/>
        <v>#REF!</v>
      </c>
      <c r="T222" s="113" t="e">
        <f ca="1"/>
        <v>#REF!</v>
      </c>
      <c r="U222" s="113" t="e">
        <f ca="1"/>
        <v>#REF!</v>
      </c>
      <c r="V222" s="113" t="e">
        <f ca="1"/>
        <v>#REF!</v>
      </c>
      <c r="W222" s="113" t="e">
        <f ca="1"/>
        <v>#REF!</v>
      </c>
      <c r="X222" s="113" t="e">
        <f ca="1"/>
        <v>#REF!</v>
      </c>
      <c r="Y222" s="113" t="e">
        <f ca="1"/>
        <v>#REF!</v>
      </c>
      <c r="Z222" s="113" t="e">
        <f ca="1"/>
        <v>#REF!</v>
      </c>
      <c r="AA222" s="113"/>
      <c r="AB222" s="113"/>
      <c r="AC222" s="113"/>
      <c r="AD222" s="113"/>
      <c r="AE222" s="113" t="str">
        <f ca="1">IFERROR(__xludf.DUMMYFUNCTION("""COMPUTED_VALUE"""),"Parcial")</f>
        <v>Parcial</v>
      </c>
      <c r="AF222" s="113" t="str">
        <f ca="1">IFERROR(__xludf.DUMMYFUNCTION("""COMPUTED_VALUE"""),"FE")</f>
        <v>FE</v>
      </c>
      <c r="AG222" s="113">
        <f ca="1">IFERROR(__xludf.DUMMYFUNCTION("""COMPUTED_VALUE"""),0)</f>
        <v>0</v>
      </c>
      <c r="AH222" s="113">
        <f ca="1">IFERROR(__xludf.DUMMYFUNCTION("""COMPUTED_VALUE"""),0)</f>
        <v>0</v>
      </c>
      <c r="AI222" s="113">
        <f ca="1">IFERROR(__xludf.DUMMYFUNCTION("""COMPUTED_VALUE"""),0)</f>
        <v>0</v>
      </c>
      <c r="AJ222" s="113">
        <f ca="1">IFERROR(__xludf.DUMMYFUNCTION("""COMPUTED_VALUE"""),0)</f>
        <v>0</v>
      </c>
      <c r="AK222" s="113"/>
      <c r="AL222" s="116"/>
    </row>
    <row r="223" spans="1:38" ht="12.75">
      <c r="A223" s="112" t="str">
        <f ca="1">IFERROR(__xludf.DUMMYFUNCTION("""COMPUTED_VALUE"""),"17040558")</f>
        <v>17040558</v>
      </c>
      <c r="B223" s="113" t="str">
        <f ca="1">IFERROR(__xludf.DUMMYFUNCTION("""COMPUTED_VALUE"""),"Gurupi")</f>
        <v>Gurupi</v>
      </c>
      <c r="C223" s="113" t="str">
        <f ca="1">IFERROR(__xludf.DUMMYFUNCTION("""COMPUTED_VALUE"""),"Gurupi")</f>
        <v>Gurupi</v>
      </c>
      <c r="D223" s="114" t="str">
        <f ca="1">IFERROR(__xludf.DUMMYFUNCTION("""COMPUTED_VALUE"""),"ASSOCIAÇÃO DE APOIO A ESCOLA ESPECIAL SÃO FRANCISCO DE ASSIS")</f>
        <v>ASSOCIAÇÃO DE APOIO A ESCOLA ESPECIAL SÃO FRANCISCO DE ASSIS</v>
      </c>
      <c r="E223" s="113" t="str">
        <f ca="1">IFERROR(__xludf.DUMMYFUNCTION("""COMPUTED_VALUE"""),"Escola Especial São Francisco de Assis")</f>
        <v>Escola Especial São Francisco de Assis</v>
      </c>
      <c r="F223" s="115" t="str">
        <f ca="1">IFERROR(__xludf.DUMMYFUNCTION("""COMPUTED_VALUE"""),"17040558")</f>
        <v>17040558</v>
      </c>
      <c r="G223" s="113" t="str">
        <f ca="1">IFERROR(__xludf.DUMMYFUNCTION("""COMPUTED_VALUE"""),"07947356000186")</f>
        <v>07947356000186</v>
      </c>
      <c r="H223" s="115" t="str">
        <f ca="1">IFERROR(__xludf.DUMMYFUNCTION("""COMPUTED_VALUE"""),"001")</f>
        <v>001</v>
      </c>
      <c r="I223" s="115" t="str">
        <f ca="1">IFERROR(__xludf.DUMMYFUNCTION("""COMPUTED_VALUE"""),"0794")</f>
        <v>0794</v>
      </c>
      <c r="J223" s="115" t="str">
        <f ca="1">IFERROR(__xludf.DUMMYFUNCTION("""COMPUTED_VALUE"""),"431109")</f>
        <v>431109</v>
      </c>
      <c r="K223" s="113" t="e">
        <f ca="1"/>
        <v>#REF!</v>
      </c>
      <c r="L223" s="113" t="e">
        <f ca="1"/>
        <v>#REF!</v>
      </c>
      <c r="M223" s="113" t="e">
        <f ca="1"/>
        <v>#REF!</v>
      </c>
      <c r="N223" s="113" t="e">
        <f ca="1"/>
        <v>#REF!</v>
      </c>
      <c r="O223" s="113" t="e">
        <f ca="1"/>
        <v>#REF!</v>
      </c>
      <c r="P223" s="113" t="e">
        <f ca="1"/>
        <v>#REF!</v>
      </c>
      <c r="Q223" s="113" t="e">
        <f ca="1"/>
        <v>#REF!</v>
      </c>
      <c r="R223" s="113" t="e">
        <f ca="1"/>
        <v>#REF!</v>
      </c>
      <c r="S223" s="113" t="e">
        <f ca="1"/>
        <v>#REF!</v>
      </c>
      <c r="T223" s="113" t="e">
        <f ca="1"/>
        <v>#REF!</v>
      </c>
      <c r="U223" s="113" t="e">
        <f ca="1"/>
        <v>#REF!</v>
      </c>
      <c r="V223" s="113" t="e">
        <f ca="1"/>
        <v>#REF!</v>
      </c>
      <c r="W223" s="113" t="e">
        <f ca="1"/>
        <v>#REF!</v>
      </c>
      <c r="X223" s="113" t="e">
        <f ca="1"/>
        <v>#REF!</v>
      </c>
      <c r="Y223" s="113" t="e">
        <f ca="1"/>
        <v>#REF!</v>
      </c>
      <c r="Z223" s="113" t="e">
        <f ca="1"/>
        <v>#REF!</v>
      </c>
      <c r="AA223" s="113"/>
      <c r="AB223" s="113"/>
      <c r="AC223" s="113"/>
      <c r="AD223" s="113" t="str">
        <f ca="1">IFERROR(__xludf.DUMMYFUNCTION("""COMPUTED_VALUE"""),"INDIGENA /QUILOMBOLA PARCIAL")</f>
        <v>INDIGENA /QUILOMBOLA PARCIAL</v>
      </c>
      <c r="AE223" s="113" t="str">
        <f ca="1">IFERROR(__xludf.DUMMYFUNCTION("""COMPUTED_VALUE"""),"Parcial")</f>
        <v>Parcial</v>
      </c>
      <c r="AF223" s="113" t="str">
        <f ca="1">IFERROR(__xludf.DUMMYFUNCTION("""COMPUTED_VALUE"""),"FE")</f>
        <v>FE</v>
      </c>
      <c r="AG223" s="113">
        <f ca="1">IFERROR(__xludf.DUMMYFUNCTION("""COMPUTED_VALUE"""),0)</f>
        <v>0</v>
      </c>
      <c r="AH223" s="113">
        <f ca="1">IFERROR(__xludf.DUMMYFUNCTION("""COMPUTED_VALUE"""),0)</f>
        <v>0</v>
      </c>
      <c r="AI223" s="113">
        <f ca="1">IFERROR(__xludf.DUMMYFUNCTION("""COMPUTED_VALUE"""),0)</f>
        <v>0</v>
      </c>
      <c r="AJ223" s="113">
        <f ca="1">IFERROR(__xludf.DUMMYFUNCTION("""COMPUTED_VALUE"""),0)</f>
        <v>0</v>
      </c>
      <c r="AK223" s="113"/>
      <c r="AL223" s="116"/>
    </row>
    <row r="224" spans="1:38" ht="12.75">
      <c r="A224" s="112" t="str">
        <f ca="1">IFERROR(__xludf.DUMMYFUNCTION("""COMPUTED_VALUE"""),"17021588")</f>
        <v>17021588</v>
      </c>
      <c r="B224" s="113" t="str">
        <f ca="1">IFERROR(__xludf.DUMMYFUNCTION("""COMPUTED_VALUE"""),"Gurupi")</f>
        <v>Gurupi</v>
      </c>
      <c r="C224" s="113" t="str">
        <f ca="1">IFERROR(__xludf.DUMMYFUNCTION("""COMPUTED_VALUE"""),"Gurupi")</f>
        <v>Gurupi</v>
      </c>
      <c r="D224" s="114" t="str">
        <f ca="1">IFERROR(__xludf.DUMMYFUNCTION("""COMPUTED_VALUE"""),"A.A. ESC. EST. DR. JOAQUIM P. DA COSTA")</f>
        <v>A.A. ESC. EST. DR. JOAQUIM P. DA COSTA</v>
      </c>
      <c r="E224" s="113" t="str">
        <f ca="1">IFERROR(__xludf.DUMMYFUNCTION("""COMPUTED_VALUE"""),"Escola Estadual Doutor Joaquim Pereira da Costa")</f>
        <v>Escola Estadual Doutor Joaquim Pereira da Costa</v>
      </c>
      <c r="F224" s="115" t="str">
        <f ca="1">IFERROR(__xludf.DUMMYFUNCTION("""COMPUTED_VALUE"""),"17021588")</f>
        <v>17021588</v>
      </c>
      <c r="G224" s="113" t="str">
        <f ca="1">IFERROR(__xludf.DUMMYFUNCTION("""COMPUTED_VALUE"""),"01865386000167")</f>
        <v>01865386000167</v>
      </c>
      <c r="H224" s="115" t="str">
        <f ca="1">IFERROR(__xludf.DUMMYFUNCTION("""COMPUTED_VALUE"""),"001")</f>
        <v>001</v>
      </c>
      <c r="I224" s="115" t="str">
        <f ca="1">IFERROR(__xludf.DUMMYFUNCTION("""COMPUTED_VALUE"""),"0794")</f>
        <v>0794</v>
      </c>
      <c r="J224" s="115" t="str">
        <f ca="1">IFERROR(__xludf.DUMMYFUNCTION("""COMPUTED_VALUE"""),"67288")</f>
        <v>67288</v>
      </c>
      <c r="K224" s="113" t="e">
        <f ca="1"/>
        <v>#REF!</v>
      </c>
      <c r="L224" s="113" t="e">
        <f ca="1"/>
        <v>#REF!</v>
      </c>
      <c r="M224" s="113" t="e">
        <f ca="1"/>
        <v>#REF!</v>
      </c>
      <c r="N224" s="113" t="e">
        <f ca="1"/>
        <v>#REF!</v>
      </c>
      <c r="O224" s="113" t="e">
        <f ca="1"/>
        <v>#REF!</v>
      </c>
      <c r="P224" s="113" t="e">
        <f ca="1"/>
        <v>#REF!</v>
      </c>
      <c r="Q224" s="113" t="e">
        <f ca="1"/>
        <v>#REF!</v>
      </c>
      <c r="R224" s="113" t="e">
        <f ca="1"/>
        <v>#REF!</v>
      </c>
      <c r="S224" s="113" t="e">
        <f ca="1"/>
        <v>#REF!</v>
      </c>
      <c r="T224" s="113" t="e">
        <f ca="1"/>
        <v>#REF!</v>
      </c>
      <c r="U224" s="113" t="e">
        <f ca="1"/>
        <v>#REF!</v>
      </c>
      <c r="V224" s="113" t="e">
        <f ca="1"/>
        <v>#REF!</v>
      </c>
      <c r="W224" s="113" t="e">
        <f ca="1"/>
        <v>#REF!</v>
      </c>
      <c r="X224" s="113" t="e">
        <f ca="1"/>
        <v>#REF!</v>
      </c>
      <c r="Y224" s="113" t="e">
        <f ca="1"/>
        <v>#REF!</v>
      </c>
      <c r="Z224" s="113" t="e">
        <f ca="1"/>
        <v>#REF!</v>
      </c>
      <c r="AA224" s="113"/>
      <c r="AB224" s="113"/>
      <c r="AC224" s="113"/>
      <c r="AD224" s="113"/>
      <c r="AE224" s="113" t="str">
        <f ca="1">IFERROR(__xludf.DUMMYFUNCTION("""COMPUTED_VALUE"""),"Parcial")</f>
        <v>Parcial</v>
      </c>
      <c r="AF224" s="113" t="str">
        <f ca="1">IFERROR(__xludf.DUMMYFUNCTION("""COMPUTED_VALUE"""),"FE")</f>
        <v>FE</v>
      </c>
      <c r="AG224" s="113">
        <f ca="1">IFERROR(__xludf.DUMMYFUNCTION("""COMPUTED_VALUE"""),0)</f>
        <v>0</v>
      </c>
      <c r="AH224" s="113">
        <f ca="1">IFERROR(__xludf.DUMMYFUNCTION("""COMPUTED_VALUE"""),0)</f>
        <v>0</v>
      </c>
      <c r="AI224" s="113">
        <f ca="1">IFERROR(__xludf.DUMMYFUNCTION("""COMPUTED_VALUE"""),0)</f>
        <v>0</v>
      </c>
      <c r="AJ224" s="113">
        <f ca="1">IFERROR(__xludf.DUMMYFUNCTION("""COMPUTED_VALUE"""),0)</f>
        <v>0</v>
      </c>
      <c r="AK224" s="113"/>
      <c r="AL224" s="116"/>
    </row>
    <row r="225" spans="1:38" ht="12.75">
      <c r="A225" s="112" t="str">
        <f ca="1">IFERROR(__xludf.DUMMYFUNCTION("""COMPUTED_VALUE"""),"17021707")</f>
        <v>17021707</v>
      </c>
      <c r="B225" s="113" t="str">
        <f ca="1">IFERROR(__xludf.DUMMYFUNCTION("""COMPUTED_VALUE"""),"Gurupi")</f>
        <v>Gurupi</v>
      </c>
      <c r="C225" s="113" t="str">
        <f ca="1">IFERROR(__xludf.DUMMYFUNCTION("""COMPUTED_VALUE"""),"Gurupi")</f>
        <v>Gurupi</v>
      </c>
      <c r="D225" s="114" t="str">
        <f ca="1">IFERROR(__xludf.DUMMYFUNCTION("""COMPUTED_VALUE"""),"A.A. ESCOLAR DA ESC. EST. DR.WALDIR LINS")</f>
        <v>A.A. ESCOLAR DA ESC. EST. DR.WALDIR LINS</v>
      </c>
      <c r="E225" s="113" t="str">
        <f ca="1">IFERROR(__xludf.DUMMYFUNCTION("""COMPUTED_VALUE"""),"Escola Estadual Doutor Waldir Lins")</f>
        <v>Escola Estadual Doutor Waldir Lins</v>
      </c>
      <c r="F225" s="115" t="str">
        <f ca="1">IFERROR(__xludf.DUMMYFUNCTION("""COMPUTED_VALUE"""),"17021707")</f>
        <v>17021707</v>
      </c>
      <c r="G225" s="113" t="str">
        <f ca="1">IFERROR(__xludf.DUMMYFUNCTION("""COMPUTED_VALUE"""),"01936535000131")</f>
        <v>01936535000131</v>
      </c>
      <c r="H225" s="115" t="str">
        <f ca="1">IFERROR(__xludf.DUMMYFUNCTION("""COMPUTED_VALUE"""),"001")</f>
        <v>001</v>
      </c>
      <c r="I225" s="115" t="str">
        <f ca="1">IFERROR(__xludf.DUMMYFUNCTION("""COMPUTED_VALUE"""),"0794")</f>
        <v>0794</v>
      </c>
      <c r="J225" s="115" t="str">
        <f ca="1">IFERROR(__xludf.DUMMYFUNCTION("""COMPUTED_VALUE"""),"66966")</f>
        <v>66966</v>
      </c>
      <c r="K225" s="113" t="e">
        <f ca="1"/>
        <v>#REF!</v>
      </c>
      <c r="L225" s="113" t="e">
        <f ca="1"/>
        <v>#REF!</v>
      </c>
      <c r="M225" s="113" t="e">
        <f ca="1"/>
        <v>#REF!</v>
      </c>
      <c r="N225" s="113" t="e">
        <f ca="1"/>
        <v>#REF!</v>
      </c>
      <c r="O225" s="113" t="e">
        <f ca="1"/>
        <v>#REF!</v>
      </c>
      <c r="P225" s="113" t="e">
        <f ca="1"/>
        <v>#REF!</v>
      </c>
      <c r="Q225" s="113" t="e">
        <f ca="1"/>
        <v>#REF!</v>
      </c>
      <c r="R225" s="113" t="e">
        <f ca="1"/>
        <v>#REF!</v>
      </c>
      <c r="S225" s="113" t="e">
        <f ca="1"/>
        <v>#REF!</v>
      </c>
      <c r="T225" s="113" t="e">
        <f ca="1"/>
        <v>#REF!</v>
      </c>
      <c r="U225" s="113" t="e">
        <f ca="1"/>
        <v>#REF!</v>
      </c>
      <c r="V225" s="113" t="e">
        <f ca="1"/>
        <v>#REF!</v>
      </c>
      <c r="W225" s="113" t="e">
        <f ca="1"/>
        <v>#REF!</v>
      </c>
      <c r="X225" s="113" t="e">
        <f ca="1"/>
        <v>#REF!</v>
      </c>
      <c r="Y225" s="113" t="e">
        <f ca="1"/>
        <v>#REF!</v>
      </c>
      <c r="Z225" s="113" t="e">
        <f ca="1"/>
        <v>#REF!</v>
      </c>
      <c r="AA225" s="113"/>
      <c r="AB225" s="113"/>
      <c r="AC225" s="113"/>
      <c r="AD225" s="113"/>
      <c r="AE225" s="113" t="str">
        <f ca="1">IFERROR(__xludf.DUMMYFUNCTION("""COMPUTED_VALUE"""),"Parcial")</f>
        <v>Parcial</v>
      </c>
      <c r="AF225" s="113" t="str">
        <f ca="1">IFERROR(__xludf.DUMMYFUNCTION("""COMPUTED_VALUE"""),"FE")</f>
        <v>FE</v>
      </c>
      <c r="AG225" s="113">
        <f ca="1">IFERROR(__xludf.DUMMYFUNCTION("""COMPUTED_VALUE"""),0)</f>
        <v>0</v>
      </c>
      <c r="AH225" s="113">
        <f ca="1">IFERROR(__xludf.DUMMYFUNCTION("""COMPUTED_VALUE"""),0)</f>
        <v>0</v>
      </c>
      <c r="AI225" s="113">
        <f ca="1">IFERROR(__xludf.DUMMYFUNCTION("""COMPUTED_VALUE"""),0)</f>
        <v>0</v>
      </c>
      <c r="AJ225" s="113">
        <f ca="1">IFERROR(__xludf.DUMMYFUNCTION("""COMPUTED_VALUE"""),0)</f>
        <v>0</v>
      </c>
      <c r="AK225" s="113"/>
      <c r="AL225" s="116"/>
    </row>
    <row r="226" spans="1:38" ht="12.75">
      <c r="A226" s="112" t="str">
        <f ca="1">IFERROR(__xludf.DUMMYFUNCTION("""COMPUTED_VALUE"""),"17021774")</f>
        <v>17021774</v>
      </c>
      <c r="B226" s="113" t="str">
        <f ca="1">IFERROR(__xludf.DUMMYFUNCTION("""COMPUTED_VALUE"""),"Gurupi")</f>
        <v>Gurupi</v>
      </c>
      <c r="C226" s="113" t="str">
        <f ca="1">IFERROR(__xludf.DUMMYFUNCTION("""COMPUTED_VALUE"""),"Gurupi")</f>
        <v>Gurupi</v>
      </c>
      <c r="D226" s="114" t="str">
        <f ca="1">IFERROR(__xludf.DUMMYFUNCTION("""COMPUTED_VALUE"""),"A. EDUCACIONAL PRES. COSTA E SILVA")</f>
        <v>A. EDUCACIONAL PRES. COSTA E SILVA</v>
      </c>
      <c r="E226" s="113" t="str">
        <f ca="1">IFERROR(__xludf.DUMMYFUNCTION("""COMPUTED_VALUE"""),"Escola Estadual Girassol de Tempo Integral Presidente Costa E Silva")</f>
        <v>Escola Estadual Girassol de Tempo Integral Presidente Costa E Silva</v>
      </c>
      <c r="F226" s="115" t="str">
        <f ca="1">IFERROR(__xludf.DUMMYFUNCTION("""COMPUTED_VALUE"""),"17021774")</f>
        <v>17021774</v>
      </c>
      <c r="G226" s="113" t="str">
        <f ca="1">IFERROR(__xludf.DUMMYFUNCTION("""COMPUTED_VALUE"""),"01888719000173")</f>
        <v>01888719000173</v>
      </c>
      <c r="H226" s="115" t="str">
        <f ca="1">IFERROR(__xludf.DUMMYFUNCTION("""COMPUTED_VALUE"""),"001")</f>
        <v>001</v>
      </c>
      <c r="I226" s="115" t="str">
        <f ca="1">IFERROR(__xludf.DUMMYFUNCTION("""COMPUTED_VALUE"""),"0794")</f>
        <v>0794</v>
      </c>
      <c r="J226" s="115" t="str">
        <f ca="1">IFERROR(__xludf.DUMMYFUNCTION("""COMPUTED_VALUE"""),"67490")</f>
        <v>67490</v>
      </c>
      <c r="K226" s="113" t="e">
        <f ca="1"/>
        <v>#REF!</v>
      </c>
      <c r="L226" s="113" t="e">
        <f ca="1"/>
        <v>#REF!</v>
      </c>
      <c r="M226" s="113" t="e">
        <f ca="1"/>
        <v>#REF!</v>
      </c>
      <c r="N226" s="113" t="e">
        <f ca="1"/>
        <v>#REF!</v>
      </c>
      <c r="O226" s="113" t="e">
        <f ca="1"/>
        <v>#REF!</v>
      </c>
      <c r="P226" s="113" t="e">
        <f ca="1"/>
        <v>#REF!</v>
      </c>
      <c r="Q226" s="113" t="e">
        <f ca="1"/>
        <v>#REF!</v>
      </c>
      <c r="R226" s="113" t="e">
        <f ca="1"/>
        <v>#REF!</v>
      </c>
      <c r="S226" s="113" t="e">
        <f ca="1"/>
        <v>#REF!</v>
      </c>
      <c r="T226" s="113" t="e">
        <f ca="1"/>
        <v>#REF!</v>
      </c>
      <c r="U226" s="113" t="e">
        <f ca="1"/>
        <v>#REF!</v>
      </c>
      <c r="V226" s="113" t="e">
        <f ca="1"/>
        <v>#REF!</v>
      </c>
      <c r="W226" s="113" t="e">
        <f ca="1"/>
        <v>#REF!</v>
      </c>
      <c r="X226" s="113" t="e">
        <f ca="1"/>
        <v>#REF!</v>
      </c>
      <c r="Y226" s="113" t="e">
        <f ca="1"/>
        <v>#REF!</v>
      </c>
      <c r="Z226" s="113" t="e">
        <f ca="1"/>
        <v>#REF!</v>
      </c>
      <c r="AA226" s="113"/>
      <c r="AB226" s="113"/>
      <c r="AC226" s="113"/>
      <c r="AD226" s="113"/>
      <c r="AE226" s="113" t="str">
        <f ca="1">IFERROR(__xludf.DUMMYFUNCTION("""COMPUTED_VALUE"""),"Parcial")</f>
        <v>Parcial</v>
      </c>
      <c r="AF226" s="113" t="str">
        <f ca="1">IFERROR(__xludf.DUMMYFUNCTION("""COMPUTED_VALUE"""),"FE")</f>
        <v>FE</v>
      </c>
      <c r="AG226" s="113">
        <f ca="1">IFERROR(__xludf.DUMMYFUNCTION("""COMPUTED_VALUE"""),0)</f>
        <v>0</v>
      </c>
      <c r="AH226" s="113">
        <f ca="1">IFERROR(__xludf.DUMMYFUNCTION("""COMPUTED_VALUE"""),0)</f>
        <v>0</v>
      </c>
      <c r="AI226" s="113">
        <f ca="1">IFERROR(__xludf.DUMMYFUNCTION("""COMPUTED_VALUE"""),0)</f>
        <v>0</v>
      </c>
      <c r="AJ226" s="113">
        <f ca="1">IFERROR(__xludf.DUMMYFUNCTION("""COMPUTED_VALUE"""),75)</f>
        <v>75</v>
      </c>
      <c r="AK226" s="113"/>
      <c r="AL226" s="116"/>
    </row>
    <row r="227" spans="1:38" ht="12.75">
      <c r="A227" s="112" t="str">
        <f ca="1">IFERROR(__xludf.DUMMYFUNCTION("""COMPUTED_VALUE"""),"17021731")</f>
        <v>17021731</v>
      </c>
      <c r="B227" s="113" t="str">
        <f ca="1">IFERROR(__xludf.DUMMYFUNCTION("""COMPUTED_VALUE"""),"Gurupi")</f>
        <v>Gurupi</v>
      </c>
      <c r="C227" s="113" t="str">
        <f ca="1">IFERROR(__xludf.DUMMYFUNCTION("""COMPUTED_VALUE"""),"Gurupi")</f>
        <v>Gurupi</v>
      </c>
      <c r="D227" s="114" t="str">
        <f ca="1">IFERROR(__xludf.DUMMYFUNCTION("""COMPUTED_VALUE"""),"A.A. ESC. EST. HERCILIA CARVALHO DA SILVA")</f>
        <v>A.A. ESC. EST. HERCILIA CARVALHO DA SILVA</v>
      </c>
      <c r="E227" s="113" t="str">
        <f ca="1">IFERROR(__xludf.DUMMYFUNCTION("""COMPUTED_VALUE"""),"Escola Estadual Hercília Carvalho da Silva")</f>
        <v>Escola Estadual Hercília Carvalho da Silva</v>
      </c>
      <c r="F227" s="115" t="str">
        <f ca="1">IFERROR(__xludf.DUMMYFUNCTION("""COMPUTED_VALUE"""),"17021731")</f>
        <v>17021731</v>
      </c>
      <c r="G227" s="113" t="str">
        <f ca="1">IFERROR(__xludf.DUMMYFUNCTION("""COMPUTED_VALUE"""),"01465790000143")</f>
        <v>01465790000143</v>
      </c>
      <c r="H227" s="115" t="str">
        <f ca="1">IFERROR(__xludf.DUMMYFUNCTION("""COMPUTED_VALUE"""),"001")</f>
        <v>001</v>
      </c>
      <c r="I227" s="115" t="str">
        <f ca="1">IFERROR(__xludf.DUMMYFUNCTION("""COMPUTED_VALUE"""),"0794")</f>
        <v>0794</v>
      </c>
      <c r="J227" s="115" t="str">
        <f ca="1">IFERROR(__xludf.DUMMYFUNCTION("""COMPUTED_VALUE"""),"66834")</f>
        <v>66834</v>
      </c>
      <c r="K227" s="113" t="e">
        <f ca="1"/>
        <v>#REF!</v>
      </c>
      <c r="L227" s="113" t="e">
        <f ca="1"/>
        <v>#REF!</v>
      </c>
      <c r="M227" s="113" t="e">
        <f ca="1"/>
        <v>#REF!</v>
      </c>
      <c r="N227" s="113" t="e">
        <f ca="1"/>
        <v>#REF!</v>
      </c>
      <c r="O227" s="113" t="e">
        <f ca="1"/>
        <v>#REF!</v>
      </c>
      <c r="P227" s="113" t="e">
        <f ca="1"/>
        <v>#REF!</v>
      </c>
      <c r="Q227" s="113" t="e">
        <f ca="1"/>
        <v>#REF!</v>
      </c>
      <c r="R227" s="113" t="e">
        <f ca="1"/>
        <v>#REF!</v>
      </c>
      <c r="S227" s="113" t="e">
        <f ca="1"/>
        <v>#REF!</v>
      </c>
      <c r="T227" s="113" t="e">
        <f ca="1"/>
        <v>#REF!</v>
      </c>
      <c r="U227" s="113" t="e">
        <f ca="1"/>
        <v>#REF!</v>
      </c>
      <c r="V227" s="113" t="e">
        <f ca="1"/>
        <v>#REF!</v>
      </c>
      <c r="W227" s="113" t="e">
        <f ca="1"/>
        <v>#REF!</v>
      </c>
      <c r="X227" s="113" t="e">
        <f ca="1"/>
        <v>#REF!</v>
      </c>
      <c r="Y227" s="113" t="e">
        <f ca="1"/>
        <v>#REF!</v>
      </c>
      <c r="Z227" s="113" t="e">
        <f ca="1"/>
        <v>#REF!</v>
      </c>
      <c r="AA227" s="113"/>
      <c r="AB227" s="113"/>
      <c r="AC227" s="113"/>
      <c r="AD227" s="113"/>
      <c r="AE227" s="113" t="str">
        <f ca="1">IFERROR(__xludf.DUMMYFUNCTION("""COMPUTED_VALUE"""),"Integral")</f>
        <v>Integral</v>
      </c>
      <c r="AF227" s="113" t="str">
        <f ca="1">IFERROR(__xludf.DUMMYFUNCTION("""COMPUTED_VALUE"""),"FE")</f>
        <v>FE</v>
      </c>
      <c r="AG227" s="113">
        <f ca="1">IFERROR(__xludf.DUMMYFUNCTION("""COMPUTED_VALUE"""),0)</f>
        <v>0</v>
      </c>
      <c r="AH227" s="113">
        <f ca="1">IFERROR(__xludf.DUMMYFUNCTION("""COMPUTED_VALUE"""),0)</f>
        <v>0</v>
      </c>
      <c r="AI227" s="113">
        <f ca="1">IFERROR(__xludf.DUMMYFUNCTION("""COMPUTED_VALUE"""),0)</f>
        <v>0</v>
      </c>
      <c r="AJ227" s="113">
        <f ca="1">IFERROR(__xludf.DUMMYFUNCTION("""COMPUTED_VALUE"""),0)</f>
        <v>0</v>
      </c>
      <c r="AK227" s="113"/>
      <c r="AL227" s="116"/>
    </row>
    <row r="228" spans="1:38" ht="12.75">
      <c r="A228" s="112" t="str">
        <f ca="1">IFERROR(__xludf.DUMMYFUNCTION("""COMPUTED_VALUE"""),"17021782")</f>
        <v>17021782</v>
      </c>
      <c r="B228" s="113" t="str">
        <f ca="1">IFERROR(__xludf.DUMMYFUNCTION("""COMPUTED_VALUE"""),"Gurupi")</f>
        <v>Gurupi</v>
      </c>
      <c r="C228" s="113" t="str">
        <f ca="1">IFERROR(__xludf.DUMMYFUNCTION("""COMPUTED_VALUE"""),"Gurupi")</f>
        <v>Gurupi</v>
      </c>
      <c r="D228" s="114" t="str">
        <f ca="1">IFERROR(__xludf.DUMMYFUNCTION("""COMPUTED_VALUE"""),"A.A. DA ESCOLA ESTADUAL RUI BARBOSA")</f>
        <v>A.A. DA ESCOLA ESTADUAL RUI BARBOSA</v>
      </c>
      <c r="E228" s="113" t="str">
        <f ca="1">IFERROR(__xludf.DUMMYFUNCTION("""COMPUTED_VALUE"""),"Escola Estadual Rui Barbosa")</f>
        <v>Escola Estadual Rui Barbosa</v>
      </c>
      <c r="F228" s="115" t="str">
        <f ca="1">IFERROR(__xludf.DUMMYFUNCTION("""COMPUTED_VALUE"""),"17021782")</f>
        <v>17021782</v>
      </c>
      <c r="G228" s="113" t="str">
        <f ca="1">IFERROR(__xludf.DUMMYFUNCTION("""COMPUTED_VALUE"""),"43753475000161")</f>
        <v>43753475000161</v>
      </c>
      <c r="H228" s="115" t="str">
        <f ca="1">IFERROR(__xludf.DUMMYFUNCTION("""COMPUTED_VALUE"""),"001")</f>
        <v>001</v>
      </c>
      <c r="I228" s="115" t="str">
        <f ca="1">IFERROR(__xludf.DUMMYFUNCTION("""COMPUTED_VALUE"""),"0794")</f>
        <v>0794</v>
      </c>
      <c r="J228" s="115" t="str">
        <f ca="1">IFERROR(__xludf.DUMMYFUNCTION("""COMPUTED_VALUE"""),"682969")</f>
        <v>682969</v>
      </c>
      <c r="K228" s="113" t="e">
        <f ca="1"/>
        <v>#REF!</v>
      </c>
      <c r="L228" s="113" t="e">
        <f ca="1"/>
        <v>#REF!</v>
      </c>
      <c r="M228" s="113" t="e">
        <f ca="1"/>
        <v>#REF!</v>
      </c>
      <c r="N228" s="113" t="e">
        <f ca="1"/>
        <v>#REF!</v>
      </c>
      <c r="O228" s="113" t="e">
        <f ca="1"/>
        <v>#REF!</v>
      </c>
      <c r="P228" s="113" t="e">
        <f ca="1"/>
        <v>#REF!</v>
      </c>
      <c r="Q228" s="113" t="e">
        <f ca="1"/>
        <v>#REF!</v>
      </c>
      <c r="R228" s="113" t="e">
        <f ca="1"/>
        <v>#REF!</v>
      </c>
      <c r="S228" s="113" t="e">
        <f ca="1"/>
        <v>#REF!</v>
      </c>
      <c r="T228" s="113" t="e">
        <f ca="1"/>
        <v>#REF!</v>
      </c>
      <c r="U228" s="113" t="e">
        <f ca="1"/>
        <v>#REF!</v>
      </c>
      <c r="V228" s="113" t="e">
        <f ca="1"/>
        <v>#REF!</v>
      </c>
      <c r="W228" s="113" t="e">
        <f ca="1"/>
        <v>#REF!</v>
      </c>
      <c r="X228" s="113" t="e">
        <f ca="1"/>
        <v>#REF!</v>
      </c>
      <c r="Y228" s="113" t="e">
        <f ca="1"/>
        <v>#REF!</v>
      </c>
      <c r="Z228" s="113" t="e">
        <f ca="1"/>
        <v>#REF!</v>
      </c>
      <c r="AA228" s="113"/>
      <c r="AB228" s="113"/>
      <c r="AC228" s="113"/>
      <c r="AD228" s="113"/>
      <c r="AE228" s="113" t="str">
        <f ca="1">IFERROR(__xludf.DUMMYFUNCTION("""COMPUTED_VALUE"""),"Parcial")</f>
        <v>Parcial</v>
      </c>
      <c r="AF228" s="113" t="str">
        <f ca="1">IFERROR(__xludf.DUMMYFUNCTION("""COMPUTED_VALUE"""),"FE")</f>
        <v>FE</v>
      </c>
      <c r="AG228" s="113">
        <f ca="1">IFERROR(__xludf.DUMMYFUNCTION("""COMPUTED_VALUE"""),0)</f>
        <v>0</v>
      </c>
      <c r="AH228" s="113">
        <f ca="1">IFERROR(__xludf.DUMMYFUNCTION("""COMPUTED_VALUE"""),0)</f>
        <v>0</v>
      </c>
      <c r="AI228" s="113">
        <f ca="1">IFERROR(__xludf.DUMMYFUNCTION("""COMPUTED_VALUE"""),0)</f>
        <v>0</v>
      </c>
      <c r="AJ228" s="113">
        <f ca="1">IFERROR(__xludf.DUMMYFUNCTION("""COMPUTED_VALUE"""),0)</f>
        <v>0</v>
      </c>
      <c r="AK228" s="113"/>
      <c r="AL228" s="116"/>
    </row>
    <row r="229" spans="1:38" ht="12.75">
      <c r="A229" s="112" t="str">
        <f ca="1">IFERROR(__xludf.DUMMYFUNCTION("""COMPUTED_VALUE"""),"17021804")</f>
        <v>17021804</v>
      </c>
      <c r="B229" s="113" t="str">
        <f ca="1">IFERROR(__xludf.DUMMYFUNCTION("""COMPUTED_VALUE"""),"Gurupi")</f>
        <v>Gurupi</v>
      </c>
      <c r="C229" s="113" t="str">
        <f ca="1">IFERROR(__xludf.DUMMYFUNCTION("""COMPUTED_VALUE"""),"Gurupi")</f>
        <v>Gurupi</v>
      </c>
      <c r="D229" s="114" t="str">
        <f ca="1">IFERROR(__xludf.DUMMYFUNCTION("""COMPUTED_VALUE"""),"A. DE PAIS E MESTRES/ESC. EST. VILA GUARACY")</f>
        <v>A. DE PAIS E MESTRES/ESC. EST. VILA GUARACY</v>
      </c>
      <c r="E229" s="113" t="str">
        <f ca="1">IFERROR(__xludf.DUMMYFUNCTION("""COMPUTED_VALUE"""),"Escola Estadual Vila Guaracy")</f>
        <v>Escola Estadual Vila Guaracy</v>
      </c>
      <c r="F229" s="115" t="str">
        <f ca="1">IFERROR(__xludf.DUMMYFUNCTION("""COMPUTED_VALUE"""),"17021804")</f>
        <v>17021804</v>
      </c>
      <c r="G229" s="113" t="str">
        <f ca="1">IFERROR(__xludf.DUMMYFUNCTION("""COMPUTED_VALUE"""),"01918955000195")</f>
        <v>01918955000195</v>
      </c>
      <c r="H229" s="115" t="str">
        <f ca="1">IFERROR(__xludf.DUMMYFUNCTION("""COMPUTED_VALUE"""),"001")</f>
        <v>001</v>
      </c>
      <c r="I229" s="115" t="str">
        <f ca="1">IFERROR(__xludf.DUMMYFUNCTION("""COMPUTED_VALUE"""),"0794")</f>
        <v>0794</v>
      </c>
      <c r="J229" s="115" t="str">
        <f ca="1">IFERROR(__xludf.DUMMYFUNCTION("""COMPUTED_VALUE"""),"67008")</f>
        <v>67008</v>
      </c>
      <c r="K229" s="113" t="e">
        <f ca="1"/>
        <v>#REF!</v>
      </c>
      <c r="L229" s="113" t="e">
        <f ca="1"/>
        <v>#REF!</v>
      </c>
      <c r="M229" s="113" t="e">
        <f ca="1"/>
        <v>#REF!</v>
      </c>
      <c r="N229" s="113" t="e">
        <f ca="1"/>
        <v>#REF!</v>
      </c>
      <c r="O229" s="113" t="e">
        <f ca="1"/>
        <v>#REF!</v>
      </c>
      <c r="P229" s="113" t="e">
        <f ca="1"/>
        <v>#REF!</v>
      </c>
      <c r="Q229" s="113" t="e">
        <f ca="1"/>
        <v>#REF!</v>
      </c>
      <c r="R229" s="113" t="e">
        <f ca="1"/>
        <v>#REF!</v>
      </c>
      <c r="S229" s="113" t="e">
        <f ca="1"/>
        <v>#REF!</v>
      </c>
      <c r="T229" s="113" t="e">
        <f ca="1"/>
        <v>#REF!</v>
      </c>
      <c r="U229" s="113" t="e">
        <f ca="1"/>
        <v>#REF!</v>
      </c>
      <c r="V229" s="113" t="e">
        <f ca="1"/>
        <v>#REF!</v>
      </c>
      <c r="W229" s="113" t="e">
        <f ca="1"/>
        <v>#REF!</v>
      </c>
      <c r="X229" s="113" t="e">
        <f ca="1"/>
        <v>#REF!</v>
      </c>
      <c r="Y229" s="113" t="e">
        <f ca="1"/>
        <v>#REF!</v>
      </c>
      <c r="Z229" s="113" t="e">
        <f ca="1"/>
        <v>#REF!</v>
      </c>
      <c r="AA229" s="113"/>
      <c r="AB229" s="113"/>
      <c r="AC229" s="113"/>
      <c r="AD229" s="113"/>
      <c r="AE229" s="113" t="str">
        <f ca="1">IFERROR(__xludf.DUMMYFUNCTION("""COMPUTED_VALUE"""),"Parcial")</f>
        <v>Parcial</v>
      </c>
      <c r="AF229" s="113" t="str">
        <f ca="1">IFERROR(__xludf.DUMMYFUNCTION("""COMPUTED_VALUE"""),"FE")</f>
        <v>FE</v>
      </c>
      <c r="AG229" s="113">
        <f ca="1">IFERROR(__xludf.DUMMYFUNCTION("""COMPUTED_VALUE"""),0)</f>
        <v>0</v>
      </c>
      <c r="AH229" s="113">
        <f ca="1">IFERROR(__xludf.DUMMYFUNCTION("""COMPUTED_VALUE"""),0)</f>
        <v>0</v>
      </c>
      <c r="AI229" s="113">
        <f ca="1">IFERROR(__xludf.DUMMYFUNCTION("""COMPUTED_VALUE"""),0)</f>
        <v>0</v>
      </c>
      <c r="AJ229" s="113">
        <f ca="1">IFERROR(__xludf.DUMMYFUNCTION("""COMPUTED_VALUE"""),0)</f>
        <v>0</v>
      </c>
      <c r="AK229" s="113"/>
      <c r="AL229" s="116"/>
    </row>
    <row r="230" spans="1:38" ht="12.75">
      <c r="A230" s="112" t="str">
        <f ca="1">IFERROR(__xludf.DUMMYFUNCTION("""COMPUTED_VALUE"""),"17111811")</f>
        <v>17111811</v>
      </c>
      <c r="B230" s="113" t="str">
        <f ca="1">IFERROR(__xludf.DUMMYFUNCTION("""COMPUTED_VALUE"""),"Gurupi")</f>
        <v>Gurupi</v>
      </c>
      <c r="C230" s="113" t="str">
        <f ca="1">IFERROR(__xludf.DUMMYFUNCTION("""COMPUTED_VALUE"""),"Gurupi")</f>
        <v>Gurupi</v>
      </c>
      <c r="D230" s="114" t="str">
        <f ca="1">IFERROR(__xludf.DUMMYFUNCTION("""COMPUTED_VALUE"""),"APM. DA INSTITUIÇÃO BENEFICENTE IRMÃ DULCE")</f>
        <v>APM. DA INSTITUIÇÃO BENEFICENTE IRMÃ DULCE</v>
      </c>
      <c r="E230" s="113" t="str">
        <f ca="1">IFERROR(__xludf.DUMMYFUNCTION("""COMPUTED_VALUE"""),"Instituição Beneficente Irmã Dulce")</f>
        <v>Instituição Beneficente Irmã Dulce</v>
      </c>
      <c r="F230" s="115" t="str">
        <f ca="1">IFERROR(__xludf.DUMMYFUNCTION("""COMPUTED_VALUE"""),"17111811")</f>
        <v>17111811</v>
      </c>
      <c r="G230" s="113" t="str">
        <f ca="1">IFERROR(__xludf.DUMMYFUNCTION("""COMPUTED_VALUE"""),"10807313000100")</f>
        <v>10807313000100</v>
      </c>
      <c r="H230" s="115" t="str">
        <f ca="1">IFERROR(__xludf.DUMMYFUNCTION("""COMPUTED_VALUE"""),"001")</f>
        <v>001</v>
      </c>
      <c r="I230" s="115" t="str">
        <f ca="1">IFERROR(__xludf.DUMMYFUNCTION("""COMPUTED_VALUE"""),"0794")</f>
        <v>0794</v>
      </c>
      <c r="J230" s="115" t="str">
        <f ca="1">IFERROR(__xludf.DUMMYFUNCTION("""COMPUTED_VALUE"""),"447218")</f>
        <v>447218</v>
      </c>
      <c r="K230" s="113" t="e">
        <f ca="1"/>
        <v>#REF!</v>
      </c>
      <c r="L230" s="113" t="e">
        <f ca="1"/>
        <v>#REF!</v>
      </c>
      <c r="M230" s="113" t="e">
        <f ca="1"/>
        <v>#REF!</v>
      </c>
      <c r="N230" s="113" t="e">
        <f ca="1"/>
        <v>#REF!</v>
      </c>
      <c r="O230" s="113" t="e">
        <f ca="1"/>
        <v>#REF!</v>
      </c>
      <c r="P230" s="113" t="e">
        <f ca="1"/>
        <v>#REF!</v>
      </c>
      <c r="Q230" s="113" t="e">
        <f ca="1"/>
        <v>#REF!</v>
      </c>
      <c r="R230" s="113" t="e">
        <f ca="1"/>
        <v>#REF!</v>
      </c>
      <c r="S230" s="113" t="e">
        <f ca="1"/>
        <v>#REF!</v>
      </c>
      <c r="T230" s="113" t="e">
        <f ca="1"/>
        <v>#REF!</v>
      </c>
      <c r="U230" s="113" t="e">
        <f ca="1"/>
        <v>#REF!</v>
      </c>
      <c r="V230" s="113" t="e">
        <f ca="1"/>
        <v>#REF!</v>
      </c>
      <c r="W230" s="113" t="e">
        <f ca="1"/>
        <v>#REF!</v>
      </c>
      <c r="X230" s="113" t="e">
        <f ca="1"/>
        <v>#REF!</v>
      </c>
      <c r="Y230" s="113" t="e">
        <f ca="1"/>
        <v>#REF!</v>
      </c>
      <c r="Z230" s="113" t="e">
        <f ca="1"/>
        <v>#REF!</v>
      </c>
      <c r="AA230" s="113"/>
      <c r="AB230" s="113"/>
      <c r="AC230" s="113"/>
      <c r="AD230" s="113"/>
      <c r="AE230" s="113" t="str">
        <f ca="1">IFERROR(__xludf.DUMMYFUNCTION("""COMPUTED_VALUE"""),"Parcial")</f>
        <v>Parcial</v>
      </c>
      <c r="AF230" s="113" t="str">
        <f ca="1">IFERROR(__xludf.DUMMYFUNCTION("""COMPUTED_VALUE"""),"FE")</f>
        <v>FE</v>
      </c>
      <c r="AG230" s="113">
        <f ca="1">IFERROR(__xludf.DUMMYFUNCTION("""COMPUTED_VALUE"""),0)</f>
        <v>0</v>
      </c>
      <c r="AH230" s="113">
        <f ca="1">IFERROR(__xludf.DUMMYFUNCTION("""COMPUTED_VALUE"""),0)</f>
        <v>0</v>
      </c>
      <c r="AI230" s="113">
        <f ca="1">IFERROR(__xludf.DUMMYFUNCTION("""COMPUTED_VALUE"""),0)</f>
        <v>0</v>
      </c>
      <c r="AJ230" s="113">
        <f ca="1">IFERROR(__xludf.DUMMYFUNCTION("""COMPUTED_VALUE"""),12)</f>
        <v>12</v>
      </c>
      <c r="AK230" s="113"/>
      <c r="AL230" s="116"/>
    </row>
    <row r="231" spans="1:38" ht="12.75">
      <c r="A231" s="112" t="str">
        <f ca="1">IFERROR(__xludf.DUMMYFUNCTION("""COMPUTED_VALUE"""),"17053315")</f>
        <v>17053315</v>
      </c>
      <c r="B231" s="113" t="str">
        <f ca="1">IFERROR(__xludf.DUMMYFUNCTION("""COMPUTED_VALUE"""),"Gurupi")</f>
        <v>Gurupi</v>
      </c>
      <c r="C231" s="113" t="str">
        <f ca="1">IFERROR(__xludf.DUMMYFUNCTION("""COMPUTED_VALUE"""),"Gurupi")</f>
        <v>Gurupi</v>
      </c>
      <c r="D231" s="114" t="str">
        <f ca="1">IFERROR(__xludf.DUMMYFUNCTION("""COMPUTED_VALUE"""),"ASSOC APOIO INSTITUTO EDUCACIONAL PASSO A PASSO")</f>
        <v>ASSOC APOIO INSTITUTO EDUCACIONAL PASSO A PASSO</v>
      </c>
      <c r="E231" s="113" t="str">
        <f ca="1">IFERROR(__xludf.DUMMYFUNCTION("""COMPUTED_VALUE"""),"Instituto Educacional Passo A Passo")</f>
        <v>Instituto Educacional Passo A Passo</v>
      </c>
      <c r="F231" s="115" t="str">
        <f ca="1">IFERROR(__xludf.DUMMYFUNCTION("""COMPUTED_VALUE"""),"17053315")</f>
        <v>17053315</v>
      </c>
      <c r="G231" s="113" t="str">
        <f ca="1">IFERROR(__xludf.DUMMYFUNCTION("""COMPUTED_VALUE"""),"10450172000110")</f>
        <v>10450172000110</v>
      </c>
      <c r="H231" s="115" t="str">
        <f ca="1">IFERROR(__xludf.DUMMYFUNCTION("""COMPUTED_VALUE"""),"001")</f>
        <v>001</v>
      </c>
      <c r="I231" s="115" t="str">
        <f ca="1">IFERROR(__xludf.DUMMYFUNCTION("""COMPUTED_VALUE"""),"0794")</f>
        <v>0794</v>
      </c>
      <c r="J231" s="115" t="str">
        <f ca="1">IFERROR(__xludf.DUMMYFUNCTION("""COMPUTED_VALUE"""),"414263")</f>
        <v>414263</v>
      </c>
      <c r="K231" s="113" t="e">
        <f ca="1"/>
        <v>#REF!</v>
      </c>
      <c r="L231" s="113" t="e">
        <f ca="1"/>
        <v>#REF!</v>
      </c>
      <c r="M231" s="113" t="e">
        <f ca="1"/>
        <v>#REF!</v>
      </c>
      <c r="N231" s="113" t="e">
        <f ca="1"/>
        <v>#REF!</v>
      </c>
      <c r="O231" s="113" t="e">
        <f ca="1"/>
        <v>#REF!</v>
      </c>
      <c r="P231" s="113" t="e">
        <f ca="1"/>
        <v>#REF!</v>
      </c>
      <c r="Q231" s="113" t="e">
        <f ca="1"/>
        <v>#REF!</v>
      </c>
      <c r="R231" s="113" t="e">
        <f ca="1"/>
        <v>#REF!</v>
      </c>
      <c r="S231" s="113" t="e">
        <f ca="1"/>
        <v>#REF!</v>
      </c>
      <c r="T231" s="113" t="e">
        <f ca="1"/>
        <v>#REF!</v>
      </c>
      <c r="U231" s="113" t="e">
        <f ca="1"/>
        <v>#REF!</v>
      </c>
      <c r="V231" s="113" t="e">
        <f ca="1"/>
        <v>#REF!</v>
      </c>
      <c r="W231" s="113" t="e">
        <f ca="1"/>
        <v>#REF!</v>
      </c>
      <c r="X231" s="113" t="e">
        <f ca="1"/>
        <v>#REF!</v>
      </c>
      <c r="Y231" s="113" t="e">
        <f ca="1"/>
        <v>#REF!</v>
      </c>
      <c r="Z231" s="113" t="e">
        <f ca="1"/>
        <v>#REF!</v>
      </c>
      <c r="AA231" s="113"/>
      <c r="AB231" s="113"/>
      <c r="AC231" s="113"/>
      <c r="AD231" s="113"/>
      <c r="AE231" s="113" t="str">
        <f ca="1">IFERROR(__xludf.DUMMYFUNCTION("""COMPUTED_VALUE"""),"Parcial/Integral")</f>
        <v>Parcial/Integral</v>
      </c>
      <c r="AF231" s="113" t="str">
        <f ca="1">IFERROR(__xludf.DUMMYFUNCTION("""COMPUTED_VALUE"""),"FE")</f>
        <v>FE</v>
      </c>
      <c r="AG231" s="113">
        <f ca="1">IFERROR(__xludf.DUMMYFUNCTION("""COMPUTED_VALUE"""),0)</f>
        <v>0</v>
      </c>
      <c r="AH231" s="113">
        <f ca="1">IFERROR(__xludf.DUMMYFUNCTION("""COMPUTED_VALUE"""),0)</f>
        <v>0</v>
      </c>
      <c r="AI231" s="113">
        <f ca="1">IFERROR(__xludf.DUMMYFUNCTION("""COMPUTED_VALUE"""),0)</f>
        <v>0</v>
      </c>
      <c r="AJ231" s="113">
        <f ca="1">IFERROR(__xludf.DUMMYFUNCTION("""COMPUTED_VALUE"""),0)</f>
        <v>0</v>
      </c>
      <c r="AK231" s="113"/>
      <c r="AL231" s="116"/>
    </row>
    <row r="232" spans="1:38" ht="12.75">
      <c r="A232" s="112" t="str">
        <f ca="1">IFERROR(__xludf.DUMMYFUNCTION("""COMPUTED_VALUE"""),"17021600")</f>
        <v>17021600</v>
      </c>
      <c r="B232" s="113" t="str">
        <f ca="1">IFERROR(__xludf.DUMMYFUNCTION("""COMPUTED_VALUE"""),"Gurupi")</f>
        <v>Gurupi</v>
      </c>
      <c r="C232" s="113" t="str">
        <f ca="1">IFERROR(__xludf.DUMMYFUNCTION("""COMPUTED_VALUE"""),"Gurupi")</f>
        <v>Gurupi</v>
      </c>
      <c r="D232" s="114" t="str">
        <f ca="1">IFERROR(__xludf.DUMMYFUNCTION("""COMPUTED_VALUE"""),"A.A. DO INSTITUTO PRESBITERIANO ARAGUAIA")</f>
        <v>A.A. DO INSTITUTO PRESBITERIANO ARAGUAIA</v>
      </c>
      <c r="E232" s="113" t="str">
        <f ca="1">IFERROR(__xludf.DUMMYFUNCTION("""COMPUTED_VALUE"""),"Instituto Presbiteriano Araguaia")</f>
        <v>Instituto Presbiteriano Araguaia</v>
      </c>
      <c r="F232" s="115" t="str">
        <f ca="1">IFERROR(__xludf.DUMMYFUNCTION("""COMPUTED_VALUE"""),"17021600")</f>
        <v>17021600</v>
      </c>
      <c r="G232" s="113" t="str">
        <f ca="1">IFERROR(__xludf.DUMMYFUNCTION("""COMPUTED_VALUE"""),"03060918000114")</f>
        <v>03060918000114</v>
      </c>
      <c r="H232" s="115" t="str">
        <f ca="1">IFERROR(__xludf.DUMMYFUNCTION("""COMPUTED_VALUE"""),"104")</f>
        <v>104</v>
      </c>
      <c r="I232" s="115" t="str">
        <f ca="1">IFERROR(__xludf.DUMMYFUNCTION("""COMPUTED_VALUE"""),"0793")</f>
        <v>0793</v>
      </c>
      <c r="J232" s="115" t="str">
        <f ca="1">IFERROR(__xludf.DUMMYFUNCTION("""COMPUTED_VALUE"""),"12090")</f>
        <v>12090</v>
      </c>
      <c r="K232" s="113" t="e">
        <f ca="1"/>
        <v>#REF!</v>
      </c>
      <c r="L232" s="113" t="e">
        <f ca="1"/>
        <v>#REF!</v>
      </c>
      <c r="M232" s="113" t="e">
        <f ca="1"/>
        <v>#REF!</v>
      </c>
      <c r="N232" s="113" t="e">
        <f ca="1"/>
        <v>#REF!</v>
      </c>
      <c r="O232" s="113" t="e">
        <f ca="1"/>
        <v>#REF!</v>
      </c>
      <c r="P232" s="113" t="e">
        <f ca="1"/>
        <v>#REF!</v>
      </c>
      <c r="Q232" s="113" t="e">
        <f ca="1"/>
        <v>#REF!</v>
      </c>
      <c r="R232" s="113" t="e">
        <f ca="1"/>
        <v>#REF!</v>
      </c>
      <c r="S232" s="113" t="e">
        <f ca="1"/>
        <v>#REF!</v>
      </c>
      <c r="T232" s="113" t="e">
        <f ca="1"/>
        <v>#REF!</v>
      </c>
      <c r="U232" s="113" t="e">
        <f ca="1"/>
        <v>#REF!</v>
      </c>
      <c r="V232" s="113" t="e">
        <f ca="1"/>
        <v>#REF!</v>
      </c>
      <c r="W232" s="113" t="e">
        <f ca="1"/>
        <v>#REF!</v>
      </c>
      <c r="X232" s="113" t="e">
        <f ca="1"/>
        <v>#REF!</v>
      </c>
      <c r="Y232" s="113" t="e">
        <f ca="1"/>
        <v>#REF!</v>
      </c>
      <c r="Z232" s="113" t="e">
        <f ca="1"/>
        <v>#REF!</v>
      </c>
      <c r="AA232" s="113"/>
      <c r="AB232" s="113"/>
      <c r="AC232" s="113"/>
      <c r="AD232" s="113" t="str">
        <f ca="1">IFERROR(__xludf.DUMMYFUNCTION("""COMPUTED_VALUE"""),"CRECHE")</f>
        <v>CRECHE</v>
      </c>
      <c r="AE232" s="113" t="str">
        <f ca="1">IFERROR(__xludf.DUMMYFUNCTION("""COMPUTED_VALUE"""),"Parcial")</f>
        <v>Parcial</v>
      </c>
      <c r="AF232" s="113" t="str">
        <f ca="1">IFERROR(__xludf.DUMMYFUNCTION("""COMPUTED_VALUE"""),"FE")</f>
        <v>FE</v>
      </c>
      <c r="AG232" s="113">
        <f ca="1">IFERROR(__xludf.DUMMYFUNCTION("""COMPUTED_VALUE"""),0)</f>
        <v>0</v>
      </c>
      <c r="AH232" s="113">
        <f ca="1">IFERROR(__xludf.DUMMYFUNCTION("""COMPUTED_VALUE"""),0)</f>
        <v>0</v>
      </c>
      <c r="AI232" s="113">
        <f ca="1">IFERROR(__xludf.DUMMYFUNCTION("""COMPUTED_VALUE"""),0)</f>
        <v>0</v>
      </c>
      <c r="AJ232" s="113">
        <f ca="1">IFERROR(__xludf.DUMMYFUNCTION("""COMPUTED_VALUE"""),0)</f>
        <v>0</v>
      </c>
      <c r="AK232" s="113"/>
      <c r="AL232" s="116"/>
    </row>
    <row r="233" spans="1:38" ht="12.75">
      <c r="A233" s="112" t="str">
        <f ca="1">IFERROR(__xludf.DUMMYFUNCTION("""COMPUTED_VALUE"""),"17052360")</f>
        <v>17052360</v>
      </c>
      <c r="B233" s="113" t="str">
        <f ca="1">IFERROR(__xludf.DUMMYFUNCTION("""COMPUTED_VALUE"""),"Gurupi")</f>
        <v>Gurupi</v>
      </c>
      <c r="C233" s="113" t="str">
        <f ca="1">IFERROR(__xludf.DUMMYFUNCTION("""COMPUTED_VALUE"""),"Gurupi")</f>
        <v>Gurupi</v>
      </c>
      <c r="D233" s="114" t="str">
        <f ca="1">IFERROR(__xludf.DUMMYFUNCTION("""COMPUTED_VALUE"""),"A.A. DO INSTITUTO PRESBITERIANO EDUCACIONAL")</f>
        <v>A.A. DO INSTITUTO PRESBITERIANO EDUCACIONAL</v>
      </c>
      <c r="E233" s="113" t="str">
        <f ca="1">IFERROR(__xludf.DUMMYFUNCTION("""COMPUTED_VALUE"""),"Instituto Presbiteriano Educacional")</f>
        <v>Instituto Presbiteriano Educacional</v>
      </c>
      <c r="F233" s="115" t="str">
        <f ca="1">IFERROR(__xludf.DUMMYFUNCTION("""COMPUTED_VALUE"""),"17052360")</f>
        <v>17052360</v>
      </c>
      <c r="G233" s="113" t="str">
        <f ca="1">IFERROR(__xludf.DUMMYFUNCTION("""COMPUTED_VALUE"""),"07217559000117")</f>
        <v>07217559000117</v>
      </c>
      <c r="H233" s="115" t="str">
        <f ca="1">IFERROR(__xludf.DUMMYFUNCTION("""COMPUTED_VALUE"""),"104")</f>
        <v>104</v>
      </c>
      <c r="I233" s="115" t="str">
        <f ca="1">IFERROR(__xludf.DUMMYFUNCTION("""COMPUTED_VALUE"""),"0793")</f>
        <v>0793</v>
      </c>
      <c r="J233" s="115" t="str">
        <f ca="1">IFERROR(__xludf.DUMMYFUNCTION("""COMPUTED_VALUE"""),"2663")</f>
        <v>2663</v>
      </c>
      <c r="K233" s="113" t="e">
        <f ca="1"/>
        <v>#REF!</v>
      </c>
      <c r="L233" s="113" t="e">
        <f ca="1"/>
        <v>#REF!</v>
      </c>
      <c r="M233" s="113" t="e">
        <f ca="1"/>
        <v>#REF!</v>
      </c>
      <c r="N233" s="113" t="e">
        <f ca="1"/>
        <v>#REF!</v>
      </c>
      <c r="O233" s="113" t="e">
        <f ca="1"/>
        <v>#REF!</v>
      </c>
      <c r="P233" s="113" t="e">
        <f ca="1"/>
        <v>#REF!</v>
      </c>
      <c r="Q233" s="113" t="e">
        <f ca="1"/>
        <v>#REF!</v>
      </c>
      <c r="R233" s="113" t="e">
        <f ca="1"/>
        <v>#REF!</v>
      </c>
      <c r="S233" s="113" t="e">
        <f ca="1"/>
        <v>#REF!</v>
      </c>
      <c r="T233" s="113" t="e">
        <f ca="1"/>
        <v>#REF!</v>
      </c>
      <c r="U233" s="113" t="e">
        <f ca="1"/>
        <v>#REF!</v>
      </c>
      <c r="V233" s="113" t="e">
        <f ca="1"/>
        <v>#REF!</v>
      </c>
      <c r="W233" s="113" t="e">
        <f ca="1"/>
        <v>#REF!</v>
      </c>
      <c r="X233" s="113" t="e">
        <f ca="1"/>
        <v>#REF!</v>
      </c>
      <c r="Y233" s="113" t="e">
        <f ca="1"/>
        <v>#REF!</v>
      </c>
      <c r="Z233" s="113" t="e">
        <f ca="1"/>
        <v>#REF!</v>
      </c>
      <c r="AA233" s="113"/>
      <c r="AB233" s="113"/>
      <c r="AC233" s="113"/>
      <c r="AD233" s="113"/>
      <c r="AE233" s="113" t="str">
        <f ca="1">IFERROR(__xludf.DUMMYFUNCTION("""COMPUTED_VALUE"""),"Parcial")</f>
        <v>Parcial</v>
      </c>
      <c r="AF233" s="113" t="str">
        <f ca="1">IFERROR(__xludf.DUMMYFUNCTION("""COMPUTED_VALUE"""),"FE")</f>
        <v>FE</v>
      </c>
      <c r="AG233" s="113">
        <f ca="1">IFERROR(__xludf.DUMMYFUNCTION("""COMPUTED_VALUE"""),0)</f>
        <v>0</v>
      </c>
      <c r="AH233" s="113">
        <f ca="1">IFERROR(__xludf.DUMMYFUNCTION("""COMPUTED_VALUE"""),0)</f>
        <v>0</v>
      </c>
      <c r="AI233" s="113">
        <f ca="1">IFERROR(__xludf.DUMMYFUNCTION("""COMPUTED_VALUE"""),0)</f>
        <v>0</v>
      </c>
      <c r="AJ233" s="113">
        <f ca="1">IFERROR(__xludf.DUMMYFUNCTION("""COMPUTED_VALUE"""),0)</f>
        <v>0</v>
      </c>
      <c r="AK233" s="113"/>
      <c r="AL233" s="116"/>
    </row>
    <row r="234" spans="1:38" ht="12.75">
      <c r="A234" s="112" t="str">
        <f ca="1">IFERROR(__xludf.DUMMYFUNCTION("""COMPUTED_VALUE"""),"17048826")</f>
        <v>17048826</v>
      </c>
      <c r="B234" s="113" t="str">
        <f ca="1">IFERROR(__xludf.DUMMYFUNCTION("""COMPUTED_VALUE"""),"Gurupi")</f>
        <v>Gurupi</v>
      </c>
      <c r="C234" s="113" t="str">
        <f ca="1">IFERROR(__xludf.DUMMYFUNCTION("""COMPUTED_VALUE"""),"Jau do Tocantins")</f>
        <v>Jau do Tocantins</v>
      </c>
      <c r="D234" s="114" t="str">
        <f ca="1">IFERROR(__xludf.DUMMYFUNCTION("""COMPUTED_VALUE"""),"AAEC PEDRO LUIZ BONFIM/ADELÁIDE FRANCISCO SOARES")</f>
        <v>AAEC PEDRO LUIZ BONFIM/ADELÁIDE FRANCISCO SOARES</v>
      </c>
      <c r="E234" s="113" t="str">
        <f ca="1">IFERROR(__xludf.DUMMYFUNCTION("""COMPUTED_VALUE"""),"Colégio Estadual Adelaide Francisco Soares")</f>
        <v>Colégio Estadual Adelaide Francisco Soares</v>
      </c>
      <c r="F234" s="115" t="str">
        <f ca="1">IFERROR(__xludf.DUMMYFUNCTION("""COMPUTED_VALUE"""),"17048826")</f>
        <v>17048826</v>
      </c>
      <c r="G234" s="113" t="str">
        <f ca="1">IFERROR(__xludf.DUMMYFUNCTION("""COMPUTED_VALUE"""),"02080228000164")</f>
        <v>02080228000164</v>
      </c>
      <c r="H234" s="115" t="str">
        <f ca="1">IFERROR(__xludf.DUMMYFUNCTION("""COMPUTED_VALUE"""),"001")</f>
        <v>001</v>
      </c>
      <c r="I234" s="115" t="str">
        <f ca="1">IFERROR(__xludf.DUMMYFUNCTION("""COMPUTED_VALUE"""),"0794")</f>
        <v>0794</v>
      </c>
      <c r="J234" s="115" t="str">
        <f ca="1">IFERROR(__xludf.DUMMYFUNCTION("""COMPUTED_VALUE"""),"420743")</f>
        <v>420743</v>
      </c>
      <c r="K234" s="113" t="e">
        <f ca="1"/>
        <v>#REF!</v>
      </c>
      <c r="L234" s="113" t="e">
        <f ca="1"/>
        <v>#REF!</v>
      </c>
      <c r="M234" s="113" t="e">
        <f ca="1"/>
        <v>#REF!</v>
      </c>
      <c r="N234" s="113" t="e">
        <f ca="1"/>
        <v>#REF!</v>
      </c>
      <c r="O234" s="113" t="e">
        <f ca="1"/>
        <v>#REF!</v>
      </c>
      <c r="P234" s="113" t="e">
        <f ca="1"/>
        <v>#REF!</v>
      </c>
      <c r="Q234" s="113" t="e">
        <f ca="1"/>
        <v>#REF!</v>
      </c>
      <c r="R234" s="113" t="e">
        <f ca="1"/>
        <v>#REF!</v>
      </c>
      <c r="S234" s="113" t="e">
        <f ca="1"/>
        <v>#REF!</v>
      </c>
      <c r="T234" s="113" t="e">
        <f ca="1"/>
        <v>#REF!</v>
      </c>
      <c r="U234" s="113" t="e">
        <f ca="1"/>
        <v>#REF!</v>
      </c>
      <c r="V234" s="113" t="e">
        <f ca="1"/>
        <v>#REF!</v>
      </c>
      <c r="W234" s="113" t="e">
        <f ca="1"/>
        <v>#REF!</v>
      </c>
      <c r="X234" s="113" t="e">
        <f ca="1"/>
        <v>#REF!</v>
      </c>
      <c r="Y234" s="113" t="e">
        <f ca="1"/>
        <v>#REF!</v>
      </c>
      <c r="Z234" s="113" t="e">
        <f ca="1"/>
        <v>#REF!</v>
      </c>
      <c r="AA234" s="113"/>
      <c r="AB234" s="113"/>
      <c r="AC234" s="113"/>
      <c r="AD234" s="113"/>
      <c r="AE234" s="113" t="str">
        <f ca="1">IFERROR(__xludf.DUMMYFUNCTION("""COMPUTED_VALUE"""),"Parcial")</f>
        <v>Parcial</v>
      </c>
      <c r="AF234" s="113" t="str">
        <f ca="1">IFERROR(__xludf.DUMMYFUNCTION("""COMPUTED_VALUE"""),"FE")</f>
        <v>FE</v>
      </c>
      <c r="AG234" s="113">
        <f ca="1">IFERROR(__xludf.DUMMYFUNCTION("""COMPUTED_VALUE"""),0)</f>
        <v>0</v>
      </c>
      <c r="AH234" s="113">
        <f ca="1">IFERROR(__xludf.DUMMYFUNCTION("""COMPUTED_VALUE"""),0)</f>
        <v>0</v>
      </c>
      <c r="AI234" s="113">
        <f ca="1">IFERROR(__xludf.DUMMYFUNCTION("""COMPUTED_VALUE"""),0)</f>
        <v>0</v>
      </c>
      <c r="AJ234" s="113">
        <f ca="1">IFERROR(__xludf.DUMMYFUNCTION("""COMPUTED_VALUE"""),0)</f>
        <v>0</v>
      </c>
      <c r="AK234" s="113"/>
      <c r="AL234" s="116"/>
    </row>
    <row r="235" spans="1:38" ht="12.75">
      <c r="A235" s="112" t="str">
        <f ca="1">IFERROR(__xludf.DUMMYFUNCTION("""COMPUTED_VALUE"""),"17022320")</f>
        <v>17022320</v>
      </c>
      <c r="B235" s="113" t="str">
        <f ca="1">IFERROR(__xludf.DUMMYFUNCTION("""COMPUTED_VALUE"""),"Gurupi")</f>
        <v>Gurupi</v>
      </c>
      <c r="C235" s="113" t="str">
        <f ca="1">IFERROR(__xludf.DUMMYFUNCTION("""COMPUTED_VALUE"""),"Palmeiropolis")</f>
        <v>Palmeiropolis</v>
      </c>
      <c r="D235" s="114" t="str">
        <f ca="1">IFERROR(__xludf.DUMMYFUNCTION("""COMPUTED_VALUE"""),"A.A. ESCOLA ESTADUAL PROFESSORA ONEIDES")</f>
        <v>A.A. ESCOLA ESTADUAL PROFESSORA ONEIDES</v>
      </c>
      <c r="E235" s="113" t="str">
        <f ca="1">IFERROR(__xludf.DUMMYFUNCTION("""COMPUTED_VALUE"""),"Colégio Estadual Professora Oneides Rosa de Moura")</f>
        <v>Colégio Estadual Professora Oneides Rosa de Moura</v>
      </c>
      <c r="F235" s="115" t="str">
        <f ca="1">IFERROR(__xludf.DUMMYFUNCTION("""COMPUTED_VALUE"""),"17022320")</f>
        <v>17022320</v>
      </c>
      <c r="G235" s="113" t="str">
        <f ca="1">IFERROR(__xludf.DUMMYFUNCTION("""COMPUTED_VALUE"""),"01262903000103")</f>
        <v>01262903000103</v>
      </c>
      <c r="H235" s="115" t="str">
        <f ca="1">IFERROR(__xludf.DUMMYFUNCTION("""COMPUTED_VALUE"""),"001")</f>
        <v>001</v>
      </c>
      <c r="I235" s="115" t="str">
        <f ca="1">IFERROR(__xludf.DUMMYFUNCTION("""COMPUTED_VALUE"""),"4608")</f>
        <v>4608</v>
      </c>
      <c r="J235" s="115" t="str">
        <f ca="1">IFERROR(__xludf.DUMMYFUNCTION("""COMPUTED_VALUE"""),"79758")</f>
        <v>79758</v>
      </c>
      <c r="K235" s="113" t="e">
        <f ca="1"/>
        <v>#REF!</v>
      </c>
      <c r="L235" s="113" t="e">
        <f ca="1"/>
        <v>#REF!</v>
      </c>
      <c r="M235" s="113" t="e">
        <f ca="1"/>
        <v>#REF!</v>
      </c>
      <c r="N235" s="113" t="e">
        <f ca="1"/>
        <v>#REF!</v>
      </c>
      <c r="O235" s="113" t="e">
        <f ca="1"/>
        <v>#REF!</v>
      </c>
      <c r="P235" s="113" t="e">
        <f ca="1"/>
        <v>#REF!</v>
      </c>
      <c r="Q235" s="113" t="e">
        <f ca="1"/>
        <v>#REF!</v>
      </c>
      <c r="R235" s="113" t="e">
        <f ca="1"/>
        <v>#REF!</v>
      </c>
      <c r="S235" s="113" t="e">
        <f ca="1"/>
        <v>#REF!</v>
      </c>
      <c r="T235" s="113" t="e">
        <f ca="1"/>
        <v>#REF!</v>
      </c>
      <c r="U235" s="113" t="e">
        <f ca="1"/>
        <v>#REF!</v>
      </c>
      <c r="V235" s="113" t="e">
        <f ca="1"/>
        <v>#REF!</v>
      </c>
      <c r="W235" s="113" t="e">
        <f ca="1"/>
        <v>#REF!</v>
      </c>
      <c r="X235" s="113" t="e">
        <f ca="1"/>
        <v>#REF!</v>
      </c>
      <c r="Y235" s="113" t="e">
        <f ca="1"/>
        <v>#REF!</v>
      </c>
      <c r="Z235" s="113" t="e">
        <f ca="1"/>
        <v>#REF!</v>
      </c>
      <c r="AA235" s="113"/>
      <c r="AB235" s="113"/>
      <c r="AC235" s="113"/>
      <c r="AD235" s="113"/>
      <c r="AE235" s="113" t="str">
        <f ca="1">IFERROR(__xludf.DUMMYFUNCTION("""COMPUTED_VALUE"""),"Parcial")</f>
        <v>Parcial</v>
      </c>
      <c r="AF235" s="113" t="str">
        <f ca="1">IFERROR(__xludf.DUMMYFUNCTION("""COMPUTED_VALUE"""),"FE")</f>
        <v>FE</v>
      </c>
      <c r="AG235" s="113">
        <f ca="1">IFERROR(__xludf.DUMMYFUNCTION("""COMPUTED_VALUE"""),0)</f>
        <v>0</v>
      </c>
      <c r="AH235" s="113">
        <f ca="1">IFERROR(__xludf.DUMMYFUNCTION("""COMPUTED_VALUE"""),0)</f>
        <v>0</v>
      </c>
      <c r="AI235" s="113">
        <f ca="1">IFERROR(__xludf.DUMMYFUNCTION("""COMPUTED_VALUE"""),0)</f>
        <v>0</v>
      </c>
      <c r="AJ235" s="113">
        <f ca="1">IFERROR(__xludf.DUMMYFUNCTION("""COMPUTED_VALUE"""),0)</f>
        <v>0</v>
      </c>
      <c r="AK235" s="113"/>
      <c r="AL235" s="116"/>
    </row>
    <row r="236" spans="1:38" ht="12.75">
      <c r="A236" s="112" t="str">
        <f ca="1">IFERROR(__xludf.DUMMYFUNCTION("""COMPUTED_VALUE"""),"17022312")</f>
        <v>17022312</v>
      </c>
      <c r="B236" s="113" t="str">
        <f ca="1">IFERROR(__xludf.DUMMYFUNCTION("""COMPUTED_VALUE"""),"Gurupi")</f>
        <v>Gurupi</v>
      </c>
      <c r="C236" s="113" t="str">
        <f ca="1">IFERROR(__xludf.DUMMYFUNCTION("""COMPUTED_VALUE"""),"Palmeiropolis")</f>
        <v>Palmeiropolis</v>
      </c>
      <c r="D236" s="114" t="str">
        <f ca="1">IFERROR(__xludf.DUMMYFUNCTION("""COMPUTED_VALUE"""),"A. A.DO COLEGIO EST. DE PALMEIROPOLIS (COLÉGIO MILITAR)")</f>
        <v>A. A.DO COLEGIO EST. DE PALMEIROPOLIS (COLÉGIO MILITAR)</v>
      </c>
      <c r="E236" s="113" t="str">
        <f ca="1">IFERROR(__xludf.DUMMYFUNCTION("""COMPUTED_VALUE"""),"Escola Estadual Professora Maria Guedes")</f>
        <v>Escola Estadual Professora Maria Guedes</v>
      </c>
      <c r="F236" s="115" t="str">
        <f ca="1">IFERROR(__xludf.DUMMYFUNCTION("""COMPUTED_VALUE"""),"17022312")</f>
        <v>17022312</v>
      </c>
      <c r="G236" s="113" t="str">
        <f ca="1">IFERROR(__xludf.DUMMYFUNCTION("""COMPUTED_VALUE"""),"01210496000190")</f>
        <v>01210496000190</v>
      </c>
      <c r="H236" s="115" t="str">
        <f ca="1">IFERROR(__xludf.DUMMYFUNCTION("""COMPUTED_VALUE"""),"001")</f>
        <v>001</v>
      </c>
      <c r="I236" s="115" t="str">
        <f ca="1">IFERROR(__xludf.DUMMYFUNCTION("""COMPUTED_VALUE"""),"1303")</f>
        <v>1303</v>
      </c>
      <c r="J236" s="115" t="str">
        <f ca="1">IFERROR(__xludf.DUMMYFUNCTION("""COMPUTED_VALUE"""),"97438")</f>
        <v>97438</v>
      </c>
      <c r="K236" s="113" t="e">
        <f ca="1"/>
        <v>#REF!</v>
      </c>
      <c r="L236" s="113" t="e">
        <f ca="1"/>
        <v>#REF!</v>
      </c>
      <c r="M236" s="113" t="e">
        <f ca="1"/>
        <v>#REF!</v>
      </c>
      <c r="N236" s="113" t="e">
        <f ca="1"/>
        <v>#REF!</v>
      </c>
      <c r="O236" s="113" t="e">
        <f ca="1"/>
        <v>#REF!</v>
      </c>
      <c r="P236" s="113" t="e">
        <f ca="1"/>
        <v>#REF!</v>
      </c>
      <c r="Q236" s="113" t="e">
        <f ca="1"/>
        <v>#REF!</v>
      </c>
      <c r="R236" s="113" t="e">
        <f ca="1"/>
        <v>#REF!</v>
      </c>
      <c r="S236" s="113" t="e">
        <f ca="1"/>
        <v>#REF!</v>
      </c>
      <c r="T236" s="113" t="e">
        <f ca="1"/>
        <v>#REF!</v>
      </c>
      <c r="U236" s="113" t="e">
        <f ca="1"/>
        <v>#REF!</v>
      </c>
      <c r="V236" s="113" t="e">
        <f ca="1"/>
        <v>#REF!</v>
      </c>
      <c r="W236" s="113" t="e">
        <f ca="1"/>
        <v>#REF!</v>
      </c>
      <c r="X236" s="113" t="e">
        <f ca="1"/>
        <v>#REF!</v>
      </c>
      <c r="Y236" s="113" t="e">
        <f ca="1"/>
        <v>#REF!</v>
      </c>
      <c r="Z236" s="113" t="e">
        <f ca="1"/>
        <v>#REF!</v>
      </c>
      <c r="AA236" s="113"/>
      <c r="AB236" s="113"/>
      <c r="AC236" s="113"/>
      <c r="AD236" s="113"/>
      <c r="AE236" s="113" t="str">
        <f ca="1">IFERROR(__xludf.DUMMYFUNCTION("""COMPUTED_VALUE"""),"Parcial")</f>
        <v>Parcial</v>
      </c>
      <c r="AF236" s="113" t="str">
        <f ca="1">IFERROR(__xludf.DUMMYFUNCTION("""COMPUTED_VALUE"""),"FE")</f>
        <v>FE</v>
      </c>
      <c r="AG236" s="113">
        <f ca="1">IFERROR(__xludf.DUMMYFUNCTION("""COMPUTED_VALUE"""),0)</f>
        <v>0</v>
      </c>
      <c r="AH236" s="113">
        <f ca="1">IFERROR(__xludf.DUMMYFUNCTION("""COMPUTED_VALUE"""),0)</f>
        <v>0</v>
      </c>
      <c r="AI236" s="113">
        <f ca="1">IFERROR(__xludf.DUMMYFUNCTION("""COMPUTED_VALUE"""),0)</f>
        <v>0</v>
      </c>
      <c r="AJ236" s="113">
        <f ca="1">IFERROR(__xludf.DUMMYFUNCTION("""COMPUTED_VALUE"""),0)</f>
        <v>0</v>
      </c>
      <c r="AK236" s="113"/>
      <c r="AL236" s="116"/>
    </row>
    <row r="237" spans="1:38" ht="12.75">
      <c r="A237" s="112" t="str">
        <f ca="1">IFERROR(__xludf.DUMMYFUNCTION("""COMPUTED_VALUE"""),"17022819")</f>
        <v>17022819</v>
      </c>
      <c r="B237" s="113" t="str">
        <f ca="1">IFERROR(__xludf.DUMMYFUNCTION("""COMPUTED_VALUE"""),"Gurupi")</f>
        <v>Gurupi</v>
      </c>
      <c r="C237" s="113" t="str">
        <f ca="1">IFERROR(__xludf.DUMMYFUNCTION("""COMPUTED_VALUE"""),"Peixe")</f>
        <v>Peixe</v>
      </c>
      <c r="D237" s="114" t="str">
        <f ca="1">IFERROR(__xludf.DUMMYFUNCTION("""COMPUTED_VALUE"""),"A.A. AO COLEGIO ESTADUAL D. ALANO")</f>
        <v>A.A. AO COLEGIO ESTADUAL D. ALANO</v>
      </c>
      <c r="E237" s="113" t="str">
        <f ca="1">IFERROR(__xludf.DUMMYFUNCTION("""COMPUTED_VALUE"""),"Colégio Estadual Dom Alano")</f>
        <v>Colégio Estadual Dom Alano</v>
      </c>
      <c r="F237" s="115" t="str">
        <f ca="1">IFERROR(__xludf.DUMMYFUNCTION("""COMPUTED_VALUE"""),"17022819")</f>
        <v>17022819</v>
      </c>
      <c r="G237" s="113" t="str">
        <f ca="1">IFERROR(__xludf.DUMMYFUNCTION("""COMPUTED_VALUE"""),"01133705000140")</f>
        <v>01133705000140</v>
      </c>
      <c r="H237" s="115" t="str">
        <f ca="1">IFERROR(__xludf.DUMMYFUNCTION("""COMPUTED_VALUE"""),"001")</f>
        <v>001</v>
      </c>
      <c r="I237" s="115" t="str">
        <f ca="1">IFERROR(__xludf.DUMMYFUNCTION("""COMPUTED_VALUE"""),"3979")</f>
        <v>3979</v>
      </c>
      <c r="J237" s="115" t="str">
        <f ca="1">IFERROR(__xludf.DUMMYFUNCTION("""COMPUTED_VALUE"""),"53155")</f>
        <v>53155</v>
      </c>
      <c r="K237" s="113" t="e">
        <f ca="1"/>
        <v>#REF!</v>
      </c>
      <c r="L237" s="113" t="e">
        <f ca="1"/>
        <v>#REF!</v>
      </c>
      <c r="M237" s="113" t="e">
        <f ca="1"/>
        <v>#REF!</v>
      </c>
      <c r="N237" s="113" t="e">
        <f ca="1"/>
        <v>#REF!</v>
      </c>
      <c r="O237" s="113" t="e">
        <f ca="1"/>
        <v>#REF!</v>
      </c>
      <c r="P237" s="113" t="e">
        <f ca="1"/>
        <v>#REF!</v>
      </c>
      <c r="Q237" s="113" t="e">
        <f ca="1"/>
        <v>#REF!</v>
      </c>
      <c r="R237" s="113" t="e">
        <f ca="1"/>
        <v>#REF!</v>
      </c>
      <c r="S237" s="113" t="e">
        <f ca="1"/>
        <v>#REF!</v>
      </c>
      <c r="T237" s="113" t="e">
        <f ca="1"/>
        <v>#REF!</v>
      </c>
      <c r="U237" s="113" t="e">
        <f ca="1"/>
        <v>#REF!</v>
      </c>
      <c r="V237" s="113" t="e">
        <f ca="1"/>
        <v>#REF!</v>
      </c>
      <c r="W237" s="113" t="e">
        <f ca="1"/>
        <v>#REF!</v>
      </c>
      <c r="X237" s="113" t="e">
        <f ca="1"/>
        <v>#REF!</v>
      </c>
      <c r="Y237" s="113" t="e">
        <f ca="1"/>
        <v>#REF!</v>
      </c>
      <c r="Z237" s="113" t="e">
        <f ca="1"/>
        <v>#REF!</v>
      </c>
      <c r="AA237" s="113"/>
      <c r="AB237" s="113"/>
      <c r="AC237" s="113"/>
      <c r="AD237" s="113"/>
      <c r="AE237" s="113" t="str">
        <f ca="1">IFERROR(__xludf.DUMMYFUNCTION("""COMPUTED_VALUE"""),"Parcial")</f>
        <v>Parcial</v>
      </c>
      <c r="AF237" s="113" t="str">
        <f ca="1">IFERROR(__xludf.DUMMYFUNCTION("""COMPUTED_VALUE"""),"FE")</f>
        <v>FE</v>
      </c>
      <c r="AG237" s="113">
        <f ca="1">IFERROR(__xludf.DUMMYFUNCTION("""COMPUTED_VALUE"""),0)</f>
        <v>0</v>
      </c>
      <c r="AH237" s="113">
        <f ca="1">IFERROR(__xludf.DUMMYFUNCTION("""COMPUTED_VALUE"""),0)</f>
        <v>0</v>
      </c>
      <c r="AI237" s="113">
        <f ca="1">IFERROR(__xludf.DUMMYFUNCTION("""COMPUTED_VALUE"""),0)</f>
        <v>0</v>
      </c>
      <c r="AJ237" s="113">
        <f ca="1">IFERROR(__xludf.DUMMYFUNCTION("""COMPUTED_VALUE"""),0)</f>
        <v>0</v>
      </c>
      <c r="AK237" s="113"/>
      <c r="AL237" s="116"/>
    </row>
    <row r="238" spans="1:38" ht="12.75">
      <c r="A238" s="112" t="str">
        <f ca="1">IFERROR(__xludf.DUMMYFUNCTION("""COMPUTED_VALUE"""),"17022860")</f>
        <v>17022860</v>
      </c>
      <c r="B238" s="113" t="str">
        <f ca="1">IFERROR(__xludf.DUMMYFUNCTION("""COMPUTED_VALUE"""),"Gurupi")</f>
        <v>Gurupi</v>
      </c>
      <c r="C238" s="113" t="str">
        <f ca="1">IFERROR(__xludf.DUMMYFUNCTION("""COMPUTED_VALUE"""),"Peixe")</f>
        <v>Peixe</v>
      </c>
      <c r="D238" s="114" t="str">
        <f ca="1">IFERROR(__xludf.DUMMYFUNCTION("""COMPUTED_VALUE"""),"A.A.  ESC. EST.TANCREDO DE ALMEIDA NEVES")</f>
        <v>A.A.  ESC. EST.TANCREDO DE ALMEIDA NEVES</v>
      </c>
      <c r="E238" s="113" t="str">
        <f ca="1">IFERROR(__xludf.DUMMYFUNCTION("""COMPUTED_VALUE"""),"Escola Estadual Tancredo de Almeida Neves")</f>
        <v>Escola Estadual Tancredo de Almeida Neves</v>
      </c>
      <c r="F238" s="115" t="str">
        <f ca="1">IFERROR(__xludf.DUMMYFUNCTION("""COMPUTED_VALUE"""),"17022860")</f>
        <v>17022860</v>
      </c>
      <c r="G238" s="113" t="str">
        <f ca="1">IFERROR(__xludf.DUMMYFUNCTION("""COMPUTED_VALUE"""),"01136008000142")</f>
        <v>01136008000142</v>
      </c>
      <c r="H238" s="115" t="str">
        <f ca="1">IFERROR(__xludf.DUMMYFUNCTION("""COMPUTED_VALUE"""),"001")</f>
        <v>001</v>
      </c>
      <c r="I238" s="115" t="str">
        <f ca="1">IFERROR(__xludf.DUMMYFUNCTION("""COMPUTED_VALUE"""),"3979")</f>
        <v>3979</v>
      </c>
      <c r="J238" s="115" t="str">
        <f ca="1">IFERROR(__xludf.DUMMYFUNCTION("""COMPUTED_VALUE"""),"52914")</f>
        <v>52914</v>
      </c>
      <c r="K238" s="113" t="e">
        <f ca="1"/>
        <v>#REF!</v>
      </c>
      <c r="L238" s="113" t="e">
        <f ca="1"/>
        <v>#REF!</v>
      </c>
      <c r="M238" s="113" t="e">
        <f ca="1"/>
        <v>#REF!</v>
      </c>
      <c r="N238" s="113" t="e">
        <f ca="1"/>
        <v>#REF!</v>
      </c>
      <c r="O238" s="113" t="e">
        <f ca="1"/>
        <v>#REF!</v>
      </c>
      <c r="P238" s="113" t="e">
        <f ca="1"/>
        <v>#REF!</v>
      </c>
      <c r="Q238" s="113" t="e">
        <f ca="1"/>
        <v>#REF!</v>
      </c>
      <c r="R238" s="113" t="e">
        <f ca="1"/>
        <v>#REF!</v>
      </c>
      <c r="S238" s="113" t="e">
        <f ca="1"/>
        <v>#REF!</v>
      </c>
      <c r="T238" s="113" t="e">
        <f ca="1"/>
        <v>#REF!</v>
      </c>
      <c r="U238" s="113" t="e">
        <f ca="1"/>
        <v>#REF!</v>
      </c>
      <c r="V238" s="113" t="e">
        <f ca="1"/>
        <v>#REF!</v>
      </c>
      <c r="W238" s="113" t="e">
        <f ca="1"/>
        <v>#REF!</v>
      </c>
      <c r="X238" s="113" t="e">
        <f ca="1"/>
        <v>#REF!</v>
      </c>
      <c r="Y238" s="113" t="e">
        <f ca="1"/>
        <v>#REF!</v>
      </c>
      <c r="Z238" s="113" t="e">
        <f ca="1"/>
        <v>#REF!</v>
      </c>
      <c r="AA238" s="113"/>
      <c r="AB238" s="113"/>
      <c r="AC238" s="113"/>
      <c r="AD238" s="113"/>
      <c r="AE238" s="113" t="str">
        <f ca="1">IFERROR(__xludf.DUMMYFUNCTION("""COMPUTED_VALUE"""),"Parcial")</f>
        <v>Parcial</v>
      </c>
      <c r="AF238" s="113" t="str">
        <f ca="1">IFERROR(__xludf.DUMMYFUNCTION("""COMPUTED_VALUE"""),"FE")</f>
        <v>FE</v>
      </c>
      <c r="AG238" s="113">
        <f ca="1">IFERROR(__xludf.DUMMYFUNCTION("""COMPUTED_VALUE"""),0)</f>
        <v>0</v>
      </c>
      <c r="AH238" s="113">
        <f ca="1">IFERROR(__xludf.DUMMYFUNCTION("""COMPUTED_VALUE"""),0)</f>
        <v>0</v>
      </c>
      <c r="AI238" s="113">
        <f ca="1">IFERROR(__xludf.DUMMYFUNCTION("""COMPUTED_VALUE"""),0)</f>
        <v>0</v>
      </c>
      <c r="AJ238" s="113">
        <f ca="1">IFERROR(__xludf.DUMMYFUNCTION("""COMPUTED_VALUE"""),0)</f>
        <v>0</v>
      </c>
      <c r="AK238" s="113"/>
      <c r="AL238" s="116"/>
    </row>
    <row r="239" spans="1:38" ht="12.75">
      <c r="A239" s="112" t="str">
        <f ca="1">IFERROR(__xludf.DUMMYFUNCTION("""COMPUTED_VALUE"""),"17020140")</f>
        <v>17020140</v>
      </c>
      <c r="B239" s="113" t="str">
        <f ca="1">IFERROR(__xludf.DUMMYFUNCTION("""COMPUTED_VALUE"""),"Gurupi")</f>
        <v>Gurupi</v>
      </c>
      <c r="C239" s="113" t="str">
        <f ca="1">IFERROR(__xludf.DUMMYFUNCTION("""COMPUTED_VALUE"""),"Sandolandia")</f>
        <v>Sandolandia</v>
      </c>
      <c r="D239" s="114" t="str">
        <f ca="1">IFERROR(__xludf.DUMMYFUNCTION("""COMPUTED_VALUE"""),"A.A. A ESC. EST.NOSSA SENHORA APARECIDA")</f>
        <v>A.A. A ESC. EST.NOSSA SENHORA APARECIDA</v>
      </c>
      <c r="E239" s="113" t="str">
        <f ca="1">IFERROR(__xludf.DUMMYFUNCTION("""COMPUTED_VALUE"""),"Colégio Estadual Nossa Senhora Aparecida")</f>
        <v>Colégio Estadual Nossa Senhora Aparecida</v>
      </c>
      <c r="F239" s="115" t="str">
        <f ca="1">IFERROR(__xludf.DUMMYFUNCTION("""COMPUTED_VALUE"""),"17020140")</f>
        <v>17020140</v>
      </c>
      <c r="G239" s="113" t="str">
        <f ca="1">IFERROR(__xludf.DUMMYFUNCTION("""COMPUTED_VALUE"""),"01393269000148")</f>
        <v>01393269000148</v>
      </c>
      <c r="H239" s="115" t="str">
        <f ca="1">IFERROR(__xludf.DUMMYFUNCTION("""COMPUTED_VALUE"""),"001")</f>
        <v>001</v>
      </c>
      <c r="I239" s="115" t="str">
        <f ca="1">IFERROR(__xludf.DUMMYFUNCTION("""COMPUTED_VALUE"""),"1304")</f>
        <v>1304</v>
      </c>
      <c r="J239" s="115" t="str">
        <f ca="1">IFERROR(__xludf.DUMMYFUNCTION("""COMPUTED_VALUE"""),"105163")</f>
        <v>105163</v>
      </c>
      <c r="K239" s="113" t="e">
        <f ca="1"/>
        <v>#REF!</v>
      </c>
      <c r="L239" s="113" t="e">
        <f ca="1"/>
        <v>#REF!</v>
      </c>
      <c r="M239" s="113" t="e">
        <f ca="1"/>
        <v>#REF!</v>
      </c>
      <c r="N239" s="113" t="e">
        <f ca="1"/>
        <v>#REF!</v>
      </c>
      <c r="O239" s="113" t="e">
        <f ca="1"/>
        <v>#REF!</v>
      </c>
      <c r="P239" s="113" t="e">
        <f ca="1"/>
        <v>#REF!</v>
      </c>
      <c r="Q239" s="113" t="e">
        <f ca="1"/>
        <v>#REF!</v>
      </c>
      <c r="R239" s="113" t="e">
        <f ca="1"/>
        <v>#REF!</v>
      </c>
      <c r="S239" s="113" t="e">
        <f ca="1"/>
        <v>#REF!</v>
      </c>
      <c r="T239" s="113" t="e">
        <f ca="1"/>
        <v>#REF!</v>
      </c>
      <c r="U239" s="113" t="e">
        <f ca="1"/>
        <v>#REF!</v>
      </c>
      <c r="V239" s="113" t="e">
        <f ca="1"/>
        <v>#REF!</v>
      </c>
      <c r="W239" s="113" t="e">
        <f ca="1"/>
        <v>#REF!</v>
      </c>
      <c r="X239" s="113" t="e">
        <f ca="1"/>
        <v>#REF!</v>
      </c>
      <c r="Y239" s="113" t="e">
        <f ca="1"/>
        <v>#REF!</v>
      </c>
      <c r="Z239" s="113" t="e">
        <f ca="1"/>
        <v>#REF!</v>
      </c>
      <c r="AA239" s="113"/>
      <c r="AB239" s="113"/>
      <c r="AC239" s="113"/>
      <c r="AD239" s="113"/>
      <c r="AE239" s="113" t="str">
        <f ca="1">IFERROR(__xludf.DUMMYFUNCTION("""COMPUTED_VALUE"""),"Parcial")</f>
        <v>Parcial</v>
      </c>
      <c r="AF239" s="113" t="str">
        <f ca="1">IFERROR(__xludf.DUMMYFUNCTION("""COMPUTED_VALUE"""),"FE")</f>
        <v>FE</v>
      </c>
      <c r="AG239" s="113">
        <f ca="1">IFERROR(__xludf.DUMMYFUNCTION("""COMPUTED_VALUE"""),0)</f>
        <v>0</v>
      </c>
      <c r="AH239" s="113">
        <f ca="1">IFERROR(__xludf.DUMMYFUNCTION("""COMPUTED_VALUE"""),0)</f>
        <v>0</v>
      </c>
      <c r="AI239" s="113">
        <f ca="1">IFERROR(__xludf.DUMMYFUNCTION("""COMPUTED_VALUE"""),0)</f>
        <v>0</v>
      </c>
      <c r="AJ239" s="113">
        <f ca="1">IFERROR(__xludf.DUMMYFUNCTION("""COMPUTED_VALUE"""),0)</f>
        <v>0</v>
      </c>
      <c r="AK239" s="113"/>
      <c r="AL239" s="116"/>
    </row>
    <row r="240" spans="1:38" ht="12.75">
      <c r="A240" s="112" t="str">
        <f ca="1">IFERROR(__xludf.DUMMYFUNCTION("""COMPUTED_VALUE"""),"17020158")</f>
        <v>17020158</v>
      </c>
      <c r="B240" s="113" t="str">
        <f ca="1">IFERROR(__xludf.DUMMYFUNCTION("""COMPUTED_VALUE"""),"Gurupi")</f>
        <v>Gurupi</v>
      </c>
      <c r="C240" s="113" t="str">
        <f ca="1">IFERROR(__xludf.DUMMYFUNCTION("""COMPUTED_VALUE"""),"Sandolandia")</f>
        <v>Sandolandia</v>
      </c>
      <c r="D240" s="114" t="str">
        <f ca="1">IFERROR(__xludf.DUMMYFUNCTION("""COMPUTED_VALUE"""),"ASS. DE APOIO ESC. EST.PE.JOSE DE ANCHIETA")</f>
        <v>ASS. DE APOIO ESC. EST.PE.JOSE DE ANCHIETA</v>
      </c>
      <c r="E240" s="113" t="str">
        <f ca="1">IFERROR(__xludf.DUMMYFUNCTION("""COMPUTED_VALUE"""),"Escola Estadual Padre José de Anchieta")</f>
        <v>Escola Estadual Padre José de Anchieta</v>
      </c>
      <c r="F240" s="115" t="str">
        <f ca="1">IFERROR(__xludf.DUMMYFUNCTION("""COMPUTED_VALUE"""),"17020158")</f>
        <v>17020158</v>
      </c>
      <c r="G240" s="113" t="str">
        <f ca="1">IFERROR(__xludf.DUMMYFUNCTION("""COMPUTED_VALUE"""),"01190190000110")</f>
        <v>01190190000110</v>
      </c>
      <c r="H240" s="115" t="str">
        <f ca="1">IFERROR(__xludf.DUMMYFUNCTION("""COMPUTED_VALUE"""),"001")</f>
        <v>001</v>
      </c>
      <c r="I240" s="115" t="str">
        <f ca="1">IFERROR(__xludf.DUMMYFUNCTION("""COMPUTED_VALUE"""),"1304")</f>
        <v>1304</v>
      </c>
      <c r="J240" s="115" t="str">
        <f ca="1">IFERROR(__xludf.DUMMYFUNCTION("""COMPUTED_VALUE"""),"105171")</f>
        <v>105171</v>
      </c>
      <c r="K240" s="113" t="e">
        <f ca="1"/>
        <v>#REF!</v>
      </c>
      <c r="L240" s="113" t="e">
        <f ca="1"/>
        <v>#REF!</v>
      </c>
      <c r="M240" s="113" t="e">
        <f ca="1"/>
        <v>#REF!</v>
      </c>
      <c r="N240" s="113" t="e">
        <f ca="1"/>
        <v>#REF!</v>
      </c>
      <c r="O240" s="113" t="e">
        <f ca="1"/>
        <v>#REF!</v>
      </c>
      <c r="P240" s="113" t="e">
        <f ca="1"/>
        <v>#REF!</v>
      </c>
      <c r="Q240" s="113" t="e">
        <f ca="1"/>
        <v>#REF!</v>
      </c>
      <c r="R240" s="113" t="e">
        <f ca="1"/>
        <v>#REF!</v>
      </c>
      <c r="S240" s="113" t="e">
        <f ca="1"/>
        <v>#REF!</v>
      </c>
      <c r="T240" s="113" t="e">
        <f ca="1"/>
        <v>#REF!</v>
      </c>
      <c r="U240" s="113" t="e">
        <f ca="1"/>
        <v>#REF!</v>
      </c>
      <c r="V240" s="113" t="e">
        <f ca="1"/>
        <v>#REF!</v>
      </c>
      <c r="W240" s="113" t="e">
        <f ca="1"/>
        <v>#REF!</v>
      </c>
      <c r="X240" s="113" t="e">
        <f ca="1"/>
        <v>#REF!</v>
      </c>
      <c r="Y240" s="113" t="e">
        <f ca="1"/>
        <v>#REF!</v>
      </c>
      <c r="Z240" s="113" t="e">
        <f ca="1"/>
        <v>#REF!</v>
      </c>
      <c r="AA240" s="113"/>
      <c r="AB240" s="113"/>
      <c r="AC240" s="113"/>
      <c r="AD240" s="113"/>
      <c r="AE240" s="113" t="str">
        <f ca="1">IFERROR(__xludf.DUMMYFUNCTION("""COMPUTED_VALUE"""),"Parcial")</f>
        <v>Parcial</v>
      </c>
      <c r="AF240" s="113" t="str">
        <f ca="1">IFERROR(__xludf.DUMMYFUNCTION("""COMPUTED_VALUE"""),"FE")</f>
        <v>FE</v>
      </c>
      <c r="AG240" s="113">
        <f ca="1">IFERROR(__xludf.DUMMYFUNCTION("""COMPUTED_VALUE"""),0)</f>
        <v>0</v>
      </c>
      <c r="AH240" s="113">
        <f ca="1">IFERROR(__xludf.DUMMYFUNCTION("""COMPUTED_VALUE"""),0)</f>
        <v>0</v>
      </c>
      <c r="AI240" s="113">
        <f ca="1">IFERROR(__xludf.DUMMYFUNCTION("""COMPUTED_VALUE"""),0)</f>
        <v>0</v>
      </c>
      <c r="AJ240" s="113">
        <f ca="1">IFERROR(__xludf.DUMMYFUNCTION("""COMPUTED_VALUE"""),0)</f>
        <v>0</v>
      </c>
      <c r="AK240" s="113"/>
      <c r="AL240" s="116"/>
    </row>
    <row r="241" spans="1:38" ht="12.75">
      <c r="A241" s="112" t="str">
        <f ca="1">IFERROR(__xludf.DUMMYFUNCTION("""COMPUTED_VALUE"""),"17043069")</f>
        <v>17043069</v>
      </c>
      <c r="B241" s="113" t="str">
        <f ca="1">IFERROR(__xludf.DUMMYFUNCTION("""COMPUTED_VALUE"""),"Gurupi")</f>
        <v>Gurupi</v>
      </c>
      <c r="C241" s="113" t="str">
        <f ca="1">IFERROR(__xludf.DUMMYFUNCTION("""COMPUTED_VALUE"""),"Sandolandia")</f>
        <v>Sandolandia</v>
      </c>
      <c r="D241" s="114" t="str">
        <f ca="1">IFERROR(__xludf.DUMMYFUNCTION("""COMPUTED_VALUE"""),"A.A.DE APOIO ESCOLAR DA ESCOLA INDÍGENA IJAWALA")</f>
        <v>A.A.DE APOIO ESCOLAR DA ESCOLA INDÍGENA IJAWALA</v>
      </c>
      <c r="E241" s="113" t="str">
        <f ca="1">IFERROR(__xludf.DUMMYFUNCTION("""COMPUTED_VALUE"""),"Escola Indígena Ijawala")</f>
        <v>Escola Indígena Ijawala</v>
      </c>
      <c r="F241" s="115" t="str">
        <f ca="1">IFERROR(__xludf.DUMMYFUNCTION("""COMPUTED_VALUE"""),"17043069")</f>
        <v>17043069</v>
      </c>
      <c r="G241" s="113" t="str">
        <f ca="1">IFERROR(__xludf.DUMMYFUNCTION("""COMPUTED_VALUE"""),"48240313000143")</f>
        <v>48240313000143</v>
      </c>
      <c r="H241" s="115" t="str">
        <f ca="1">IFERROR(__xludf.DUMMYFUNCTION("""COMPUTED_VALUE"""),"001")</f>
        <v>001</v>
      </c>
      <c r="I241" s="115" t="str">
        <f ca="1">IFERROR(__xludf.DUMMYFUNCTION("""COMPUTED_VALUE"""),"1304")</f>
        <v>1304</v>
      </c>
      <c r="J241" s="115" t="str">
        <f ca="1">IFERROR(__xludf.DUMMYFUNCTION("""COMPUTED_VALUE"""),"1949810")</f>
        <v>1949810</v>
      </c>
      <c r="K241" s="113" t="e">
        <f ca="1"/>
        <v>#REF!</v>
      </c>
      <c r="L241" s="113" t="e">
        <f ca="1"/>
        <v>#REF!</v>
      </c>
      <c r="M241" s="113" t="e">
        <f ca="1"/>
        <v>#REF!</v>
      </c>
      <c r="N241" s="113" t="e">
        <f ca="1"/>
        <v>#REF!</v>
      </c>
      <c r="O241" s="113" t="e">
        <f ca="1"/>
        <v>#REF!</v>
      </c>
      <c r="P241" s="113" t="e">
        <f ca="1"/>
        <v>#REF!</v>
      </c>
      <c r="Q241" s="113" t="e">
        <f ca="1"/>
        <v>#REF!</v>
      </c>
      <c r="R241" s="113" t="e">
        <f ca="1"/>
        <v>#REF!</v>
      </c>
      <c r="S241" s="113" t="e">
        <f ca="1"/>
        <v>#REF!</v>
      </c>
      <c r="T241" s="113" t="e">
        <f ca="1"/>
        <v>#REF!</v>
      </c>
      <c r="U241" s="113" t="e">
        <f ca="1"/>
        <v>#REF!</v>
      </c>
      <c r="V241" s="113" t="e">
        <f ca="1"/>
        <v>#REF!</v>
      </c>
      <c r="W241" s="113" t="e">
        <f ca="1"/>
        <v>#REF!</v>
      </c>
      <c r="X241" s="113" t="e">
        <f ca="1"/>
        <v>#REF!</v>
      </c>
      <c r="Y241" s="113" t="e">
        <f ca="1"/>
        <v>#REF!</v>
      </c>
      <c r="Z241" s="113" t="e">
        <f ca="1"/>
        <v>#REF!</v>
      </c>
      <c r="AA241" s="113"/>
      <c r="AB241" s="113"/>
      <c r="AC241" s="113"/>
      <c r="AD241" s="113" t="str">
        <f ca="1">IFERROR(__xludf.DUMMYFUNCTION("""COMPUTED_VALUE"""),"INDIGENA /QUILOMBOLA PARCIAL")</f>
        <v>INDIGENA /QUILOMBOLA PARCIAL</v>
      </c>
      <c r="AE241" s="113" t="str">
        <f ca="1">IFERROR(__xludf.DUMMYFUNCTION("""COMPUTED_VALUE"""),"Parcial")</f>
        <v>Parcial</v>
      </c>
      <c r="AF241" s="113" t="str">
        <f ca="1">IFERROR(__xludf.DUMMYFUNCTION("""COMPUTED_VALUE"""),"FE")</f>
        <v>FE</v>
      </c>
      <c r="AG241" s="113">
        <f ca="1">IFERROR(__xludf.DUMMYFUNCTION("""COMPUTED_VALUE"""),0)</f>
        <v>0</v>
      </c>
      <c r="AH241" s="113">
        <f ca="1">IFERROR(__xludf.DUMMYFUNCTION("""COMPUTED_VALUE"""),0)</f>
        <v>0</v>
      </c>
      <c r="AI241" s="113">
        <f ca="1">IFERROR(__xludf.DUMMYFUNCTION("""COMPUTED_VALUE"""),0)</f>
        <v>0</v>
      </c>
      <c r="AJ241" s="113">
        <f ca="1">IFERROR(__xludf.DUMMYFUNCTION("""COMPUTED_VALUE"""),0)</f>
        <v>0</v>
      </c>
      <c r="AK241" s="113"/>
      <c r="AL241" s="116"/>
    </row>
    <row r="242" spans="1:38" ht="12.75">
      <c r="A242" s="112" t="str">
        <f ca="1">IFERROR(__xludf.DUMMYFUNCTION("""COMPUTED_VALUE"""),"17055857")</f>
        <v>17055857</v>
      </c>
      <c r="B242" s="113" t="str">
        <f ca="1">IFERROR(__xludf.DUMMYFUNCTION("""COMPUTED_VALUE"""),"Gurupi")</f>
        <v>Gurupi</v>
      </c>
      <c r="C242" s="113" t="str">
        <f ca="1">IFERROR(__xludf.DUMMYFUNCTION("""COMPUTED_VALUE"""),"Sao Salvador do Tocantins")</f>
        <v>Sao Salvador do Tocantins</v>
      </c>
      <c r="D242" s="114" t="str">
        <f ca="1">IFERROR(__xludf.DUMMYFUNCTION("""COMPUTED_VALUE"""),"A.A. COLEGIO ESTADUAL AGRÍCOLA JOSÉ PORFÍRIO DE SOUZA")</f>
        <v>A.A. COLEGIO ESTADUAL AGRÍCOLA JOSÉ PORFÍRIO DE SOUZA</v>
      </c>
      <c r="E242" s="113" t="str">
        <f ca="1">IFERROR(__xludf.DUMMYFUNCTION("""COMPUTED_VALUE"""),"Colégio Estadual Família Agricola José Porfírio de Souza")</f>
        <v>Colégio Estadual Família Agricola José Porfírio de Souza</v>
      </c>
      <c r="F242" s="115" t="str">
        <f ca="1">IFERROR(__xludf.DUMMYFUNCTION("""COMPUTED_VALUE"""),"17055857")</f>
        <v>17055857</v>
      </c>
      <c r="G242" s="113" t="str">
        <f ca="1">IFERROR(__xludf.DUMMYFUNCTION("""COMPUTED_VALUE"""),"49952315000128")</f>
        <v>49952315000128</v>
      </c>
      <c r="H242" s="115" t="str">
        <f ca="1">IFERROR(__xludf.DUMMYFUNCTION("""COMPUTED_VALUE"""),"001")</f>
        <v>001</v>
      </c>
      <c r="I242" s="115" t="str">
        <f ca="1">IFERROR(__xludf.DUMMYFUNCTION("""COMPUTED_VALUE"""),"4608")</f>
        <v>4608</v>
      </c>
      <c r="J242" s="115" t="str">
        <f ca="1">IFERROR(__xludf.DUMMYFUNCTION("""COMPUTED_VALUE"""),"183679")</f>
        <v>183679</v>
      </c>
      <c r="K242" s="113" t="e">
        <f ca="1"/>
        <v>#REF!</v>
      </c>
      <c r="L242" s="113" t="e">
        <f ca="1"/>
        <v>#REF!</v>
      </c>
      <c r="M242" s="113" t="e">
        <f ca="1"/>
        <v>#REF!</v>
      </c>
      <c r="N242" s="113" t="e">
        <f ca="1"/>
        <v>#REF!</v>
      </c>
      <c r="O242" s="113" t="e">
        <f ca="1"/>
        <v>#REF!</v>
      </c>
      <c r="P242" s="113" t="e">
        <f ca="1"/>
        <v>#REF!</v>
      </c>
      <c r="Q242" s="113" t="e">
        <f ca="1"/>
        <v>#REF!</v>
      </c>
      <c r="R242" s="113" t="e">
        <f ca="1"/>
        <v>#REF!</v>
      </c>
      <c r="S242" s="113" t="e">
        <f ca="1"/>
        <v>#REF!</v>
      </c>
      <c r="T242" s="113" t="e">
        <f ca="1"/>
        <v>#REF!</v>
      </c>
      <c r="U242" s="113" t="e">
        <f ca="1"/>
        <v>#REF!</v>
      </c>
      <c r="V242" s="113" t="e">
        <f ca="1"/>
        <v>#REF!</v>
      </c>
      <c r="W242" s="113" t="e">
        <f ca="1"/>
        <v>#REF!</v>
      </c>
      <c r="X242" s="113" t="e">
        <f ca="1"/>
        <v>#REF!</v>
      </c>
      <c r="Y242" s="113" t="e">
        <f ca="1"/>
        <v>#REF!</v>
      </c>
      <c r="Z242" s="113" t="e">
        <f ca="1"/>
        <v>#REF!</v>
      </c>
      <c r="AA242" s="113"/>
      <c r="AB242" s="113"/>
      <c r="AC242" s="113"/>
      <c r="AD242" s="113" t="str">
        <f ca="1">IFERROR(__xludf.DUMMYFUNCTION("""COMPUTED_VALUE"""),"AGRÍCOLA")</f>
        <v>AGRÍCOLA</v>
      </c>
      <c r="AE242" s="113" t="str">
        <f ca="1">IFERROR(__xludf.DUMMYFUNCTION("""COMPUTED_VALUE"""),"Parcial")</f>
        <v>Parcial</v>
      </c>
      <c r="AF242" s="113" t="str">
        <f ca="1">IFERROR(__xludf.DUMMYFUNCTION("""COMPUTED_VALUE"""),"FE")</f>
        <v>FE</v>
      </c>
      <c r="AG242" s="113">
        <f ca="1">IFERROR(__xludf.DUMMYFUNCTION("""COMPUTED_VALUE"""),0)</f>
        <v>0</v>
      </c>
      <c r="AH242" s="113">
        <f ca="1">IFERROR(__xludf.DUMMYFUNCTION("""COMPUTED_VALUE"""),0)</f>
        <v>0</v>
      </c>
      <c r="AI242" s="113">
        <f ca="1">IFERROR(__xludf.DUMMYFUNCTION("""COMPUTED_VALUE"""),13)</f>
        <v>13</v>
      </c>
      <c r="AJ242" s="113">
        <f ca="1">IFERROR(__xludf.DUMMYFUNCTION("""COMPUTED_VALUE"""),0)</f>
        <v>0</v>
      </c>
      <c r="AK242" s="113"/>
      <c r="AL242" s="116"/>
    </row>
    <row r="243" spans="1:38" ht="12.75">
      <c r="A243" s="112" t="str">
        <f ca="1">IFERROR(__xludf.DUMMYFUNCTION("""COMPUTED_VALUE"""),"17040051")</f>
        <v>17040051</v>
      </c>
      <c r="B243" s="113" t="str">
        <f ca="1">IFERROR(__xludf.DUMMYFUNCTION("""COMPUTED_VALUE"""),"Gurupi")</f>
        <v>Gurupi</v>
      </c>
      <c r="C243" s="113" t="str">
        <f ca="1">IFERROR(__xludf.DUMMYFUNCTION("""COMPUTED_VALUE"""),"Sao Salvador do Tocantins")</f>
        <v>Sao Salvador do Tocantins</v>
      </c>
      <c r="D243" s="114" t="str">
        <f ca="1">IFERROR(__xludf.DUMMYFUNCTION("""COMPUTED_VALUE"""),"ASS.PAIS E M.ESC. EST.PORTO RIO MARANHAO")</f>
        <v>ASS.PAIS E M.ESC. EST.PORTO RIO MARANHAO</v>
      </c>
      <c r="E243" s="113" t="str">
        <f ca="1">IFERROR(__xludf.DUMMYFUNCTION("""COMPUTED_VALUE"""),"Escola Estadual Porto do Rio Maranhão")</f>
        <v>Escola Estadual Porto do Rio Maranhão</v>
      </c>
      <c r="F243" s="115" t="str">
        <f ca="1">IFERROR(__xludf.DUMMYFUNCTION("""COMPUTED_VALUE"""),"17040051")</f>
        <v>17040051</v>
      </c>
      <c r="G243" s="113" t="str">
        <f ca="1">IFERROR(__xludf.DUMMYFUNCTION("""COMPUTED_VALUE"""),"01296366000112")</f>
        <v>01296366000112</v>
      </c>
      <c r="H243" s="115" t="str">
        <f ca="1">IFERROR(__xludf.DUMMYFUNCTION("""COMPUTED_VALUE"""),"001")</f>
        <v>001</v>
      </c>
      <c r="I243" s="115" t="str">
        <f ca="1">IFERROR(__xludf.DUMMYFUNCTION("""COMPUTED_VALUE"""),"4608")</f>
        <v>4608</v>
      </c>
      <c r="J243" s="115" t="str">
        <f ca="1">IFERROR(__xludf.DUMMYFUNCTION("""COMPUTED_VALUE"""),"70270")</f>
        <v>70270</v>
      </c>
      <c r="K243" s="113" t="e">
        <f ca="1"/>
        <v>#REF!</v>
      </c>
      <c r="L243" s="113" t="e">
        <f ca="1"/>
        <v>#REF!</v>
      </c>
      <c r="M243" s="113" t="e">
        <f ca="1"/>
        <v>#REF!</v>
      </c>
      <c r="N243" s="113" t="e">
        <f ca="1"/>
        <v>#REF!</v>
      </c>
      <c r="O243" s="113" t="e">
        <f ca="1"/>
        <v>#REF!</v>
      </c>
      <c r="P243" s="113" t="e">
        <f ca="1"/>
        <v>#REF!</v>
      </c>
      <c r="Q243" s="113" t="e">
        <f ca="1"/>
        <v>#REF!</v>
      </c>
      <c r="R243" s="113" t="e">
        <f ca="1"/>
        <v>#REF!</v>
      </c>
      <c r="S243" s="113" t="e">
        <f ca="1"/>
        <v>#REF!</v>
      </c>
      <c r="T243" s="113" t="e">
        <f ca="1"/>
        <v>#REF!</v>
      </c>
      <c r="U243" s="113" t="e">
        <f ca="1"/>
        <v>#REF!</v>
      </c>
      <c r="V243" s="113" t="e">
        <f ca="1"/>
        <v>#REF!</v>
      </c>
      <c r="W243" s="113" t="e">
        <f ca="1"/>
        <v>#REF!</v>
      </c>
      <c r="X243" s="113" t="e">
        <f ca="1"/>
        <v>#REF!</v>
      </c>
      <c r="Y243" s="113" t="e">
        <f ca="1"/>
        <v>#REF!</v>
      </c>
      <c r="Z243" s="113" t="e">
        <f ca="1"/>
        <v>#REF!</v>
      </c>
      <c r="AA243" s="113"/>
      <c r="AB243" s="113"/>
      <c r="AC243" s="113"/>
      <c r="AD243" s="113"/>
      <c r="AE243" s="113" t="str">
        <f ca="1">IFERROR(__xludf.DUMMYFUNCTION("""COMPUTED_VALUE"""),"Parcial")</f>
        <v>Parcial</v>
      </c>
      <c r="AF243" s="113" t="str">
        <f ca="1">IFERROR(__xludf.DUMMYFUNCTION("""COMPUTED_VALUE"""),"FE")</f>
        <v>FE</v>
      </c>
      <c r="AG243" s="113">
        <f ca="1">IFERROR(__xludf.DUMMYFUNCTION("""COMPUTED_VALUE"""),0)</f>
        <v>0</v>
      </c>
      <c r="AH243" s="113">
        <f ca="1">IFERROR(__xludf.DUMMYFUNCTION("""COMPUTED_VALUE"""),0)</f>
        <v>0</v>
      </c>
      <c r="AI243" s="113">
        <f ca="1">IFERROR(__xludf.DUMMYFUNCTION("""COMPUTED_VALUE"""),0)</f>
        <v>0</v>
      </c>
      <c r="AJ243" s="113">
        <f ca="1">IFERROR(__xludf.DUMMYFUNCTION("""COMPUTED_VALUE"""),0)</f>
        <v>0</v>
      </c>
      <c r="AK243" s="113"/>
      <c r="AL243" s="116"/>
    </row>
    <row r="244" spans="1:38" ht="12.75">
      <c r="A244" s="112" t="str">
        <f ca="1">IFERROR(__xludf.DUMMYFUNCTION("""COMPUTED_VALUE"""),"17040035")</f>
        <v>17040035</v>
      </c>
      <c r="B244" s="113" t="str">
        <f ca="1">IFERROR(__xludf.DUMMYFUNCTION("""COMPUTED_VALUE"""),"Gurupi")</f>
        <v>Gurupi</v>
      </c>
      <c r="C244" s="113" t="str">
        <f ca="1">IFERROR(__xludf.DUMMYFUNCTION("""COMPUTED_VALUE"""),"Sao Salvador do Tocantins")</f>
        <v>Sao Salvador do Tocantins</v>
      </c>
      <c r="D244" s="114" t="str">
        <f ca="1">IFERROR(__xludf.DUMMYFUNCTION("""COMPUTED_VALUE"""),"A.A DA ESCOLA ESTADUAL RETIRO")</f>
        <v>A.A DA ESCOLA ESTADUAL RETIRO</v>
      </c>
      <c r="E244" s="113" t="str">
        <f ca="1">IFERROR(__xludf.DUMMYFUNCTION("""COMPUTED_VALUE"""),"Escola Estadual Retiro")</f>
        <v>Escola Estadual Retiro</v>
      </c>
      <c r="F244" s="115" t="str">
        <f ca="1">IFERROR(__xludf.DUMMYFUNCTION("""COMPUTED_VALUE"""),"17040035")</f>
        <v>17040035</v>
      </c>
      <c r="G244" s="113" t="str">
        <f ca="1">IFERROR(__xludf.DUMMYFUNCTION("""COMPUTED_VALUE"""),"04205236000115")</f>
        <v>04205236000115</v>
      </c>
      <c r="H244" s="115" t="str">
        <f ca="1">IFERROR(__xludf.DUMMYFUNCTION("""COMPUTED_VALUE"""),"001")</f>
        <v>001</v>
      </c>
      <c r="I244" s="115" t="str">
        <f ca="1">IFERROR(__xludf.DUMMYFUNCTION("""COMPUTED_VALUE"""),"4608")</f>
        <v>4608</v>
      </c>
      <c r="J244" s="115" t="str">
        <f ca="1">IFERROR(__xludf.DUMMYFUNCTION("""COMPUTED_VALUE"""),"73563")</f>
        <v>73563</v>
      </c>
      <c r="K244" s="113" t="e">
        <f ca="1"/>
        <v>#REF!</v>
      </c>
      <c r="L244" s="113" t="e">
        <f ca="1"/>
        <v>#REF!</v>
      </c>
      <c r="M244" s="113" t="e">
        <f ca="1"/>
        <v>#REF!</v>
      </c>
      <c r="N244" s="113" t="e">
        <f ca="1"/>
        <v>#REF!</v>
      </c>
      <c r="O244" s="113" t="e">
        <f ca="1"/>
        <v>#REF!</v>
      </c>
      <c r="P244" s="113" t="e">
        <f ca="1"/>
        <v>#REF!</v>
      </c>
      <c r="Q244" s="113" t="e">
        <f ca="1"/>
        <v>#REF!</v>
      </c>
      <c r="R244" s="113" t="e">
        <f ca="1"/>
        <v>#REF!</v>
      </c>
      <c r="S244" s="113" t="e">
        <f ca="1"/>
        <v>#REF!</v>
      </c>
      <c r="T244" s="113" t="e">
        <f ca="1"/>
        <v>#REF!</v>
      </c>
      <c r="U244" s="113" t="e">
        <f ca="1"/>
        <v>#REF!</v>
      </c>
      <c r="V244" s="113" t="e">
        <f ca="1"/>
        <v>#REF!</v>
      </c>
      <c r="W244" s="113" t="e">
        <f ca="1"/>
        <v>#REF!</v>
      </c>
      <c r="X244" s="113" t="e">
        <f ca="1"/>
        <v>#REF!</v>
      </c>
      <c r="Y244" s="113" t="e">
        <f ca="1"/>
        <v>#REF!</v>
      </c>
      <c r="Z244" s="113" t="e">
        <f ca="1"/>
        <v>#REF!</v>
      </c>
      <c r="AA244" s="113"/>
      <c r="AB244" s="113"/>
      <c r="AC244" s="113"/>
      <c r="AD244" s="113"/>
      <c r="AE244" s="113" t="str">
        <f ca="1">IFERROR(__xludf.DUMMYFUNCTION("""COMPUTED_VALUE"""),"Integral")</f>
        <v>Integral</v>
      </c>
      <c r="AF244" s="113" t="str">
        <f ca="1">IFERROR(__xludf.DUMMYFUNCTION("""COMPUTED_VALUE"""),"FE")</f>
        <v>FE</v>
      </c>
      <c r="AG244" s="113">
        <f ca="1">IFERROR(__xludf.DUMMYFUNCTION("""COMPUTED_VALUE"""),0)</f>
        <v>0</v>
      </c>
      <c r="AH244" s="113">
        <f ca="1">IFERROR(__xludf.DUMMYFUNCTION("""COMPUTED_VALUE"""),0)</f>
        <v>0</v>
      </c>
      <c r="AI244" s="113">
        <f ca="1">IFERROR(__xludf.DUMMYFUNCTION("""COMPUTED_VALUE"""),0)</f>
        <v>0</v>
      </c>
      <c r="AJ244" s="113">
        <f ca="1">IFERROR(__xludf.DUMMYFUNCTION("""COMPUTED_VALUE"""),4)</f>
        <v>4</v>
      </c>
      <c r="AK244" s="113"/>
      <c r="AL244" s="116"/>
    </row>
    <row r="245" spans="1:38" ht="12.75">
      <c r="A245" s="112" t="str">
        <f ca="1">IFERROR(__xludf.DUMMYFUNCTION("""COMPUTED_VALUE"""),"17036917")</f>
        <v>17036917</v>
      </c>
      <c r="B245" s="113" t="str">
        <f ca="1">IFERROR(__xludf.DUMMYFUNCTION("""COMPUTED_VALUE"""),"Gurupi")</f>
        <v>Gurupi</v>
      </c>
      <c r="C245" s="113" t="str">
        <f ca="1">IFERROR(__xludf.DUMMYFUNCTION("""COMPUTED_VALUE"""),"Sao Valerio da Natividade")</f>
        <v>Sao Valerio da Natividade</v>
      </c>
      <c r="D245" s="114" t="str">
        <f ca="1">IFERROR(__xludf.DUMMYFUNCTION("""COMPUTED_VALUE"""),"A.P.M.E ALUNOS COL. EST. REGINA S. CAMPOS")</f>
        <v>A.P.M.E ALUNOS COL. EST. REGINA S. CAMPOS</v>
      </c>
      <c r="E245" s="113" t="str">
        <f ca="1">IFERROR(__xludf.DUMMYFUNCTION("""COMPUTED_VALUE"""),"Colégio Estadual Regina Siqueira Campos")</f>
        <v>Colégio Estadual Regina Siqueira Campos</v>
      </c>
      <c r="F245" s="115" t="str">
        <f ca="1">IFERROR(__xludf.DUMMYFUNCTION("""COMPUTED_VALUE"""),"17036917")</f>
        <v>17036917</v>
      </c>
      <c r="G245" s="113" t="str">
        <f ca="1">IFERROR(__xludf.DUMMYFUNCTION("""COMPUTED_VALUE"""),"01431377000168")</f>
        <v>01431377000168</v>
      </c>
      <c r="H245" s="115" t="str">
        <f ca="1">IFERROR(__xludf.DUMMYFUNCTION("""COMPUTED_VALUE"""),"001")</f>
        <v>001</v>
      </c>
      <c r="I245" s="115" t="str">
        <f ca="1">IFERROR(__xludf.DUMMYFUNCTION("""COMPUTED_VALUE"""),"0794")</f>
        <v>0794</v>
      </c>
      <c r="J245" s="115" t="str">
        <f ca="1">IFERROR(__xludf.DUMMYFUNCTION("""COMPUTED_VALUE"""),"52477")</f>
        <v>52477</v>
      </c>
      <c r="K245" s="113" t="e">
        <f ca="1"/>
        <v>#REF!</v>
      </c>
      <c r="L245" s="113" t="e">
        <f ca="1"/>
        <v>#REF!</v>
      </c>
      <c r="M245" s="113" t="e">
        <f ca="1"/>
        <v>#REF!</v>
      </c>
      <c r="N245" s="113" t="e">
        <f ca="1"/>
        <v>#REF!</v>
      </c>
      <c r="O245" s="113" t="e">
        <f ca="1"/>
        <v>#REF!</v>
      </c>
      <c r="P245" s="113" t="e">
        <f ca="1"/>
        <v>#REF!</v>
      </c>
      <c r="Q245" s="113" t="e">
        <f ca="1"/>
        <v>#REF!</v>
      </c>
      <c r="R245" s="113" t="e">
        <f ca="1"/>
        <v>#REF!</v>
      </c>
      <c r="S245" s="113" t="e">
        <f ca="1"/>
        <v>#REF!</v>
      </c>
      <c r="T245" s="113" t="e">
        <f ca="1"/>
        <v>#REF!</v>
      </c>
      <c r="U245" s="113" t="e">
        <f ca="1"/>
        <v>#REF!</v>
      </c>
      <c r="V245" s="113" t="e">
        <f ca="1"/>
        <v>#REF!</v>
      </c>
      <c r="W245" s="113" t="e">
        <f ca="1"/>
        <v>#REF!</v>
      </c>
      <c r="X245" s="113" t="e">
        <f ca="1"/>
        <v>#REF!</v>
      </c>
      <c r="Y245" s="113" t="e">
        <f ca="1"/>
        <v>#REF!</v>
      </c>
      <c r="Z245" s="113" t="e">
        <f ca="1"/>
        <v>#REF!</v>
      </c>
      <c r="AA245" s="113"/>
      <c r="AB245" s="113"/>
      <c r="AC245" s="113"/>
      <c r="AD245" s="113"/>
      <c r="AE245" s="113" t="str">
        <f ca="1">IFERROR(__xludf.DUMMYFUNCTION("""COMPUTED_VALUE"""),"Parcial")</f>
        <v>Parcial</v>
      </c>
      <c r="AF245" s="113" t="str">
        <f ca="1">IFERROR(__xludf.DUMMYFUNCTION("""COMPUTED_VALUE"""),"FE")</f>
        <v>FE</v>
      </c>
      <c r="AG245" s="113">
        <f ca="1">IFERROR(__xludf.DUMMYFUNCTION("""COMPUTED_VALUE"""),0)</f>
        <v>0</v>
      </c>
      <c r="AH245" s="113">
        <f ca="1">IFERROR(__xludf.DUMMYFUNCTION("""COMPUTED_VALUE"""),0)</f>
        <v>0</v>
      </c>
      <c r="AI245" s="113">
        <f ca="1">IFERROR(__xludf.DUMMYFUNCTION("""COMPUTED_VALUE"""),0)</f>
        <v>0</v>
      </c>
      <c r="AJ245" s="113">
        <f ca="1">IFERROR(__xludf.DUMMYFUNCTION("""COMPUTED_VALUE"""),0)</f>
        <v>0</v>
      </c>
      <c r="AK245" s="113"/>
      <c r="AL245" s="116"/>
    </row>
    <row r="246" spans="1:38" ht="12.75">
      <c r="A246" s="112" t="str">
        <f ca="1">IFERROR(__xludf.DUMMYFUNCTION("""COMPUTED_VALUE"""),"17023319")</f>
        <v>17023319</v>
      </c>
      <c r="B246" s="113" t="str">
        <f ca="1">IFERROR(__xludf.DUMMYFUNCTION("""COMPUTED_VALUE"""),"Gurupi")</f>
        <v>Gurupi</v>
      </c>
      <c r="C246" s="113" t="str">
        <f ca="1">IFERROR(__xludf.DUMMYFUNCTION("""COMPUTED_VALUE"""),"Sucupira")</f>
        <v>Sucupira</v>
      </c>
      <c r="D246" s="114" t="str">
        <f ca="1">IFERROR(__xludf.DUMMYFUNCTION("""COMPUTED_VALUE"""),"AS. APOIO ESCOLA ESTADUAL OLAVO BILAC")</f>
        <v>AS. APOIO ESCOLA ESTADUAL OLAVO BILAC</v>
      </c>
      <c r="E246" s="113" t="str">
        <f ca="1">IFERROR(__xludf.DUMMYFUNCTION("""COMPUTED_VALUE"""),"Colégio Estadual Olavo Bilac-Sucupira")</f>
        <v>Colégio Estadual Olavo Bilac-Sucupira</v>
      </c>
      <c r="F246" s="115" t="str">
        <f ca="1">IFERROR(__xludf.DUMMYFUNCTION("""COMPUTED_VALUE"""),"17023319")</f>
        <v>17023319</v>
      </c>
      <c r="G246" s="113" t="str">
        <f ca="1">IFERROR(__xludf.DUMMYFUNCTION("""COMPUTED_VALUE"""),"01268287000106")</f>
        <v>01268287000106</v>
      </c>
      <c r="H246" s="115" t="str">
        <f ca="1">IFERROR(__xludf.DUMMYFUNCTION("""COMPUTED_VALUE"""),"001")</f>
        <v>001</v>
      </c>
      <c r="I246" s="115" t="str">
        <f ca="1">IFERROR(__xludf.DUMMYFUNCTION("""COMPUTED_VALUE"""),"0794")</f>
        <v>0794</v>
      </c>
      <c r="J246" s="115" t="str">
        <f ca="1">IFERROR(__xludf.DUMMYFUNCTION("""COMPUTED_VALUE"""),"245852")</f>
        <v>245852</v>
      </c>
      <c r="K246" s="113" t="e">
        <f ca="1"/>
        <v>#REF!</v>
      </c>
      <c r="L246" s="113" t="e">
        <f ca="1"/>
        <v>#REF!</v>
      </c>
      <c r="M246" s="113" t="e">
        <f ca="1"/>
        <v>#REF!</v>
      </c>
      <c r="N246" s="113" t="e">
        <f ca="1"/>
        <v>#REF!</v>
      </c>
      <c r="O246" s="113" t="e">
        <f ca="1"/>
        <v>#REF!</v>
      </c>
      <c r="P246" s="113" t="e">
        <f ca="1"/>
        <v>#REF!</v>
      </c>
      <c r="Q246" s="113" t="e">
        <f ca="1"/>
        <v>#REF!</v>
      </c>
      <c r="R246" s="113" t="e">
        <f ca="1"/>
        <v>#REF!</v>
      </c>
      <c r="S246" s="113" t="e">
        <f ca="1"/>
        <v>#REF!</v>
      </c>
      <c r="T246" s="113" t="e">
        <f ca="1"/>
        <v>#REF!</v>
      </c>
      <c r="U246" s="113" t="e">
        <f ca="1"/>
        <v>#REF!</v>
      </c>
      <c r="V246" s="113" t="e">
        <f ca="1"/>
        <v>#REF!</v>
      </c>
      <c r="W246" s="113" t="e">
        <f ca="1"/>
        <v>#REF!</v>
      </c>
      <c r="X246" s="113" t="e">
        <f ca="1"/>
        <v>#REF!</v>
      </c>
      <c r="Y246" s="113" t="e">
        <f ca="1"/>
        <v>#REF!</v>
      </c>
      <c r="Z246" s="113" t="e">
        <f ca="1"/>
        <v>#REF!</v>
      </c>
      <c r="AA246" s="113"/>
      <c r="AB246" s="113"/>
      <c r="AC246" s="113"/>
      <c r="AD246" s="113"/>
      <c r="AE246" s="113" t="str">
        <f ca="1">IFERROR(__xludf.DUMMYFUNCTION("""COMPUTED_VALUE"""),"Parcial")</f>
        <v>Parcial</v>
      </c>
      <c r="AF246" s="113" t="str">
        <f ca="1">IFERROR(__xludf.DUMMYFUNCTION("""COMPUTED_VALUE"""),"FE")</f>
        <v>FE</v>
      </c>
      <c r="AG246" s="113">
        <f ca="1">IFERROR(__xludf.DUMMYFUNCTION("""COMPUTED_VALUE"""),0)</f>
        <v>0</v>
      </c>
      <c r="AH246" s="113">
        <f ca="1">IFERROR(__xludf.DUMMYFUNCTION("""COMPUTED_VALUE"""),0)</f>
        <v>0</v>
      </c>
      <c r="AI246" s="113">
        <f ca="1">IFERROR(__xludf.DUMMYFUNCTION("""COMPUTED_VALUE"""),0)</f>
        <v>0</v>
      </c>
      <c r="AJ246" s="113">
        <f ca="1">IFERROR(__xludf.DUMMYFUNCTION("""COMPUTED_VALUE"""),0)</f>
        <v>0</v>
      </c>
      <c r="AK246" s="113"/>
      <c r="AL246" s="116"/>
    </row>
    <row r="247" spans="1:38" ht="12.75">
      <c r="A247" s="112" t="str">
        <f ca="1">IFERROR(__xludf.DUMMYFUNCTION("""COMPUTED_VALUE"""),"17052963")</f>
        <v>17052963</v>
      </c>
      <c r="B247" s="113" t="str">
        <f ca="1">IFERROR(__xludf.DUMMYFUNCTION("""COMPUTED_VALUE"""),"Gurupi")</f>
        <v>Gurupi</v>
      </c>
      <c r="C247" s="113" t="str">
        <f ca="1">IFERROR(__xludf.DUMMYFUNCTION("""COMPUTED_VALUE"""),"Talisma")</f>
        <v>Talisma</v>
      </c>
      <c r="D247" s="114" t="str">
        <f ca="1">IFERROR(__xludf.DUMMYFUNCTION("""COMPUTED_VALUE"""),"A.A.  DO COLEGIO ESTADUAL DE TALISMA")</f>
        <v>A.A.  DO COLEGIO ESTADUAL DE TALISMA</v>
      </c>
      <c r="E247" s="113" t="str">
        <f ca="1">IFERROR(__xludf.DUMMYFUNCTION("""COMPUTED_VALUE"""),"Colégio Estadual de Talismã")</f>
        <v>Colégio Estadual de Talismã</v>
      </c>
      <c r="F247" s="115" t="str">
        <f ca="1">IFERROR(__xludf.DUMMYFUNCTION("""COMPUTED_VALUE"""),"17052963")</f>
        <v>17052963</v>
      </c>
      <c r="G247" s="113" t="str">
        <f ca="1">IFERROR(__xludf.DUMMYFUNCTION("""COMPUTED_VALUE"""),"07547605000146")</f>
        <v>07547605000146</v>
      </c>
      <c r="H247" s="115" t="str">
        <f ca="1">IFERROR(__xludf.DUMMYFUNCTION("""COMPUTED_VALUE"""),"001")</f>
        <v>001</v>
      </c>
      <c r="I247" s="115" t="str">
        <f ca="1">IFERROR(__xludf.DUMMYFUNCTION("""COMPUTED_VALUE"""),"1303")</f>
        <v>1303</v>
      </c>
      <c r="J247" s="115" t="str">
        <f ca="1">IFERROR(__xludf.DUMMYFUNCTION("""COMPUTED_VALUE"""),"155446")</f>
        <v>155446</v>
      </c>
      <c r="K247" s="113" t="e">
        <f ca="1"/>
        <v>#REF!</v>
      </c>
      <c r="L247" s="113" t="e">
        <f ca="1"/>
        <v>#REF!</v>
      </c>
      <c r="M247" s="113" t="e">
        <f ca="1"/>
        <v>#REF!</v>
      </c>
      <c r="N247" s="113" t="e">
        <f ca="1"/>
        <v>#REF!</v>
      </c>
      <c r="O247" s="113" t="e">
        <f ca="1"/>
        <v>#REF!</v>
      </c>
      <c r="P247" s="113" t="e">
        <f ca="1"/>
        <v>#REF!</v>
      </c>
      <c r="Q247" s="113" t="e">
        <f ca="1"/>
        <v>#REF!</v>
      </c>
      <c r="R247" s="113" t="e">
        <f ca="1"/>
        <v>#REF!</v>
      </c>
      <c r="S247" s="113" t="e">
        <f ca="1"/>
        <v>#REF!</v>
      </c>
      <c r="T247" s="113" t="e">
        <f ca="1"/>
        <v>#REF!</v>
      </c>
      <c r="U247" s="113" t="e">
        <f ca="1"/>
        <v>#REF!</v>
      </c>
      <c r="V247" s="113" t="e">
        <f ca="1"/>
        <v>#REF!</v>
      </c>
      <c r="W247" s="113" t="e">
        <f ca="1"/>
        <v>#REF!</v>
      </c>
      <c r="X247" s="113" t="e">
        <f ca="1"/>
        <v>#REF!</v>
      </c>
      <c r="Y247" s="113" t="e">
        <f ca="1"/>
        <v>#REF!</v>
      </c>
      <c r="Z247" s="113" t="e">
        <f ca="1"/>
        <v>#REF!</v>
      </c>
      <c r="AA247" s="113"/>
      <c r="AB247" s="113"/>
      <c r="AC247" s="113"/>
      <c r="AD247" s="113"/>
      <c r="AE247" s="113" t="str">
        <f ca="1">IFERROR(__xludf.DUMMYFUNCTION("""COMPUTED_VALUE"""),"Parcial")</f>
        <v>Parcial</v>
      </c>
      <c r="AF247" s="113" t="str">
        <f ca="1">IFERROR(__xludf.DUMMYFUNCTION("""COMPUTED_VALUE"""),"FE")</f>
        <v>FE</v>
      </c>
      <c r="AG247" s="113">
        <f ca="1">IFERROR(__xludf.DUMMYFUNCTION("""COMPUTED_VALUE"""),0)</f>
        <v>0</v>
      </c>
      <c r="AH247" s="113">
        <f ca="1">IFERROR(__xludf.DUMMYFUNCTION("""COMPUTED_VALUE"""),0)</f>
        <v>0</v>
      </c>
      <c r="AI247" s="113">
        <f ca="1">IFERROR(__xludf.DUMMYFUNCTION("""COMPUTED_VALUE"""),0)</f>
        <v>0</v>
      </c>
      <c r="AJ247" s="113">
        <f ca="1">IFERROR(__xludf.DUMMYFUNCTION("""COMPUTED_VALUE"""),0)</f>
        <v>0</v>
      </c>
      <c r="AK247" s="113"/>
      <c r="AL247" s="116"/>
    </row>
    <row r="248" spans="1:38" ht="12.75">
      <c r="A248" s="112" t="str">
        <f ca="1">IFERROR(__xludf.DUMMYFUNCTION("""COMPUTED_VALUE"""),"17012350")</f>
        <v>17012350</v>
      </c>
      <c r="B248" s="113" t="str">
        <f ca="1">IFERROR(__xludf.DUMMYFUNCTION("""COMPUTED_VALUE"""),"Miracema")</f>
        <v>Miracema</v>
      </c>
      <c r="C248" s="113" t="str">
        <f ca="1">IFERROR(__xludf.DUMMYFUNCTION("""COMPUTED_VALUE"""),"dois Irmaos do Tocantins")</f>
        <v>dois Irmaos do Tocantins</v>
      </c>
      <c r="D248" s="114" t="str">
        <f ca="1">IFERROR(__xludf.DUMMYFUNCTION("""COMPUTED_VALUE"""),"A.C.E. COL PRES. CASTELO BRANCO")</f>
        <v>A.C.E. COL PRES. CASTELO BRANCO</v>
      </c>
      <c r="E248" s="113" t="str">
        <f ca="1">IFERROR(__xludf.DUMMYFUNCTION("""COMPUTED_VALUE"""),"Colégio Estadual Presidente Castelo Branco")</f>
        <v>Colégio Estadual Presidente Castelo Branco</v>
      </c>
      <c r="F248" s="115" t="str">
        <f ca="1">IFERROR(__xludf.DUMMYFUNCTION("""COMPUTED_VALUE"""),"17012350")</f>
        <v>17012350</v>
      </c>
      <c r="G248" s="113" t="str">
        <f ca="1">IFERROR(__xludf.DUMMYFUNCTION("""COMPUTED_VALUE"""),"01034882000179")</f>
        <v>01034882000179</v>
      </c>
      <c r="H248" s="115" t="str">
        <f ca="1">IFERROR(__xludf.DUMMYFUNCTION("""COMPUTED_VALUE"""),"001")</f>
        <v>001</v>
      </c>
      <c r="I248" s="115" t="str">
        <f ca="1">IFERROR(__xludf.DUMMYFUNCTION("""COMPUTED_VALUE"""),"0862")</f>
        <v>0862</v>
      </c>
      <c r="J248" s="115" t="str">
        <f ca="1">IFERROR(__xludf.DUMMYFUNCTION("""COMPUTED_VALUE"""),"68950")</f>
        <v>68950</v>
      </c>
      <c r="K248" s="113" t="e">
        <f ca="1"/>
        <v>#REF!</v>
      </c>
      <c r="L248" s="113" t="e">
        <f ca="1"/>
        <v>#REF!</v>
      </c>
      <c r="M248" s="113" t="e">
        <f ca="1"/>
        <v>#REF!</v>
      </c>
      <c r="N248" s="113" t="e">
        <f ca="1"/>
        <v>#REF!</v>
      </c>
      <c r="O248" s="113" t="e">
        <f ca="1"/>
        <v>#REF!</v>
      </c>
      <c r="P248" s="113" t="e">
        <f ca="1"/>
        <v>#REF!</v>
      </c>
      <c r="Q248" s="113" t="e">
        <f ca="1"/>
        <v>#REF!</v>
      </c>
      <c r="R248" s="113" t="e">
        <f ca="1"/>
        <v>#REF!</v>
      </c>
      <c r="S248" s="113" t="e">
        <f ca="1"/>
        <v>#REF!</v>
      </c>
      <c r="T248" s="113" t="e">
        <f ca="1"/>
        <v>#REF!</v>
      </c>
      <c r="U248" s="113" t="e">
        <f ca="1"/>
        <v>#REF!</v>
      </c>
      <c r="V248" s="113" t="e">
        <f ca="1"/>
        <v>#REF!</v>
      </c>
      <c r="W248" s="113" t="e">
        <f ca="1"/>
        <v>#REF!</v>
      </c>
      <c r="X248" s="113" t="e">
        <f ca="1"/>
        <v>#REF!</v>
      </c>
      <c r="Y248" s="113" t="e">
        <f ca="1"/>
        <v>#REF!</v>
      </c>
      <c r="Z248" s="113" t="e">
        <f ca="1"/>
        <v>#REF!</v>
      </c>
      <c r="AA248" s="113"/>
      <c r="AB248" s="113"/>
      <c r="AC248" s="113"/>
      <c r="AD248" s="113"/>
      <c r="AE248" s="113" t="str">
        <f ca="1">IFERROR(__xludf.DUMMYFUNCTION("""COMPUTED_VALUE"""),"Parcial")</f>
        <v>Parcial</v>
      </c>
      <c r="AF248" s="113" t="str">
        <f ca="1">IFERROR(__xludf.DUMMYFUNCTION("""COMPUTED_VALUE"""),"FE")</f>
        <v>FE</v>
      </c>
      <c r="AG248" s="113">
        <f ca="1">IFERROR(__xludf.DUMMYFUNCTION("""COMPUTED_VALUE"""),0)</f>
        <v>0</v>
      </c>
      <c r="AH248" s="113">
        <f ca="1">IFERROR(__xludf.DUMMYFUNCTION("""COMPUTED_VALUE"""),0)</f>
        <v>0</v>
      </c>
      <c r="AI248" s="113">
        <f ca="1">IFERROR(__xludf.DUMMYFUNCTION("""COMPUTED_VALUE"""),0)</f>
        <v>0</v>
      </c>
      <c r="AJ248" s="113">
        <f ca="1">IFERROR(__xludf.DUMMYFUNCTION("""COMPUTED_VALUE"""),0)</f>
        <v>0</v>
      </c>
      <c r="AK248" s="113"/>
      <c r="AL248" s="116"/>
    </row>
    <row r="249" spans="1:38" ht="12.75">
      <c r="A249" s="112" t="str">
        <f ca="1">IFERROR(__xludf.DUMMYFUNCTION("""COMPUTED_VALUE"""),"17067405")</f>
        <v>17067405</v>
      </c>
      <c r="B249" s="113" t="str">
        <f ca="1">IFERROR(__xludf.DUMMYFUNCTION("""COMPUTED_VALUE"""),"Miracema")</f>
        <v>Miracema</v>
      </c>
      <c r="C249" s="113" t="str">
        <f ca="1">IFERROR(__xludf.DUMMYFUNCTION("""COMPUTED_VALUE"""),"dois Irmaos do Tocantins")</f>
        <v>dois Irmaos do Tocantins</v>
      </c>
      <c r="D249" s="114" t="str">
        <f ca="1">IFERROR(__xludf.DUMMYFUNCTION("""COMPUTED_VALUE"""),"ASSOC. DE APOIO A ESCOLA ESPECIAL CLOVIS DE ASSIS")</f>
        <v>ASSOC. DE APOIO A ESCOLA ESPECIAL CLOVIS DE ASSIS</v>
      </c>
      <c r="E249" s="113" t="str">
        <f ca="1">IFERROR(__xludf.DUMMYFUNCTION("""COMPUTED_VALUE"""),"Escola Especial Clóvis de Assis")</f>
        <v>Escola Especial Clóvis de Assis</v>
      </c>
      <c r="F249" s="115" t="str">
        <f ca="1">IFERROR(__xludf.DUMMYFUNCTION("""COMPUTED_VALUE"""),"17067405")</f>
        <v>17067405</v>
      </c>
      <c r="G249" s="113" t="str">
        <f ca="1">IFERROR(__xludf.DUMMYFUNCTION("""COMPUTED_VALUE"""),"09327390000183")</f>
        <v>09327390000183</v>
      </c>
      <c r="H249" s="115" t="str">
        <f ca="1">IFERROR(__xludf.DUMMYFUNCTION("""COMPUTED_VALUE"""),"001")</f>
        <v>001</v>
      </c>
      <c r="I249" s="115" t="str">
        <f ca="1">IFERROR(__xludf.DUMMYFUNCTION("""COMPUTED_VALUE"""),"0862")</f>
        <v>0862</v>
      </c>
      <c r="J249" s="115" t="str">
        <f ca="1">IFERROR(__xludf.DUMMYFUNCTION("""COMPUTED_VALUE"""),"211087")</f>
        <v>211087</v>
      </c>
      <c r="K249" s="113" t="e">
        <f ca="1"/>
        <v>#REF!</v>
      </c>
      <c r="L249" s="113" t="e">
        <f ca="1"/>
        <v>#REF!</v>
      </c>
      <c r="M249" s="113" t="e">
        <f ca="1"/>
        <v>#REF!</v>
      </c>
      <c r="N249" s="113" t="e">
        <f ca="1"/>
        <v>#REF!</v>
      </c>
      <c r="O249" s="113" t="e">
        <f ca="1"/>
        <v>#REF!</v>
      </c>
      <c r="P249" s="113" t="e">
        <f ca="1"/>
        <v>#REF!</v>
      </c>
      <c r="Q249" s="113" t="e">
        <f ca="1"/>
        <v>#REF!</v>
      </c>
      <c r="R249" s="113" t="e">
        <f ca="1"/>
        <v>#REF!</v>
      </c>
      <c r="S249" s="113" t="e">
        <f ca="1"/>
        <v>#REF!</v>
      </c>
      <c r="T249" s="113" t="e">
        <f ca="1"/>
        <v>#REF!</v>
      </c>
      <c r="U249" s="113" t="e">
        <f ca="1"/>
        <v>#REF!</v>
      </c>
      <c r="V249" s="113" t="e">
        <f ca="1"/>
        <v>#REF!</v>
      </c>
      <c r="W249" s="113" t="e">
        <f ca="1"/>
        <v>#REF!</v>
      </c>
      <c r="X249" s="113" t="e">
        <f ca="1"/>
        <v>#REF!</v>
      </c>
      <c r="Y249" s="113" t="e">
        <f ca="1"/>
        <v>#REF!</v>
      </c>
      <c r="Z249" s="113" t="e">
        <f ca="1"/>
        <v>#REF!</v>
      </c>
      <c r="AA249" s="113"/>
      <c r="AB249" s="113"/>
      <c r="AC249" s="113"/>
      <c r="AD249" s="113"/>
      <c r="AE249" s="113" t="str">
        <f ca="1">IFERROR(__xludf.DUMMYFUNCTION("""COMPUTED_VALUE"""),"Parcial")</f>
        <v>Parcial</v>
      </c>
      <c r="AF249" s="113" t="str">
        <f ca="1">IFERROR(__xludf.DUMMYFUNCTION("""COMPUTED_VALUE"""),"FE")</f>
        <v>FE</v>
      </c>
      <c r="AG249" s="113">
        <f ca="1">IFERROR(__xludf.DUMMYFUNCTION("""COMPUTED_VALUE"""),0)</f>
        <v>0</v>
      </c>
      <c r="AH249" s="113">
        <f ca="1">IFERROR(__xludf.DUMMYFUNCTION("""COMPUTED_VALUE"""),0)</f>
        <v>0</v>
      </c>
      <c r="AI249" s="113">
        <f ca="1">IFERROR(__xludf.DUMMYFUNCTION("""COMPUTED_VALUE"""),0)</f>
        <v>0</v>
      </c>
      <c r="AJ249" s="113">
        <f ca="1">IFERROR(__xludf.DUMMYFUNCTION("""COMPUTED_VALUE"""),0)</f>
        <v>0</v>
      </c>
      <c r="AK249" s="113"/>
      <c r="AL249" s="116"/>
    </row>
    <row r="250" spans="1:38" ht="12.75">
      <c r="A250" s="112" t="str">
        <f ca="1">IFERROR(__xludf.DUMMYFUNCTION("""COMPUTED_VALUE"""),"17029872")</f>
        <v>17029872</v>
      </c>
      <c r="B250" s="113" t="str">
        <f ca="1">IFERROR(__xludf.DUMMYFUNCTION("""COMPUTED_VALUE"""),"Miracema")</f>
        <v>Miracema</v>
      </c>
      <c r="C250" s="113" t="str">
        <f ca="1">IFERROR(__xludf.DUMMYFUNCTION("""COMPUTED_VALUE"""),"Lizarda")</f>
        <v>Lizarda</v>
      </c>
      <c r="D250" s="114" t="str">
        <f ca="1">IFERROR(__xludf.DUMMYFUNCTION("""COMPUTED_VALUE"""),"A. ESC. COMUN. DO COL. EST. 31 DE MARCO")</f>
        <v>A. ESC. COMUN. DO COL. EST. 31 DE MARCO</v>
      </c>
      <c r="E250" s="113" t="str">
        <f ca="1">IFERROR(__xludf.DUMMYFUNCTION("""COMPUTED_VALUE"""),"Colégio Estadual 31 de Março")</f>
        <v>Colégio Estadual 31 de Março</v>
      </c>
      <c r="F250" s="115" t="str">
        <f ca="1">IFERROR(__xludf.DUMMYFUNCTION("""COMPUTED_VALUE"""),"17029872")</f>
        <v>17029872</v>
      </c>
      <c r="G250" s="113" t="str">
        <f ca="1">IFERROR(__xludf.DUMMYFUNCTION("""COMPUTED_VALUE"""),"01232873000192")</f>
        <v>01232873000192</v>
      </c>
      <c r="H250" s="115" t="str">
        <f ca="1">IFERROR(__xludf.DUMMYFUNCTION("""COMPUTED_VALUE"""),"001")</f>
        <v>001</v>
      </c>
      <c r="I250" s="115" t="str">
        <f ca="1">IFERROR(__xludf.DUMMYFUNCTION("""COMPUTED_VALUE"""),"0862")</f>
        <v>0862</v>
      </c>
      <c r="J250" s="115" t="str">
        <f ca="1">IFERROR(__xludf.DUMMYFUNCTION("""COMPUTED_VALUE"""),"68969")</f>
        <v>68969</v>
      </c>
      <c r="K250" s="113" t="e">
        <f ca="1"/>
        <v>#REF!</v>
      </c>
      <c r="L250" s="113" t="e">
        <f ca="1"/>
        <v>#REF!</v>
      </c>
      <c r="M250" s="113" t="e">
        <f ca="1"/>
        <v>#REF!</v>
      </c>
      <c r="N250" s="113" t="e">
        <f ca="1"/>
        <v>#REF!</v>
      </c>
      <c r="O250" s="113" t="e">
        <f ca="1"/>
        <v>#REF!</v>
      </c>
      <c r="P250" s="113" t="e">
        <f ca="1"/>
        <v>#REF!</v>
      </c>
      <c r="Q250" s="113" t="e">
        <f ca="1"/>
        <v>#REF!</v>
      </c>
      <c r="R250" s="113" t="e">
        <f ca="1"/>
        <v>#REF!</v>
      </c>
      <c r="S250" s="113" t="e">
        <f ca="1"/>
        <v>#REF!</v>
      </c>
      <c r="T250" s="113" t="e">
        <f ca="1"/>
        <v>#REF!</v>
      </c>
      <c r="U250" s="113" t="e">
        <f ca="1"/>
        <v>#REF!</v>
      </c>
      <c r="V250" s="113" t="e">
        <f ca="1"/>
        <v>#REF!</v>
      </c>
      <c r="W250" s="113" t="e">
        <f ca="1"/>
        <v>#REF!</v>
      </c>
      <c r="X250" s="113" t="e">
        <f ca="1"/>
        <v>#REF!</v>
      </c>
      <c r="Y250" s="113" t="e">
        <f ca="1"/>
        <v>#REF!</v>
      </c>
      <c r="Z250" s="113" t="e">
        <f ca="1"/>
        <v>#REF!</v>
      </c>
      <c r="AA250" s="113"/>
      <c r="AB250" s="113"/>
      <c r="AC250" s="113"/>
      <c r="AD250" s="113" t="str">
        <f ca="1">IFERROR(__xludf.DUMMYFUNCTION("""COMPUTED_VALUE"""),"E.M. INTEGRADO")</f>
        <v>E.M. INTEGRADO</v>
      </c>
      <c r="AE250" s="113" t="str">
        <f ca="1">IFERROR(__xludf.DUMMYFUNCTION("""COMPUTED_VALUE"""),"Parcial")</f>
        <v>Parcial</v>
      </c>
      <c r="AF250" s="113" t="str">
        <f ca="1">IFERROR(__xludf.DUMMYFUNCTION("""COMPUTED_VALUE"""),"FE")</f>
        <v>FE</v>
      </c>
      <c r="AG250" s="113">
        <f ca="1">IFERROR(__xludf.DUMMYFUNCTION("""COMPUTED_VALUE"""),0)</f>
        <v>0</v>
      </c>
      <c r="AH250" s="113">
        <f ca="1">IFERROR(__xludf.DUMMYFUNCTION("""COMPUTED_VALUE"""),0)</f>
        <v>0</v>
      </c>
      <c r="AI250" s="113">
        <f ca="1">IFERROR(__xludf.DUMMYFUNCTION("""COMPUTED_VALUE"""),0)</f>
        <v>0</v>
      </c>
      <c r="AJ250" s="113">
        <f ca="1">IFERROR(__xludf.DUMMYFUNCTION("""COMPUTED_VALUE"""),0)</f>
        <v>0</v>
      </c>
      <c r="AK250" s="113"/>
      <c r="AL250" s="116"/>
    </row>
    <row r="251" spans="1:38" ht="12.75">
      <c r="A251" s="112" t="str">
        <f ca="1">IFERROR(__xludf.DUMMYFUNCTION("""COMPUTED_VALUE"""),"17041880")</f>
        <v>17041880</v>
      </c>
      <c r="B251" s="113" t="str">
        <f ca="1">IFERROR(__xludf.DUMMYFUNCTION("""COMPUTED_VALUE"""),"Miracema")</f>
        <v>Miracema</v>
      </c>
      <c r="C251" s="113" t="str">
        <f ca="1">IFERROR(__xludf.DUMMYFUNCTION("""COMPUTED_VALUE"""),"Lizarda")</f>
        <v>Lizarda</v>
      </c>
      <c r="D251" s="114" t="str">
        <f ca="1">IFERROR(__xludf.DUMMYFUNCTION("""COMPUTED_VALUE"""),"ESCOLA ESTADUAL AYRTON SENNA")</f>
        <v>ESCOLA ESTADUAL AYRTON SENNA</v>
      </c>
      <c r="E251" s="113" t="str">
        <f ca="1">IFERROR(__xludf.DUMMYFUNCTION("""COMPUTED_VALUE"""),"Escola Estadual Ayrton Senna")</f>
        <v>Escola Estadual Ayrton Senna</v>
      </c>
      <c r="F251" s="115" t="str">
        <f ca="1">IFERROR(__xludf.DUMMYFUNCTION("""COMPUTED_VALUE"""),"17041880")</f>
        <v>17041880</v>
      </c>
      <c r="G251" s="113" t="str">
        <f ca="1">IFERROR(__xludf.DUMMYFUNCTION("""COMPUTED_VALUE"""),"11406586000105")</f>
        <v>11406586000105</v>
      </c>
      <c r="H251" s="115" t="str">
        <f ca="1">IFERROR(__xludf.DUMMYFUNCTION("""COMPUTED_VALUE"""),"001")</f>
        <v>001</v>
      </c>
      <c r="I251" s="115" t="str">
        <f ca="1">IFERROR(__xludf.DUMMYFUNCTION("""COMPUTED_VALUE"""),"0862")</f>
        <v>0862</v>
      </c>
      <c r="J251" s="115" t="str">
        <f ca="1">IFERROR(__xludf.DUMMYFUNCTION("""COMPUTED_VALUE"""),"270393")</f>
        <v>270393</v>
      </c>
      <c r="K251" s="113" t="e">
        <f ca="1"/>
        <v>#REF!</v>
      </c>
      <c r="L251" s="113" t="e">
        <f ca="1"/>
        <v>#REF!</v>
      </c>
      <c r="M251" s="113" t="e">
        <f ca="1"/>
        <v>#REF!</v>
      </c>
      <c r="N251" s="113" t="e">
        <f ca="1"/>
        <v>#REF!</v>
      </c>
      <c r="O251" s="113" t="e">
        <f ca="1"/>
        <v>#REF!</v>
      </c>
      <c r="P251" s="113" t="e">
        <f ca="1"/>
        <v>#REF!</v>
      </c>
      <c r="Q251" s="113" t="e">
        <f ca="1"/>
        <v>#REF!</v>
      </c>
      <c r="R251" s="113" t="e">
        <f ca="1"/>
        <v>#REF!</v>
      </c>
      <c r="S251" s="113" t="e">
        <f ca="1"/>
        <v>#REF!</v>
      </c>
      <c r="T251" s="113" t="e">
        <f ca="1"/>
        <v>#REF!</v>
      </c>
      <c r="U251" s="113" t="e">
        <f ca="1"/>
        <v>#REF!</v>
      </c>
      <c r="V251" s="113" t="e">
        <f ca="1"/>
        <v>#REF!</v>
      </c>
      <c r="W251" s="113" t="e">
        <f ca="1"/>
        <v>#REF!</v>
      </c>
      <c r="X251" s="113" t="e">
        <f ca="1"/>
        <v>#REF!</v>
      </c>
      <c r="Y251" s="113" t="e">
        <f ca="1"/>
        <v>#REF!</v>
      </c>
      <c r="Z251" s="113" t="e">
        <f ca="1"/>
        <v>#REF!</v>
      </c>
      <c r="AA251" s="113"/>
      <c r="AB251" s="113"/>
      <c r="AC251" s="113"/>
      <c r="AD251" s="113"/>
      <c r="AE251" s="113" t="str">
        <f ca="1">IFERROR(__xludf.DUMMYFUNCTION("""COMPUTED_VALUE"""),"Parcial")</f>
        <v>Parcial</v>
      </c>
      <c r="AF251" s="113" t="str">
        <f ca="1">IFERROR(__xludf.DUMMYFUNCTION("""COMPUTED_VALUE"""),"FE")</f>
        <v>FE</v>
      </c>
      <c r="AG251" s="113">
        <f ca="1">IFERROR(__xludf.DUMMYFUNCTION("""COMPUTED_VALUE"""),0)</f>
        <v>0</v>
      </c>
      <c r="AH251" s="113">
        <f ca="1">IFERROR(__xludf.DUMMYFUNCTION("""COMPUTED_VALUE"""),0)</f>
        <v>0</v>
      </c>
      <c r="AI251" s="113">
        <f ca="1">IFERROR(__xludf.DUMMYFUNCTION("""COMPUTED_VALUE"""),0)</f>
        <v>0</v>
      </c>
      <c r="AJ251" s="113">
        <f ca="1">IFERROR(__xludf.DUMMYFUNCTION("""COMPUTED_VALUE"""),0)</f>
        <v>0</v>
      </c>
      <c r="AK251" s="113"/>
      <c r="AL251" s="116"/>
    </row>
    <row r="252" spans="1:38" ht="12.75">
      <c r="A252" s="112" t="str">
        <f ca="1">IFERROR(__xludf.DUMMYFUNCTION("""COMPUTED_VALUE"""),"17113806")</f>
        <v>17113806</v>
      </c>
      <c r="B252" s="113" t="str">
        <f ca="1">IFERROR(__xludf.DUMMYFUNCTION("""COMPUTED_VALUE"""),"Miracema")</f>
        <v>Miracema</v>
      </c>
      <c r="C252" s="113" t="str">
        <f ca="1">IFERROR(__xludf.DUMMYFUNCTION("""COMPUTED_VALUE"""),"Miracema do Tocantins")</f>
        <v>Miracema do Tocantins</v>
      </c>
      <c r="D252" s="114" t="str">
        <f ca="1">IFERROR(__xludf.DUMMYFUNCTION("""COMPUTED_VALUE"""),"ASSOCIAÇÃO DE APOIO ÀS ESCOLAS INDIGENAS XERENTE")</f>
        <v>ASSOCIAÇÃO DE APOIO ÀS ESCOLAS INDIGENAS XERENTE</v>
      </c>
      <c r="E252" s="113" t="str">
        <f ca="1">IFERROR(__xludf.DUMMYFUNCTION("""COMPUTED_VALUE"""),"Associação de Apoio Ás Escolas Indigenas Xerente")</f>
        <v>Associação de Apoio Ás Escolas Indigenas Xerente</v>
      </c>
      <c r="F252" s="115" t="str">
        <f ca="1">IFERROR(__xludf.DUMMYFUNCTION("""COMPUTED_VALUE"""),"17113806")</f>
        <v>17113806</v>
      </c>
      <c r="G252" s="113" t="str">
        <f ca="1">IFERROR(__xludf.DUMMYFUNCTION("""COMPUTED_VALUE"""),"07671600000120")</f>
        <v>07671600000120</v>
      </c>
      <c r="H252" s="115" t="str">
        <f ca="1">IFERROR(__xludf.DUMMYFUNCTION("""COMPUTED_VALUE"""),"001")</f>
        <v>001</v>
      </c>
      <c r="I252" s="115" t="str">
        <f ca="1">IFERROR(__xludf.DUMMYFUNCTION("""COMPUTED_VALUE"""),"0862")</f>
        <v>0862</v>
      </c>
      <c r="J252" s="115" t="str">
        <f ca="1">IFERROR(__xludf.DUMMYFUNCTION("""COMPUTED_VALUE"""),"185884")</f>
        <v>185884</v>
      </c>
      <c r="K252" s="113" t="e">
        <f ca="1"/>
        <v>#REF!</v>
      </c>
      <c r="L252" s="113" t="e">
        <f ca="1"/>
        <v>#REF!</v>
      </c>
      <c r="M252" s="113" t="e">
        <f ca="1"/>
        <v>#REF!</v>
      </c>
      <c r="N252" s="113" t="e">
        <f ca="1"/>
        <v>#REF!</v>
      </c>
      <c r="O252" s="113" t="e">
        <f ca="1"/>
        <v>#REF!</v>
      </c>
      <c r="P252" s="113" t="e">
        <f ca="1"/>
        <v>#REF!</v>
      </c>
      <c r="Q252" s="113" t="e">
        <f ca="1"/>
        <v>#REF!</v>
      </c>
      <c r="R252" s="113" t="e">
        <f ca="1"/>
        <v>#REF!</v>
      </c>
      <c r="S252" s="113" t="e">
        <f ca="1"/>
        <v>#REF!</v>
      </c>
      <c r="T252" s="113" t="e">
        <f ca="1"/>
        <v>#REF!</v>
      </c>
      <c r="U252" s="113" t="e">
        <f ca="1"/>
        <v>#REF!</v>
      </c>
      <c r="V252" s="113" t="e">
        <f ca="1"/>
        <v>#REF!</v>
      </c>
      <c r="W252" s="113" t="e">
        <f ca="1"/>
        <v>#REF!</v>
      </c>
      <c r="X252" s="113" t="e">
        <f ca="1"/>
        <v>#REF!</v>
      </c>
      <c r="Y252" s="113" t="e">
        <f ca="1"/>
        <v>#REF!</v>
      </c>
      <c r="Z252" s="113" t="e">
        <f ca="1"/>
        <v>#REF!</v>
      </c>
      <c r="AA252" s="113"/>
      <c r="AB252" s="113"/>
      <c r="AC252" s="113"/>
      <c r="AD252" s="113"/>
      <c r="AE252" s="113" t="str">
        <f ca="1">IFERROR(__xludf.DUMMYFUNCTION("""COMPUTED_VALUE"""),"Parcial")</f>
        <v>Parcial</v>
      </c>
      <c r="AF252" s="113" t="str">
        <f ca="1">IFERROR(__xludf.DUMMYFUNCTION("""COMPUTED_VALUE"""),"FE")</f>
        <v>FE</v>
      </c>
      <c r="AG252" s="113">
        <f ca="1">IFERROR(__xludf.DUMMYFUNCTION("""COMPUTED_VALUE"""),0)</f>
        <v>0</v>
      </c>
      <c r="AH252" s="113">
        <f ca="1">IFERROR(__xludf.DUMMYFUNCTION("""COMPUTED_VALUE"""),0)</f>
        <v>0</v>
      </c>
      <c r="AI252" s="113">
        <f ca="1">IFERROR(__xludf.DUMMYFUNCTION("""COMPUTED_VALUE"""),0)</f>
        <v>0</v>
      </c>
      <c r="AJ252" s="113">
        <f ca="1">IFERROR(__xludf.DUMMYFUNCTION("""COMPUTED_VALUE"""),0)</f>
        <v>0</v>
      </c>
      <c r="AK252" s="113"/>
      <c r="AL252" s="116"/>
    </row>
    <row r="253" spans="1:38" ht="12.75">
      <c r="A253" s="112" t="str">
        <f ca="1">IFERROR(__xludf.DUMMYFUNCTION("""COMPUTED_VALUE"""),"17014727")</f>
        <v>17014727</v>
      </c>
      <c r="B253" s="113" t="str">
        <f ca="1">IFERROR(__xludf.DUMMYFUNCTION("""COMPUTED_VALUE"""),"Miracema")</f>
        <v>Miracema</v>
      </c>
      <c r="C253" s="113" t="str">
        <f ca="1">IFERROR(__xludf.DUMMYFUNCTION("""COMPUTED_VALUE"""),"Miracema do Tocantins")</f>
        <v>Miracema do Tocantins</v>
      </c>
      <c r="D253" s="114" t="str">
        <f ca="1">IFERROR(__xludf.DUMMYFUNCTION("""COMPUTED_VALUE"""),"ASSOC ESC COM COL EST FILOMENA MOREIRA DE PAULA")</f>
        <v>ASSOC ESC COM COL EST FILOMENA MOREIRA DE PAULA</v>
      </c>
      <c r="E253" s="113" t="str">
        <f ca="1">IFERROR(__xludf.DUMMYFUNCTION("""COMPUTED_VALUE"""),"Centro de Ensino Médio dona Filomena Moreira de Paula")</f>
        <v>Centro de Ensino Médio dona Filomena Moreira de Paula</v>
      </c>
      <c r="F253" s="115" t="str">
        <f ca="1">IFERROR(__xludf.DUMMYFUNCTION("""COMPUTED_VALUE"""),"17014727")</f>
        <v>17014727</v>
      </c>
      <c r="G253" s="113" t="str">
        <f ca="1">IFERROR(__xludf.DUMMYFUNCTION("""COMPUTED_VALUE"""),"00900200000109")</f>
        <v>00900200000109</v>
      </c>
      <c r="H253" s="115" t="str">
        <f ca="1">IFERROR(__xludf.DUMMYFUNCTION("""COMPUTED_VALUE"""),"001")</f>
        <v>001</v>
      </c>
      <c r="I253" s="115" t="str">
        <f ca="1">IFERROR(__xludf.DUMMYFUNCTION("""COMPUTED_VALUE"""),"0862")</f>
        <v>0862</v>
      </c>
      <c r="J253" s="115" t="str">
        <f ca="1">IFERROR(__xludf.DUMMYFUNCTION("""COMPUTED_VALUE"""),"97527")</f>
        <v>97527</v>
      </c>
      <c r="K253" s="113" t="e">
        <f ca="1"/>
        <v>#REF!</v>
      </c>
      <c r="L253" s="113" t="e">
        <f ca="1"/>
        <v>#REF!</v>
      </c>
      <c r="M253" s="113" t="e">
        <f ca="1"/>
        <v>#REF!</v>
      </c>
      <c r="N253" s="113" t="e">
        <f ca="1"/>
        <v>#REF!</v>
      </c>
      <c r="O253" s="113" t="e">
        <f ca="1"/>
        <v>#REF!</v>
      </c>
      <c r="P253" s="113" t="e">
        <f ca="1"/>
        <v>#REF!</v>
      </c>
      <c r="Q253" s="113" t="e">
        <f ca="1"/>
        <v>#REF!</v>
      </c>
      <c r="R253" s="113" t="e">
        <f ca="1"/>
        <v>#REF!</v>
      </c>
      <c r="S253" s="113" t="e">
        <f ca="1"/>
        <v>#REF!</v>
      </c>
      <c r="T253" s="113" t="e">
        <f ca="1"/>
        <v>#REF!</v>
      </c>
      <c r="U253" s="113" t="e">
        <f ca="1"/>
        <v>#REF!</v>
      </c>
      <c r="V253" s="113" t="e">
        <f ca="1"/>
        <v>#REF!</v>
      </c>
      <c r="W253" s="113" t="e">
        <f ca="1"/>
        <v>#REF!</v>
      </c>
      <c r="X253" s="113" t="e">
        <f ca="1"/>
        <v>#REF!</v>
      </c>
      <c r="Y253" s="113" t="e">
        <f ca="1"/>
        <v>#REF!</v>
      </c>
      <c r="Z253" s="113" t="e">
        <f ca="1"/>
        <v>#REF!</v>
      </c>
      <c r="AA253" s="113"/>
      <c r="AB253" s="113"/>
      <c r="AC253" s="113"/>
      <c r="AD253" s="113"/>
      <c r="AE253" s="113" t="str">
        <f ca="1">IFERROR(__xludf.DUMMYFUNCTION("""COMPUTED_VALUE"""),"Parcial")</f>
        <v>Parcial</v>
      </c>
      <c r="AF253" s="113" t="str">
        <f ca="1">IFERROR(__xludf.DUMMYFUNCTION("""COMPUTED_VALUE"""),"FE")</f>
        <v>FE</v>
      </c>
      <c r="AG253" s="113">
        <f ca="1">IFERROR(__xludf.DUMMYFUNCTION("""COMPUTED_VALUE"""),7)</f>
        <v>7</v>
      </c>
      <c r="AH253" s="113">
        <f ca="1">IFERROR(__xludf.DUMMYFUNCTION("""COMPUTED_VALUE"""),0)</f>
        <v>0</v>
      </c>
      <c r="AI253" s="113">
        <f ca="1">IFERROR(__xludf.DUMMYFUNCTION("""COMPUTED_VALUE"""),0)</f>
        <v>0</v>
      </c>
      <c r="AJ253" s="113">
        <f ca="1">IFERROR(__xludf.DUMMYFUNCTION("""COMPUTED_VALUE"""),0)</f>
        <v>0</v>
      </c>
      <c r="AK253" s="113"/>
      <c r="AL253" s="116"/>
    </row>
    <row r="254" spans="1:38" ht="12.75">
      <c r="A254" s="112" t="str">
        <f ca="1">IFERROR(__xludf.DUMMYFUNCTION("""COMPUTED_VALUE"""),"17014646")</f>
        <v>17014646</v>
      </c>
      <c r="B254" s="113" t="str">
        <f ca="1">IFERROR(__xludf.DUMMYFUNCTION("""COMPUTED_VALUE"""),"Miracema")</f>
        <v>Miracema</v>
      </c>
      <c r="C254" s="113" t="str">
        <f ca="1">IFERROR(__xludf.DUMMYFUNCTION("""COMPUTED_VALUE"""),"Miracema do Tocantins")</f>
        <v>Miracema do Tocantins</v>
      </c>
      <c r="D254" s="114" t="str">
        <f ca="1">IFERROR(__xludf.DUMMYFUNCTION("""COMPUTED_VALUE"""),"ASS. DE APOIO AO CEM SANTA TEREZINHA")</f>
        <v>ASS. DE APOIO AO CEM SANTA TEREZINHA</v>
      </c>
      <c r="E254" s="113" t="str">
        <f ca="1">IFERROR(__xludf.DUMMYFUNCTION("""COMPUTED_VALUE"""),"Centro de Ensino Médio Santa Terezinha")</f>
        <v>Centro de Ensino Médio Santa Terezinha</v>
      </c>
      <c r="F254" s="115" t="str">
        <f ca="1">IFERROR(__xludf.DUMMYFUNCTION("""COMPUTED_VALUE"""),"17014646")</f>
        <v>17014646</v>
      </c>
      <c r="G254" s="113" t="str">
        <f ca="1">IFERROR(__xludf.DUMMYFUNCTION("""COMPUTED_VALUE"""),"01085211000137")</f>
        <v>01085211000137</v>
      </c>
      <c r="H254" s="115" t="str">
        <f ca="1">IFERROR(__xludf.DUMMYFUNCTION("""COMPUTED_VALUE"""),"001")</f>
        <v>001</v>
      </c>
      <c r="I254" s="115" t="str">
        <f ca="1">IFERROR(__xludf.DUMMYFUNCTION("""COMPUTED_VALUE"""),"0862")</f>
        <v>0862</v>
      </c>
      <c r="J254" s="115" t="str">
        <f ca="1">IFERROR(__xludf.DUMMYFUNCTION("""COMPUTED_VALUE"""),"244589")</f>
        <v>244589</v>
      </c>
      <c r="K254" s="113" t="e">
        <f ca="1"/>
        <v>#REF!</v>
      </c>
      <c r="L254" s="113" t="e">
        <f ca="1"/>
        <v>#REF!</v>
      </c>
      <c r="M254" s="113" t="e">
        <f ca="1"/>
        <v>#REF!</v>
      </c>
      <c r="N254" s="113" t="e">
        <f ca="1"/>
        <v>#REF!</v>
      </c>
      <c r="O254" s="113" t="e">
        <f ca="1"/>
        <v>#REF!</v>
      </c>
      <c r="P254" s="113" t="e">
        <f ca="1"/>
        <v>#REF!</v>
      </c>
      <c r="Q254" s="113" t="e">
        <f ca="1"/>
        <v>#REF!</v>
      </c>
      <c r="R254" s="113" t="e">
        <f ca="1"/>
        <v>#REF!</v>
      </c>
      <c r="S254" s="113" t="e">
        <f ca="1"/>
        <v>#REF!</v>
      </c>
      <c r="T254" s="113" t="e">
        <f ca="1"/>
        <v>#REF!</v>
      </c>
      <c r="U254" s="113" t="e">
        <f ca="1"/>
        <v>#REF!</v>
      </c>
      <c r="V254" s="113" t="e">
        <f ca="1"/>
        <v>#REF!</v>
      </c>
      <c r="W254" s="113" t="e">
        <f ca="1"/>
        <v>#REF!</v>
      </c>
      <c r="X254" s="113" t="e">
        <f ca="1"/>
        <v>#REF!</v>
      </c>
      <c r="Y254" s="113" t="e">
        <f ca="1"/>
        <v>#REF!</v>
      </c>
      <c r="Z254" s="113" t="e">
        <f ca="1"/>
        <v>#REF!</v>
      </c>
      <c r="AA254" s="113"/>
      <c r="AB254" s="113"/>
      <c r="AC254" s="113"/>
      <c r="AD254" s="113" t="str">
        <f ca="1">IFERROR(__xludf.DUMMYFUNCTION("""COMPUTED_VALUE"""),"CRECHE")</f>
        <v>CRECHE</v>
      </c>
      <c r="AE254" s="113" t="str">
        <f ca="1">IFERROR(__xludf.DUMMYFUNCTION("""COMPUTED_VALUE"""),"Parcial")</f>
        <v>Parcial</v>
      </c>
      <c r="AF254" s="113" t="str">
        <f ca="1">IFERROR(__xludf.DUMMYFUNCTION("""COMPUTED_VALUE"""),"FE")</f>
        <v>FE</v>
      </c>
      <c r="AG254" s="113">
        <f ca="1">IFERROR(__xludf.DUMMYFUNCTION("""COMPUTED_VALUE"""),0)</f>
        <v>0</v>
      </c>
      <c r="AH254" s="113">
        <f ca="1">IFERROR(__xludf.DUMMYFUNCTION("""COMPUTED_VALUE"""),0)</f>
        <v>0</v>
      </c>
      <c r="AI254" s="113">
        <f ca="1">IFERROR(__xludf.DUMMYFUNCTION("""COMPUTED_VALUE"""),0)</f>
        <v>0</v>
      </c>
      <c r="AJ254" s="113">
        <f ca="1">IFERROR(__xludf.DUMMYFUNCTION("""COMPUTED_VALUE"""),0)</f>
        <v>0</v>
      </c>
      <c r="AK254" s="113"/>
      <c r="AL254" s="116"/>
    </row>
    <row r="255" spans="1:38" ht="12.75">
      <c r="A255" s="112" t="str">
        <f ca="1">IFERROR(__xludf.DUMMYFUNCTION("""COMPUTED_VALUE"""),"17014654")</f>
        <v>17014654</v>
      </c>
      <c r="B255" s="113" t="str">
        <f ca="1">IFERROR(__xludf.DUMMYFUNCTION("""COMPUTED_VALUE"""),"Miracema")</f>
        <v>Miracema</v>
      </c>
      <c r="C255" s="113" t="str">
        <f ca="1">IFERROR(__xludf.DUMMYFUNCTION("""COMPUTED_VALUE"""),"Miracema do Tocantins")</f>
        <v>Miracema do Tocantins</v>
      </c>
      <c r="D255" s="114" t="str">
        <f ca="1">IFERROR(__xludf.DUMMYFUNCTION("""COMPUTED_VALUE"""),"SOCIEDADE EDUCADORA FEMININA/COLÉGIO TOCANTINS")</f>
        <v>SOCIEDADE EDUCADORA FEMININA/COLÉGIO TOCANTINS</v>
      </c>
      <c r="E255" s="113" t="str">
        <f ca="1">IFERROR(__xludf.DUMMYFUNCTION("""COMPUTED_VALUE"""),"Colégio Tocantins")</f>
        <v>Colégio Tocantins</v>
      </c>
      <c r="F255" s="115" t="str">
        <f ca="1">IFERROR(__xludf.DUMMYFUNCTION("""COMPUTED_VALUE"""),"17014654")</f>
        <v>17014654</v>
      </c>
      <c r="G255" s="113" t="str">
        <f ca="1">IFERROR(__xludf.DUMMYFUNCTION("""COMPUTED_VALUE"""),"61373585000694")</f>
        <v>61373585000694</v>
      </c>
      <c r="H255" s="115" t="str">
        <f ca="1">IFERROR(__xludf.DUMMYFUNCTION("""COMPUTED_VALUE"""),"001")</f>
        <v>001</v>
      </c>
      <c r="I255" s="115" t="str">
        <f ca="1">IFERROR(__xludf.DUMMYFUNCTION("""COMPUTED_VALUE"""),"0862")</f>
        <v>0862</v>
      </c>
      <c r="J255" s="115" t="str">
        <f ca="1">IFERROR(__xludf.DUMMYFUNCTION("""COMPUTED_VALUE"""),"69086")</f>
        <v>69086</v>
      </c>
      <c r="K255" s="113" t="e">
        <f ca="1"/>
        <v>#REF!</v>
      </c>
      <c r="L255" s="113" t="e">
        <f ca="1"/>
        <v>#REF!</v>
      </c>
      <c r="M255" s="113" t="e">
        <f ca="1"/>
        <v>#REF!</v>
      </c>
      <c r="N255" s="113" t="e">
        <f ca="1"/>
        <v>#REF!</v>
      </c>
      <c r="O255" s="113" t="e">
        <f ca="1"/>
        <v>#REF!</v>
      </c>
      <c r="P255" s="113" t="e">
        <f ca="1"/>
        <v>#REF!</v>
      </c>
      <c r="Q255" s="113" t="e">
        <f ca="1"/>
        <v>#REF!</v>
      </c>
      <c r="R255" s="113" t="e">
        <f ca="1"/>
        <v>#REF!</v>
      </c>
      <c r="S255" s="113" t="e">
        <f ca="1"/>
        <v>#REF!</v>
      </c>
      <c r="T255" s="113" t="e">
        <f ca="1"/>
        <v>#REF!</v>
      </c>
      <c r="U255" s="113" t="e">
        <f ca="1"/>
        <v>#REF!</v>
      </c>
      <c r="V255" s="113" t="e">
        <f ca="1"/>
        <v>#REF!</v>
      </c>
      <c r="W255" s="113" t="e">
        <f ca="1"/>
        <v>#REF!</v>
      </c>
      <c r="X255" s="113" t="e">
        <f ca="1"/>
        <v>#REF!</v>
      </c>
      <c r="Y255" s="113" t="e">
        <f ca="1"/>
        <v>#REF!</v>
      </c>
      <c r="Z255" s="113" t="e">
        <f ca="1"/>
        <v>#REF!</v>
      </c>
      <c r="AA255" s="113"/>
      <c r="AB255" s="113"/>
      <c r="AC255" s="113"/>
      <c r="AD255" s="113"/>
      <c r="AE255" s="113" t="str">
        <f ca="1">IFERROR(__xludf.DUMMYFUNCTION("""COMPUTED_VALUE"""),"Parcial")</f>
        <v>Parcial</v>
      </c>
      <c r="AF255" s="113" t="str">
        <f ca="1">IFERROR(__xludf.DUMMYFUNCTION("""COMPUTED_VALUE"""),"FE")</f>
        <v>FE</v>
      </c>
      <c r="AG255" s="113">
        <f ca="1">IFERROR(__xludf.DUMMYFUNCTION("""COMPUTED_VALUE"""),0)</f>
        <v>0</v>
      </c>
      <c r="AH255" s="113">
        <f ca="1">IFERROR(__xludf.DUMMYFUNCTION("""COMPUTED_VALUE"""),0)</f>
        <v>0</v>
      </c>
      <c r="AI255" s="113">
        <f ca="1">IFERROR(__xludf.DUMMYFUNCTION("""COMPUTED_VALUE"""),0)</f>
        <v>0</v>
      </c>
      <c r="AJ255" s="113">
        <f ca="1">IFERROR(__xludf.DUMMYFUNCTION("""COMPUTED_VALUE"""),0)</f>
        <v>0</v>
      </c>
      <c r="AK255" s="113"/>
      <c r="AL255" s="116"/>
    </row>
    <row r="256" spans="1:38" ht="12.75">
      <c r="A256" s="112" t="str">
        <f ca="1">IFERROR(__xludf.DUMMYFUNCTION("""COMPUTED_VALUE"""),"17040884")</f>
        <v>17040884</v>
      </c>
      <c r="B256" s="113" t="str">
        <f ca="1">IFERROR(__xludf.DUMMYFUNCTION("""COMPUTED_VALUE"""),"Miracema")</f>
        <v>Miracema</v>
      </c>
      <c r="C256" s="113" t="str">
        <f ca="1">IFERROR(__xludf.DUMMYFUNCTION("""COMPUTED_VALUE"""),"Miracema do Tocantins")</f>
        <v>Miracema do Tocantins</v>
      </c>
      <c r="D256" s="114" t="str">
        <f ca="1">IFERROR(__xludf.DUMMYFUNCTION("""COMPUTED_VALUE"""),"A.P.A.DOS EXECEPCIONAIS DE MIRACEMA - APAE")</f>
        <v>A.P.A.DOS EXECEPCIONAIS DE MIRACEMA - APAE</v>
      </c>
      <c r="E256" s="113" t="str">
        <f ca="1">IFERROR(__xludf.DUMMYFUNCTION("""COMPUTED_VALUE"""),"Escola Especial Um Raio de Luz")</f>
        <v>Escola Especial Um Raio de Luz</v>
      </c>
      <c r="F256" s="115" t="str">
        <f ca="1">IFERROR(__xludf.DUMMYFUNCTION("""COMPUTED_VALUE"""),"17040884")</f>
        <v>17040884</v>
      </c>
      <c r="G256" s="113" t="str">
        <f ca="1">IFERROR(__xludf.DUMMYFUNCTION("""COMPUTED_VALUE"""),"38146965000160")</f>
        <v>38146965000160</v>
      </c>
      <c r="H256" s="115" t="str">
        <f ca="1">IFERROR(__xludf.DUMMYFUNCTION("""COMPUTED_VALUE"""),"001")</f>
        <v>001</v>
      </c>
      <c r="I256" s="115" t="str">
        <f ca="1">IFERROR(__xludf.DUMMYFUNCTION("""COMPUTED_VALUE"""),"0862")</f>
        <v>0862</v>
      </c>
      <c r="J256" s="115" t="str">
        <f ca="1">IFERROR(__xludf.DUMMYFUNCTION("""COMPUTED_VALUE"""),"93734")</f>
        <v>93734</v>
      </c>
      <c r="K256" s="113" t="e">
        <f ca="1"/>
        <v>#REF!</v>
      </c>
      <c r="L256" s="113" t="e">
        <f ca="1"/>
        <v>#REF!</v>
      </c>
      <c r="M256" s="113" t="e">
        <f ca="1"/>
        <v>#REF!</v>
      </c>
      <c r="N256" s="113" t="e">
        <f ca="1"/>
        <v>#REF!</v>
      </c>
      <c r="O256" s="113" t="e">
        <f ca="1"/>
        <v>#REF!</v>
      </c>
      <c r="P256" s="113" t="e">
        <f ca="1"/>
        <v>#REF!</v>
      </c>
      <c r="Q256" s="113" t="e">
        <f ca="1"/>
        <v>#REF!</v>
      </c>
      <c r="R256" s="113" t="e">
        <f ca="1"/>
        <v>#REF!</v>
      </c>
      <c r="S256" s="113" t="e">
        <f ca="1"/>
        <v>#REF!</v>
      </c>
      <c r="T256" s="113" t="e">
        <f ca="1"/>
        <v>#REF!</v>
      </c>
      <c r="U256" s="113" t="e">
        <f ca="1"/>
        <v>#REF!</v>
      </c>
      <c r="V256" s="113" t="e">
        <f ca="1"/>
        <v>#REF!</v>
      </c>
      <c r="W256" s="113" t="e">
        <f ca="1"/>
        <v>#REF!</v>
      </c>
      <c r="X256" s="113" t="e">
        <f ca="1"/>
        <v>#REF!</v>
      </c>
      <c r="Y256" s="113" t="e">
        <f ca="1"/>
        <v>#REF!</v>
      </c>
      <c r="Z256" s="113" t="e">
        <f ca="1"/>
        <v>#REF!</v>
      </c>
      <c r="AA256" s="113"/>
      <c r="AB256" s="113"/>
      <c r="AC256" s="113"/>
      <c r="AD256" s="113"/>
      <c r="AE256" s="113" t="str">
        <f ca="1">IFERROR(__xludf.DUMMYFUNCTION("""COMPUTED_VALUE"""),"Parcial")</f>
        <v>Parcial</v>
      </c>
      <c r="AF256" s="113" t="str">
        <f ca="1">IFERROR(__xludf.DUMMYFUNCTION("""COMPUTED_VALUE"""),"FE")</f>
        <v>FE</v>
      </c>
      <c r="AG256" s="113">
        <f ca="1">IFERROR(__xludf.DUMMYFUNCTION("""COMPUTED_VALUE"""),0)</f>
        <v>0</v>
      </c>
      <c r="AH256" s="113">
        <f ca="1">IFERROR(__xludf.DUMMYFUNCTION("""COMPUTED_VALUE"""),0)</f>
        <v>0</v>
      </c>
      <c r="AI256" s="113">
        <f ca="1">IFERROR(__xludf.DUMMYFUNCTION("""COMPUTED_VALUE"""),0)</f>
        <v>0</v>
      </c>
      <c r="AJ256" s="113">
        <f ca="1">IFERROR(__xludf.DUMMYFUNCTION("""COMPUTED_VALUE"""),0)</f>
        <v>0</v>
      </c>
      <c r="AK256" s="113"/>
      <c r="AL256" s="116"/>
    </row>
    <row r="257" spans="1:38" ht="12.75">
      <c r="A257" s="112" t="str">
        <f ca="1">IFERROR(__xludf.DUMMYFUNCTION("""COMPUTED_VALUE"""),"17014751")</f>
        <v>17014751</v>
      </c>
      <c r="B257" s="113" t="str">
        <f ca="1">IFERROR(__xludf.DUMMYFUNCTION("""COMPUTED_VALUE"""),"Miracema")</f>
        <v>Miracema</v>
      </c>
      <c r="C257" s="113" t="str">
        <f ca="1">IFERROR(__xludf.DUMMYFUNCTION("""COMPUTED_VALUE"""),"Miracema do Tocantins")</f>
        <v>Miracema do Tocantins</v>
      </c>
      <c r="D257" s="114" t="str">
        <f ca="1">IFERROR(__xludf.DUMMYFUNCTION("""COMPUTED_VALUE"""),"A.COM.DA ESC. EST. JOSE D. VASCONCELOS")</f>
        <v>A.COM.DA ESC. EST. JOSE D. VASCONCELOS</v>
      </c>
      <c r="E257" s="113" t="str">
        <f ca="1">IFERROR(__xludf.DUMMYFUNCTION("""COMPUTED_VALUE"""),"Escola Estadual José damasceno Vasconcelos")</f>
        <v>Escola Estadual José damasceno Vasconcelos</v>
      </c>
      <c r="F257" s="115" t="str">
        <f ca="1">IFERROR(__xludf.DUMMYFUNCTION("""COMPUTED_VALUE"""),"17014751")</f>
        <v>17014751</v>
      </c>
      <c r="G257" s="113" t="str">
        <f ca="1">IFERROR(__xludf.DUMMYFUNCTION("""COMPUTED_VALUE"""),"01068379000134")</f>
        <v>01068379000134</v>
      </c>
      <c r="H257" s="115" t="str">
        <f ca="1">IFERROR(__xludf.DUMMYFUNCTION("""COMPUTED_VALUE"""),"001")</f>
        <v>001</v>
      </c>
      <c r="I257" s="115" t="str">
        <f ca="1">IFERROR(__xludf.DUMMYFUNCTION("""COMPUTED_VALUE"""),"0862")</f>
        <v>0862</v>
      </c>
      <c r="J257" s="115" t="str">
        <f ca="1">IFERROR(__xludf.DUMMYFUNCTION("""COMPUTED_VALUE"""),"69035")</f>
        <v>69035</v>
      </c>
      <c r="K257" s="113" t="e">
        <f ca="1"/>
        <v>#REF!</v>
      </c>
      <c r="L257" s="113" t="e">
        <f ca="1"/>
        <v>#REF!</v>
      </c>
      <c r="M257" s="113" t="e">
        <f ca="1"/>
        <v>#REF!</v>
      </c>
      <c r="N257" s="113" t="e">
        <f ca="1"/>
        <v>#REF!</v>
      </c>
      <c r="O257" s="113" t="e">
        <f ca="1"/>
        <v>#REF!</v>
      </c>
      <c r="P257" s="113" t="e">
        <f ca="1"/>
        <v>#REF!</v>
      </c>
      <c r="Q257" s="113" t="e">
        <f ca="1"/>
        <v>#REF!</v>
      </c>
      <c r="R257" s="113" t="e">
        <f ca="1"/>
        <v>#REF!</v>
      </c>
      <c r="S257" s="113" t="e">
        <f ca="1"/>
        <v>#REF!</v>
      </c>
      <c r="T257" s="113" t="e">
        <f ca="1"/>
        <v>#REF!</v>
      </c>
      <c r="U257" s="113" t="e">
        <f ca="1"/>
        <v>#REF!</v>
      </c>
      <c r="V257" s="113" t="e">
        <f ca="1"/>
        <v>#REF!</v>
      </c>
      <c r="W257" s="113" t="e">
        <f ca="1"/>
        <v>#REF!</v>
      </c>
      <c r="X257" s="113" t="e">
        <f ca="1"/>
        <v>#REF!</v>
      </c>
      <c r="Y257" s="113" t="e">
        <f ca="1"/>
        <v>#REF!</v>
      </c>
      <c r="Z257" s="113" t="e">
        <f ca="1"/>
        <v>#REF!</v>
      </c>
      <c r="AA257" s="113"/>
      <c r="AB257" s="113"/>
      <c r="AC257" s="113"/>
      <c r="AD257" s="113"/>
      <c r="AE257" s="113" t="str">
        <f ca="1">IFERROR(__xludf.DUMMYFUNCTION("""COMPUTED_VALUE"""),"Parcial/Integral")</f>
        <v>Parcial/Integral</v>
      </c>
      <c r="AF257" s="113" t="str">
        <f ca="1">IFERROR(__xludf.DUMMYFUNCTION("""COMPUTED_VALUE"""),"FE")</f>
        <v>FE</v>
      </c>
      <c r="AG257" s="113">
        <f ca="1">IFERROR(__xludf.DUMMYFUNCTION("""COMPUTED_VALUE"""),0)</f>
        <v>0</v>
      </c>
      <c r="AH257" s="113">
        <f ca="1">IFERROR(__xludf.DUMMYFUNCTION("""COMPUTED_VALUE"""),0)</f>
        <v>0</v>
      </c>
      <c r="AI257" s="113">
        <f ca="1">IFERROR(__xludf.DUMMYFUNCTION("""COMPUTED_VALUE"""),0)</f>
        <v>0</v>
      </c>
      <c r="AJ257" s="113">
        <f ca="1">IFERROR(__xludf.DUMMYFUNCTION("""COMPUTED_VALUE"""),0)</f>
        <v>0</v>
      </c>
      <c r="AK257" s="113"/>
      <c r="AL257" s="116"/>
    </row>
    <row r="258" spans="1:38" ht="12.75">
      <c r="A258" s="112" t="str">
        <f ca="1">IFERROR(__xludf.DUMMYFUNCTION("""COMPUTED_VALUE"""),"17014760")</f>
        <v>17014760</v>
      </c>
      <c r="B258" s="113" t="str">
        <f ca="1">IFERROR(__xludf.DUMMYFUNCTION("""COMPUTED_VALUE"""),"Miracema")</f>
        <v>Miracema</v>
      </c>
      <c r="C258" s="113" t="str">
        <f ca="1">IFERROR(__xludf.DUMMYFUNCTION("""COMPUTED_VALUE"""),"Miracema do Tocantins")</f>
        <v>Miracema do Tocantins</v>
      </c>
      <c r="D258" s="114" t="str">
        <f ca="1">IFERROR(__xludf.DUMMYFUNCTION("""COMPUTED_VALUE"""),"A.P.M.A. ESC. CONV. ONESINA BANDEIRA")</f>
        <v>A.P.M.A. ESC. CONV. ONESINA BANDEIRA</v>
      </c>
      <c r="E258" s="113" t="str">
        <f ca="1">IFERROR(__xludf.DUMMYFUNCTION("""COMPUTED_VALUE"""),"Escola Estadual Onesina Bandeira")</f>
        <v>Escola Estadual Onesina Bandeira</v>
      </c>
      <c r="F258" s="115" t="str">
        <f ca="1">IFERROR(__xludf.DUMMYFUNCTION("""COMPUTED_VALUE"""),"17014760")</f>
        <v>17014760</v>
      </c>
      <c r="G258" s="113" t="str">
        <f ca="1">IFERROR(__xludf.DUMMYFUNCTION("""COMPUTED_VALUE"""),"01133700000117")</f>
        <v>01133700000117</v>
      </c>
      <c r="H258" s="115" t="str">
        <f ca="1">IFERROR(__xludf.DUMMYFUNCTION("""COMPUTED_VALUE"""),"001")</f>
        <v>001</v>
      </c>
      <c r="I258" s="115" t="str">
        <f ca="1">IFERROR(__xludf.DUMMYFUNCTION("""COMPUTED_VALUE"""),"0862")</f>
        <v>0862</v>
      </c>
      <c r="J258" s="115" t="str">
        <f ca="1">IFERROR(__xludf.DUMMYFUNCTION("""COMPUTED_VALUE"""),"69051")</f>
        <v>69051</v>
      </c>
      <c r="K258" s="113" t="e">
        <f ca="1"/>
        <v>#REF!</v>
      </c>
      <c r="L258" s="113" t="e">
        <f ca="1"/>
        <v>#REF!</v>
      </c>
      <c r="M258" s="113" t="e">
        <f ca="1"/>
        <v>#REF!</v>
      </c>
      <c r="N258" s="113" t="e">
        <f ca="1"/>
        <v>#REF!</v>
      </c>
      <c r="O258" s="113" t="e">
        <f ca="1"/>
        <v>#REF!</v>
      </c>
      <c r="P258" s="113" t="e">
        <f ca="1"/>
        <v>#REF!</v>
      </c>
      <c r="Q258" s="113" t="e">
        <f ca="1"/>
        <v>#REF!</v>
      </c>
      <c r="R258" s="113" t="e">
        <f ca="1"/>
        <v>#REF!</v>
      </c>
      <c r="S258" s="113" t="e">
        <f ca="1"/>
        <v>#REF!</v>
      </c>
      <c r="T258" s="113" t="e">
        <f ca="1"/>
        <v>#REF!</v>
      </c>
      <c r="U258" s="113" t="e">
        <f ca="1"/>
        <v>#REF!</v>
      </c>
      <c r="V258" s="113" t="e">
        <f ca="1"/>
        <v>#REF!</v>
      </c>
      <c r="W258" s="113" t="e">
        <f ca="1"/>
        <v>#REF!</v>
      </c>
      <c r="X258" s="113" t="e">
        <f ca="1"/>
        <v>#REF!</v>
      </c>
      <c r="Y258" s="113" t="e">
        <f ca="1"/>
        <v>#REF!</v>
      </c>
      <c r="Z258" s="113" t="e">
        <f ca="1"/>
        <v>#REF!</v>
      </c>
      <c r="AA258" s="113"/>
      <c r="AB258" s="113"/>
      <c r="AC258" s="113"/>
      <c r="AD258" s="113" t="str">
        <f ca="1">IFERROR(__xludf.DUMMYFUNCTION("""COMPUTED_VALUE"""),"INDIGENA /QUILOMBOLA PARCIAL")</f>
        <v>INDIGENA /QUILOMBOLA PARCIAL</v>
      </c>
      <c r="AE258" s="113" t="str">
        <f ca="1">IFERROR(__xludf.DUMMYFUNCTION("""COMPUTED_VALUE"""),"Parcial")</f>
        <v>Parcial</v>
      </c>
      <c r="AF258" s="113" t="str">
        <f ca="1">IFERROR(__xludf.DUMMYFUNCTION("""COMPUTED_VALUE"""),"FE")</f>
        <v>FE</v>
      </c>
      <c r="AG258" s="113">
        <f ca="1">IFERROR(__xludf.DUMMYFUNCTION("""COMPUTED_VALUE"""),0)</f>
        <v>0</v>
      </c>
      <c r="AH258" s="113">
        <f ca="1">IFERROR(__xludf.DUMMYFUNCTION("""COMPUTED_VALUE"""),0)</f>
        <v>0</v>
      </c>
      <c r="AI258" s="113">
        <f ca="1">IFERROR(__xludf.DUMMYFUNCTION("""COMPUTED_VALUE"""),0)</f>
        <v>0</v>
      </c>
      <c r="AJ258" s="113">
        <f ca="1">IFERROR(__xludf.DUMMYFUNCTION("""COMPUTED_VALUE"""),0)</f>
        <v>0</v>
      </c>
      <c r="AK258" s="113"/>
      <c r="AL258" s="116"/>
    </row>
    <row r="259" spans="1:38" ht="12.75">
      <c r="A259" s="112" t="str">
        <f ca="1">IFERROR(__xludf.DUMMYFUNCTION("""COMPUTED_VALUE"""),"17014778")</f>
        <v>17014778</v>
      </c>
      <c r="B259" s="113" t="str">
        <f ca="1">IFERROR(__xludf.DUMMYFUNCTION("""COMPUTED_VALUE"""),"Miracema")</f>
        <v>Miracema</v>
      </c>
      <c r="C259" s="113" t="str">
        <f ca="1">IFERROR(__xludf.DUMMYFUNCTION("""COMPUTED_VALUE"""),"Miracema do Tocantins")</f>
        <v>Miracema do Tocantins</v>
      </c>
      <c r="D259" s="114" t="str">
        <f ca="1">IFERROR(__xludf.DUMMYFUNCTION("""COMPUTED_VALUE"""),"A.A.  DA ESCOLA ESTADUAL OSCAR SARDINHA")</f>
        <v>A.A.  DA ESCOLA ESTADUAL OSCAR SARDINHA</v>
      </c>
      <c r="E259" s="113" t="str">
        <f ca="1">IFERROR(__xludf.DUMMYFUNCTION("""COMPUTED_VALUE"""),"Escola Estadual Oscar Sardinha")</f>
        <v>Escola Estadual Oscar Sardinha</v>
      </c>
      <c r="F259" s="115" t="str">
        <f ca="1">IFERROR(__xludf.DUMMYFUNCTION("""COMPUTED_VALUE"""),"17014778")</f>
        <v>17014778</v>
      </c>
      <c r="G259" s="113" t="str">
        <f ca="1">IFERROR(__xludf.DUMMYFUNCTION("""COMPUTED_VALUE"""),"01197158000166")</f>
        <v>01197158000166</v>
      </c>
      <c r="H259" s="115" t="str">
        <f ca="1">IFERROR(__xludf.DUMMYFUNCTION("""COMPUTED_VALUE"""),"001")</f>
        <v>001</v>
      </c>
      <c r="I259" s="115" t="str">
        <f ca="1">IFERROR(__xludf.DUMMYFUNCTION("""COMPUTED_VALUE"""),"0862")</f>
        <v>0862</v>
      </c>
      <c r="J259" s="115" t="str">
        <f ca="1">IFERROR(__xludf.DUMMYFUNCTION("""COMPUTED_VALUE"""),"6906X")</f>
        <v>6906X</v>
      </c>
      <c r="K259" s="113" t="e">
        <f ca="1"/>
        <v>#REF!</v>
      </c>
      <c r="L259" s="113" t="e">
        <f ca="1"/>
        <v>#REF!</v>
      </c>
      <c r="M259" s="113" t="e">
        <f ca="1"/>
        <v>#REF!</v>
      </c>
      <c r="N259" s="113" t="e">
        <f ca="1"/>
        <v>#REF!</v>
      </c>
      <c r="O259" s="113" t="e">
        <f ca="1"/>
        <v>#REF!</v>
      </c>
      <c r="P259" s="113" t="e">
        <f ca="1"/>
        <v>#REF!</v>
      </c>
      <c r="Q259" s="113" t="e">
        <f ca="1"/>
        <v>#REF!</v>
      </c>
      <c r="R259" s="113" t="e">
        <f ca="1"/>
        <v>#REF!</v>
      </c>
      <c r="S259" s="113" t="e">
        <f ca="1"/>
        <v>#REF!</v>
      </c>
      <c r="T259" s="113" t="e">
        <f ca="1"/>
        <v>#REF!</v>
      </c>
      <c r="U259" s="113" t="e">
        <f ca="1"/>
        <v>#REF!</v>
      </c>
      <c r="V259" s="113" t="e">
        <f ca="1"/>
        <v>#REF!</v>
      </c>
      <c r="W259" s="113" t="e">
        <f ca="1"/>
        <v>#REF!</v>
      </c>
      <c r="X259" s="113" t="e">
        <f ca="1"/>
        <v>#REF!</v>
      </c>
      <c r="Y259" s="113" t="e">
        <f ca="1"/>
        <v>#REF!</v>
      </c>
      <c r="Z259" s="113" t="e">
        <f ca="1"/>
        <v>#REF!</v>
      </c>
      <c r="AA259" s="113"/>
      <c r="AB259" s="113"/>
      <c r="AC259" s="113"/>
      <c r="AD259" s="113"/>
      <c r="AE259" s="113" t="str">
        <f ca="1">IFERROR(__xludf.DUMMYFUNCTION("""COMPUTED_VALUE"""),"Parcial")</f>
        <v>Parcial</v>
      </c>
      <c r="AF259" s="113" t="str">
        <f ca="1">IFERROR(__xludf.DUMMYFUNCTION("""COMPUTED_VALUE"""),"FE")</f>
        <v>FE</v>
      </c>
      <c r="AG259" s="113">
        <f ca="1">IFERROR(__xludf.DUMMYFUNCTION("""COMPUTED_VALUE"""),0)</f>
        <v>0</v>
      </c>
      <c r="AH259" s="113">
        <f ca="1">IFERROR(__xludf.DUMMYFUNCTION("""COMPUTED_VALUE"""),0)</f>
        <v>0</v>
      </c>
      <c r="AI259" s="113">
        <f ca="1">IFERROR(__xludf.DUMMYFUNCTION("""COMPUTED_VALUE"""),0)</f>
        <v>0</v>
      </c>
      <c r="AJ259" s="113">
        <f ca="1">IFERROR(__xludf.DUMMYFUNCTION("""COMPUTED_VALUE"""),0)</f>
        <v>0</v>
      </c>
      <c r="AK259" s="113"/>
      <c r="AL259" s="116"/>
    </row>
    <row r="260" spans="1:38" ht="12.75">
      <c r="A260" s="112" t="str">
        <f ca="1">IFERROR(__xludf.DUMMYFUNCTION("""COMPUTED_VALUE"""),"17015375")</f>
        <v>17015375</v>
      </c>
      <c r="B260" s="113" t="str">
        <f ca="1">IFERROR(__xludf.DUMMYFUNCTION("""COMPUTED_VALUE"""),"Miracema")</f>
        <v>Miracema</v>
      </c>
      <c r="C260" s="113" t="str">
        <f ca="1">IFERROR(__xludf.DUMMYFUNCTION("""COMPUTED_VALUE"""),"Miranorte")</f>
        <v>Miranorte</v>
      </c>
      <c r="D260" s="114" t="str">
        <f ca="1">IFERROR(__xludf.DUMMYFUNCTION("""COMPUTED_VALUE"""),"ASSOC. COM. DO COL. RUI BRASIL CAVALCANTE")</f>
        <v>ASSOC. COM. DO COL. RUI BRASIL CAVALCANTE</v>
      </c>
      <c r="E260" s="113" t="str">
        <f ca="1">IFERROR(__xludf.DUMMYFUNCTION("""COMPUTED_VALUE"""),"Centro de Ensino Médio Rui Brasil Cavalcante")</f>
        <v>Centro de Ensino Médio Rui Brasil Cavalcante</v>
      </c>
      <c r="F260" s="115" t="str">
        <f ca="1">IFERROR(__xludf.DUMMYFUNCTION("""COMPUTED_VALUE"""),"17015375")</f>
        <v>17015375</v>
      </c>
      <c r="G260" s="113" t="str">
        <f ca="1">IFERROR(__xludf.DUMMYFUNCTION("""COMPUTED_VALUE"""),"01112765000186")</f>
        <v>01112765000186</v>
      </c>
      <c r="H260" s="115" t="str">
        <f ca="1">IFERROR(__xludf.DUMMYFUNCTION("""COMPUTED_VALUE"""),"001")</f>
        <v>001</v>
      </c>
      <c r="I260" s="115" t="str">
        <f ca="1">IFERROR(__xludf.DUMMYFUNCTION("""COMPUTED_VALUE"""),"4560")</f>
        <v>4560</v>
      </c>
      <c r="J260" s="115" t="str">
        <f ca="1">IFERROR(__xludf.DUMMYFUNCTION("""COMPUTED_VALUE"""),"78905")</f>
        <v>78905</v>
      </c>
      <c r="K260" s="113" t="e">
        <f ca="1"/>
        <v>#REF!</v>
      </c>
      <c r="L260" s="113" t="e">
        <f ca="1"/>
        <v>#REF!</v>
      </c>
      <c r="M260" s="113" t="e">
        <f ca="1"/>
        <v>#REF!</v>
      </c>
      <c r="N260" s="113" t="e">
        <f ca="1"/>
        <v>#REF!</v>
      </c>
      <c r="O260" s="113" t="e">
        <f ca="1"/>
        <v>#REF!</v>
      </c>
      <c r="P260" s="113" t="e">
        <f ca="1"/>
        <v>#REF!</v>
      </c>
      <c r="Q260" s="113" t="e">
        <f ca="1"/>
        <v>#REF!</v>
      </c>
      <c r="R260" s="113" t="e">
        <f ca="1"/>
        <v>#REF!</v>
      </c>
      <c r="S260" s="113" t="e">
        <f ca="1"/>
        <v>#REF!</v>
      </c>
      <c r="T260" s="113" t="e">
        <f ca="1"/>
        <v>#REF!</v>
      </c>
      <c r="U260" s="113" t="e">
        <f ca="1"/>
        <v>#REF!</v>
      </c>
      <c r="V260" s="113" t="e">
        <f ca="1"/>
        <v>#REF!</v>
      </c>
      <c r="W260" s="113" t="e">
        <f ca="1"/>
        <v>#REF!</v>
      </c>
      <c r="X260" s="113" t="e">
        <f ca="1"/>
        <v>#REF!</v>
      </c>
      <c r="Y260" s="113" t="e">
        <f ca="1"/>
        <v>#REF!</v>
      </c>
      <c r="Z260" s="113" t="e">
        <f ca="1"/>
        <v>#REF!</v>
      </c>
      <c r="AA260" s="113"/>
      <c r="AB260" s="113"/>
      <c r="AC260" s="113"/>
      <c r="AD260" s="113" t="str">
        <f ca="1">IFERROR(__xludf.DUMMYFUNCTION("""COMPUTED_VALUE"""),"CRECHE")</f>
        <v>CRECHE</v>
      </c>
      <c r="AE260" s="113" t="str">
        <f ca="1">IFERROR(__xludf.DUMMYFUNCTION("""COMPUTED_VALUE"""),"Parcial")</f>
        <v>Parcial</v>
      </c>
      <c r="AF260" s="113" t="str">
        <f ca="1">IFERROR(__xludf.DUMMYFUNCTION("""COMPUTED_VALUE"""),"FE")</f>
        <v>FE</v>
      </c>
      <c r="AG260" s="113">
        <f ca="1">IFERROR(__xludf.DUMMYFUNCTION("""COMPUTED_VALUE"""),0)</f>
        <v>0</v>
      </c>
      <c r="AH260" s="113">
        <f ca="1">IFERROR(__xludf.DUMMYFUNCTION("""COMPUTED_VALUE"""),0)</f>
        <v>0</v>
      </c>
      <c r="AI260" s="113">
        <f ca="1">IFERROR(__xludf.DUMMYFUNCTION("""COMPUTED_VALUE"""),0)</f>
        <v>0</v>
      </c>
      <c r="AJ260" s="113">
        <f ca="1">IFERROR(__xludf.DUMMYFUNCTION("""COMPUTED_VALUE"""),0)</f>
        <v>0</v>
      </c>
      <c r="AK260" s="113"/>
      <c r="AL260" s="116"/>
    </row>
    <row r="261" spans="1:38" ht="12.75">
      <c r="A261" s="112" t="str">
        <f ca="1">IFERROR(__xludf.DUMMYFUNCTION("""COMPUTED_VALUE"""),"17015367")</f>
        <v>17015367</v>
      </c>
      <c r="B261" s="113" t="str">
        <f ca="1">IFERROR(__xludf.DUMMYFUNCTION("""COMPUTED_VALUE"""),"Miracema")</f>
        <v>Miracema</v>
      </c>
      <c r="C261" s="113" t="str">
        <f ca="1">IFERROR(__xludf.DUMMYFUNCTION("""COMPUTED_VALUE"""),"Miranorte")</f>
        <v>Miranorte</v>
      </c>
      <c r="D261" s="114" t="str">
        <f ca="1">IFERROR(__xludf.DUMMYFUNCTION("""COMPUTED_VALUE"""),"A.A. C.E.NOSSA SENHORA DA PROVIDENCIA")</f>
        <v>A.A. C.E.NOSSA SENHORA DA PROVIDENCIA</v>
      </c>
      <c r="E261" s="113" t="str">
        <f ca="1">IFERROR(__xludf.DUMMYFUNCTION("""COMPUTED_VALUE"""),"Colégio Estadual Nossa Senhora da Providência")</f>
        <v>Colégio Estadual Nossa Senhora da Providência</v>
      </c>
      <c r="F261" s="115" t="str">
        <f ca="1">IFERROR(__xludf.DUMMYFUNCTION("""COMPUTED_VALUE"""),"17015367")</f>
        <v>17015367</v>
      </c>
      <c r="G261" s="113" t="str">
        <f ca="1">IFERROR(__xludf.DUMMYFUNCTION("""COMPUTED_VALUE"""),"01190186000151")</f>
        <v>01190186000151</v>
      </c>
      <c r="H261" s="115" t="str">
        <f ca="1">IFERROR(__xludf.DUMMYFUNCTION("""COMPUTED_VALUE"""),"001")</f>
        <v>001</v>
      </c>
      <c r="I261" s="115" t="str">
        <f ca="1">IFERROR(__xludf.DUMMYFUNCTION("""COMPUTED_VALUE"""),"4560")</f>
        <v>4560</v>
      </c>
      <c r="J261" s="115" t="str">
        <f ca="1">IFERROR(__xludf.DUMMYFUNCTION("""COMPUTED_VALUE"""),"7778X")</f>
        <v>7778X</v>
      </c>
      <c r="K261" s="113" t="e">
        <f ca="1"/>
        <v>#REF!</v>
      </c>
      <c r="L261" s="113" t="e">
        <f ca="1"/>
        <v>#REF!</v>
      </c>
      <c r="M261" s="113" t="e">
        <f ca="1"/>
        <v>#REF!</v>
      </c>
      <c r="N261" s="113" t="e">
        <f ca="1"/>
        <v>#REF!</v>
      </c>
      <c r="O261" s="113" t="e">
        <f ca="1"/>
        <v>#REF!</v>
      </c>
      <c r="P261" s="113" t="e">
        <f ca="1"/>
        <v>#REF!</v>
      </c>
      <c r="Q261" s="113" t="e">
        <f ca="1"/>
        <v>#REF!</v>
      </c>
      <c r="R261" s="113" t="e">
        <f ca="1"/>
        <v>#REF!</v>
      </c>
      <c r="S261" s="113" t="e">
        <f ca="1"/>
        <v>#REF!</v>
      </c>
      <c r="T261" s="113" t="e">
        <f ca="1"/>
        <v>#REF!</v>
      </c>
      <c r="U261" s="113" t="e">
        <f ca="1"/>
        <v>#REF!</v>
      </c>
      <c r="V261" s="113" t="e">
        <f ca="1"/>
        <v>#REF!</v>
      </c>
      <c r="W261" s="113" t="e">
        <f ca="1"/>
        <v>#REF!</v>
      </c>
      <c r="X261" s="113" t="e">
        <f ca="1"/>
        <v>#REF!</v>
      </c>
      <c r="Y261" s="113" t="e">
        <f ca="1"/>
        <v>#REF!</v>
      </c>
      <c r="Z261" s="113" t="e">
        <f ca="1"/>
        <v>#REF!</v>
      </c>
      <c r="AA261" s="113"/>
      <c r="AB261" s="113"/>
      <c r="AC261" s="113"/>
      <c r="AD261" s="113"/>
      <c r="AE261" s="113" t="str">
        <f ca="1">IFERROR(__xludf.DUMMYFUNCTION("""COMPUTED_VALUE"""),"Parcial")</f>
        <v>Parcial</v>
      </c>
      <c r="AF261" s="113" t="str">
        <f ca="1">IFERROR(__xludf.DUMMYFUNCTION("""COMPUTED_VALUE"""),"FE")</f>
        <v>FE</v>
      </c>
      <c r="AG261" s="113">
        <f ca="1">IFERROR(__xludf.DUMMYFUNCTION("""COMPUTED_VALUE"""),0)</f>
        <v>0</v>
      </c>
      <c r="AH261" s="113">
        <f ca="1">IFERROR(__xludf.DUMMYFUNCTION("""COMPUTED_VALUE"""),0)</f>
        <v>0</v>
      </c>
      <c r="AI261" s="113">
        <f ca="1">IFERROR(__xludf.DUMMYFUNCTION("""COMPUTED_VALUE"""),0)</f>
        <v>0</v>
      </c>
      <c r="AJ261" s="113">
        <f ca="1">IFERROR(__xludf.DUMMYFUNCTION("""COMPUTED_VALUE"""),0)</f>
        <v>0</v>
      </c>
      <c r="AK261" s="113"/>
      <c r="AL261" s="116"/>
    </row>
    <row r="262" spans="1:38" ht="12.75">
      <c r="A262" s="112" t="str">
        <f ca="1">IFERROR(__xludf.DUMMYFUNCTION("""COMPUTED_VALUE"""),"17047854")</f>
        <v>17047854</v>
      </c>
      <c r="B262" s="113" t="str">
        <f ca="1">IFERROR(__xludf.DUMMYFUNCTION("""COMPUTED_VALUE"""),"Miracema")</f>
        <v>Miracema</v>
      </c>
      <c r="C262" s="113" t="str">
        <f ca="1">IFERROR(__xludf.DUMMYFUNCTION("""COMPUTED_VALUE"""),"Miranorte")</f>
        <v>Miranorte</v>
      </c>
      <c r="D262" s="114" t="str">
        <f ca="1">IFERROR(__xludf.DUMMYFUNCTION("""COMPUTED_VALUE"""),"A.A ESC. ESPECIAL CORAÇÃO DE MARIA")</f>
        <v>A.A ESC. ESPECIAL CORAÇÃO DE MARIA</v>
      </c>
      <c r="E262" s="113" t="str">
        <f ca="1">IFERROR(__xludf.DUMMYFUNCTION("""COMPUTED_VALUE"""),"Escola Especial Coração de Maria")</f>
        <v>Escola Especial Coração de Maria</v>
      </c>
      <c r="F262" s="115" t="str">
        <f ca="1">IFERROR(__xludf.DUMMYFUNCTION("""COMPUTED_VALUE"""),"17047854")</f>
        <v>17047854</v>
      </c>
      <c r="G262" s="113" t="str">
        <f ca="1">IFERROR(__xludf.DUMMYFUNCTION("""COMPUTED_VALUE"""),"07968866000130")</f>
        <v>07968866000130</v>
      </c>
      <c r="H262" s="115" t="str">
        <f ca="1">IFERROR(__xludf.DUMMYFUNCTION("""COMPUTED_VALUE"""),"001")</f>
        <v>001</v>
      </c>
      <c r="I262" s="115" t="str">
        <f ca="1">IFERROR(__xludf.DUMMYFUNCTION("""COMPUTED_VALUE"""),"0862")</f>
        <v>0862</v>
      </c>
      <c r="J262" s="115" t="str">
        <f ca="1">IFERROR(__xludf.DUMMYFUNCTION("""COMPUTED_VALUE"""),"265217")</f>
        <v>265217</v>
      </c>
      <c r="K262" s="113" t="e">
        <f ca="1"/>
        <v>#REF!</v>
      </c>
      <c r="L262" s="113" t="e">
        <f ca="1"/>
        <v>#REF!</v>
      </c>
      <c r="M262" s="113" t="e">
        <f ca="1"/>
        <v>#REF!</v>
      </c>
      <c r="N262" s="113" t="e">
        <f ca="1"/>
        <v>#REF!</v>
      </c>
      <c r="O262" s="113" t="e">
        <f ca="1"/>
        <v>#REF!</v>
      </c>
      <c r="P262" s="113" t="e">
        <f ca="1"/>
        <v>#REF!</v>
      </c>
      <c r="Q262" s="113" t="e">
        <f ca="1"/>
        <v>#REF!</v>
      </c>
      <c r="R262" s="113" t="e">
        <f ca="1"/>
        <v>#REF!</v>
      </c>
      <c r="S262" s="113" t="e">
        <f ca="1"/>
        <v>#REF!</v>
      </c>
      <c r="T262" s="113" t="e">
        <f ca="1"/>
        <v>#REF!</v>
      </c>
      <c r="U262" s="113" t="e">
        <f ca="1"/>
        <v>#REF!</v>
      </c>
      <c r="V262" s="113" t="e">
        <f ca="1"/>
        <v>#REF!</v>
      </c>
      <c r="W262" s="113" t="e">
        <f ca="1"/>
        <v>#REF!</v>
      </c>
      <c r="X262" s="113" t="e">
        <f ca="1"/>
        <v>#REF!</v>
      </c>
      <c r="Y262" s="113" t="e">
        <f ca="1"/>
        <v>#REF!</v>
      </c>
      <c r="Z262" s="113" t="e">
        <f ca="1"/>
        <v>#REF!</v>
      </c>
      <c r="AA262" s="113"/>
      <c r="AB262" s="113"/>
      <c r="AC262" s="113"/>
      <c r="AD262" s="113"/>
      <c r="AE262" s="113" t="str">
        <f ca="1">IFERROR(__xludf.DUMMYFUNCTION("""COMPUTED_VALUE"""),"Parcial")</f>
        <v>Parcial</v>
      </c>
      <c r="AF262" s="113" t="str">
        <f ca="1">IFERROR(__xludf.DUMMYFUNCTION("""COMPUTED_VALUE"""),"FE")</f>
        <v>FE</v>
      </c>
      <c r="AG262" s="113">
        <f ca="1">IFERROR(__xludf.DUMMYFUNCTION("""COMPUTED_VALUE"""),0)</f>
        <v>0</v>
      </c>
      <c r="AH262" s="113">
        <f ca="1">IFERROR(__xludf.DUMMYFUNCTION("""COMPUTED_VALUE"""),0)</f>
        <v>0</v>
      </c>
      <c r="AI262" s="113">
        <f ca="1">IFERROR(__xludf.DUMMYFUNCTION("""COMPUTED_VALUE"""),0)</f>
        <v>0</v>
      </c>
      <c r="AJ262" s="113">
        <f ca="1">IFERROR(__xludf.DUMMYFUNCTION("""COMPUTED_VALUE"""),0)</f>
        <v>0</v>
      </c>
      <c r="AK262" s="113"/>
      <c r="AL262" s="116"/>
    </row>
    <row r="263" spans="1:38" ht="12.75">
      <c r="A263" s="112" t="str">
        <f ca="1">IFERROR(__xludf.DUMMYFUNCTION("""COMPUTED_VALUE"""),"17016932")</f>
        <v>17016932</v>
      </c>
      <c r="B263" s="113" t="str">
        <f ca="1">IFERROR(__xludf.DUMMYFUNCTION("""COMPUTED_VALUE"""),"Miracema")</f>
        <v>Miracema</v>
      </c>
      <c r="C263" s="113" t="str">
        <f ca="1">IFERROR(__xludf.DUMMYFUNCTION("""COMPUTED_VALUE"""),"Rio dos Bois")</f>
        <v>Rio dos Bois</v>
      </c>
      <c r="D263" s="114" t="str">
        <f ca="1">IFERROR(__xludf.DUMMYFUNCTION("""COMPUTED_VALUE"""),"A.A. ESC EST DR. VALDECY PINHEIRO")</f>
        <v>A.A. ESC EST DR. VALDECY PINHEIRO</v>
      </c>
      <c r="E263" s="113" t="str">
        <f ca="1">IFERROR(__xludf.DUMMYFUNCTION("""COMPUTED_VALUE"""),"Colégio Estadual Doutor Valdecy Pinheiro")</f>
        <v>Colégio Estadual Doutor Valdecy Pinheiro</v>
      </c>
      <c r="F263" s="115" t="str">
        <f ca="1">IFERROR(__xludf.DUMMYFUNCTION("""COMPUTED_VALUE"""),"17016932")</f>
        <v>17016932</v>
      </c>
      <c r="G263" s="113" t="str">
        <f ca="1">IFERROR(__xludf.DUMMYFUNCTION("""COMPUTED_VALUE"""),"01079937000167")</f>
        <v>01079937000167</v>
      </c>
      <c r="H263" s="115" t="str">
        <f ca="1">IFERROR(__xludf.DUMMYFUNCTION("""COMPUTED_VALUE"""),"001")</f>
        <v>001</v>
      </c>
      <c r="I263" s="115" t="str">
        <f ca="1">IFERROR(__xludf.DUMMYFUNCTION("""COMPUTED_VALUE"""),"0862")</f>
        <v>0862</v>
      </c>
      <c r="J263" s="115" t="str">
        <f ca="1">IFERROR(__xludf.DUMMYFUNCTION("""COMPUTED_VALUE"""),"69116")</f>
        <v>69116</v>
      </c>
      <c r="K263" s="113" t="e">
        <f ca="1"/>
        <v>#REF!</v>
      </c>
      <c r="L263" s="113" t="e">
        <f ca="1"/>
        <v>#REF!</v>
      </c>
      <c r="M263" s="113" t="e">
        <f ca="1"/>
        <v>#REF!</v>
      </c>
      <c r="N263" s="113" t="e">
        <f ca="1"/>
        <v>#REF!</v>
      </c>
      <c r="O263" s="113" t="e">
        <f ca="1"/>
        <v>#REF!</v>
      </c>
      <c r="P263" s="113" t="e">
        <f ca="1"/>
        <v>#REF!</v>
      </c>
      <c r="Q263" s="113" t="e">
        <f ca="1"/>
        <v>#REF!</v>
      </c>
      <c r="R263" s="113" t="e">
        <f ca="1"/>
        <v>#REF!</v>
      </c>
      <c r="S263" s="113" t="e">
        <f ca="1"/>
        <v>#REF!</v>
      </c>
      <c r="T263" s="113" t="e">
        <f ca="1"/>
        <v>#REF!</v>
      </c>
      <c r="U263" s="113" t="e">
        <f ca="1"/>
        <v>#REF!</v>
      </c>
      <c r="V263" s="113" t="e">
        <f ca="1"/>
        <v>#REF!</v>
      </c>
      <c r="W263" s="113" t="e">
        <f ca="1"/>
        <v>#REF!</v>
      </c>
      <c r="X263" s="113" t="e">
        <f ca="1"/>
        <v>#REF!</v>
      </c>
      <c r="Y263" s="113" t="e">
        <f ca="1"/>
        <v>#REF!</v>
      </c>
      <c r="Z263" s="113" t="e">
        <f ca="1"/>
        <v>#REF!</v>
      </c>
      <c r="AA263" s="113"/>
      <c r="AB263" s="113"/>
      <c r="AC263" s="113"/>
      <c r="AD263" s="113"/>
      <c r="AE263" s="113" t="str">
        <f ca="1">IFERROR(__xludf.DUMMYFUNCTION("""COMPUTED_VALUE"""),"Parcial")</f>
        <v>Parcial</v>
      </c>
      <c r="AF263" s="113" t="str">
        <f ca="1">IFERROR(__xludf.DUMMYFUNCTION("""COMPUTED_VALUE"""),"FE")</f>
        <v>FE</v>
      </c>
      <c r="AG263" s="113">
        <f ca="1">IFERROR(__xludf.DUMMYFUNCTION("""COMPUTED_VALUE"""),0)</f>
        <v>0</v>
      </c>
      <c r="AH263" s="113">
        <f ca="1">IFERROR(__xludf.DUMMYFUNCTION("""COMPUTED_VALUE"""),0)</f>
        <v>0</v>
      </c>
      <c r="AI263" s="113">
        <f ca="1">IFERROR(__xludf.DUMMYFUNCTION("""COMPUTED_VALUE"""),0)</f>
        <v>0</v>
      </c>
      <c r="AJ263" s="113">
        <f ca="1">IFERROR(__xludf.DUMMYFUNCTION("""COMPUTED_VALUE"""),0)</f>
        <v>0</v>
      </c>
      <c r="AK263" s="113"/>
      <c r="AL263" s="116"/>
    </row>
    <row r="264" spans="1:38" ht="12.75">
      <c r="A264" s="112" t="str">
        <f ca="1">IFERROR(__xludf.DUMMYFUNCTION("""COMPUTED_VALUE"""),"17053455")</f>
        <v>17053455</v>
      </c>
      <c r="B264" s="113" t="str">
        <f ca="1">IFERROR(__xludf.DUMMYFUNCTION("""COMPUTED_VALUE"""),"Miracema")</f>
        <v>Miracema</v>
      </c>
      <c r="C264" s="113" t="str">
        <f ca="1">IFERROR(__xludf.DUMMYFUNCTION("""COMPUTED_VALUE"""),"Tocantinia")</f>
        <v>Tocantinia</v>
      </c>
      <c r="D264" s="114" t="str">
        <f ca="1">IFERROR(__xludf.DUMMYFUNCTION("""COMPUTED_VALUE"""),"ASS. APOIO AO CEM XERENTE WARA")</f>
        <v>ASS. APOIO AO CEM XERENTE WARA</v>
      </c>
      <c r="E264" s="113" t="str">
        <f ca="1">IFERROR(__xludf.DUMMYFUNCTION("""COMPUTED_VALUE"""),"Centro de Ensino Médio Indígena Xerente Wara")</f>
        <v>Centro de Ensino Médio Indígena Xerente Wara</v>
      </c>
      <c r="F264" s="115" t="str">
        <f ca="1">IFERROR(__xludf.DUMMYFUNCTION("""COMPUTED_VALUE"""),"17053455")</f>
        <v>17053455</v>
      </c>
      <c r="G264" s="113" t="str">
        <f ca="1">IFERROR(__xludf.DUMMYFUNCTION("""COMPUTED_VALUE"""),"07674098000101")</f>
        <v>07674098000101</v>
      </c>
      <c r="H264" s="115" t="str">
        <f ca="1">IFERROR(__xludf.DUMMYFUNCTION("""COMPUTED_VALUE"""),"001")</f>
        <v>001</v>
      </c>
      <c r="I264" s="115" t="str">
        <f ca="1">IFERROR(__xludf.DUMMYFUNCTION("""COMPUTED_VALUE"""),"0862")</f>
        <v>0862</v>
      </c>
      <c r="J264" s="115" t="str">
        <f ca="1">IFERROR(__xludf.DUMMYFUNCTION("""COMPUTED_VALUE"""),"183407")</f>
        <v>183407</v>
      </c>
      <c r="K264" s="113" t="e">
        <f ca="1"/>
        <v>#REF!</v>
      </c>
      <c r="L264" s="113" t="e">
        <f ca="1"/>
        <v>#REF!</v>
      </c>
      <c r="M264" s="113" t="e">
        <f ca="1"/>
        <v>#REF!</v>
      </c>
      <c r="N264" s="113" t="e">
        <f ca="1"/>
        <v>#REF!</v>
      </c>
      <c r="O264" s="113" t="e">
        <f ca="1"/>
        <v>#REF!</v>
      </c>
      <c r="P264" s="113" t="e">
        <f ca="1"/>
        <v>#REF!</v>
      </c>
      <c r="Q264" s="113" t="e">
        <f ca="1"/>
        <v>#REF!</v>
      </c>
      <c r="R264" s="113" t="e">
        <f ca="1"/>
        <v>#REF!</v>
      </c>
      <c r="S264" s="113" t="e">
        <f ca="1"/>
        <v>#REF!</v>
      </c>
      <c r="T264" s="113" t="e">
        <f ca="1"/>
        <v>#REF!</v>
      </c>
      <c r="U264" s="113" t="e">
        <f ca="1"/>
        <v>#REF!</v>
      </c>
      <c r="V264" s="113" t="e">
        <f ca="1"/>
        <v>#REF!</v>
      </c>
      <c r="W264" s="113" t="e">
        <f ca="1"/>
        <v>#REF!</v>
      </c>
      <c r="X264" s="113" t="e">
        <f ca="1"/>
        <v>#REF!</v>
      </c>
      <c r="Y264" s="113" t="e">
        <f ca="1"/>
        <v>#REF!</v>
      </c>
      <c r="Z264" s="113" t="e">
        <f ca="1"/>
        <v>#REF!</v>
      </c>
      <c r="AA264" s="113"/>
      <c r="AB264" s="113"/>
      <c r="AC264" s="113"/>
      <c r="AD264" s="113"/>
      <c r="AE264" s="113" t="str">
        <f ca="1">IFERROR(__xludf.DUMMYFUNCTION("""COMPUTED_VALUE"""),"Integral")</f>
        <v>Integral</v>
      </c>
      <c r="AF264" s="113" t="str">
        <f ca="1">IFERROR(__xludf.DUMMYFUNCTION("""COMPUTED_VALUE"""),"FE")</f>
        <v>FE</v>
      </c>
      <c r="AG264" s="113">
        <f ca="1">IFERROR(__xludf.DUMMYFUNCTION("""COMPUTED_VALUE"""),10)</f>
        <v>10</v>
      </c>
      <c r="AH264" s="113">
        <f ca="1">IFERROR(__xludf.DUMMYFUNCTION("""COMPUTED_VALUE"""),0)</f>
        <v>0</v>
      </c>
      <c r="AI264" s="113">
        <f ca="1">IFERROR(__xludf.DUMMYFUNCTION("""COMPUTED_VALUE"""),0)</f>
        <v>0</v>
      </c>
      <c r="AJ264" s="113">
        <f ca="1">IFERROR(__xludf.DUMMYFUNCTION("""COMPUTED_VALUE"""),9)</f>
        <v>9</v>
      </c>
      <c r="AK264" s="113"/>
      <c r="AL264" s="116"/>
    </row>
    <row r="265" spans="1:38" ht="12.75">
      <c r="A265" s="112" t="str">
        <f ca="1">IFERROR(__xludf.DUMMYFUNCTION("""COMPUTED_VALUE"""),"17026946")</f>
        <v>17026946</v>
      </c>
      <c r="B265" s="113" t="str">
        <f ca="1">IFERROR(__xludf.DUMMYFUNCTION("""COMPUTED_VALUE"""),"Miracema")</f>
        <v>Miracema</v>
      </c>
      <c r="C265" s="113" t="str">
        <f ca="1">IFERROR(__xludf.DUMMYFUNCTION("""COMPUTED_VALUE"""),"Tocantinia")</f>
        <v>Tocantinia</v>
      </c>
      <c r="D265" s="114" t="str">
        <f ca="1">IFERROR(__xludf.DUMMYFUNCTION("""COMPUTED_VALUE"""),"A.COM.DO COLEGIO FREI ANTONIO CONVENIADO")</f>
        <v>A.COM.DO COLEGIO FREI ANTONIO CONVENIADO</v>
      </c>
      <c r="E265" s="113" t="str">
        <f ca="1">IFERROR(__xludf.DUMMYFUNCTION("""COMPUTED_VALUE"""),"Centro Educacional Fé E Alegria - Frei Antônio")</f>
        <v>Centro Educacional Fé E Alegria - Frei Antônio</v>
      </c>
      <c r="F265" s="115" t="str">
        <f ca="1">IFERROR(__xludf.DUMMYFUNCTION("""COMPUTED_VALUE"""),"17026946")</f>
        <v>17026946</v>
      </c>
      <c r="G265" s="113" t="str">
        <f ca="1">IFERROR(__xludf.DUMMYFUNCTION("""COMPUTED_VALUE"""),"01066427000155")</f>
        <v>01066427000155</v>
      </c>
      <c r="H265" s="115" t="str">
        <f ca="1">IFERROR(__xludf.DUMMYFUNCTION("""COMPUTED_VALUE"""),"001")</f>
        <v>001</v>
      </c>
      <c r="I265" s="115" t="str">
        <f ca="1">IFERROR(__xludf.DUMMYFUNCTION("""COMPUTED_VALUE"""),"0862")</f>
        <v>0862</v>
      </c>
      <c r="J265" s="115" t="str">
        <f ca="1">IFERROR(__xludf.DUMMYFUNCTION("""COMPUTED_VALUE"""),"68985")</f>
        <v>68985</v>
      </c>
      <c r="K265" s="113" t="e">
        <f ca="1"/>
        <v>#REF!</v>
      </c>
      <c r="L265" s="113" t="e">
        <f ca="1"/>
        <v>#REF!</v>
      </c>
      <c r="M265" s="113" t="e">
        <f ca="1"/>
        <v>#REF!</v>
      </c>
      <c r="N265" s="113" t="e">
        <f ca="1"/>
        <v>#REF!</v>
      </c>
      <c r="O265" s="113" t="e">
        <f ca="1"/>
        <v>#REF!</v>
      </c>
      <c r="P265" s="113" t="e">
        <f ca="1"/>
        <v>#REF!</v>
      </c>
      <c r="Q265" s="113" t="e">
        <f ca="1"/>
        <v>#REF!</v>
      </c>
      <c r="R265" s="113" t="e">
        <f ca="1"/>
        <v>#REF!</v>
      </c>
      <c r="S265" s="113" t="e">
        <f ca="1"/>
        <v>#REF!</v>
      </c>
      <c r="T265" s="113" t="e">
        <f ca="1"/>
        <v>#REF!</v>
      </c>
      <c r="U265" s="113" t="e">
        <f ca="1"/>
        <v>#REF!</v>
      </c>
      <c r="V265" s="113" t="e">
        <f ca="1"/>
        <v>#REF!</v>
      </c>
      <c r="W265" s="113" t="e">
        <f ca="1"/>
        <v>#REF!</v>
      </c>
      <c r="X265" s="113" t="e">
        <f ca="1"/>
        <v>#REF!</v>
      </c>
      <c r="Y265" s="113" t="e">
        <f ca="1"/>
        <v>#REF!</v>
      </c>
      <c r="Z265" s="113" t="e">
        <f ca="1"/>
        <v>#REF!</v>
      </c>
      <c r="AA265" s="113"/>
      <c r="AB265" s="113"/>
      <c r="AC265" s="113"/>
      <c r="AD265" s="113" t="str">
        <f ca="1">IFERROR(__xludf.DUMMYFUNCTION("""COMPUTED_VALUE"""),"INDIGENA /QUILOMBOLA PARCIAL")</f>
        <v>INDIGENA /QUILOMBOLA PARCIAL</v>
      </c>
      <c r="AE265" s="113" t="str">
        <f ca="1">IFERROR(__xludf.DUMMYFUNCTION("""COMPUTED_VALUE"""),"Parcial/Integral")</f>
        <v>Parcial/Integral</v>
      </c>
      <c r="AF265" s="113" t="str">
        <f ca="1">IFERROR(__xludf.DUMMYFUNCTION("""COMPUTED_VALUE"""),"FE")</f>
        <v>FE</v>
      </c>
      <c r="AG265" s="113">
        <f ca="1">IFERROR(__xludf.DUMMYFUNCTION("""COMPUTED_VALUE"""),0)</f>
        <v>0</v>
      </c>
      <c r="AH265" s="113">
        <f ca="1">IFERROR(__xludf.DUMMYFUNCTION("""COMPUTED_VALUE"""),0)</f>
        <v>0</v>
      </c>
      <c r="AI265" s="113">
        <f ca="1">IFERROR(__xludf.DUMMYFUNCTION("""COMPUTED_VALUE"""),0)</f>
        <v>0</v>
      </c>
      <c r="AJ265" s="113">
        <f ca="1">IFERROR(__xludf.DUMMYFUNCTION("""COMPUTED_VALUE"""),20)</f>
        <v>20</v>
      </c>
      <c r="AK265" s="113"/>
      <c r="AL265" s="116"/>
    </row>
    <row r="266" spans="1:38" ht="12.75">
      <c r="A266" s="112" t="str">
        <f ca="1">IFERROR(__xludf.DUMMYFUNCTION("""COMPUTED_VALUE"""),"17026920")</f>
        <v>17026920</v>
      </c>
      <c r="B266" s="113" t="str">
        <f ca="1">IFERROR(__xludf.DUMMYFUNCTION("""COMPUTED_VALUE"""),"Miracema")</f>
        <v>Miracema</v>
      </c>
      <c r="C266" s="113" t="str">
        <f ca="1">IFERROR(__xludf.DUMMYFUNCTION("""COMPUTED_VALUE"""),"Tocantinia")</f>
        <v>Tocantinia</v>
      </c>
      <c r="D266" s="114" t="str">
        <f ca="1">IFERROR(__xludf.DUMMYFUNCTION("""COMPUTED_VALUE"""),"ASSOC. DE PAIS E MEST. DO COL. EST. BATISTA PROFª BEATRIZ R. DA SILVA")</f>
        <v>ASSOC. DE PAIS E MEST. DO COL. EST. BATISTA PROFª BEATRIZ R. DA SILVA</v>
      </c>
      <c r="E266" s="113" t="str">
        <f ca="1">IFERROR(__xludf.DUMMYFUNCTION("""COMPUTED_VALUE"""),"Colégio Estadual Batista Professora Beatriz Rodrigues da Silva")</f>
        <v>Colégio Estadual Batista Professora Beatriz Rodrigues da Silva</v>
      </c>
      <c r="F266" s="115" t="str">
        <f ca="1">IFERROR(__xludf.DUMMYFUNCTION("""COMPUTED_VALUE"""),"17026920")</f>
        <v>17026920</v>
      </c>
      <c r="G266" s="113" t="str">
        <f ca="1">IFERROR(__xludf.DUMMYFUNCTION("""COMPUTED_VALUE"""),"15132209000186")</f>
        <v>15132209000186</v>
      </c>
      <c r="H266" s="115" t="str">
        <f ca="1">IFERROR(__xludf.DUMMYFUNCTION("""COMPUTED_VALUE"""),"001")</f>
        <v>001</v>
      </c>
      <c r="I266" s="115" t="str">
        <f ca="1">IFERROR(__xludf.DUMMYFUNCTION("""COMPUTED_VALUE"""),"0862")</f>
        <v>0862</v>
      </c>
      <c r="J266" s="115" t="str">
        <f ca="1">IFERROR(__xludf.DUMMYFUNCTION("""COMPUTED_VALUE"""),"277037")</f>
        <v>277037</v>
      </c>
      <c r="K266" s="113" t="e">
        <f ca="1"/>
        <v>#REF!</v>
      </c>
      <c r="L266" s="113" t="e">
        <f ca="1"/>
        <v>#REF!</v>
      </c>
      <c r="M266" s="113" t="e">
        <f ca="1"/>
        <v>#REF!</v>
      </c>
      <c r="N266" s="113" t="e">
        <f ca="1"/>
        <v>#REF!</v>
      </c>
      <c r="O266" s="113" t="e">
        <f ca="1"/>
        <v>#REF!</v>
      </c>
      <c r="P266" s="113" t="e">
        <f ca="1"/>
        <v>#REF!</v>
      </c>
      <c r="Q266" s="113" t="e">
        <f ca="1"/>
        <v>#REF!</v>
      </c>
      <c r="R266" s="113" t="e">
        <f ca="1"/>
        <v>#REF!</v>
      </c>
      <c r="S266" s="113" t="e">
        <f ca="1"/>
        <v>#REF!</v>
      </c>
      <c r="T266" s="113" t="e">
        <f ca="1"/>
        <v>#REF!</v>
      </c>
      <c r="U266" s="113" t="e">
        <f ca="1"/>
        <v>#REF!</v>
      </c>
      <c r="V266" s="113" t="e">
        <f ca="1"/>
        <v>#REF!</v>
      </c>
      <c r="W266" s="113" t="e">
        <f ca="1"/>
        <v>#REF!</v>
      </c>
      <c r="X266" s="113" t="e">
        <f ca="1"/>
        <v>#REF!</v>
      </c>
      <c r="Y266" s="113" t="e">
        <f ca="1"/>
        <v>#REF!</v>
      </c>
      <c r="Z266" s="113" t="e">
        <f ca="1"/>
        <v>#REF!</v>
      </c>
      <c r="AA266" s="113"/>
      <c r="AB266" s="113"/>
      <c r="AC266" s="113"/>
      <c r="AD266" s="113"/>
      <c r="AE266" s="113" t="str">
        <f ca="1">IFERROR(__xludf.DUMMYFUNCTION("""COMPUTED_VALUE"""),"Parcial/Integral")</f>
        <v>Parcial/Integral</v>
      </c>
      <c r="AF266" s="113" t="str">
        <f ca="1">IFERROR(__xludf.DUMMYFUNCTION("""COMPUTED_VALUE"""),"FE")</f>
        <v>FE</v>
      </c>
      <c r="AG266" s="113">
        <f ca="1">IFERROR(__xludf.DUMMYFUNCTION("""COMPUTED_VALUE"""),0)</f>
        <v>0</v>
      </c>
      <c r="AH266" s="113">
        <f ca="1">IFERROR(__xludf.DUMMYFUNCTION("""COMPUTED_VALUE"""),0)</f>
        <v>0</v>
      </c>
      <c r="AI266" s="113">
        <f ca="1">IFERROR(__xludf.DUMMYFUNCTION("""COMPUTED_VALUE"""),0)</f>
        <v>0</v>
      </c>
      <c r="AJ266" s="113">
        <f ca="1">IFERROR(__xludf.DUMMYFUNCTION("""COMPUTED_VALUE"""),0)</f>
        <v>0</v>
      </c>
      <c r="AK266" s="113"/>
      <c r="AL266" s="116"/>
    </row>
    <row r="267" spans="1:38" ht="12.75">
      <c r="A267" s="112" t="str">
        <f ca="1">IFERROR(__xludf.DUMMYFUNCTION("""COMPUTED_VALUE"""),"17023394")</f>
        <v>17023394</v>
      </c>
      <c r="B267" s="113" t="str">
        <f ca="1">IFERROR(__xludf.DUMMYFUNCTION("""COMPUTED_VALUE"""),"Palmas")</f>
        <v>Palmas</v>
      </c>
      <c r="C267" s="113" t="str">
        <f ca="1">IFERROR(__xludf.DUMMYFUNCTION("""COMPUTED_VALUE"""),"Aparecida do Rio Negro")</f>
        <v>Aparecida do Rio Negro</v>
      </c>
      <c r="D267" s="114" t="str">
        <f ca="1">IFERROR(__xludf.DUMMYFUNCTION("""COMPUTED_VALUE"""),"ASS. DE AP. DO COL. EST. MEIRA MATOS")</f>
        <v>ASS. DE AP. DO COL. EST. MEIRA MATOS</v>
      </c>
      <c r="E267" s="113" t="str">
        <f ca="1">IFERROR(__xludf.DUMMYFUNCTION("""COMPUTED_VALUE"""),"Colégio Estadual de Tempo Integral Meira Matos")</f>
        <v>Colégio Estadual de Tempo Integral Meira Matos</v>
      </c>
      <c r="F267" s="115" t="str">
        <f ca="1">IFERROR(__xludf.DUMMYFUNCTION("""COMPUTED_VALUE"""),"17023394")</f>
        <v>17023394</v>
      </c>
      <c r="G267" s="113" t="str">
        <f ca="1">IFERROR(__xludf.DUMMYFUNCTION("""COMPUTED_VALUE"""),"01186452000172")</f>
        <v>01186452000172</v>
      </c>
      <c r="H267" s="115" t="str">
        <f ca="1">IFERROR(__xludf.DUMMYFUNCTION("""COMPUTED_VALUE"""),"001")</f>
        <v>001</v>
      </c>
      <c r="I267" s="115" t="str">
        <f ca="1">IFERROR(__xludf.DUMMYFUNCTION("""COMPUTED_VALUE"""),"1505")</f>
        <v>1505</v>
      </c>
      <c r="J267" s="115" t="str">
        <f ca="1">IFERROR(__xludf.DUMMYFUNCTION("""COMPUTED_VALUE"""),"327972")</f>
        <v>327972</v>
      </c>
      <c r="K267" s="113" t="e">
        <f ca="1"/>
        <v>#REF!</v>
      </c>
      <c r="L267" s="113" t="e">
        <f ca="1"/>
        <v>#REF!</v>
      </c>
      <c r="M267" s="113" t="e">
        <f ca="1"/>
        <v>#REF!</v>
      </c>
      <c r="N267" s="113" t="e">
        <f ca="1"/>
        <v>#REF!</v>
      </c>
      <c r="O267" s="113" t="e">
        <f ca="1"/>
        <v>#REF!</v>
      </c>
      <c r="P267" s="113" t="e">
        <f ca="1"/>
        <v>#REF!</v>
      </c>
      <c r="Q267" s="113" t="e">
        <f ca="1"/>
        <v>#REF!</v>
      </c>
      <c r="R267" s="113" t="e">
        <f ca="1"/>
        <v>#REF!</v>
      </c>
      <c r="S267" s="113" t="e">
        <f ca="1"/>
        <v>#REF!</v>
      </c>
      <c r="T267" s="113" t="e">
        <f ca="1"/>
        <v>#REF!</v>
      </c>
      <c r="U267" s="113" t="e">
        <f ca="1"/>
        <v>#REF!</v>
      </c>
      <c r="V267" s="113" t="e">
        <f ca="1"/>
        <v>#REF!</v>
      </c>
      <c r="W267" s="113" t="e">
        <f ca="1"/>
        <v>#REF!</v>
      </c>
      <c r="X267" s="113" t="e">
        <f ca="1"/>
        <v>#REF!</v>
      </c>
      <c r="Y267" s="113" t="e">
        <f ca="1"/>
        <v>#REF!</v>
      </c>
      <c r="Z267" s="113" t="e">
        <f ca="1"/>
        <v>#REF!</v>
      </c>
      <c r="AA267" s="113"/>
      <c r="AB267" s="113"/>
      <c r="AC267" s="113"/>
      <c r="AD267" s="113"/>
      <c r="AE267" s="113" t="str">
        <f ca="1">IFERROR(__xludf.DUMMYFUNCTION("""COMPUTED_VALUE"""),"Parcial")</f>
        <v>Parcial</v>
      </c>
      <c r="AF267" s="113" t="str">
        <f ca="1">IFERROR(__xludf.DUMMYFUNCTION("""COMPUTED_VALUE"""),"FE")</f>
        <v>FE</v>
      </c>
      <c r="AG267" s="113">
        <f ca="1">IFERROR(__xludf.DUMMYFUNCTION("""COMPUTED_VALUE"""),0)</f>
        <v>0</v>
      </c>
      <c r="AH267" s="113">
        <f ca="1">IFERROR(__xludf.DUMMYFUNCTION("""COMPUTED_VALUE"""),0)</f>
        <v>0</v>
      </c>
      <c r="AI267" s="113">
        <f ca="1">IFERROR(__xludf.DUMMYFUNCTION("""COMPUTED_VALUE"""),0)</f>
        <v>0</v>
      </c>
      <c r="AJ267" s="113">
        <f ca="1">IFERROR(__xludf.DUMMYFUNCTION("""COMPUTED_VALUE"""),0)</f>
        <v>0</v>
      </c>
      <c r="AK267" s="113"/>
      <c r="AL267" s="116"/>
    </row>
    <row r="268" spans="1:38" ht="12.75">
      <c r="A268" s="112" t="str">
        <f ca="1">IFERROR(__xludf.DUMMYFUNCTION("""COMPUTED_VALUE"""),"17029864")</f>
        <v>17029864</v>
      </c>
      <c r="B268" s="113" t="str">
        <f ca="1">IFERROR(__xludf.DUMMYFUNCTION("""COMPUTED_VALUE"""),"Palmas")</f>
        <v>Palmas</v>
      </c>
      <c r="C268" s="113" t="str">
        <f ca="1">IFERROR(__xludf.DUMMYFUNCTION("""COMPUTED_VALUE"""),"Lagoa do Tocantins")</f>
        <v>Lagoa do Tocantins</v>
      </c>
      <c r="D268" s="114" t="str">
        <f ca="1">IFERROR(__xludf.DUMMYFUNCTION("""COMPUTED_VALUE"""),"ASS. DE AP. DA ESC. EST. SALMON DO A.BRITO")</f>
        <v>ASS. DE AP. DA ESC. EST. SALMON DO A.BRITO</v>
      </c>
      <c r="E268" s="113" t="str">
        <f ca="1">IFERROR(__xludf.DUMMYFUNCTION("""COMPUTED_VALUE"""),"Escola Estadual Salmon do Amaral Brito")</f>
        <v>Escola Estadual Salmon do Amaral Brito</v>
      </c>
      <c r="F268" s="115" t="str">
        <f ca="1">IFERROR(__xludf.DUMMYFUNCTION("""COMPUTED_VALUE"""),"17029864")</f>
        <v>17029864</v>
      </c>
      <c r="G268" s="113" t="str">
        <f ca="1">IFERROR(__xludf.DUMMYFUNCTION("""COMPUTED_VALUE"""),"01440941000109")</f>
        <v>01440941000109</v>
      </c>
      <c r="H268" s="115" t="str">
        <f ca="1">IFERROR(__xludf.DUMMYFUNCTION("""COMPUTED_VALUE"""),"001")</f>
        <v>001</v>
      </c>
      <c r="I268" s="115" t="str">
        <f ca="1">IFERROR(__xludf.DUMMYFUNCTION("""COMPUTED_VALUE"""),"1505")</f>
        <v>1505</v>
      </c>
      <c r="J268" s="115" t="str">
        <f ca="1">IFERROR(__xludf.DUMMYFUNCTION("""COMPUTED_VALUE"""),"465410")</f>
        <v>465410</v>
      </c>
      <c r="K268" s="113" t="e">
        <f ca="1"/>
        <v>#REF!</v>
      </c>
      <c r="L268" s="113" t="e">
        <f ca="1"/>
        <v>#REF!</v>
      </c>
      <c r="M268" s="113" t="e">
        <f ca="1"/>
        <v>#REF!</v>
      </c>
      <c r="N268" s="113" t="e">
        <f ca="1"/>
        <v>#REF!</v>
      </c>
      <c r="O268" s="113" t="e">
        <f ca="1"/>
        <v>#REF!</v>
      </c>
      <c r="P268" s="113" t="e">
        <f ca="1"/>
        <v>#REF!</v>
      </c>
      <c r="Q268" s="113" t="e">
        <f ca="1"/>
        <v>#REF!</v>
      </c>
      <c r="R268" s="113" t="e">
        <f ca="1"/>
        <v>#REF!</v>
      </c>
      <c r="S268" s="113" t="e">
        <f ca="1"/>
        <v>#REF!</v>
      </c>
      <c r="T268" s="113" t="e">
        <f ca="1"/>
        <v>#REF!</v>
      </c>
      <c r="U268" s="113" t="e">
        <f ca="1"/>
        <v>#REF!</v>
      </c>
      <c r="V268" s="113" t="e">
        <f ca="1"/>
        <v>#REF!</v>
      </c>
      <c r="W268" s="113" t="e">
        <f ca="1"/>
        <v>#REF!</v>
      </c>
      <c r="X268" s="113" t="e">
        <f ca="1"/>
        <v>#REF!</v>
      </c>
      <c r="Y268" s="113" t="e">
        <f ca="1"/>
        <v>#REF!</v>
      </c>
      <c r="Z268" s="113" t="e">
        <f ca="1"/>
        <v>#REF!</v>
      </c>
      <c r="AA268" s="113"/>
      <c r="AB268" s="113"/>
      <c r="AC268" s="113"/>
      <c r="AD268" s="113"/>
      <c r="AE268" s="113" t="str">
        <f ca="1">IFERROR(__xludf.DUMMYFUNCTION("""COMPUTED_VALUE"""),"Parcial")</f>
        <v>Parcial</v>
      </c>
      <c r="AF268" s="113" t="str">
        <f ca="1">IFERROR(__xludf.DUMMYFUNCTION("""COMPUTED_VALUE"""),"FE")</f>
        <v>FE</v>
      </c>
      <c r="AG268" s="113">
        <f ca="1">IFERROR(__xludf.DUMMYFUNCTION("""COMPUTED_VALUE"""),0)</f>
        <v>0</v>
      </c>
      <c r="AH268" s="113">
        <f ca="1">IFERROR(__xludf.DUMMYFUNCTION("""COMPUTED_VALUE"""),0)</f>
        <v>0</v>
      </c>
      <c r="AI268" s="113">
        <f ca="1">IFERROR(__xludf.DUMMYFUNCTION("""COMPUTED_VALUE"""),0)</f>
        <v>0</v>
      </c>
      <c r="AJ268" s="113">
        <f ca="1">IFERROR(__xludf.DUMMYFUNCTION("""COMPUTED_VALUE"""),0)</f>
        <v>0</v>
      </c>
      <c r="AK268" s="113"/>
      <c r="AL268" s="116"/>
    </row>
    <row r="269" spans="1:38" ht="12.75">
      <c r="A269" s="112" t="str">
        <f ca="1">IFERROR(__xludf.DUMMYFUNCTION("""COMPUTED_VALUE"""),"17023858")</f>
        <v>17023858</v>
      </c>
      <c r="B269" s="113" t="str">
        <f ca="1">IFERROR(__xludf.DUMMYFUNCTION("""COMPUTED_VALUE"""),"Palmas")</f>
        <v>Palmas</v>
      </c>
      <c r="C269" s="113" t="str">
        <f ca="1">IFERROR(__xludf.DUMMYFUNCTION("""COMPUTED_VALUE"""),"Lajeado")</f>
        <v>Lajeado</v>
      </c>
      <c r="D269" s="114" t="str">
        <f ca="1">IFERROR(__xludf.DUMMYFUNCTION("""COMPUTED_VALUE"""),"A.A. COM. E. E.N.SRA.DA PROVIDENCIA")</f>
        <v>A.A. COM. E. E.N.SRA.DA PROVIDENCIA</v>
      </c>
      <c r="E269" s="113" t="str">
        <f ca="1">IFERROR(__xludf.DUMMYFUNCTION("""COMPUTED_VALUE"""),"Colégio Estadual Nossa Senhora da Providência")</f>
        <v>Colégio Estadual Nossa Senhora da Providência</v>
      </c>
      <c r="F269" s="115" t="str">
        <f ca="1">IFERROR(__xludf.DUMMYFUNCTION("""COMPUTED_VALUE"""),"17023858")</f>
        <v>17023858</v>
      </c>
      <c r="G269" s="113" t="str">
        <f ca="1">IFERROR(__xludf.DUMMYFUNCTION("""COMPUTED_VALUE"""),"01138324000153")</f>
        <v>01138324000153</v>
      </c>
      <c r="H269" s="115" t="str">
        <f ca="1">IFERROR(__xludf.DUMMYFUNCTION("""COMPUTED_VALUE"""),"001")</f>
        <v>001</v>
      </c>
      <c r="I269" s="115" t="str">
        <f ca="1">IFERROR(__xludf.DUMMYFUNCTION("""COMPUTED_VALUE"""),"0862")</f>
        <v>0862</v>
      </c>
      <c r="J269" s="115" t="str">
        <f ca="1">IFERROR(__xludf.DUMMYFUNCTION("""COMPUTED_VALUE"""),"69132")</f>
        <v>69132</v>
      </c>
      <c r="K269" s="113" t="e">
        <f ca="1"/>
        <v>#REF!</v>
      </c>
      <c r="L269" s="113" t="e">
        <f ca="1"/>
        <v>#REF!</v>
      </c>
      <c r="M269" s="113" t="e">
        <f ca="1"/>
        <v>#REF!</v>
      </c>
      <c r="N269" s="113" t="e">
        <f ca="1"/>
        <v>#REF!</v>
      </c>
      <c r="O269" s="113" t="e">
        <f ca="1"/>
        <v>#REF!</v>
      </c>
      <c r="P269" s="113" t="e">
        <f ca="1"/>
        <v>#REF!</v>
      </c>
      <c r="Q269" s="113" t="e">
        <f ca="1"/>
        <v>#REF!</v>
      </c>
      <c r="R269" s="113" t="e">
        <f ca="1"/>
        <v>#REF!</v>
      </c>
      <c r="S269" s="113" t="e">
        <f ca="1"/>
        <v>#REF!</v>
      </c>
      <c r="T269" s="113" t="e">
        <f ca="1"/>
        <v>#REF!</v>
      </c>
      <c r="U269" s="113" t="e">
        <f ca="1"/>
        <v>#REF!</v>
      </c>
      <c r="V269" s="113" t="e">
        <f ca="1"/>
        <v>#REF!</v>
      </c>
      <c r="W269" s="113" t="e">
        <f ca="1"/>
        <v>#REF!</v>
      </c>
      <c r="X269" s="113" t="e">
        <f ca="1"/>
        <v>#REF!</v>
      </c>
      <c r="Y269" s="113" t="e">
        <f ca="1"/>
        <v>#REF!</v>
      </c>
      <c r="Z269" s="113" t="e">
        <f ca="1"/>
        <v>#REF!</v>
      </c>
      <c r="AA269" s="113"/>
      <c r="AB269" s="113"/>
      <c r="AC269" s="113"/>
      <c r="AD269" s="113"/>
      <c r="AE269" s="113" t="str">
        <f ca="1">IFERROR(__xludf.DUMMYFUNCTION("""COMPUTED_VALUE"""),"Parcial")</f>
        <v>Parcial</v>
      </c>
      <c r="AF269" s="113" t="str">
        <f ca="1">IFERROR(__xludf.DUMMYFUNCTION("""COMPUTED_VALUE"""),"FE")</f>
        <v>FE</v>
      </c>
      <c r="AG269" s="113">
        <f ca="1">IFERROR(__xludf.DUMMYFUNCTION("""COMPUTED_VALUE"""),0)</f>
        <v>0</v>
      </c>
      <c r="AH269" s="113">
        <f ca="1">IFERROR(__xludf.DUMMYFUNCTION("""COMPUTED_VALUE"""),0)</f>
        <v>0</v>
      </c>
      <c r="AI269" s="113">
        <f ca="1">IFERROR(__xludf.DUMMYFUNCTION("""COMPUTED_VALUE"""),0)</f>
        <v>0</v>
      </c>
      <c r="AJ269" s="113">
        <f ca="1">IFERROR(__xludf.DUMMYFUNCTION("""COMPUTED_VALUE"""),0)</f>
        <v>0</v>
      </c>
      <c r="AK269" s="113"/>
      <c r="AL269" s="116"/>
    </row>
    <row r="270" spans="1:38" ht="12.75">
      <c r="A270" s="112" t="str">
        <f ca="1">IFERROR(__xludf.DUMMYFUNCTION("""COMPUTED_VALUE"""),"17030412")</f>
        <v>17030412</v>
      </c>
      <c r="B270" s="113" t="str">
        <f ca="1">IFERROR(__xludf.DUMMYFUNCTION("""COMPUTED_VALUE"""),"Palmas")</f>
        <v>Palmas</v>
      </c>
      <c r="C270" s="113" t="str">
        <f ca="1">IFERROR(__xludf.DUMMYFUNCTION("""COMPUTED_VALUE"""),"Mateiros")</f>
        <v>Mateiros</v>
      </c>
      <c r="D270" s="114" t="str">
        <f ca="1">IFERROR(__xludf.DUMMYFUNCTION("""COMPUTED_VALUE"""),"ASS. A. ESC. EST.ESTEFANIO TELES DAS CHAGAS")</f>
        <v>ASS. A. ESC. EST.ESTEFANIO TELES DAS CHAGAS</v>
      </c>
      <c r="E270" s="113" t="str">
        <f ca="1">IFERROR(__xludf.DUMMYFUNCTION("""COMPUTED_VALUE"""),"Escola Estadual Estefânio Teles das Chagas")</f>
        <v>Escola Estadual Estefânio Teles das Chagas</v>
      </c>
      <c r="F270" s="115" t="str">
        <f ca="1">IFERROR(__xludf.DUMMYFUNCTION("""COMPUTED_VALUE"""),"17030412")</f>
        <v>17030412</v>
      </c>
      <c r="G270" s="113" t="str">
        <f ca="1">IFERROR(__xludf.DUMMYFUNCTION("""COMPUTED_VALUE"""),"01206219000104")</f>
        <v>01206219000104</v>
      </c>
      <c r="H270" s="115" t="str">
        <f ca="1">IFERROR(__xludf.DUMMYFUNCTION("""COMPUTED_VALUE"""),"001")</f>
        <v>001</v>
      </c>
      <c r="I270" s="115" t="str">
        <f ca="1">IFERROR(__xludf.DUMMYFUNCTION("""COMPUTED_VALUE"""),"3962")</f>
        <v>3962</v>
      </c>
      <c r="J270" s="115" t="str">
        <f ca="1">IFERROR(__xludf.DUMMYFUNCTION("""COMPUTED_VALUE"""),"127795")</f>
        <v>127795</v>
      </c>
      <c r="K270" s="113" t="e">
        <f ca="1"/>
        <v>#REF!</v>
      </c>
      <c r="L270" s="113" t="e">
        <f ca="1"/>
        <v>#REF!</v>
      </c>
      <c r="M270" s="113" t="e">
        <f ca="1"/>
        <v>#REF!</v>
      </c>
      <c r="N270" s="113" t="e">
        <f ca="1"/>
        <v>#REF!</v>
      </c>
      <c r="O270" s="113" t="e">
        <f ca="1"/>
        <v>#REF!</v>
      </c>
      <c r="P270" s="113" t="e">
        <f ca="1"/>
        <v>#REF!</v>
      </c>
      <c r="Q270" s="113" t="e">
        <f ca="1"/>
        <v>#REF!</v>
      </c>
      <c r="R270" s="113" t="e">
        <f ca="1"/>
        <v>#REF!</v>
      </c>
      <c r="S270" s="113" t="e">
        <f ca="1"/>
        <v>#REF!</v>
      </c>
      <c r="T270" s="113" t="e">
        <f ca="1"/>
        <v>#REF!</v>
      </c>
      <c r="U270" s="113" t="e">
        <f ca="1"/>
        <v>#REF!</v>
      </c>
      <c r="V270" s="113" t="e">
        <f ca="1"/>
        <v>#REF!</v>
      </c>
      <c r="W270" s="113" t="e">
        <f ca="1"/>
        <v>#REF!</v>
      </c>
      <c r="X270" s="113" t="e">
        <f ca="1"/>
        <v>#REF!</v>
      </c>
      <c r="Y270" s="113" t="e">
        <f ca="1"/>
        <v>#REF!</v>
      </c>
      <c r="Z270" s="113" t="e">
        <f ca="1"/>
        <v>#REF!</v>
      </c>
      <c r="AA270" s="113"/>
      <c r="AB270" s="113"/>
      <c r="AC270" s="113"/>
      <c r="AD270" s="113"/>
      <c r="AE270" s="113" t="str">
        <f ca="1">IFERROR(__xludf.DUMMYFUNCTION("""COMPUTED_VALUE"""),"Parcial")</f>
        <v>Parcial</v>
      </c>
      <c r="AF270" s="113" t="str">
        <f ca="1">IFERROR(__xludf.DUMMYFUNCTION("""COMPUTED_VALUE"""),"FE")</f>
        <v>FE</v>
      </c>
      <c r="AG270" s="113">
        <f ca="1">IFERROR(__xludf.DUMMYFUNCTION("""COMPUTED_VALUE"""),0)</f>
        <v>0</v>
      </c>
      <c r="AH270" s="113">
        <f ca="1">IFERROR(__xludf.DUMMYFUNCTION("""COMPUTED_VALUE"""),0)</f>
        <v>0</v>
      </c>
      <c r="AI270" s="113">
        <f ca="1">IFERROR(__xludf.DUMMYFUNCTION("""COMPUTED_VALUE"""),0)</f>
        <v>0</v>
      </c>
      <c r="AJ270" s="113">
        <f ca="1">IFERROR(__xludf.DUMMYFUNCTION("""COMPUTED_VALUE"""),0)</f>
        <v>0</v>
      </c>
      <c r="AK270" s="113"/>
      <c r="AL270" s="116"/>
    </row>
    <row r="271" spans="1:38" ht="12.75">
      <c r="A271" s="112" t="str">
        <f ca="1">IFERROR(__xludf.DUMMYFUNCTION("""COMPUTED_VALUE"""),"17098807")</f>
        <v>17098807</v>
      </c>
      <c r="B271" s="113" t="str">
        <f ca="1">IFERROR(__xludf.DUMMYFUNCTION("""COMPUTED_VALUE"""),"Palmas")</f>
        <v>Palmas</v>
      </c>
      <c r="C271" s="113" t="str">
        <f ca="1">IFERROR(__xludf.DUMMYFUNCTION("""COMPUTED_VALUE"""),"Mateiros")</f>
        <v>Mateiros</v>
      </c>
      <c r="D271" s="114" t="str">
        <f ca="1">IFERROR(__xludf.DUMMYFUNCTION("""COMPUTED_VALUE"""),"ASSOC. DE APOIO A ESC. EST. SILVERIO RIBEIRO MATOS")</f>
        <v>ASSOC. DE APOIO A ESC. EST. SILVERIO RIBEIRO MATOS</v>
      </c>
      <c r="E271" s="113" t="str">
        <f ca="1">IFERROR(__xludf.DUMMYFUNCTION("""COMPUTED_VALUE"""),"Escola Estadual Silvério Ribeiro de Matos")</f>
        <v>Escola Estadual Silvério Ribeiro de Matos</v>
      </c>
      <c r="F271" s="115" t="str">
        <f ca="1">IFERROR(__xludf.DUMMYFUNCTION("""COMPUTED_VALUE"""),"17098807")</f>
        <v>17098807</v>
      </c>
      <c r="G271" s="113" t="str">
        <f ca="1">IFERROR(__xludf.DUMMYFUNCTION("""COMPUTED_VALUE"""),"13439520000147")</f>
        <v>13439520000147</v>
      </c>
      <c r="H271" s="115" t="str">
        <f ca="1">IFERROR(__xludf.DUMMYFUNCTION("""COMPUTED_VALUE"""),"001")</f>
        <v>001</v>
      </c>
      <c r="I271" s="115" t="str">
        <f ca="1">IFERROR(__xludf.DUMMYFUNCTION("""COMPUTED_VALUE"""),"3962")</f>
        <v>3962</v>
      </c>
      <c r="J271" s="115" t="str">
        <f ca="1">IFERROR(__xludf.DUMMYFUNCTION("""COMPUTED_VALUE"""),"261882")</f>
        <v>261882</v>
      </c>
      <c r="K271" s="113" t="e">
        <f ca="1"/>
        <v>#REF!</v>
      </c>
      <c r="L271" s="113" t="e">
        <f ca="1"/>
        <v>#REF!</v>
      </c>
      <c r="M271" s="113" t="e">
        <f ca="1"/>
        <v>#REF!</v>
      </c>
      <c r="N271" s="113" t="e">
        <f ca="1"/>
        <v>#REF!</v>
      </c>
      <c r="O271" s="113" t="e">
        <f ca="1"/>
        <v>#REF!</v>
      </c>
      <c r="P271" s="113" t="e">
        <f ca="1"/>
        <v>#REF!</v>
      </c>
      <c r="Q271" s="113" t="e">
        <f ca="1"/>
        <v>#REF!</v>
      </c>
      <c r="R271" s="113" t="e">
        <f ca="1"/>
        <v>#REF!</v>
      </c>
      <c r="S271" s="113" t="e">
        <f ca="1"/>
        <v>#REF!</v>
      </c>
      <c r="T271" s="113" t="e">
        <f ca="1"/>
        <v>#REF!</v>
      </c>
      <c r="U271" s="113" t="e">
        <f ca="1"/>
        <v>#REF!</v>
      </c>
      <c r="V271" s="113" t="e">
        <f ca="1"/>
        <v>#REF!</v>
      </c>
      <c r="W271" s="113" t="e">
        <f ca="1"/>
        <v>#REF!</v>
      </c>
      <c r="X271" s="113" t="e">
        <f ca="1"/>
        <v>#REF!</v>
      </c>
      <c r="Y271" s="113" t="e">
        <f ca="1"/>
        <v>#REF!</v>
      </c>
      <c r="Z271" s="113" t="e">
        <f ca="1"/>
        <v>#REF!</v>
      </c>
      <c r="AA271" s="113"/>
      <c r="AB271" s="113"/>
      <c r="AC271" s="113"/>
      <c r="AD271" s="113" t="str">
        <f ca="1">IFERROR(__xludf.DUMMYFUNCTION("""COMPUTED_VALUE"""),"INDIGENA /QUILOMBOLA PARCIAL")</f>
        <v>INDIGENA /QUILOMBOLA PARCIAL</v>
      </c>
      <c r="AE271" s="113" t="str">
        <f ca="1">IFERROR(__xludf.DUMMYFUNCTION("""COMPUTED_VALUE"""),"Parcial")</f>
        <v>Parcial</v>
      </c>
      <c r="AF271" s="113" t="str">
        <f ca="1">IFERROR(__xludf.DUMMYFUNCTION("""COMPUTED_VALUE"""),"FE")</f>
        <v>FE</v>
      </c>
      <c r="AG271" s="113">
        <f ca="1">IFERROR(__xludf.DUMMYFUNCTION("""COMPUTED_VALUE"""),0)</f>
        <v>0</v>
      </c>
      <c r="AH271" s="113">
        <f ca="1">IFERROR(__xludf.DUMMYFUNCTION("""COMPUTED_VALUE"""),0)</f>
        <v>0</v>
      </c>
      <c r="AI271" s="113">
        <f ca="1">IFERROR(__xludf.DUMMYFUNCTION("""COMPUTED_VALUE"""),0)</f>
        <v>0</v>
      </c>
      <c r="AJ271" s="113">
        <f ca="1">IFERROR(__xludf.DUMMYFUNCTION("""COMPUTED_VALUE"""),0)</f>
        <v>0</v>
      </c>
      <c r="AK271" s="113"/>
      <c r="AL271" s="116"/>
    </row>
    <row r="272" spans="1:38" ht="12.75">
      <c r="A272" s="112" t="str">
        <f ca="1">IFERROR(__xludf.DUMMYFUNCTION("""COMPUTED_VALUE"""),"17030528")</f>
        <v>17030528</v>
      </c>
      <c r="B272" s="113" t="str">
        <f ca="1">IFERROR(__xludf.DUMMYFUNCTION("""COMPUTED_VALUE"""),"Palmas")</f>
        <v>Palmas</v>
      </c>
      <c r="C272" s="113" t="str">
        <f ca="1">IFERROR(__xludf.DUMMYFUNCTION("""COMPUTED_VALUE"""),"Novo Acordo")</f>
        <v>Novo Acordo</v>
      </c>
      <c r="D272" s="114" t="str">
        <f ca="1">IFERROR(__xludf.DUMMYFUNCTION("""COMPUTED_VALUE"""),"ASS. A. AO COL. EST. D. PEDRO I/N.ACORDO")</f>
        <v>ASS. A. AO COL. EST. D. PEDRO I/N.ACORDO</v>
      </c>
      <c r="E272" s="113" t="str">
        <f ca="1">IFERROR(__xludf.DUMMYFUNCTION("""COMPUTED_VALUE"""),"Colégio Estadual Professora Eliacena Moura Leitão / Esc Est Pedro I")</f>
        <v>Colégio Estadual Professora Eliacena Moura Leitão / Esc Est Pedro I</v>
      </c>
      <c r="F272" s="115" t="str">
        <f ca="1">IFERROR(__xludf.DUMMYFUNCTION("""COMPUTED_VALUE"""),"17030528")</f>
        <v>17030528</v>
      </c>
      <c r="G272" s="113" t="str">
        <f ca="1">IFERROR(__xludf.DUMMYFUNCTION("""COMPUTED_VALUE"""),"01133690000110")</f>
        <v>01133690000110</v>
      </c>
      <c r="H272" s="115" t="str">
        <f ca="1">IFERROR(__xludf.DUMMYFUNCTION("""COMPUTED_VALUE"""),"001")</f>
        <v>001</v>
      </c>
      <c r="I272" s="115" t="str">
        <f ca="1">IFERROR(__xludf.DUMMYFUNCTION("""COMPUTED_VALUE"""),"1505")</f>
        <v>1505</v>
      </c>
      <c r="J272" s="115" t="str">
        <f ca="1">IFERROR(__xludf.DUMMYFUNCTION("""COMPUTED_VALUE"""),"157856")</f>
        <v>157856</v>
      </c>
      <c r="K272" s="113" t="e">
        <f ca="1"/>
        <v>#REF!</v>
      </c>
      <c r="L272" s="113" t="e">
        <f ca="1"/>
        <v>#REF!</v>
      </c>
      <c r="M272" s="113" t="e">
        <f ca="1"/>
        <v>#REF!</v>
      </c>
      <c r="N272" s="113" t="e">
        <f ca="1"/>
        <v>#REF!</v>
      </c>
      <c r="O272" s="113" t="e">
        <f ca="1"/>
        <v>#REF!</v>
      </c>
      <c r="P272" s="113" t="e">
        <f ca="1"/>
        <v>#REF!</v>
      </c>
      <c r="Q272" s="113" t="e">
        <f ca="1"/>
        <v>#REF!</v>
      </c>
      <c r="R272" s="113" t="e">
        <f ca="1"/>
        <v>#REF!</v>
      </c>
      <c r="S272" s="113" t="e">
        <f ca="1"/>
        <v>#REF!</v>
      </c>
      <c r="T272" s="113" t="e">
        <f ca="1"/>
        <v>#REF!</v>
      </c>
      <c r="U272" s="113" t="e">
        <f ca="1"/>
        <v>#REF!</v>
      </c>
      <c r="V272" s="113" t="e">
        <f ca="1"/>
        <v>#REF!</v>
      </c>
      <c r="W272" s="113" t="e">
        <f ca="1"/>
        <v>#REF!</v>
      </c>
      <c r="X272" s="113" t="e">
        <f ca="1"/>
        <v>#REF!</v>
      </c>
      <c r="Y272" s="113" t="e">
        <f ca="1"/>
        <v>#REF!</v>
      </c>
      <c r="Z272" s="113" t="e">
        <f ca="1"/>
        <v>#REF!</v>
      </c>
      <c r="AA272" s="113"/>
      <c r="AB272" s="113"/>
      <c r="AC272" s="113"/>
      <c r="AD272" s="113"/>
      <c r="AE272" s="113" t="str">
        <f ca="1">IFERROR(__xludf.DUMMYFUNCTION("""COMPUTED_VALUE"""),"Parcial")</f>
        <v>Parcial</v>
      </c>
      <c r="AF272" s="113" t="str">
        <f ca="1">IFERROR(__xludf.DUMMYFUNCTION("""COMPUTED_VALUE"""),"FE")</f>
        <v>FE</v>
      </c>
      <c r="AG272" s="113">
        <f ca="1">IFERROR(__xludf.DUMMYFUNCTION("""COMPUTED_VALUE"""),0)</f>
        <v>0</v>
      </c>
      <c r="AH272" s="113">
        <f ca="1">IFERROR(__xludf.DUMMYFUNCTION("""COMPUTED_VALUE"""),0)</f>
        <v>0</v>
      </c>
      <c r="AI272" s="113">
        <f ca="1">IFERROR(__xludf.DUMMYFUNCTION("""COMPUTED_VALUE"""),0)</f>
        <v>0</v>
      </c>
      <c r="AJ272" s="113">
        <f ca="1">IFERROR(__xludf.DUMMYFUNCTION("""COMPUTED_VALUE"""),0)</f>
        <v>0</v>
      </c>
      <c r="AK272" s="113"/>
      <c r="AL272" s="116"/>
    </row>
    <row r="273" spans="1:38" ht="12.75">
      <c r="A273" s="112" t="str">
        <f ca="1">IFERROR(__xludf.DUMMYFUNCTION("""COMPUTED_VALUE"""),"17030536")</f>
        <v>17030536</v>
      </c>
      <c r="B273" s="113" t="str">
        <f ca="1">IFERROR(__xludf.DUMMYFUNCTION("""COMPUTED_VALUE"""),"Palmas")</f>
        <v>Palmas</v>
      </c>
      <c r="C273" s="113" t="str">
        <f ca="1">IFERROR(__xludf.DUMMYFUNCTION("""COMPUTED_VALUE"""),"Novo Acordo")</f>
        <v>Novo Acordo</v>
      </c>
      <c r="D273" s="114" t="str">
        <f ca="1">IFERROR(__xludf.DUMMYFUNCTION("""COMPUTED_VALUE"""),"A.A. DA ESC. EST.PEDRO MACEDO / N.ACORDO")</f>
        <v>A.A. DA ESC. EST.PEDRO MACEDO / N.ACORDO</v>
      </c>
      <c r="E273" s="113" t="str">
        <f ca="1">IFERROR(__xludf.DUMMYFUNCTION("""COMPUTED_VALUE"""),"Escola Estadual Pedro Macedo")</f>
        <v>Escola Estadual Pedro Macedo</v>
      </c>
      <c r="F273" s="115" t="str">
        <f ca="1">IFERROR(__xludf.DUMMYFUNCTION("""COMPUTED_VALUE"""),"17030536")</f>
        <v>17030536</v>
      </c>
      <c r="G273" s="113" t="str">
        <f ca="1">IFERROR(__xludf.DUMMYFUNCTION("""COMPUTED_VALUE"""),"01136004000164")</f>
        <v>01136004000164</v>
      </c>
      <c r="H273" s="115" t="str">
        <f ca="1">IFERROR(__xludf.DUMMYFUNCTION("""COMPUTED_VALUE"""),"001")</f>
        <v>001</v>
      </c>
      <c r="I273" s="115" t="str">
        <f ca="1">IFERROR(__xludf.DUMMYFUNCTION("""COMPUTED_VALUE"""),"1505")</f>
        <v>1505</v>
      </c>
      <c r="J273" s="115" t="str">
        <f ca="1">IFERROR(__xludf.DUMMYFUNCTION("""COMPUTED_VALUE"""),"171166")</f>
        <v>171166</v>
      </c>
      <c r="K273" s="113" t="e">
        <f ca="1"/>
        <v>#REF!</v>
      </c>
      <c r="L273" s="113" t="e">
        <f ca="1"/>
        <v>#REF!</v>
      </c>
      <c r="M273" s="113" t="e">
        <f ca="1"/>
        <v>#REF!</v>
      </c>
      <c r="N273" s="113" t="e">
        <f ca="1"/>
        <v>#REF!</v>
      </c>
      <c r="O273" s="113" t="e">
        <f ca="1"/>
        <v>#REF!</v>
      </c>
      <c r="P273" s="113" t="e">
        <f ca="1"/>
        <v>#REF!</v>
      </c>
      <c r="Q273" s="113" t="e">
        <f ca="1"/>
        <v>#REF!</v>
      </c>
      <c r="R273" s="113" t="e">
        <f ca="1"/>
        <v>#REF!</v>
      </c>
      <c r="S273" s="113" t="e">
        <f ca="1"/>
        <v>#REF!</v>
      </c>
      <c r="T273" s="113" t="e">
        <f ca="1"/>
        <v>#REF!</v>
      </c>
      <c r="U273" s="113" t="e">
        <f ca="1"/>
        <v>#REF!</v>
      </c>
      <c r="V273" s="113" t="e">
        <f ca="1"/>
        <v>#REF!</v>
      </c>
      <c r="W273" s="113" t="e">
        <f ca="1"/>
        <v>#REF!</v>
      </c>
      <c r="X273" s="113" t="e">
        <f ca="1"/>
        <v>#REF!</v>
      </c>
      <c r="Y273" s="113" t="e">
        <f ca="1"/>
        <v>#REF!</v>
      </c>
      <c r="Z273" s="113" t="e">
        <f ca="1"/>
        <v>#REF!</v>
      </c>
      <c r="AA273" s="113"/>
      <c r="AB273" s="113"/>
      <c r="AC273" s="113"/>
      <c r="AD273" s="113"/>
      <c r="AE273" s="113" t="str">
        <f ca="1">IFERROR(__xludf.DUMMYFUNCTION("""COMPUTED_VALUE"""),"Parcial")</f>
        <v>Parcial</v>
      </c>
      <c r="AF273" s="113" t="str">
        <f ca="1">IFERROR(__xludf.DUMMYFUNCTION("""COMPUTED_VALUE"""),"FE")</f>
        <v>FE</v>
      </c>
      <c r="AG273" s="113">
        <f ca="1">IFERROR(__xludf.DUMMYFUNCTION("""COMPUTED_VALUE"""),0)</f>
        <v>0</v>
      </c>
      <c r="AH273" s="113">
        <f ca="1">IFERROR(__xludf.DUMMYFUNCTION("""COMPUTED_VALUE"""),0)</f>
        <v>0</v>
      </c>
      <c r="AI273" s="113">
        <f ca="1">IFERROR(__xludf.DUMMYFUNCTION("""COMPUTED_VALUE"""),0)</f>
        <v>0</v>
      </c>
      <c r="AJ273" s="113">
        <f ca="1">IFERROR(__xludf.DUMMYFUNCTION("""COMPUTED_VALUE"""),0)</f>
        <v>0</v>
      </c>
      <c r="AK273" s="113"/>
      <c r="AL273" s="116"/>
    </row>
    <row r="274" spans="1:38" ht="12.75">
      <c r="A274" s="112" t="str">
        <f ca="1">IFERROR(__xludf.DUMMYFUNCTION("""COMPUTED_VALUE"""),"17050294")</f>
        <v>17050294</v>
      </c>
      <c r="B274" s="113" t="str">
        <f ca="1">IFERROR(__xludf.DUMMYFUNCTION("""COMPUTED_VALUE"""),"Palmas")</f>
        <v>Palmas</v>
      </c>
      <c r="C274" s="113" t="str">
        <f ca="1">IFERROR(__xludf.DUMMYFUNCTION("""COMPUTED_VALUE"""),"Palmas")</f>
        <v>Palmas</v>
      </c>
      <c r="D274" s="114" t="str">
        <f ca="1">IFERROR(__xludf.DUMMYFUNCTION("""COMPUTED_VALUE"""),"A. DE CONSELHO ESCOLAR DO CEM 305 NORTE")</f>
        <v>A. DE CONSELHO ESCOLAR DO CEM 305 NORTE</v>
      </c>
      <c r="E274" s="113" t="str">
        <f ca="1">IFERROR(__xludf.DUMMYFUNCTION("""COMPUTED_VALUE"""),"Centro de Ensino Médio Castro Alves")</f>
        <v>Centro de Ensino Médio Castro Alves</v>
      </c>
      <c r="F274" s="115" t="str">
        <f ca="1">IFERROR(__xludf.DUMMYFUNCTION("""COMPUTED_VALUE"""),"17050294")</f>
        <v>17050294</v>
      </c>
      <c r="G274" s="113" t="str">
        <f ca="1">IFERROR(__xludf.DUMMYFUNCTION("""COMPUTED_VALUE"""),"04701394000166")</f>
        <v>04701394000166</v>
      </c>
      <c r="H274" s="115" t="str">
        <f ca="1">IFERROR(__xludf.DUMMYFUNCTION("""COMPUTED_VALUE"""),"001")</f>
        <v>001</v>
      </c>
      <c r="I274" s="115" t="str">
        <f ca="1">IFERROR(__xludf.DUMMYFUNCTION("""COMPUTED_VALUE"""),"1505")</f>
        <v>1505</v>
      </c>
      <c r="J274" s="115" t="str">
        <f ca="1">IFERROR(__xludf.DUMMYFUNCTION("""COMPUTED_VALUE"""),"455261")</f>
        <v>455261</v>
      </c>
      <c r="K274" s="113" t="e">
        <f ca="1"/>
        <v>#REF!</v>
      </c>
      <c r="L274" s="113" t="e">
        <f ca="1"/>
        <v>#REF!</v>
      </c>
      <c r="M274" s="113" t="e">
        <f ca="1"/>
        <v>#REF!</v>
      </c>
      <c r="N274" s="113" t="e">
        <f ca="1"/>
        <v>#REF!</v>
      </c>
      <c r="O274" s="113" t="e">
        <f ca="1"/>
        <v>#REF!</v>
      </c>
      <c r="P274" s="113" t="e">
        <f ca="1"/>
        <v>#REF!</v>
      </c>
      <c r="Q274" s="113" t="e">
        <f ca="1"/>
        <v>#REF!</v>
      </c>
      <c r="R274" s="113" t="e">
        <f ca="1"/>
        <v>#REF!</v>
      </c>
      <c r="S274" s="113" t="e">
        <f ca="1"/>
        <v>#REF!</v>
      </c>
      <c r="T274" s="113" t="e">
        <f ca="1"/>
        <v>#REF!</v>
      </c>
      <c r="U274" s="113" t="e">
        <f ca="1"/>
        <v>#REF!</v>
      </c>
      <c r="V274" s="113" t="e">
        <f ca="1"/>
        <v>#REF!</v>
      </c>
      <c r="W274" s="113" t="e">
        <f ca="1"/>
        <v>#REF!</v>
      </c>
      <c r="X274" s="113" t="e">
        <f ca="1"/>
        <v>#REF!</v>
      </c>
      <c r="Y274" s="113" t="e">
        <f ca="1"/>
        <v>#REF!</v>
      </c>
      <c r="Z274" s="113" t="e">
        <f ca="1"/>
        <v>#REF!</v>
      </c>
      <c r="AA274" s="113"/>
      <c r="AB274" s="113"/>
      <c r="AC274" s="113"/>
      <c r="AD274" s="113"/>
      <c r="AE274" s="113" t="str">
        <f ca="1">IFERROR(__xludf.DUMMYFUNCTION("""COMPUTED_VALUE"""),"Parcial")</f>
        <v>Parcial</v>
      </c>
      <c r="AF274" s="113" t="str">
        <f ca="1">IFERROR(__xludf.DUMMYFUNCTION("""COMPUTED_VALUE"""),"FE")</f>
        <v>FE</v>
      </c>
      <c r="AG274" s="113">
        <f ca="1">IFERROR(__xludf.DUMMYFUNCTION("""COMPUTED_VALUE"""),0)</f>
        <v>0</v>
      </c>
      <c r="AH274" s="113">
        <f ca="1">IFERROR(__xludf.DUMMYFUNCTION("""COMPUTED_VALUE"""),0)</f>
        <v>0</v>
      </c>
      <c r="AI274" s="113">
        <f ca="1">IFERROR(__xludf.DUMMYFUNCTION("""COMPUTED_VALUE"""),0)</f>
        <v>0</v>
      </c>
      <c r="AJ274" s="113">
        <f ca="1">IFERROR(__xludf.DUMMYFUNCTION("""COMPUTED_VALUE"""),0)</f>
        <v>0</v>
      </c>
      <c r="AK274" s="113"/>
      <c r="AL274" s="116"/>
    </row>
    <row r="275" spans="1:38" ht="12.75">
      <c r="A275" s="112" t="str">
        <f ca="1">IFERROR(__xludf.DUMMYFUNCTION("""COMPUTED_VALUE"""),"17047439")</f>
        <v>17047439</v>
      </c>
      <c r="B275" s="113" t="str">
        <f ca="1">IFERROR(__xludf.DUMMYFUNCTION("""COMPUTED_VALUE"""),"Palmas")</f>
        <v>Palmas</v>
      </c>
      <c r="C275" s="113" t="str">
        <f ca="1">IFERROR(__xludf.DUMMYFUNCTION("""COMPUTED_VALUE"""),"Palmas")</f>
        <v>Palmas</v>
      </c>
      <c r="D275" s="114" t="str">
        <f ca="1">IFERROR(__xludf.DUMMYFUNCTION("""COMPUTED_VALUE"""),"ASSOC. DE APOIO COL. EST. DE TAQUARALTO")</f>
        <v>ASSOC. DE APOIO COL. EST. DE TAQUARALTO</v>
      </c>
      <c r="E275" s="113" t="str">
        <f ca="1">IFERROR(__xludf.DUMMYFUNCTION("""COMPUTED_VALUE"""),"Centro de Ensino Médio de Taquaralto")</f>
        <v>Centro de Ensino Médio de Taquaralto</v>
      </c>
      <c r="F275" s="115" t="str">
        <f ca="1">IFERROR(__xludf.DUMMYFUNCTION("""COMPUTED_VALUE"""),"17047439")</f>
        <v>17047439</v>
      </c>
      <c r="G275" s="113" t="str">
        <f ca="1">IFERROR(__xludf.DUMMYFUNCTION("""COMPUTED_VALUE"""),"03233677000168")</f>
        <v>03233677000168</v>
      </c>
      <c r="H275" s="115" t="str">
        <f ca="1">IFERROR(__xludf.DUMMYFUNCTION("""COMPUTED_VALUE"""),"001")</f>
        <v>001</v>
      </c>
      <c r="I275" s="115" t="str">
        <f ca="1">IFERROR(__xludf.DUMMYFUNCTION("""COMPUTED_VALUE"""),"1505")</f>
        <v>1505</v>
      </c>
      <c r="J275" s="115" t="str">
        <f ca="1">IFERROR(__xludf.DUMMYFUNCTION("""COMPUTED_VALUE"""),"455059")</f>
        <v>455059</v>
      </c>
      <c r="K275" s="113" t="e">
        <f ca="1"/>
        <v>#REF!</v>
      </c>
      <c r="L275" s="113" t="e">
        <f ca="1"/>
        <v>#REF!</v>
      </c>
      <c r="M275" s="113" t="e">
        <f ca="1"/>
        <v>#REF!</v>
      </c>
      <c r="N275" s="113" t="e">
        <f ca="1"/>
        <v>#REF!</v>
      </c>
      <c r="O275" s="113" t="e">
        <f ca="1"/>
        <v>#REF!</v>
      </c>
      <c r="P275" s="113" t="e">
        <f ca="1"/>
        <v>#REF!</v>
      </c>
      <c r="Q275" s="113" t="e">
        <f ca="1"/>
        <v>#REF!</v>
      </c>
      <c r="R275" s="113" t="e">
        <f ca="1"/>
        <v>#REF!</v>
      </c>
      <c r="S275" s="113" t="e">
        <f ca="1"/>
        <v>#REF!</v>
      </c>
      <c r="T275" s="113" t="e">
        <f ca="1"/>
        <v>#REF!</v>
      </c>
      <c r="U275" s="113" t="e">
        <f ca="1"/>
        <v>#REF!</v>
      </c>
      <c r="V275" s="113" t="e">
        <f ca="1"/>
        <v>#REF!</v>
      </c>
      <c r="W275" s="113" t="e">
        <f ca="1"/>
        <v>#REF!</v>
      </c>
      <c r="X275" s="113" t="e">
        <f ca="1"/>
        <v>#REF!</v>
      </c>
      <c r="Y275" s="113" t="e">
        <f ca="1"/>
        <v>#REF!</v>
      </c>
      <c r="Z275" s="113" t="e">
        <f ca="1"/>
        <v>#REF!</v>
      </c>
      <c r="AA275" s="113"/>
      <c r="AB275" s="113"/>
      <c r="AC275" s="113"/>
      <c r="AD275" s="113"/>
      <c r="AE275" s="113" t="str">
        <f ca="1">IFERROR(__xludf.DUMMYFUNCTION("""COMPUTED_VALUE"""),"Parcial")</f>
        <v>Parcial</v>
      </c>
      <c r="AF275" s="113" t="str">
        <f ca="1">IFERROR(__xludf.DUMMYFUNCTION("""COMPUTED_VALUE"""),"FE")</f>
        <v>FE</v>
      </c>
      <c r="AG275" s="113">
        <f ca="1">IFERROR(__xludf.DUMMYFUNCTION("""COMPUTED_VALUE"""),0)</f>
        <v>0</v>
      </c>
      <c r="AH275" s="113">
        <f ca="1">IFERROR(__xludf.DUMMYFUNCTION("""COMPUTED_VALUE"""),0)</f>
        <v>0</v>
      </c>
      <c r="AI275" s="113">
        <f ca="1">IFERROR(__xludf.DUMMYFUNCTION("""COMPUTED_VALUE"""),0)</f>
        <v>0</v>
      </c>
      <c r="AJ275" s="113">
        <f ca="1">IFERROR(__xludf.DUMMYFUNCTION("""COMPUTED_VALUE"""),0)</f>
        <v>0</v>
      </c>
      <c r="AK275" s="113"/>
      <c r="AL275" s="116"/>
    </row>
    <row r="276" spans="1:38" ht="12.75">
      <c r="A276" s="112" t="str">
        <f ca="1">IFERROR(__xludf.DUMMYFUNCTION("""COMPUTED_VALUE"""),"17026172")</f>
        <v>17026172</v>
      </c>
      <c r="B276" s="113" t="str">
        <f ca="1">IFERROR(__xludf.DUMMYFUNCTION("""COMPUTED_VALUE"""),"Palmas")</f>
        <v>Palmas</v>
      </c>
      <c r="C276" s="113" t="str">
        <f ca="1">IFERROR(__xludf.DUMMYFUNCTION("""COMPUTED_VALUE"""),"Palmas")</f>
        <v>Palmas</v>
      </c>
      <c r="D276" s="114" t="str">
        <f ca="1">IFERROR(__xludf.DUMMYFUNCTION("""COMPUTED_VALUE"""),"A.AP. DO COL. EST. SANTA RITA DE CASSIA")</f>
        <v>A.AP. DO COL. EST. SANTA RITA DE CASSIA</v>
      </c>
      <c r="E276" s="113" t="str">
        <f ca="1">IFERROR(__xludf.DUMMYFUNCTION("""COMPUTED_VALUE"""),"Centro de Ensino Médio Santa Rita de Cássia")</f>
        <v>Centro de Ensino Médio Santa Rita de Cássia</v>
      </c>
      <c r="F276" s="115" t="str">
        <f ca="1">IFERROR(__xludf.DUMMYFUNCTION("""COMPUTED_VALUE"""),"17026172")</f>
        <v>17026172</v>
      </c>
      <c r="G276" s="113" t="str">
        <f ca="1">IFERROR(__xludf.DUMMYFUNCTION("""COMPUTED_VALUE"""),"01955414000137")</f>
        <v>01955414000137</v>
      </c>
      <c r="H276" s="115" t="str">
        <f ca="1">IFERROR(__xludf.DUMMYFUNCTION("""COMPUTED_VALUE"""),"001")</f>
        <v>001</v>
      </c>
      <c r="I276" s="115" t="str">
        <f ca="1">IFERROR(__xludf.DUMMYFUNCTION("""COMPUTED_VALUE"""),"1505")</f>
        <v>1505</v>
      </c>
      <c r="J276" s="115" t="str">
        <f ca="1">IFERROR(__xludf.DUMMYFUNCTION("""COMPUTED_VALUE"""),"256579")</f>
        <v>256579</v>
      </c>
      <c r="K276" s="113" t="e">
        <f ca="1"/>
        <v>#REF!</v>
      </c>
      <c r="L276" s="113" t="e">
        <f ca="1"/>
        <v>#REF!</v>
      </c>
      <c r="M276" s="113" t="e">
        <f ca="1"/>
        <v>#REF!</v>
      </c>
      <c r="N276" s="113" t="e">
        <f ca="1"/>
        <v>#REF!</v>
      </c>
      <c r="O276" s="113" t="e">
        <f ca="1"/>
        <v>#REF!</v>
      </c>
      <c r="P276" s="113" t="e">
        <f ca="1"/>
        <v>#REF!</v>
      </c>
      <c r="Q276" s="113" t="e">
        <f ca="1"/>
        <v>#REF!</v>
      </c>
      <c r="R276" s="113" t="e">
        <f ca="1"/>
        <v>#REF!</v>
      </c>
      <c r="S276" s="113" t="e">
        <f ca="1"/>
        <v>#REF!</v>
      </c>
      <c r="T276" s="113" t="e">
        <f ca="1"/>
        <v>#REF!</v>
      </c>
      <c r="U276" s="113" t="e">
        <f ca="1"/>
        <v>#REF!</v>
      </c>
      <c r="V276" s="113" t="e">
        <f ca="1"/>
        <v>#REF!</v>
      </c>
      <c r="W276" s="113" t="e">
        <f ca="1"/>
        <v>#REF!</v>
      </c>
      <c r="X276" s="113" t="e">
        <f ca="1"/>
        <v>#REF!</v>
      </c>
      <c r="Y276" s="113" t="e">
        <f ca="1"/>
        <v>#REF!</v>
      </c>
      <c r="Z276" s="113" t="e">
        <f ca="1"/>
        <v>#REF!</v>
      </c>
      <c r="AA276" s="113"/>
      <c r="AB276" s="113"/>
      <c r="AC276" s="113"/>
      <c r="AD276" s="113"/>
      <c r="AE276" s="113" t="str">
        <f ca="1">IFERROR(__xludf.DUMMYFUNCTION("""COMPUTED_VALUE"""),"Parcial")</f>
        <v>Parcial</v>
      </c>
      <c r="AF276" s="113" t="str">
        <f ca="1">IFERROR(__xludf.DUMMYFUNCTION("""COMPUTED_VALUE"""),"FE")</f>
        <v>FE</v>
      </c>
      <c r="AG276" s="113">
        <f ca="1">IFERROR(__xludf.DUMMYFUNCTION("""COMPUTED_VALUE"""),15)</f>
        <v>15</v>
      </c>
      <c r="AH276" s="113">
        <f ca="1">IFERROR(__xludf.DUMMYFUNCTION("""COMPUTED_VALUE"""),0)</f>
        <v>0</v>
      </c>
      <c r="AI276" s="113">
        <f ca="1">IFERROR(__xludf.DUMMYFUNCTION("""COMPUTED_VALUE"""),0)</f>
        <v>0</v>
      </c>
      <c r="AJ276" s="113">
        <f ca="1">IFERROR(__xludf.DUMMYFUNCTION("""COMPUTED_VALUE"""),0)</f>
        <v>0</v>
      </c>
      <c r="AK276" s="113"/>
      <c r="AL276" s="116"/>
    </row>
    <row r="277" spans="1:38" ht="12.75">
      <c r="A277" s="112" t="str">
        <f ca="1">IFERROR(__xludf.DUMMYFUNCTION("""COMPUTED_VALUE"""),"17026229")</f>
        <v>17026229</v>
      </c>
      <c r="B277" s="113" t="str">
        <f ca="1">IFERROR(__xludf.DUMMYFUNCTION("""COMPUTED_VALUE"""),"Palmas")</f>
        <v>Palmas</v>
      </c>
      <c r="C277" s="113" t="str">
        <f ca="1">IFERROR(__xludf.DUMMYFUNCTION("""COMPUTED_VALUE"""),"Palmas")</f>
        <v>Palmas</v>
      </c>
      <c r="D277" s="114" t="str">
        <f ca="1">IFERROR(__xludf.DUMMYFUNCTION("""COMPUTED_VALUE"""),"ASSOC. COMUN.ESCOLAR DA ESC. EST. TIRADENTES")</f>
        <v>ASSOC. COMUN.ESCOLAR DA ESC. EST. TIRADENTES</v>
      </c>
      <c r="E277" s="113" t="str">
        <f ca="1">IFERROR(__xludf.DUMMYFUNCTION("""COMPUTED_VALUE"""),"Centro de Ensino Médio Tiradentes")</f>
        <v>Centro de Ensino Médio Tiradentes</v>
      </c>
      <c r="F277" s="115" t="str">
        <f ca="1">IFERROR(__xludf.DUMMYFUNCTION("""COMPUTED_VALUE"""),"17026229")</f>
        <v>17026229</v>
      </c>
      <c r="G277" s="113" t="str">
        <f ca="1">IFERROR(__xludf.DUMMYFUNCTION("""COMPUTED_VALUE"""),"00862122000197")</f>
        <v>00862122000197</v>
      </c>
      <c r="H277" s="115" t="str">
        <f ca="1">IFERROR(__xludf.DUMMYFUNCTION("""COMPUTED_VALUE"""),"001")</f>
        <v>001</v>
      </c>
      <c r="I277" s="115" t="str">
        <f ca="1">IFERROR(__xludf.DUMMYFUNCTION("""COMPUTED_VALUE"""),"1505")</f>
        <v>1505</v>
      </c>
      <c r="J277" s="115" t="str">
        <f ca="1">IFERROR(__xludf.DUMMYFUNCTION("""COMPUTED_VALUE"""),"250562")</f>
        <v>250562</v>
      </c>
      <c r="K277" s="113" t="e">
        <f ca="1"/>
        <v>#REF!</v>
      </c>
      <c r="L277" s="113" t="e">
        <f ca="1"/>
        <v>#REF!</v>
      </c>
      <c r="M277" s="113" t="e">
        <f ca="1"/>
        <v>#REF!</v>
      </c>
      <c r="N277" s="113" t="e">
        <f ca="1"/>
        <v>#REF!</v>
      </c>
      <c r="O277" s="113" t="e">
        <f ca="1"/>
        <v>#REF!</v>
      </c>
      <c r="P277" s="113" t="e">
        <f ca="1"/>
        <v>#REF!</v>
      </c>
      <c r="Q277" s="113" t="e">
        <f ca="1"/>
        <v>#REF!</v>
      </c>
      <c r="R277" s="113" t="e">
        <f ca="1"/>
        <v>#REF!</v>
      </c>
      <c r="S277" s="113" t="e">
        <f ca="1"/>
        <v>#REF!</v>
      </c>
      <c r="T277" s="113" t="e">
        <f ca="1"/>
        <v>#REF!</v>
      </c>
      <c r="U277" s="113" t="e">
        <f ca="1"/>
        <v>#REF!</v>
      </c>
      <c r="V277" s="113" t="e">
        <f ca="1"/>
        <v>#REF!</v>
      </c>
      <c r="W277" s="113" t="e">
        <f ca="1"/>
        <v>#REF!</v>
      </c>
      <c r="X277" s="113" t="e">
        <f ca="1"/>
        <v>#REF!</v>
      </c>
      <c r="Y277" s="113" t="e">
        <f ca="1"/>
        <v>#REF!</v>
      </c>
      <c r="Z277" s="113" t="e">
        <f ca="1"/>
        <v>#REF!</v>
      </c>
      <c r="AA277" s="113"/>
      <c r="AB277" s="113"/>
      <c r="AC277" s="113"/>
      <c r="AD277" s="113"/>
      <c r="AE277" s="113" t="str">
        <f ca="1">IFERROR(__xludf.DUMMYFUNCTION("""COMPUTED_VALUE"""),"Parcial")</f>
        <v>Parcial</v>
      </c>
      <c r="AF277" s="113" t="str">
        <f ca="1">IFERROR(__xludf.DUMMYFUNCTION("""COMPUTED_VALUE"""),"FE")</f>
        <v>FE</v>
      </c>
      <c r="AG277" s="113">
        <f ca="1">IFERROR(__xludf.DUMMYFUNCTION("""COMPUTED_VALUE"""),0)</f>
        <v>0</v>
      </c>
      <c r="AH277" s="113">
        <f ca="1">IFERROR(__xludf.DUMMYFUNCTION("""COMPUTED_VALUE"""),0)</f>
        <v>0</v>
      </c>
      <c r="AI277" s="113">
        <f ca="1">IFERROR(__xludf.DUMMYFUNCTION("""COMPUTED_VALUE"""),0)</f>
        <v>0</v>
      </c>
      <c r="AJ277" s="113">
        <f ca="1">IFERROR(__xludf.DUMMYFUNCTION("""COMPUTED_VALUE"""),0)</f>
        <v>0</v>
      </c>
      <c r="AK277" s="113"/>
      <c r="AL277" s="116"/>
    </row>
    <row r="278" spans="1:38" ht="12.75">
      <c r="A278" s="112" t="str">
        <f ca="1">IFERROR(__xludf.DUMMYFUNCTION("""COMPUTED_VALUE"""),"17026164")</f>
        <v>17026164</v>
      </c>
      <c r="B278" s="113" t="str">
        <f ca="1">IFERROR(__xludf.DUMMYFUNCTION("""COMPUTED_VALUE"""),"Palmas")</f>
        <v>Palmas</v>
      </c>
      <c r="C278" s="113" t="str">
        <f ca="1">IFERROR(__xludf.DUMMYFUNCTION("""COMPUTED_VALUE"""),"Palmas")</f>
        <v>Palmas</v>
      </c>
      <c r="D278" s="114" t="str">
        <f ca="1">IFERROR(__xludf.DUMMYFUNCTION("""COMPUTED_VALUE"""),"ASSOC. DE APOIO COL. DA POLICIA MILITAR DO TOCANTINS")</f>
        <v>ASSOC. DE APOIO COL. DA POLICIA MILITAR DO TOCANTINS</v>
      </c>
      <c r="E278" s="113" t="str">
        <f ca="1">IFERROR(__xludf.DUMMYFUNCTION("""COMPUTED_VALUE"""),"Colégio da Polícia Antonio Luiz Maya - Unidade II")</f>
        <v>Colégio da Polícia Antonio Luiz Maya - Unidade II</v>
      </c>
      <c r="F278" s="115" t="str">
        <f ca="1">IFERROR(__xludf.DUMMYFUNCTION("""COMPUTED_VALUE"""),"17026164")</f>
        <v>17026164</v>
      </c>
      <c r="G278" s="113" t="str">
        <f ca="1">IFERROR(__xludf.DUMMYFUNCTION("""COMPUTED_VALUE"""),"02050257000183")</f>
        <v>02050257000183</v>
      </c>
      <c r="H278" s="115" t="str">
        <f ca="1">IFERROR(__xludf.DUMMYFUNCTION("""COMPUTED_VALUE"""),"001")</f>
        <v>001</v>
      </c>
      <c r="I278" s="115" t="str">
        <f ca="1">IFERROR(__xludf.DUMMYFUNCTION("""COMPUTED_VALUE"""),"1505")</f>
        <v>1505</v>
      </c>
      <c r="J278" s="115" t="str">
        <f ca="1">IFERROR(__xludf.DUMMYFUNCTION("""COMPUTED_VALUE"""),"455466")</f>
        <v>455466</v>
      </c>
      <c r="K278" s="113" t="e">
        <f ca="1"/>
        <v>#REF!</v>
      </c>
      <c r="L278" s="113" t="e">
        <f ca="1"/>
        <v>#REF!</v>
      </c>
      <c r="M278" s="113" t="e">
        <f ca="1"/>
        <v>#REF!</v>
      </c>
      <c r="N278" s="113" t="e">
        <f ca="1"/>
        <v>#REF!</v>
      </c>
      <c r="O278" s="113" t="e">
        <f ca="1"/>
        <v>#REF!</v>
      </c>
      <c r="P278" s="113" t="e">
        <f ca="1"/>
        <v>#REF!</v>
      </c>
      <c r="Q278" s="113" t="e">
        <f ca="1"/>
        <v>#REF!</v>
      </c>
      <c r="R278" s="113" t="e">
        <f ca="1"/>
        <v>#REF!</v>
      </c>
      <c r="S278" s="113" t="e">
        <f ca="1"/>
        <v>#REF!</v>
      </c>
      <c r="T278" s="113" t="e">
        <f ca="1"/>
        <v>#REF!</v>
      </c>
      <c r="U278" s="113" t="e">
        <f ca="1"/>
        <v>#REF!</v>
      </c>
      <c r="V278" s="113" t="e">
        <f ca="1"/>
        <v>#REF!</v>
      </c>
      <c r="W278" s="113" t="e">
        <f ca="1"/>
        <v>#REF!</v>
      </c>
      <c r="X278" s="113" t="e">
        <f ca="1"/>
        <v>#REF!</v>
      </c>
      <c r="Y278" s="113" t="e">
        <f ca="1"/>
        <v>#REF!</v>
      </c>
      <c r="Z278" s="113" t="e">
        <f ca="1"/>
        <v>#REF!</v>
      </c>
      <c r="AA278" s="113"/>
      <c r="AB278" s="113"/>
      <c r="AC278" s="113"/>
      <c r="AD278" s="113"/>
      <c r="AE278" s="113" t="str">
        <f ca="1">IFERROR(__xludf.DUMMYFUNCTION("""COMPUTED_VALUE"""),"Parcial")</f>
        <v>Parcial</v>
      </c>
      <c r="AF278" s="113" t="str">
        <f ca="1">IFERROR(__xludf.DUMMYFUNCTION("""COMPUTED_VALUE"""),"FE")</f>
        <v>FE</v>
      </c>
      <c r="AG278" s="113">
        <f ca="1">IFERROR(__xludf.DUMMYFUNCTION("""COMPUTED_VALUE"""),46)</f>
        <v>46</v>
      </c>
      <c r="AH278" s="113">
        <f ca="1">IFERROR(__xludf.DUMMYFUNCTION("""COMPUTED_VALUE"""),0)</f>
        <v>0</v>
      </c>
      <c r="AI278" s="113">
        <f ca="1">IFERROR(__xludf.DUMMYFUNCTION("""COMPUTED_VALUE"""),0)</f>
        <v>0</v>
      </c>
      <c r="AJ278" s="113">
        <f ca="1">IFERROR(__xludf.DUMMYFUNCTION("""COMPUTED_VALUE"""),0)</f>
        <v>0</v>
      </c>
      <c r="AK278" s="113"/>
      <c r="AL278" s="116"/>
    </row>
    <row r="279" spans="1:38" ht="12.75">
      <c r="A279" s="112" t="str">
        <f ca="1">IFERROR(__xludf.DUMMYFUNCTION("""COMPUTED_VALUE"""),"17068800")</f>
        <v>17068800</v>
      </c>
      <c r="B279" s="113" t="str">
        <f ca="1">IFERROR(__xludf.DUMMYFUNCTION("""COMPUTED_VALUE"""),"Palmas")</f>
        <v>Palmas</v>
      </c>
      <c r="C279" s="113" t="str">
        <f ca="1">IFERROR(__xludf.DUMMYFUNCTION("""COMPUTED_VALUE"""),"Palmas")</f>
        <v>Palmas</v>
      </c>
      <c r="D279" s="114" t="str">
        <f ca="1">IFERROR(__xludf.DUMMYFUNCTION("""COMPUTED_VALUE"""),"ASSOCIAÇÃO DE APOIO A ESC. ESTADUAL DA 403 SUL")</f>
        <v>ASSOCIAÇÃO DE APOIO A ESC. ESTADUAL DA 403 SUL</v>
      </c>
      <c r="E279" s="113" t="str">
        <f ca="1">IFERROR(__xludf.DUMMYFUNCTION("""COMPUTED_VALUE"""),"Colégio da Polícia Militar do Estado do Tocantins - Unidade I")</f>
        <v>Colégio da Polícia Militar do Estado do Tocantins - Unidade I</v>
      </c>
      <c r="F279" s="115" t="str">
        <f ca="1">IFERROR(__xludf.DUMMYFUNCTION("""COMPUTED_VALUE"""),"17068800")</f>
        <v>17068800</v>
      </c>
      <c r="G279" s="113" t="str">
        <f ca="1">IFERROR(__xludf.DUMMYFUNCTION("""COMPUTED_VALUE"""),"11332101000186")</f>
        <v>11332101000186</v>
      </c>
      <c r="H279" s="115" t="str">
        <f ca="1">IFERROR(__xludf.DUMMYFUNCTION("""COMPUTED_VALUE"""),"001")</f>
        <v>001</v>
      </c>
      <c r="I279" s="115" t="str">
        <f ca="1">IFERROR(__xludf.DUMMYFUNCTION("""COMPUTED_VALUE"""),"1505")</f>
        <v>1505</v>
      </c>
      <c r="J279" s="115" t="str">
        <f ca="1">IFERROR(__xludf.DUMMYFUNCTION("""COMPUTED_VALUE"""),"467588")</f>
        <v>467588</v>
      </c>
      <c r="K279" s="113" t="e">
        <f ca="1"/>
        <v>#REF!</v>
      </c>
      <c r="L279" s="113" t="e">
        <f ca="1"/>
        <v>#REF!</v>
      </c>
      <c r="M279" s="113" t="e">
        <f ca="1"/>
        <v>#REF!</v>
      </c>
      <c r="N279" s="113" t="e">
        <f ca="1"/>
        <v>#REF!</v>
      </c>
      <c r="O279" s="113" t="e">
        <f ca="1"/>
        <v>#REF!</v>
      </c>
      <c r="P279" s="113" t="e">
        <f ca="1"/>
        <v>#REF!</v>
      </c>
      <c r="Q279" s="113" t="e">
        <f ca="1"/>
        <v>#REF!</v>
      </c>
      <c r="R279" s="113" t="e">
        <f ca="1"/>
        <v>#REF!</v>
      </c>
      <c r="S279" s="113" t="e">
        <f ca="1"/>
        <v>#REF!</v>
      </c>
      <c r="T279" s="113" t="e">
        <f ca="1"/>
        <v>#REF!</v>
      </c>
      <c r="U279" s="113" t="e">
        <f ca="1"/>
        <v>#REF!</v>
      </c>
      <c r="V279" s="113" t="e">
        <f ca="1"/>
        <v>#REF!</v>
      </c>
      <c r="W279" s="113" t="e">
        <f ca="1"/>
        <v>#REF!</v>
      </c>
      <c r="X279" s="113" t="e">
        <f ca="1"/>
        <v>#REF!</v>
      </c>
      <c r="Y279" s="113" t="e">
        <f ca="1"/>
        <v>#REF!</v>
      </c>
      <c r="Z279" s="113" t="e">
        <f ca="1"/>
        <v>#REF!</v>
      </c>
      <c r="AA279" s="113"/>
      <c r="AB279" s="113"/>
      <c r="AC279" s="113"/>
      <c r="AD279" s="113"/>
      <c r="AE279" s="113" t="str">
        <f ca="1">IFERROR(__xludf.DUMMYFUNCTION("""COMPUTED_VALUE"""),"Parcial")</f>
        <v>Parcial</v>
      </c>
      <c r="AF279" s="113" t="str">
        <f ca="1">IFERROR(__xludf.DUMMYFUNCTION("""COMPUTED_VALUE"""),"FE")</f>
        <v>FE</v>
      </c>
      <c r="AG279" s="113">
        <f ca="1">IFERROR(__xludf.DUMMYFUNCTION("""COMPUTED_VALUE"""),0)</f>
        <v>0</v>
      </c>
      <c r="AH279" s="113">
        <f ca="1">IFERROR(__xludf.DUMMYFUNCTION("""COMPUTED_VALUE"""),0)</f>
        <v>0</v>
      </c>
      <c r="AI279" s="113">
        <f ca="1">IFERROR(__xludf.DUMMYFUNCTION("""COMPUTED_VALUE"""),0)</f>
        <v>0</v>
      </c>
      <c r="AJ279" s="113">
        <f ca="1">IFERROR(__xludf.DUMMYFUNCTION("""COMPUTED_VALUE"""),55)</f>
        <v>55</v>
      </c>
      <c r="AK279" s="113"/>
      <c r="AL279" s="116"/>
    </row>
    <row r="280" spans="1:38" ht="12.75">
      <c r="A280" s="112" t="str">
        <f ca="1">IFERROR(__xludf.DUMMYFUNCTION("""COMPUTED_VALUE"""),"17026253")</f>
        <v>17026253</v>
      </c>
      <c r="B280" s="113" t="str">
        <f ca="1">IFERROR(__xludf.DUMMYFUNCTION("""COMPUTED_VALUE"""),"Palmas")</f>
        <v>Palmas</v>
      </c>
      <c r="C280" s="113" t="str">
        <f ca="1">IFERROR(__xludf.DUMMYFUNCTION("""COMPUTED_VALUE"""),"Palmas")</f>
        <v>Palmas</v>
      </c>
      <c r="D280" s="114" t="str">
        <f ca="1">IFERROR(__xludf.DUMMYFUNCTION("""COMPUTED_VALUE"""),"A.C.ESC.M.FUT. C.E. CRIANCA ESPERANCA")</f>
        <v>A.C.ESC.M.FUT. C.E. CRIANCA ESPERANCA</v>
      </c>
      <c r="E280" s="113" t="str">
        <f ca="1">IFERROR(__xludf.DUMMYFUNCTION("""COMPUTED_VALUE"""),"Colégio Estadual Criança Esperança")</f>
        <v>Colégio Estadual Criança Esperança</v>
      </c>
      <c r="F280" s="115" t="str">
        <f ca="1">IFERROR(__xludf.DUMMYFUNCTION("""COMPUTED_VALUE"""),"17026253")</f>
        <v>17026253</v>
      </c>
      <c r="G280" s="113" t="str">
        <f ca="1">IFERROR(__xludf.DUMMYFUNCTION("""COMPUTED_VALUE"""),"01920781000103")</f>
        <v>01920781000103</v>
      </c>
      <c r="H280" s="115" t="str">
        <f ca="1">IFERROR(__xludf.DUMMYFUNCTION("""COMPUTED_VALUE"""),"001")</f>
        <v>001</v>
      </c>
      <c r="I280" s="115" t="str">
        <f ca="1">IFERROR(__xludf.DUMMYFUNCTION("""COMPUTED_VALUE"""),"1505")</f>
        <v>1505</v>
      </c>
      <c r="J280" s="115" t="str">
        <f ca="1">IFERROR(__xludf.DUMMYFUNCTION("""COMPUTED_VALUE"""),"455369")</f>
        <v>455369</v>
      </c>
      <c r="K280" s="113" t="e">
        <f ca="1"/>
        <v>#REF!</v>
      </c>
      <c r="L280" s="113" t="e">
        <f ca="1"/>
        <v>#REF!</v>
      </c>
      <c r="M280" s="113" t="e">
        <f ca="1"/>
        <v>#REF!</v>
      </c>
      <c r="N280" s="113" t="e">
        <f ca="1"/>
        <v>#REF!</v>
      </c>
      <c r="O280" s="113" t="e">
        <f ca="1"/>
        <v>#REF!</v>
      </c>
      <c r="P280" s="113" t="e">
        <f ca="1"/>
        <v>#REF!</v>
      </c>
      <c r="Q280" s="113" t="e">
        <f ca="1"/>
        <v>#REF!</v>
      </c>
      <c r="R280" s="113" t="e">
        <f ca="1"/>
        <v>#REF!</v>
      </c>
      <c r="S280" s="113" t="e">
        <f ca="1"/>
        <v>#REF!</v>
      </c>
      <c r="T280" s="113" t="e">
        <f ca="1"/>
        <v>#REF!</v>
      </c>
      <c r="U280" s="113" t="e">
        <f ca="1"/>
        <v>#REF!</v>
      </c>
      <c r="V280" s="113" t="e">
        <f ca="1"/>
        <v>#REF!</v>
      </c>
      <c r="W280" s="113" t="e">
        <f ca="1"/>
        <v>#REF!</v>
      </c>
      <c r="X280" s="113" t="e">
        <f ca="1"/>
        <v>#REF!</v>
      </c>
      <c r="Y280" s="113" t="e">
        <f ca="1"/>
        <v>#REF!</v>
      </c>
      <c r="Z280" s="113" t="e">
        <f ca="1"/>
        <v>#REF!</v>
      </c>
      <c r="AA280" s="113"/>
      <c r="AB280" s="113"/>
      <c r="AC280" s="113"/>
      <c r="AD280" s="113"/>
      <c r="AE280" s="113" t="str">
        <f ca="1">IFERROR(__xludf.DUMMYFUNCTION("""COMPUTED_VALUE"""),"Parcial")</f>
        <v>Parcial</v>
      </c>
      <c r="AF280" s="113" t="str">
        <f ca="1">IFERROR(__xludf.DUMMYFUNCTION("""COMPUTED_VALUE"""),"FE")</f>
        <v>FE</v>
      </c>
      <c r="AG280" s="113">
        <f ca="1">IFERROR(__xludf.DUMMYFUNCTION("""COMPUTED_VALUE"""),0)</f>
        <v>0</v>
      </c>
      <c r="AH280" s="113">
        <f ca="1">IFERROR(__xludf.DUMMYFUNCTION("""COMPUTED_VALUE"""),0)</f>
        <v>0</v>
      </c>
      <c r="AI280" s="113">
        <f ca="1">IFERROR(__xludf.DUMMYFUNCTION("""COMPUTED_VALUE"""),0)</f>
        <v>0</v>
      </c>
      <c r="AJ280" s="113">
        <f ca="1">IFERROR(__xludf.DUMMYFUNCTION("""COMPUTED_VALUE"""),0)</f>
        <v>0</v>
      </c>
      <c r="AK280" s="113"/>
      <c r="AL280" s="116"/>
    </row>
    <row r="281" spans="1:38" ht="12.75">
      <c r="A281" s="112" t="str">
        <f ca="1">IFERROR(__xludf.DUMMYFUNCTION("""COMPUTED_VALUE"""),"17026270")</f>
        <v>17026270</v>
      </c>
      <c r="B281" s="113" t="str">
        <f ca="1">IFERROR(__xludf.DUMMYFUNCTION("""COMPUTED_VALUE"""),"Palmas")</f>
        <v>Palmas</v>
      </c>
      <c r="C281" s="113" t="str">
        <f ca="1">IFERROR(__xludf.DUMMYFUNCTION("""COMPUTED_VALUE"""),"Palmas")</f>
        <v>Palmas</v>
      </c>
      <c r="D281" s="114" t="str">
        <f ca="1">IFERROR(__xludf.DUMMYFUNCTION("""COMPUTED_VALUE"""),"A. COM. E-E. E. DOM ALANO MARIE DU NODAY")</f>
        <v>A. COM. E-E. E. DOM ALANO MARIE DU NODAY</v>
      </c>
      <c r="E281" s="113" t="str">
        <f ca="1">IFERROR(__xludf.DUMMYFUNCTION("""COMPUTED_VALUE"""),"Colégio Estadual dom Alano Marie Du Noday")</f>
        <v>Colégio Estadual dom Alano Marie Du Noday</v>
      </c>
      <c r="F281" s="115" t="str">
        <f ca="1">IFERROR(__xludf.DUMMYFUNCTION("""COMPUTED_VALUE"""),"17026270")</f>
        <v>17026270</v>
      </c>
      <c r="G281" s="113" t="str">
        <f ca="1">IFERROR(__xludf.DUMMYFUNCTION("""COMPUTED_VALUE"""),"01343125000187")</f>
        <v>01343125000187</v>
      </c>
      <c r="H281" s="115" t="str">
        <f ca="1">IFERROR(__xludf.DUMMYFUNCTION("""COMPUTED_VALUE"""),"001")</f>
        <v>001</v>
      </c>
      <c r="I281" s="115" t="str">
        <f ca="1">IFERROR(__xludf.DUMMYFUNCTION("""COMPUTED_VALUE"""),"1505")</f>
        <v>1505</v>
      </c>
      <c r="J281" s="115" t="str">
        <f ca="1">IFERROR(__xludf.DUMMYFUNCTION("""COMPUTED_VALUE"""),"265810")</f>
        <v>265810</v>
      </c>
      <c r="K281" s="113" t="e">
        <f ca="1"/>
        <v>#REF!</v>
      </c>
      <c r="L281" s="113" t="e">
        <f ca="1"/>
        <v>#REF!</v>
      </c>
      <c r="M281" s="113" t="e">
        <f ca="1"/>
        <v>#REF!</v>
      </c>
      <c r="N281" s="113" t="e">
        <f ca="1"/>
        <v>#REF!</v>
      </c>
      <c r="O281" s="113" t="e">
        <f ca="1"/>
        <v>#REF!</v>
      </c>
      <c r="P281" s="113" t="e">
        <f ca="1"/>
        <v>#REF!</v>
      </c>
      <c r="Q281" s="113" t="e">
        <f ca="1"/>
        <v>#REF!</v>
      </c>
      <c r="R281" s="113" t="e">
        <f ca="1"/>
        <v>#REF!</v>
      </c>
      <c r="S281" s="113" t="e">
        <f ca="1"/>
        <v>#REF!</v>
      </c>
      <c r="T281" s="113" t="e">
        <f ca="1"/>
        <v>#REF!</v>
      </c>
      <c r="U281" s="113" t="e">
        <f ca="1"/>
        <v>#REF!</v>
      </c>
      <c r="V281" s="113" t="e">
        <f ca="1"/>
        <v>#REF!</v>
      </c>
      <c r="W281" s="113" t="e">
        <f ca="1"/>
        <v>#REF!</v>
      </c>
      <c r="X281" s="113" t="e">
        <f ca="1"/>
        <v>#REF!</v>
      </c>
      <c r="Y281" s="113" t="e">
        <f ca="1"/>
        <v>#REF!</v>
      </c>
      <c r="Z281" s="113" t="e">
        <f ca="1"/>
        <v>#REF!</v>
      </c>
      <c r="AA281" s="113"/>
      <c r="AB281" s="113"/>
      <c r="AC281" s="113"/>
      <c r="AD281" s="113"/>
      <c r="AE281" s="113" t="str">
        <f ca="1">IFERROR(__xludf.DUMMYFUNCTION("""COMPUTED_VALUE"""),"Parcial")</f>
        <v>Parcial</v>
      </c>
      <c r="AF281" s="113" t="str">
        <f ca="1">IFERROR(__xludf.DUMMYFUNCTION("""COMPUTED_VALUE"""),"FE")</f>
        <v>FE</v>
      </c>
      <c r="AG281" s="113">
        <f ca="1">IFERROR(__xludf.DUMMYFUNCTION("""COMPUTED_VALUE"""),0)</f>
        <v>0</v>
      </c>
      <c r="AH281" s="113">
        <f ca="1">IFERROR(__xludf.DUMMYFUNCTION("""COMPUTED_VALUE"""),0)</f>
        <v>0</v>
      </c>
      <c r="AI281" s="113">
        <f ca="1">IFERROR(__xludf.DUMMYFUNCTION("""COMPUTED_VALUE"""),0)</f>
        <v>0</v>
      </c>
      <c r="AJ281" s="113">
        <f ca="1">IFERROR(__xludf.DUMMYFUNCTION("""COMPUTED_VALUE"""),0)</f>
        <v>0</v>
      </c>
      <c r="AK281" s="113"/>
      <c r="AL281" s="116"/>
    </row>
    <row r="282" spans="1:38" ht="12.75">
      <c r="A282" s="112" t="str">
        <f ca="1">IFERROR(__xludf.DUMMYFUNCTION("""COMPUTED_VALUE"""),"17026288")</f>
        <v>17026288</v>
      </c>
      <c r="B282" s="113" t="str">
        <f ca="1">IFERROR(__xludf.DUMMYFUNCTION("""COMPUTED_VALUE"""),"Palmas")</f>
        <v>Palmas</v>
      </c>
      <c r="C282" s="113" t="str">
        <f ca="1">IFERROR(__xludf.DUMMYFUNCTION("""COMPUTED_VALUE"""),"Palmas")</f>
        <v>Palmas</v>
      </c>
      <c r="D282" s="114" t="str">
        <f ca="1">IFERROR(__xludf.DUMMYFUNCTION("""COMPUTED_VALUE"""),"ACE COL. EST. DUQUE DE CAXIAS")</f>
        <v>ACE COL. EST. DUQUE DE CAXIAS</v>
      </c>
      <c r="E282" s="113" t="str">
        <f ca="1">IFERROR(__xludf.DUMMYFUNCTION("""COMPUTED_VALUE"""),"Colégio Estadual Duque de Caxias")</f>
        <v>Colégio Estadual Duque de Caxias</v>
      </c>
      <c r="F282" s="115" t="str">
        <f ca="1">IFERROR(__xludf.DUMMYFUNCTION("""COMPUTED_VALUE"""),"17026288")</f>
        <v>17026288</v>
      </c>
      <c r="G282" s="113" t="str">
        <f ca="1">IFERROR(__xludf.DUMMYFUNCTION("""COMPUTED_VALUE"""),"01588669000109")</f>
        <v>01588669000109</v>
      </c>
      <c r="H282" s="115" t="str">
        <f ca="1">IFERROR(__xludf.DUMMYFUNCTION("""COMPUTED_VALUE"""),"001")</f>
        <v>001</v>
      </c>
      <c r="I282" s="115" t="str">
        <f ca="1">IFERROR(__xludf.DUMMYFUNCTION("""COMPUTED_VALUE"""),"1505")</f>
        <v>1505</v>
      </c>
      <c r="J282" s="115" t="str">
        <f ca="1">IFERROR(__xludf.DUMMYFUNCTION("""COMPUTED_VALUE"""),"254002")</f>
        <v>254002</v>
      </c>
      <c r="K282" s="113" t="e">
        <f ca="1"/>
        <v>#REF!</v>
      </c>
      <c r="L282" s="113" t="e">
        <f ca="1"/>
        <v>#REF!</v>
      </c>
      <c r="M282" s="113" t="e">
        <f ca="1"/>
        <v>#REF!</v>
      </c>
      <c r="N282" s="113" t="e">
        <f ca="1"/>
        <v>#REF!</v>
      </c>
      <c r="O282" s="113" t="e">
        <f ca="1"/>
        <v>#REF!</v>
      </c>
      <c r="P282" s="113" t="e">
        <f ca="1"/>
        <v>#REF!</v>
      </c>
      <c r="Q282" s="113" t="e">
        <f ca="1"/>
        <v>#REF!</v>
      </c>
      <c r="R282" s="113" t="e">
        <f ca="1"/>
        <v>#REF!</v>
      </c>
      <c r="S282" s="113" t="e">
        <f ca="1"/>
        <v>#REF!</v>
      </c>
      <c r="T282" s="113" t="e">
        <f ca="1"/>
        <v>#REF!</v>
      </c>
      <c r="U282" s="113" t="e">
        <f ca="1"/>
        <v>#REF!</v>
      </c>
      <c r="V282" s="113" t="e">
        <f ca="1"/>
        <v>#REF!</v>
      </c>
      <c r="W282" s="113" t="e">
        <f ca="1"/>
        <v>#REF!</v>
      </c>
      <c r="X282" s="113" t="e">
        <f ca="1"/>
        <v>#REF!</v>
      </c>
      <c r="Y282" s="113" t="e">
        <f ca="1"/>
        <v>#REF!</v>
      </c>
      <c r="Z282" s="113" t="e">
        <f ca="1"/>
        <v>#REF!</v>
      </c>
      <c r="AA282" s="113"/>
      <c r="AB282" s="113"/>
      <c r="AC282" s="113"/>
      <c r="AD282" s="113"/>
      <c r="AE282" s="113" t="str">
        <f ca="1">IFERROR(__xludf.DUMMYFUNCTION("""COMPUTED_VALUE"""),"Parcial")</f>
        <v>Parcial</v>
      </c>
      <c r="AF282" s="113" t="str">
        <f ca="1">IFERROR(__xludf.DUMMYFUNCTION("""COMPUTED_VALUE"""),"FE")</f>
        <v>FE</v>
      </c>
      <c r="AG282" s="113">
        <f ca="1">IFERROR(__xludf.DUMMYFUNCTION("""COMPUTED_VALUE"""),0)</f>
        <v>0</v>
      </c>
      <c r="AH282" s="113">
        <f ca="1">IFERROR(__xludf.DUMMYFUNCTION("""COMPUTED_VALUE"""),0)</f>
        <v>0</v>
      </c>
      <c r="AI282" s="113">
        <f ca="1">IFERROR(__xludf.DUMMYFUNCTION("""COMPUTED_VALUE"""),0)</f>
        <v>0</v>
      </c>
      <c r="AJ282" s="113">
        <f ca="1">IFERROR(__xludf.DUMMYFUNCTION("""COMPUTED_VALUE"""),0)</f>
        <v>0</v>
      </c>
      <c r="AK282" s="113"/>
      <c r="AL282" s="116"/>
    </row>
    <row r="283" spans="1:38" ht="12.75">
      <c r="A283" s="112" t="str">
        <f ca="1">IFERROR(__xludf.DUMMYFUNCTION("""COMPUTED_VALUE"""),"17026350")</f>
        <v>17026350</v>
      </c>
      <c r="B283" s="113" t="str">
        <f ca="1">IFERROR(__xludf.DUMMYFUNCTION("""COMPUTED_VALUE"""),"Palmas")</f>
        <v>Palmas</v>
      </c>
      <c r="C283" s="113" t="str">
        <f ca="1">IFERROR(__xludf.DUMMYFUNCTION("""COMPUTED_VALUE"""),"Palmas")</f>
        <v>Palmas</v>
      </c>
      <c r="D283" s="114" t="str">
        <f ca="1">IFERROR(__xludf.DUMMYFUNCTION("""COMPUTED_VALUE"""),"A.A. AO COLEGIO ESTADUAL SAO JOSE")</f>
        <v>A.A. AO COLEGIO ESTADUAL SAO JOSE</v>
      </c>
      <c r="E283" s="113" t="str">
        <f ca="1">IFERROR(__xludf.DUMMYFUNCTION("""COMPUTED_VALUE"""),"Colégio Estadual São José")</f>
        <v>Colégio Estadual São José</v>
      </c>
      <c r="F283" s="115" t="str">
        <f ca="1">IFERROR(__xludf.DUMMYFUNCTION("""COMPUTED_VALUE"""),"17026350")</f>
        <v>17026350</v>
      </c>
      <c r="G283" s="113" t="str">
        <f ca="1">IFERROR(__xludf.DUMMYFUNCTION("""COMPUTED_VALUE"""),"01913809000177")</f>
        <v>01913809000177</v>
      </c>
      <c r="H283" s="115" t="str">
        <f ca="1">IFERROR(__xludf.DUMMYFUNCTION("""COMPUTED_VALUE"""),"001")</f>
        <v>001</v>
      </c>
      <c r="I283" s="115" t="str">
        <f ca="1">IFERROR(__xludf.DUMMYFUNCTION("""COMPUTED_VALUE"""),"1886")</f>
        <v>1886</v>
      </c>
      <c r="J283" s="115" t="str">
        <f ca="1">IFERROR(__xludf.DUMMYFUNCTION("""COMPUTED_VALUE"""),"325252")</f>
        <v>325252</v>
      </c>
      <c r="K283" s="113" t="e">
        <f ca="1"/>
        <v>#REF!</v>
      </c>
      <c r="L283" s="113" t="e">
        <f ca="1"/>
        <v>#REF!</v>
      </c>
      <c r="M283" s="113" t="e">
        <f ca="1"/>
        <v>#REF!</v>
      </c>
      <c r="N283" s="113" t="e">
        <f ca="1"/>
        <v>#REF!</v>
      </c>
      <c r="O283" s="113" t="e">
        <f ca="1"/>
        <v>#REF!</v>
      </c>
      <c r="P283" s="113" t="e">
        <f ca="1"/>
        <v>#REF!</v>
      </c>
      <c r="Q283" s="113" t="e">
        <f ca="1"/>
        <v>#REF!</v>
      </c>
      <c r="R283" s="113" t="e">
        <f ca="1"/>
        <v>#REF!</v>
      </c>
      <c r="S283" s="113" t="e">
        <f ca="1"/>
        <v>#REF!</v>
      </c>
      <c r="T283" s="113" t="e">
        <f ca="1"/>
        <v>#REF!</v>
      </c>
      <c r="U283" s="113" t="e">
        <f ca="1"/>
        <v>#REF!</v>
      </c>
      <c r="V283" s="113" t="e">
        <f ca="1"/>
        <v>#REF!</v>
      </c>
      <c r="W283" s="113" t="e">
        <f ca="1"/>
        <v>#REF!</v>
      </c>
      <c r="X283" s="113" t="e">
        <f ca="1"/>
        <v>#REF!</v>
      </c>
      <c r="Y283" s="113" t="e">
        <f ca="1"/>
        <v>#REF!</v>
      </c>
      <c r="Z283" s="113" t="e">
        <f ca="1"/>
        <v>#REF!</v>
      </c>
      <c r="AA283" s="113"/>
      <c r="AB283" s="113"/>
      <c r="AC283" s="113"/>
      <c r="AD283" s="113"/>
      <c r="AE283" s="113" t="str">
        <f ca="1">IFERROR(__xludf.DUMMYFUNCTION("""COMPUTED_VALUE"""),"Parcial")</f>
        <v>Parcial</v>
      </c>
      <c r="AF283" s="113" t="str">
        <f ca="1">IFERROR(__xludf.DUMMYFUNCTION("""COMPUTED_VALUE"""),"FE")</f>
        <v>FE</v>
      </c>
      <c r="AG283" s="113">
        <f ca="1">IFERROR(__xludf.DUMMYFUNCTION("""COMPUTED_VALUE"""),12)</f>
        <v>12</v>
      </c>
      <c r="AH283" s="113">
        <f ca="1">IFERROR(__xludf.DUMMYFUNCTION("""COMPUTED_VALUE"""),0)</f>
        <v>0</v>
      </c>
      <c r="AI283" s="113">
        <f ca="1">IFERROR(__xludf.DUMMYFUNCTION("""COMPUTED_VALUE"""),0)</f>
        <v>0</v>
      </c>
      <c r="AJ283" s="113">
        <f ca="1">IFERROR(__xludf.DUMMYFUNCTION("""COMPUTED_VALUE"""),0)</f>
        <v>0</v>
      </c>
      <c r="AK283" s="113"/>
      <c r="AL283" s="116"/>
    </row>
    <row r="284" spans="1:38" ht="12.75">
      <c r="A284" s="112" t="str">
        <f ca="1">IFERROR(__xludf.DUMMYFUNCTION("""COMPUTED_VALUE"""),"17049237")</f>
        <v>17049237</v>
      </c>
      <c r="B284" s="113" t="str">
        <f ca="1">IFERROR(__xludf.DUMMYFUNCTION("""COMPUTED_VALUE"""),"Palmas")</f>
        <v>Palmas</v>
      </c>
      <c r="C284" s="113" t="str">
        <f ca="1">IFERROR(__xludf.DUMMYFUNCTION("""COMPUTED_VALUE"""),"Palmas")</f>
        <v>Palmas</v>
      </c>
      <c r="D284" s="114" t="str">
        <f ca="1">IFERROR(__xludf.DUMMYFUNCTION("""COMPUTED_VALUE"""),"A.A. COL GIRASSOL TEMPO INTEGRAL RAQUEL QUEIROZ")</f>
        <v>A.A. COL GIRASSOL TEMPO INTEGRAL RAQUEL QUEIROZ</v>
      </c>
      <c r="E284" s="113" t="str">
        <f ca="1">IFERROR(__xludf.DUMMYFUNCTION("""COMPUTED_VALUE"""),"Colégio Girassol de Tempo Integral Rachel de Queiroz")</f>
        <v>Colégio Girassol de Tempo Integral Rachel de Queiroz</v>
      </c>
      <c r="F284" s="115" t="str">
        <f ca="1">IFERROR(__xludf.DUMMYFUNCTION("""COMPUTED_VALUE"""),"17049237")</f>
        <v>17049237</v>
      </c>
      <c r="G284" s="113" t="str">
        <f ca="1">IFERROR(__xludf.DUMMYFUNCTION("""COMPUTED_VALUE"""),"13748657000183")</f>
        <v>13748657000183</v>
      </c>
      <c r="H284" s="115" t="str">
        <f ca="1">IFERROR(__xludf.DUMMYFUNCTION("""COMPUTED_VALUE"""),"001")</f>
        <v>001</v>
      </c>
      <c r="I284" s="115" t="str">
        <f ca="1">IFERROR(__xludf.DUMMYFUNCTION("""COMPUTED_VALUE"""),"1867")</f>
        <v>1867</v>
      </c>
      <c r="J284" s="115" t="str">
        <f ca="1">IFERROR(__xludf.DUMMYFUNCTION("""COMPUTED_VALUE"""),"856312")</f>
        <v>856312</v>
      </c>
      <c r="K284" s="113" t="e">
        <f ca="1"/>
        <v>#REF!</v>
      </c>
      <c r="L284" s="113" t="e">
        <f ca="1"/>
        <v>#REF!</v>
      </c>
      <c r="M284" s="113" t="e">
        <f ca="1"/>
        <v>#REF!</v>
      </c>
      <c r="N284" s="113" t="e">
        <f ca="1"/>
        <v>#REF!</v>
      </c>
      <c r="O284" s="113" t="e">
        <f ca="1"/>
        <v>#REF!</v>
      </c>
      <c r="P284" s="113" t="e">
        <f ca="1"/>
        <v>#REF!</v>
      </c>
      <c r="Q284" s="113" t="e">
        <f ca="1"/>
        <v>#REF!</v>
      </c>
      <c r="R284" s="113" t="e">
        <f ca="1"/>
        <v>#REF!</v>
      </c>
      <c r="S284" s="113" t="e">
        <f ca="1"/>
        <v>#REF!</v>
      </c>
      <c r="T284" s="113" t="e">
        <f ca="1"/>
        <v>#REF!</v>
      </c>
      <c r="U284" s="113" t="e">
        <f ca="1"/>
        <v>#REF!</v>
      </c>
      <c r="V284" s="113" t="e">
        <f ca="1"/>
        <v>#REF!</v>
      </c>
      <c r="W284" s="113" t="e">
        <f ca="1"/>
        <v>#REF!</v>
      </c>
      <c r="X284" s="113" t="e">
        <f ca="1"/>
        <v>#REF!</v>
      </c>
      <c r="Y284" s="113" t="e">
        <f ca="1"/>
        <v>#REF!</v>
      </c>
      <c r="Z284" s="113" t="e">
        <f ca="1"/>
        <v>#REF!</v>
      </c>
      <c r="AA284" s="113"/>
      <c r="AB284" s="113"/>
      <c r="AC284" s="113"/>
      <c r="AD284" s="113"/>
      <c r="AE284" s="113" t="str">
        <f ca="1">IFERROR(__xludf.DUMMYFUNCTION("""COMPUTED_VALUE"""),"Parcial")</f>
        <v>Parcial</v>
      </c>
      <c r="AF284" s="113" t="str">
        <f ca="1">IFERROR(__xludf.DUMMYFUNCTION("""COMPUTED_VALUE"""),"FE")</f>
        <v>FE</v>
      </c>
      <c r="AG284" s="113">
        <f ca="1">IFERROR(__xludf.DUMMYFUNCTION("""COMPUTED_VALUE"""),0)</f>
        <v>0</v>
      </c>
      <c r="AH284" s="113">
        <f ca="1">IFERROR(__xludf.DUMMYFUNCTION("""COMPUTED_VALUE"""),0)</f>
        <v>0</v>
      </c>
      <c r="AI284" s="113">
        <f ca="1">IFERROR(__xludf.DUMMYFUNCTION("""COMPUTED_VALUE"""),0)</f>
        <v>0</v>
      </c>
      <c r="AJ284" s="113">
        <f ca="1">IFERROR(__xludf.DUMMYFUNCTION("""COMPUTED_VALUE"""),0)</f>
        <v>0</v>
      </c>
      <c r="AK284" s="113"/>
      <c r="AL284" s="116"/>
    </row>
    <row r="285" spans="1:38" ht="12.75">
      <c r="A285" s="112" t="str">
        <f ca="1">IFERROR(__xludf.DUMMYFUNCTION("""COMPUTED_VALUE"""),"17040906")</f>
        <v>17040906</v>
      </c>
      <c r="B285" s="113" t="str">
        <f ca="1">IFERROR(__xludf.DUMMYFUNCTION("""COMPUTED_VALUE"""),"Palmas")</f>
        <v>Palmas</v>
      </c>
      <c r="C285" s="113" t="str">
        <f ca="1">IFERROR(__xludf.DUMMYFUNCTION("""COMPUTED_VALUE"""),"Palmas")</f>
        <v>Palmas</v>
      </c>
      <c r="D285" s="114" t="str">
        <f ca="1">IFERROR(__xludf.DUMMYFUNCTION("""COMPUTED_VALUE"""),"ASSOCIAÇÃO DE APOIO DA ESCOLA ESPECIAL INTEGRAÇÃO DE PALMAS")</f>
        <v>ASSOCIAÇÃO DE APOIO DA ESCOLA ESPECIAL INTEGRAÇÃO DE PALMAS</v>
      </c>
      <c r="E285" s="113" t="str">
        <f ca="1">IFERROR(__xludf.DUMMYFUNCTION("""COMPUTED_VALUE"""),"Escola Especial Integração de Palmas")</f>
        <v>Escola Especial Integração de Palmas</v>
      </c>
      <c r="F285" s="115" t="str">
        <f ca="1">IFERROR(__xludf.DUMMYFUNCTION("""COMPUTED_VALUE"""),"17040906")</f>
        <v>17040906</v>
      </c>
      <c r="G285" s="113" t="str">
        <f ca="1">IFERROR(__xludf.DUMMYFUNCTION("""COMPUTED_VALUE"""),"07958777000102")</f>
        <v>07958777000102</v>
      </c>
      <c r="H285" s="115" t="str">
        <f ca="1">IFERROR(__xludf.DUMMYFUNCTION("""COMPUTED_VALUE"""),"001")</f>
        <v>001</v>
      </c>
      <c r="I285" s="115" t="str">
        <f ca="1">IFERROR(__xludf.DUMMYFUNCTION("""COMPUTED_VALUE"""),"1505")</f>
        <v>1505</v>
      </c>
      <c r="J285" s="115" t="str">
        <f ca="1">IFERROR(__xludf.DUMMYFUNCTION("""COMPUTED_VALUE"""),"385328")</f>
        <v>385328</v>
      </c>
      <c r="K285" s="113" t="e">
        <f ca="1"/>
        <v>#REF!</v>
      </c>
      <c r="L285" s="113" t="e">
        <f ca="1"/>
        <v>#REF!</v>
      </c>
      <c r="M285" s="113" t="e">
        <f ca="1"/>
        <v>#REF!</v>
      </c>
      <c r="N285" s="113" t="e">
        <f ca="1"/>
        <v>#REF!</v>
      </c>
      <c r="O285" s="113" t="e">
        <f ca="1"/>
        <v>#REF!</v>
      </c>
      <c r="P285" s="113" t="e">
        <f ca="1"/>
        <v>#REF!</v>
      </c>
      <c r="Q285" s="113" t="e">
        <f ca="1"/>
        <v>#REF!</v>
      </c>
      <c r="R285" s="113" t="e">
        <f ca="1"/>
        <v>#REF!</v>
      </c>
      <c r="S285" s="113" t="e">
        <f ca="1"/>
        <v>#REF!</v>
      </c>
      <c r="T285" s="113" t="e">
        <f ca="1"/>
        <v>#REF!</v>
      </c>
      <c r="U285" s="113" t="e">
        <f ca="1"/>
        <v>#REF!</v>
      </c>
      <c r="V285" s="113" t="e">
        <f ca="1"/>
        <v>#REF!</v>
      </c>
      <c r="W285" s="113" t="e">
        <f ca="1"/>
        <v>#REF!</v>
      </c>
      <c r="X285" s="113" t="e">
        <f ca="1"/>
        <v>#REF!</v>
      </c>
      <c r="Y285" s="113" t="e">
        <f ca="1"/>
        <v>#REF!</v>
      </c>
      <c r="Z285" s="113" t="e">
        <f ca="1"/>
        <v>#REF!</v>
      </c>
      <c r="AA285" s="113"/>
      <c r="AB285" s="113"/>
      <c r="AC285" s="113"/>
      <c r="AD285" s="113"/>
      <c r="AE285" s="113" t="str">
        <f ca="1">IFERROR(__xludf.DUMMYFUNCTION("""COMPUTED_VALUE"""),"Parcial")</f>
        <v>Parcial</v>
      </c>
      <c r="AF285" s="113" t="str">
        <f ca="1">IFERROR(__xludf.DUMMYFUNCTION("""COMPUTED_VALUE"""),"FE")</f>
        <v>FE</v>
      </c>
      <c r="AG285" s="113">
        <f ca="1">IFERROR(__xludf.DUMMYFUNCTION("""COMPUTED_VALUE"""),0)</f>
        <v>0</v>
      </c>
      <c r="AH285" s="113">
        <f ca="1">IFERROR(__xludf.DUMMYFUNCTION("""COMPUTED_VALUE"""),0)</f>
        <v>0</v>
      </c>
      <c r="AI285" s="113">
        <f ca="1">IFERROR(__xludf.DUMMYFUNCTION("""COMPUTED_VALUE"""),0)</f>
        <v>0</v>
      </c>
      <c r="AJ285" s="113">
        <f ca="1">IFERROR(__xludf.DUMMYFUNCTION("""COMPUTED_VALUE"""),0)</f>
        <v>0</v>
      </c>
      <c r="AK285" s="113"/>
      <c r="AL285" s="116"/>
    </row>
    <row r="286" spans="1:38" ht="12.75">
      <c r="A286" s="112" t="str">
        <f ca="1">IFERROR(__xludf.DUMMYFUNCTION("""COMPUTED_VALUE"""),"17026245")</f>
        <v>17026245</v>
      </c>
      <c r="B286" s="113" t="str">
        <f ca="1">IFERROR(__xludf.DUMMYFUNCTION("""COMPUTED_VALUE"""),"Palmas")</f>
        <v>Palmas</v>
      </c>
      <c r="C286" s="113" t="str">
        <f ca="1">IFERROR(__xludf.DUMMYFUNCTION("""COMPUTED_VALUE"""),"Palmas")</f>
        <v>Palmas</v>
      </c>
      <c r="D286" s="114" t="str">
        <f ca="1">IFERROR(__xludf.DUMMYFUNCTION("""COMPUTED_VALUE"""),"A.COM. ESC. E. E.BEIRA RIO/PORTO NACIONAL")</f>
        <v>A.COM. ESC. E. E.BEIRA RIO/PORTO NACIONAL</v>
      </c>
      <c r="E286" s="113" t="str">
        <f ca="1">IFERROR(__xludf.DUMMYFUNCTION("""COMPUTED_VALUE"""),"Escola Estadual Beira Rio")</f>
        <v>Escola Estadual Beira Rio</v>
      </c>
      <c r="F286" s="115" t="str">
        <f ca="1">IFERROR(__xludf.DUMMYFUNCTION("""COMPUTED_VALUE"""),"17026245")</f>
        <v>17026245</v>
      </c>
      <c r="G286" s="113" t="str">
        <f ca="1">IFERROR(__xludf.DUMMYFUNCTION("""COMPUTED_VALUE"""),"01797298000175")</f>
        <v>01797298000175</v>
      </c>
      <c r="H286" s="115" t="str">
        <f ca="1">IFERROR(__xludf.DUMMYFUNCTION("""COMPUTED_VALUE"""),"001")</f>
        <v>001</v>
      </c>
      <c r="I286" s="115" t="str">
        <f ca="1">IFERROR(__xludf.DUMMYFUNCTION("""COMPUTED_VALUE"""),"1505")</f>
        <v>1505</v>
      </c>
      <c r="J286" s="115" t="str">
        <f ca="1">IFERROR(__xludf.DUMMYFUNCTION("""COMPUTED_VALUE"""),"209929")</f>
        <v>209929</v>
      </c>
      <c r="K286" s="113" t="e">
        <f ca="1"/>
        <v>#REF!</v>
      </c>
      <c r="L286" s="113" t="e">
        <f ca="1"/>
        <v>#REF!</v>
      </c>
      <c r="M286" s="113" t="e">
        <f ca="1"/>
        <v>#REF!</v>
      </c>
      <c r="N286" s="113" t="e">
        <f ca="1"/>
        <v>#REF!</v>
      </c>
      <c r="O286" s="113" t="e">
        <f ca="1"/>
        <v>#REF!</v>
      </c>
      <c r="P286" s="113" t="e">
        <f ca="1"/>
        <v>#REF!</v>
      </c>
      <c r="Q286" s="113" t="e">
        <f ca="1"/>
        <v>#REF!</v>
      </c>
      <c r="R286" s="113" t="e">
        <f ca="1"/>
        <v>#REF!</v>
      </c>
      <c r="S286" s="113" t="e">
        <f ca="1"/>
        <v>#REF!</v>
      </c>
      <c r="T286" s="113" t="e">
        <f ca="1"/>
        <v>#REF!</v>
      </c>
      <c r="U286" s="113" t="e">
        <f ca="1"/>
        <v>#REF!</v>
      </c>
      <c r="V286" s="113" t="e">
        <f ca="1"/>
        <v>#REF!</v>
      </c>
      <c r="W286" s="113" t="e">
        <f ca="1"/>
        <v>#REF!</v>
      </c>
      <c r="X286" s="113" t="e">
        <f ca="1"/>
        <v>#REF!</v>
      </c>
      <c r="Y286" s="113" t="e">
        <f ca="1"/>
        <v>#REF!</v>
      </c>
      <c r="Z286" s="113" t="e">
        <f ca="1"/>
        <v>#REF!</v>
      </c>
      <c r="AA286" s="113"/>
      <c r="AB286" s="113"/>
      <c r="AC286" s="113"/>
      <c r="AD286" s="113"/>
      <c r="AE286" s="113" t="str">
        <f ca="1">IFERROR(__xludf.DUMMYFUNCTION("""COMPUTED_VALUE"""),"Parcial")</f>
        <v>Parcial</v>
      </c>
      <c r="AF286" s="113" t="str">
        <f ca="1">IFERROR(__xludf.DUMMYFUNCTION("""COMPUTED_VALUE"""),"FE")</f>
        <v>FE</v>
      </c>
      <c r="AG286" s="113">
        <f ca="1">IFERROR(__xludf.DUMMYFUNCTION("""COMPUTED_VALUE"""),0)</f>
        <v>0</v>
      </c>
      <c r="AH286" s="113">
        <f ca="1">IFERROR(__xludf.DUMMYFUNCTION("""COMPUTED_VALUE"""),0)</f>
        <v>0</v>
      </c>
      <c r="AI286" s="113">
        <f ca="1">IFERROR(__xludf.DUMMYFUNCTION("""COMPUTED_VALUE"""),0)</f>
        <v>0</v>
      </c>
      <c r="AJ286" s="113">
        <f ca="1">IFERROR(__xludf.DUMMYFUNCTION("""COMPUTED_VALUE"""),0)</f>
        <v>0</v>
      </c>
      <c r="AK286" s="113"/>
      <c r="AL286" s="116"/>
    </row>
    <row r="287" spans="1:38" ht="12.75">
      <c r="A287" s="112" t="str">
        <f ca="1">IFERROR(__xludf.DUMMYFUNCTION("""COMPUTED_VALUE"""),"17026318")</f>
        <v>17026318</v>
      </c>
      <c r="B287" s="113" t="str">
        <f ca="1">IFERROR(__xludf.DUMMYFUNCTION("""COMPUTED_VALUE"""),"Palmas")</f>
        <v>Palmas</v>
      </c>
      <c r="C287" s="113" t="str">
        <f ca="1">IFERROR(__xludf.DUMMYFUNCTION("""COMPUTED_VALUE"""),"Palmas")</f>
        <v>Palmas</v>
      </c>
      <c r="D287" s="114" t="str">
        <f ca="1">IFERROR(__xludf.DUMMYFUNCTION("""COMPUTED_VALUE"""),"A.P.E M. DA ESC. EST. MADRE BELEM")</f>
        <v>A.P.E M. DA ESC. EST. MADRE BELEM</v>
      </c>
      <c r="E287" s="113" t="str">
        <f ca="1">IFERROR(__xludf.DUMMYFUNCTION("""COMPUTED_VALUE"""),"Escola Estadual Elizangela Gloria Cardoso")</f>
        <v>Escola Estadual Elizangela Gloria Cardoso</v>
      </c>
      <c r="F287" s="115" t="str">
        <f ca="1">IFERROR(__xludf.DUMMYFUNCTION("""COMPUTED_VALUE"""),"17026318")</f>
        <v>17026318</v>
      </c>
      <c r="G287" s="113" t="str">
        <f ca="1">IFERROR(__xludf.DUMMYFUNCTION("""COMPUTED_VALUE"""),"01034134000196")</f>
        <v>01034134000196</v>
      </c>
      <c r="H287" s="115" t="str">
        <f ca="1">IFERROR(__xludf.DUMMYFUNCTION("""COMPUTED_VALUE"""),"001")</f>
        <v>001</v>
      </c>
      <c r="I287" s="115" t="str">
        <f ca="1">IFERROR(__xludf.DUMMYFUNCTION("""COMPUTED_VALUE"""),"1886")</f>
        <v>1886</v>
      </c>
      <c r="J287" s="115" t="str">
        <f ca="1">IFERROR(__xludf.DUMMYFUNCTION("""COMPUTED_VALUE"""),"519855")</f>
        <v>519855</v>
      </c>
      <c r="K287" s="113" t="e">
        <f ca="1"/>
        <v>#REF!</v>
      </c>
      <c r="L287" s="113" t="e">
        <f ca="1"/>
        <v>#REF!</v>
      </c>
      <c r="M287" s="113" t="e">
        <f ca="1"/>
        <v>#REF!</v>
      </c>
      <c r="N287" s="113" t="e">
        <f ca="1"/>
        <v>#REF!</v>
      </c>
      <c r="O287" s="113" t="e">
        <f ca="1"/>
        <v>#REF!</v>
      </c>
      <c r="P287" s="113" t="e">
        <f ca="1"/>
        <v>#REF!</v>
      </c>
      <c r="Q287" s="113" t="e">
        <f ca="1"/>
        <v>#REF!</v>
      </c>
      <c r="R287" s="113" t="e">
        <f ca="1"/>
        <v>#REF!</v>
      </c>
      <c r="S287" s="113" t="e">
        <f ca="1"/>
        <v>#REF!</v>
      </c>
      <c r="T287" s="113" t="e">
        <f ca="1"/>
        <v>#REF!</v>
      </c>
      <c r="U287" s="113" t="e">
        <f ca="1"/>
        <v>#REF!</v>
      </c>
      <c r="V287" s="113" t="e">
        <f ca="1"/>
        <v>#REF!</v>
      </c>
      <c r="W287" s="113" t="e">
        <f ca="1"/>
        <v>#REF!</v>
      </c>
      <c r="X287" s="113" t="e">
        <f ca="1"/>
        <v>#REF!</v>
      </c>
      <c r="Y287" s="113" t="e">
        <f ca="1"/>
        <v>#REF!</v>
      </c>
      <c r="Z287" s="113" t="e">
        <f ca="1"/>
        <v>#REF!</v>
      </c>
      <c r="AA287" s="113"/>
      <c r="AB287" s="113"/>
      <c r="AC287" s="113"/>
      <c r="AD287" s="113"/>
      <c r="AE287" s="113" t="str">
        <f ca="1">IFERROR(__xludf.DUMMYFUNCTION("""COMPUTED_VALUE"""),"Parcial/Integral")</f>
        <v>Parcial/Integral</v>
      </c>
      <c r="AF287" s="113" t="str">
        <f ca="1">IFERROR(__xludf.DUMMYFUNCTION("""COMPUTED_VALUE"""),"FE")</f>
        <v>FE</v>
      </c>
      <c r="AG287" s="113">
        <f ca="1">IFERROR(__xludf.DUMMYFUNCTION("""COMPUTED_VALUE"""),50)</f>
        <v>50</v>
      </c>
      <c r="AH287" s="113">
        <f ca="1">IFERROR(__xludf.DUMMYFUNCTION("""COMPUTED_VALUE"""),0)</f>
        <v>0</v>
      </c>
      <c r="AI287" s="113">
        <f ca="1">IFERROR(__xludf.DUMMYFUNCTION("""COMPUTED_VALUE"""),0)</f>
        <v>0</v>
      </c>
      <c r="AJ287" s="113">
        <f ca="1">IFERROR(__xludf.DUMMYFUNCTION("""COMPUTED_VALUE"""),0)</f>
        <v>0</v>
      </c>
      <c r="AK287" s="113"/>
      <c r="AL287" s="116"/>
    </row>
    <row r="288" spans="1:38" ht="12.75">
      <c r="A288" s="112" t="str">
        <f ca="1">IFERROR(__xludf.DUMMYFUNCTION("""COMPUTED_VALUE"""),"17026296")</f>
        <v>17026296</v>
      </c>
      <c r="B288" s="113" t="str">
        <f ca="1">IFERROR(__xludf.DUMMYFUNCTION("""COMPUTED_VALUE"""),"Palmas")</f>
        <v>Palmas</v>
      </c>
      <c r="C288" s="113" t="str">
        <f ca="1">IFERROR(__xludf.DUMMYFUNCTION("""COMPUTED_VALUE"""),"Palmas")</f>
        <v>Palmas</v>
      </c>
      <c r="D288" s="114" t="str">
        <f ca="1">IFERROR(__xludf.DUMMYFUNCTION("""COMPUTED_VALUE"""),"ACE UN.ESC. FREDEDERICO J. PEDRERA NETO")</f>
        <v>ACE UN.ESC. FREDEDERICO J. PEDRERA NETO</v>
      </c>
      <c r="E288" s="113" t="str">
        <f ca="1">IFERROR(__xludf.DUMMYFUNCTION("""COMPUTED_VALUE"""),"Escola Estadual Frederico José Pedreira Neto")</f>
        <v>Escola Estadual Frederico José Pedreira Neto</v>
      </c>
      <c r="F288" s="115" t="str">
        <f ca="1">IFERROR(__xludf.DUMMYFUNCTION("""COMPUTED_VALUE"""),"17026296")</f>
        <v>17026296</v>
      </c>
      <c r="G288" s="113" t="str">
        <f ca="1">IFERROR(__xludf.DUMMYFUNCTION("""COMPUTED_VALUE"""),"01862534000190")</f>
        <v>01862534000190</v>
      </c>
      <c r="H288" s="115" t="str">
        <f ca="1">IFERROR(__xludf.DUMMYFUNCTION("""COMPUTED_VALUE"""),"001")</f>
        <v>001</v>
      </c>
      <c r="I288" s="115" t="str">
        <f ca="1">IFERROR(__xludf.DUMMYFUNCTION("""COMPUTED_VALUE"""),"1867")</f>
        <v>1867</v>
      </c>
      <c r="J288" s="115" t="str">
        <f ca="1">IFERROR(__xludf.DUMMYFUNCTION("""COMPUTED_VALUE"""),"1079972")</f>
        <v>1079972</v>
      </c>
      <c r="K288" s="113" t="e">
        <f ca="1"/>
        <v>#REF!</v>
      </c>
      <c r="L288" s="113" t="e">
        <f ca="1"/>
        <v>#REF!</v>
      </c>
      <c r="M288" s="113" t="e">
        <f ca="1"/>
        <v>#REF!</v>
      </c>
      <c r="N288" s="113" t="e">
        <f ca="1"/>
        <v>#REF!</v>
      </c>
      <c r="O288" s="113" t="e">
        <f ca="1"/>
        <v>#REF!</v>
      </c>
      <c r="P288" s="113" t="e">
        <f ca="1"/>
        <v>#REF!</v>
      </c>
      <c r="Q288" s="113" t="e">
        <f ca="1"/>
        <v>#REF!</v>
      </c>
      <c r="R288" s="113" t="e">
        <f ca="1"/>
        <v>#REF!</v>
      </c>
      <c r="S288" s="113" t="e">
        <f ca="1"/>
        <v>#REF!</v>
      </c>
      <c r="T288" s="113" t="e">
        <f ca="1"/>
        <v>#REF!</v>
      </c>
      <c r="U288" s="113" t="e">
        <f ca="1"/>
        <v>#REF!</v>
      </c>
      <c r="V288" s="113" t="e">
        <f ca="1"/>
        <v>#REF!</v>
      </c>
      <c r="W288" s="113" t="e">
        <f ca="1"/>
        <v>#REF!</v>
      </c>
      <c r="X288" s="113" t="e">
        <f ca="1"/>
        <v>#REF!</v>
      </c>
      <c r="Y288" s="113" t="e">
        <f ca="1"/>
        <v>#REF!</v>
      </c>
      <c r="Z288" s="113" t="e">
        <f ca="1"/>
        <v>#REF!</v>
      </c>
      <c r="AA288" s="113"/>
      <c r="AB288" s="113"/>
      <c r="AC288" s="113"/>
      <c r="AD288" s="113"/>
      <c r="AE288" s="113" t="str">
        <f ca="1">IFERROR(__xludf.DUMMYFUNCTION("""COMPUTED_VALUE"""),"Integral")</f>
        <v>Integral</v>
      </c>
      <c r="AF288" s="113" t="str">
        <f ca="1">IFERROR(__xludf.DUMMYFUNCTION("""COMPUTED_VALUE"""),"FE")</f>
        <v>FE</v>
      </c>
      <c r="AG288" s="113">
        <f ca="1">IFERROR(__xludf.DUMMYFUNCTION("""COMPUTED_VALUE"""),0)</f>
        <v>0</v>
      </c>
      <c r="AH288" s="113">
        <f ca="1">IFERROR(__xludf.DUMMYFUNCTION("""COMPUTED_VALUE"""),0)</f>
        <v>0</v>
      </c>
      <c r="AI288" s="113">
        <f ca="1">IFERROR(__xludf.DUMMYFUNCTION("""COMPUTED_VALUE"""),0)</f>
        <v>0</v>
      </c>
      <c r="AJ288" s="113">
        <f ca="1">IFERROR(__xludf.DUMMYFUNCTION("""COMPUTED_VALUE"""),0)</f>
        <v>0</v>
      </c>
      <c r="AK288" s="113"/>
      <c r="AL288" s="116"/>
    </row>
    <row r="289" spans="1:38" ht="12.75">
      <c r="A289" s="112" t="str">
        <f ca="1">IFERROR(__xludf.DUMMYFUNCTION("""COMPUTED_VALUE"""),"17026300")</f>
        <v>17026300</v>
      </c>
      <c r="B289" s="113" t="str">
        <f ca="1">IFERROR(__xludf.DUMMYFUNCTION("""COMPUTED_VALUE"""),"Palmas")</f>
        <v>Palmas</v>
      </c>
      <c r="C289" s="113" t="str">
        <f ca="1">IFERROR(__xludf.DUMMYFUNCTION("""COMPUTED_VALUE"""),"Palmas")</f>
        <v>Palmas</v>
      </c>
      <c r="D289" s="114" t="str">
        <f ca="1">IFERROR(__xludf.DUMMYFUNCTION("""COMPUTED_VALUE"""),"A.CONS.ESCOLAR E. EST.I GRAU LIBERDADE")</f>
        <v>A.CONS.ESCOLAR E. EST.I GRAU LIBERDADE</v>
      </c>
      <c r="E289" s="113" t="str">
        <f ca="1">IFERROR(__xludf.DUMMYFUNCTION("""COMPUTED_VALUE"""),"Escola Estadual Liberdade")</f>
        <v>Escola Estadual Liberdade</v>
      </c>
      <c r="F289" s="115" t="str">
        <f ca="1">IFERROR(__xludf.DUMMYFUNCTION("""COMPUTED_VALUE"""),"17026300")</f>
        <v>17026300</v>
      </c>
      <c r="G289" s="113" t="str">
        <f ca="1">IFERROR(__xludf.DUMMYFUNCTION("""COMPUTED_VALUE"""),"01936355000150")</f>
        <v>01936355000150</v>
      </c>
      <c r="H289" s="115" t="str">
        <f ca="1">IFERROR(__xludf.DUMMYFUNCTION("""COMPUTED_VALUE"""),"001")</f>
        <v>001</v>
      </c>
      <c r="I289" s="115" t="str">
        <f ca="1">IFERROR(__xludf.DUMMYFUNCTION("""COMPUTED_VALUE"""),"1505")</f>
        <v>1505</v>
      </c>
      <c r="J289" s="115" t="str">
        <f ca="1">IFERROR(__xludf.DUMMYFUNCTION("""COMPUTED_VALUE"""),"257028")</f>
        <v>257028</v>
      </c>
      <c r="K289" s="113" t="e">
        <f ca="1"/>
        <v>#REF!</v>
      </c>
      <c r="L289" s="113" t="e">
        <f ca="1"/>
        <v>#REF!</v>
      </c>
      <c r="M289" s="113" t="e">
        <f ca="1"/>
        <v>#REF!</v>
      </c>
      <c r="N289" s="113" t="e">
        <f ca="1"/>
        <v>#REF!</v>
      </c>
      <c r="O289" s="113" t="e">
        <f ca="1"/>
        <v>#REF!</v>
      </c>
      <c r="P289" s="113" t="e">
        <f ca="1"/>
        <v>#REF!</v>
      </c>
      <c r="Q289" s="113" t="e">
        <f ca="1"/>
        <v>#REF!</v>
      </c>
      <c r="R289" s="113" t="e">
        <f ca="1"/>
        <v>#REF!</v>
      </c>
      <c r="S289" s="113" t="e">
        <f ca="1"/>
        <v>#REF!</v>
      </c>
      <c r="T289" s="113" t="e">
        <f ca="1"/>
        <v>#REF!</v>
      </c>
      <c r="U289" s="113" t="e">
        <f ca="1"/>
        <v>#REF!</v>
      </c>
      <c r="V289" s="113" t="e">
        <f ca="1"/>
        <v>#REF!</v>
      </c>
      <c r="W289" s="113" t="e">
        <f ca="1"/>
        <v>#REF!</v>
      </c>
      <c r="X289" s="113" t="e">
        <f ca="1"/>
        <v>#REF!</v>
      </c>
      <c r="Y289" s="113" t="e">
        <f ca="1"/>
        <v>#REF!</v>
      </c>
      <c r="Z289" s="113" t="e">
        <f ca="1"/>
        <v>#REF!</v>
      </c>
      <c r="AA289" s="113"/>
      <c r="AB289" s="113"/>
      <c r="AC289" s="113"/>
      <c r="AD289" s="113"/>
      <c r="AE289" s="113" t="str">
        <f ca="1">IFERROR(__xludf.DUMMYFUNCTION("""COMPUTED_VALUE"""),"Parcial")</f>
        <v>Parcial</v>
      </c>
      <c r="AF289" s="113" t="str">
        <f ca="1">IFERROR(__xludf.DUMMYFUNCTION("""COMPUTED_VALUE"""),"FE")</f>
        <v>FE</v>
      </c>
      <c r="AG289" s="113">
        <f ca="1">IFERROR(__xludf.DUMMYFUNCTION("""COMPUTED_VALUE"""),0)</f>
        <v>0</v>
      </c>
      <c r="AH289" s="113">
        <f ca="1">IFERROR(__xludf.DUMMYFUNCTION("""COMPUTED_VALUE"""),0)</f>
        <v>0</v>
      </c>
      <c r="AI289" s="113">
        <f ca="1">IFERROR(__xludf.DUMMYFUNCTION("""COMPUTED_VALUE"""),0)</f>
        <v>0</v>
      </c>
      <c r="AJ289" s="113">
        <f ca="1">IFERROR(__xludf.DUMMYFUNCTION("""COMPUTED_VALUE"""),0)</f>
        <v>0</v>
      </c>
      <c r="AK289" s="113"/>
      <c r="AL289" s="116"/>
    </row>
    <row r="290" spans="1:38" ht="12.75">
      <c r="A290" s="112" t="str">
        <f ca="1">IFERROR(__xludf.DUMMYFUNCTION("""COMPUTED_VALUE"""),"17054060")</f>
        <v>17054060</v>
      </c>
      <c r="B290" s="113" t="str">
        <f ca="1">IFERROR(__xludf.DUMMYFUNCTION("""COMPUTED_VALUE"""),"Palmas")</f>
        <v>Palmas</v>
      </c>
      <c r="C290" s="113" t="str">
        <f ca="1">IFERROR(__xludf.DUMMYFUNCTION("""COMPUTED_VALUE"""),"Palmas")</f>
        <v>Palmas</v>
      </c>
      <c r="D290" s="114" t="str">
        <f ca="1">IFERROR(__xludf.DUMMYFUNCTION("""COMPUTED_VALUE"""),"ASSOC APOIO ESC EST MARIA DOS REIS ALVES BARROS")</f>
        <v>ASSOC APOIO ESC EST MARIA DOS REIS ALVES BARROS</v>
      </c>
      <c r="E290" s="113" t="str">
        <f ca="1">IFERROR(__xludf.DUMMYFUNCTION("""COMPUTED_VALUE"""),"Escola Estadual Maria dos Reis Alves Barros")</f>
        <v>Escola Estadual Maria dos Reis Alves Barros</v>
      </c>
      <c r="F290" s="115" t="str">
        <f ca="1">IFERROR(__xludf.DUMMYFUNCTION("""COMPUTED_VALUE"""),"17054060")</f>
        <v>17054060</v>
      </c>
      <c r="G290" s="113" t="str">
        <f ca="1">IFERROR(__xludf.DUMMYFUNCTION("""COMPUTED_VALUE"""),"08641263000191")</f>
        <v>08641263000191</v>
      </c>
      <c r="H290" s="115" t="str">
        <f ca="1">IFERROR(__xludf.DUMMYFUNCTION("""COMPUTED_VALUE"""),"001")</f>
        <v>001</v>
      </c>
      <c r="I290" s="115" t="str">
        <f ca="1">IFERROR(__xludf.DUMMYFUNCTION("""COMPUTED_VALUE"""),"1505")</f>
        <v>1505</v>
      </c>
      <c r="J290" s="115" t="str">
        <f ca="1">IFERROR(__xludf.DUMMYFUNCTION("""COMPUTED_VALUE"""),"413666")</f>
        <v>413666</v>
      </c>
      <c r="K290" s="113" t="e">
        <f ca="1"/>
        <v>#REF!</v>
      </c>
      <c r="L290" s="113" t="e">
        <f ca="1"/>
        <v>#REF!</v>
      </c>
      <c r="M290" s="113" t="e">
        <f ca="1"/>
        <v>#REF!</v>
      </c>
      <c r="N290" s="113" t="e">
        <f ca="1"/>
        <v>#REF!</v>
      </c>
      <c r="O290" s="113" t="e">
        <f ca="1"/>
        <v>#REF!</v>
      </c>
      <c r="P290" s="113" t="e">
        <f ca="1"/>
        <v>#REF!</v>
      </c>
      <c r="Q290" s="113" t="e">
        <f ca="1"/>
        <v>#REF!</v>
      </c>
      <c r="R290" s="113" t="e">
        <f ca="1"/>
        <v>#REF!</v>
      </c>
      <c r="S290" s="113" t="e">
        <f ca="1"/>
        <v>#REF!</v>
      </c>
      <c r="T290" s="113" t="e">
        <f ca="1"/>
        <v>#REF!</v>
      </c>
      <c r="U290" s="113" t="e">
        <f ca="1"/>
        <v>#REF!</v>
      </c>
      <c r="V290" s="113" t="e">
        <f ca="1"/>
        <v>#REF!</v>
      </c>
      <c r="W290" s="113" t="e">
        <f ca="1"/>
        <v>#REF!</v>
      </c>
      <c r="X290" s="113" t="e">
        <f ca="1"/>
        <v>#REF!</v>
      </c>
      <c r="Y290" s="113" t="e">
        <f ca="1"/>
        <v>#REF!</v>
      </c>
      <c r="Z290" s="113" t="e">
        <f ca="1"/>
        <v>#REF!</v>
      </c>
      <c r="AA290" s="113"/>
      <c r="AB290" s="113"/>
      <c r="AC290" s="113"/>
      <c r="AD290" s="113"/>
      <c r="AE290" s="113" t="str">
        <f ca="1">IFERROR(__xludf.DUMMYFUNCTION("""COMPUTED_VALUE"""),"Parcial")</f>
        <v>Parcial</v>
      </c>
      <c r="AF290" s="113" t="str">
        <f ca="1">IFERROR(__xludf.DUMMYFUNCTION("""COMPUTED_VALUE"""),"FE")</f>
        <v>FE</v>
      </c>
      <c r="AG290" s="113">
        <f ca="1">IFERROR(__xludf.DUMMYFUNCTION("""COMPUTED_VALUE"""),0)</f>
        <v>0</v>
      </c>
      <c r="AH290" s="113">
        <f ca="1">IFERROR(__xludf.DUMMYFUNCTION("""COMPUTED_VALUE"""),0)</f>
        <v>0</v>
      </c>
      <c r="AI290" s="113">
        <f ca="1">IFERROR(__xludf.DUMMYFUNCTION("""COMPUTED_VALUE"""),0)</f>
        <v>0</v>
      </c>
      <c r="AJ290" s="113">
        <f ca="1">IFERROR(__xludf.DUMMYFUNCTION("""COMPUTED_VALUE"""),0)</f>
        <v>0</v>
      </c>
      <c r="AK290" s="113"/>
      <c r="AL290" s="116"/>
    </row>
    <row r="291" spans="1:38" ht="12.75">
      <c r="A291" s="112" t="str">
        <f ca="1">IFERROR(__xludf.DUMMYFUNCTION("""COMPUTED_VALUE"""),"17026334")</f>
        <v>17026334</v>
      </c>
      <c r="B291" s="113" t="str">
        <f ca="1">IFERROR(__xludf.DUMMYFUNCTION("""COMPUTED_VALUE"""),"Palmas")</f>
        <v>Palmas</v>
      </c>
      <c r="C291" s="113" t="str">
        <f ca="1">IFERROR(__xludf.DUMMYFUNCTION("""COMPUTED_VALUE"""),"Palmas")</f>
        <v>Palmas</v>
      </c>
      <c r="D291" s="114" t="str">
        <f ca="1">IFERROR(__xludf.DUMMYFUNCTION("""COMPUTED_VALUE"""),"A.COM. DA ESC. EST. NOVO HORIZONTE")</f>
        <v>A.COM. DA ESC. EST. NOVO HORIZONTE</v>
      </c>
      <c r="E291" s="113" t="str">
        <f ca="1">IFERROR(__xludf.DUMMYFUNCTION("""COMPUTED_VALUE"""),"Escola Estadual Novo Horizonte")</f>
        <v>Escola Estadual Novo Horizonte</v>
      </c>
      <c r="F291" s="115" t="str">
        <f ca="1">IFERROR(__xludf.DUMMYFUNCTION("""COMPUTED_VALUE"""),"17026334")</f>
        <v>17026334</v>
      </c>
      <c r="G291" s="113" t="str">
        <f ca="1">IFERROR(__xludf.DUMMYFUNCTION("""COMPUTED_VALUE"""),"01221539000133")</f>
        <v>01221539000133</v>
      </c>
      <c r="H291" s="115" t="str">
        <f ca="1">IFERROR(__xludf.DUMMYFUNCTION("""COMPUTED_VALUE"""),"001")</f>
        <v>001</v>
      </c>
      <c r="I291" s="115" t="str">
        <f ca="1">IFERROR(__xludf.DUMMYFUNCTION("""COMPUTED_VALUE"""),"1505")</f>
        <v>1505</v>
      </c>
      <c r="J291" s="115" t="str">
        <f ca="1">IFERROR(__xludf.DUMMYFUNCTION("""COMPUTED_VALUE"""),"351687")</f>
        <v>351687</v>
      </c>
      <c r="K291" s="113" t="e">
        <f ca="1"/>
        <v>#REF!</v>
      </c>
      <c r="L291" s="113" t="e">
        <f ca="1"/>
        <v>#REF!</v>
      </c>
      <c r="M291" s="113" t="e">
        <f ca="1"/>
        <v>#REF!</v>
      </c>
      <c r="N291" s="113" t="e">
        <f ca="1"/>
        <v>#REF!</v>
      </c>
      <c r="O291" s="113" t="e">
        <f ca="1"/>
        <v>#REF!</v>
      </c>
      <c r="P291" s="113" t="e">
        <f ca="1"/>
        <v>#REF!</v>
      </c>
      <c r="Q291" s="113" t="e">
        <f ca="1"/>
        <v>#REF!</v>
      </c>
      <c r="R291" s="113" t="e">
        <f ca="1"/>
        <v>#REF!</v>
      </c>
      <c r="S291" s="113" t="e">
        <f ca="1"/>
        <v>#REF!</v>
      </c>
      <c r="T291" s="113" t="e">
        <f ca="1"/>
        <v>#REF!</v>
      </c>
      <c r="U291" s="113" t="e">
        <f ca="1"/>
        <v>#REF!</v>
      </c>
      <c r="V291" s="113" t="e">
        <f ca="1"/>
        <v>#REF!</v>
      </c>
      <c r="W291" s="113" t="e">
        <f ca="1"/>
        <v>#REF!</v>
      </c>
      <c r="X291" s="113" t="e">
        <f ca="1"/>
        <v>#REF!</v>
      </c>
      <c r="Y291" s="113" t="e">
        <f ca="1"/>
        <v>#REF!</v>
      </c>
      <c r="Z291" s="113" t="e">
        <f ca="1"/>
        <v>#REF!</v>
      </c>
      <c r="AA291" s="113"/>
      <c r="AB291" s="113"/>
      <c r="AC291" s="113"/>
      <c r="AD291" s="113"/>
      <c r="AE291" s="113" t="str">
        <f ca="1">IFERROR(__xludf.DUMMYFUNCTION("""COMPUTED_VALUE"""),"Parcial")</f>
        <v>Parcial</v>
      </c>
      <c r="AF291" s="113" t="str">
        <f ca="1">IFERROR(__xludf.DUMMYFUNCTION("""COMPUTED_VALUE"""),"FE")</f>
        <v>FE</v>
      </c>
      <c r="AG291" s="113">
        <f ca="1">IFERROR(__xludf.DUMMYFUNCTION("""COMPUTED_VALUE"""),0)</f>
        <v>0</v>
      </c>
      <c r="AH291" s="113">
        <f ca="1">IFERROR(__xludf.DUMMYFUNCTION("""COMPUTED_VALUE"""),0)</f>
        <v>0</v>
      </c>
      <c r="AI291" s="113">
        <f ca="1">IFERROR(__xludf.DUMMYFUNCTION("""COMPUTED_VALUE"""),0)</f>
        <v>0</v>
      </c>
      <c r="AJ291" s="113">
        <f ca="1">IFERROR(__xludf.DUMMYFUNCTION("""COMPUTED_VALUE"""),0)</f>
        <v>0</v>
      </c>
      <c r="AK291" s="113"/>
      <c r="AL291" s="116"/>
    </row>
    <row r="292" spans="1:38" ht="12.75">
      <c r="A292" s="112" t="str">
        <f ca="1">IFERROR(__xludf.DUMMYFUNCTION("""COMPUTED_VALUE"""),"17054532")</f>
        <v>17054532</v>
      </c>
      <c r="B292" s="113" t="str">
        <f ca="1">IFERROR(__xludf.DUMMYFUNCTION("""COMPUTED_VALUE"""),"Palmas")</f>
        <v>Palmas</v>
      </c>
      <c r="C292" s="113" t="str">
        <f ca="1">IFERROR(__xludf.DUMMYFUNCTION("""COMPUTED_VALUE"""),"Palmas")</f>
        <v>Palmas</v>
      </c>
      <c r="D292" s="114" t="str">
        <f ca="1">IFERROR(__xludf.DUMMYFUNCTION("""COMPUTED_VALUE"""),"ASSOC.COMUNIDADE ESC. ESTADUAL RURAL ENTRE RIOS")</f>
        <v>ASSOC.COMUNIDADE ESC. ESTADUAL RURAL ENTRE RIOS</v>
      </c>
      <c r="E292" s="113" t="str">
        <f ca="1">IFERROR(__xludf.DUMMYFUNCTION("""COMPUTED_VALUE"""),"Escola Estadual Rural Entre Rios")</f>
        <v>Escola Estadual Rural Entre Rios</v>
      </c>
      <c r="F292" s="115" t="str">
        <f ca="1">IFERROR(__xludf.DUMMYFUNCTION("""COMPUTED_VALUE"""),"17054532")</f>
        <v>17054532</v>
      </c>
      <c r="G292" s="113" t="str">
        <f ca="1">IFERROR(__xludf.DUMMYFUNCTION("""COMPUTED_VALUE"""),"11257180000108")</f>
        <v>11257180000108</v>
      </c>
      <c r="H292" s="115" t="str">
        <f ca="1">IFERROR(__xludf.DUMMYFUNCTION("""COMPUTED_VALUE"""),"001")</f>
        <v>001</v>
      </c>
      <c r="I292" s="115" t="str">
        <f ca="1">IFERROR(__xludf.DUMMYFUNCTION("""COMPUTED_VALUE"""),"1886")</f>
        <v>1886</v>
      </c>
      <c r="J292" s="115" t="str">
        <f ca="1">IFERROR(__xludf.DUMMYFUNCTION("""COMPUTED_VALUE"""),"1464884")</f>
        <v>1464884</v>
      </c>
      <c r="K292" s="113" t="e">
        <f ca="1"/>
        <v>#REF!</v>
      </c>
      <c r="L292" s="113" t="e">
        <f ca="1"/>
        <v>#REF!</v>
      </c>
      <c r="M292" s="113" t="e">
        <f ca="1"/>
        <v>#REF!</v>
      </c>
      <c r="N292" s="113" t="e">
        <f ca="1"/>
        <v>#REF!</v>
      </c>
      <c r="O292" s="113" t="e">
        <f ca="1"/>
        <v>#REF!</v>
      </c>
      <c r="P292" s="113" t="e">
        <f ca="1"/>
        <v>#REF!</v>
      </c>
      <c r="Q292" s="113" t="e">
        <f ca="1"/>
        <v>#REF!</v>
      </c>
      <c r="R292" s="113" t="e">
        <f ca="1"/>
        <v>#REF!</v>
      </c>
      <c r="S292" s="113" t="e">
        <f ca="1"/>
        <v>#REF!</v>
      </c>
      <c r="T292" s="113" t="e">
        <f ca="1"/>
        <v>#REF!</v>
      </c>
      <c r="U292" s="113" t="e">
        <f ca="1"/>
        <v>#REF!</v>
      </c>
      <c r="V292" s="113" t="e">
        <f ca="1"/>
        <v>#REF!</v>
      </c>
      <c r="W292" s="113" t="e">
        <f ca="1"/>
        <v>#REF!</v>
      </c>
      <c r="X292" s="113" t="e">
        <f ca="1"/>
        <v>#REF!</v>
      </c>
      <c r="Y292" s="113" t="e">
        <f ca="1"/>
        <v>#REF!</v>
      </c>
      <c r="Z292" s="113" t="e">
        <f ca="1"/>
        <v>#REF!</v>
      </c>
      <c r="AA292" s="113"/>
      <c r="AB292" s="113"/>
      <c r="AC292" s="113"/>
      <c r="AD292" s="113" t="str">
        <f ca="1">IFERROR(__xludf.DUMMYFUNCTION("""COMPUTED_VALUE"""),"AGRÍCOLA")</f>
        <v>AGRÍCOLA</v>
      </c>
      <c r="AE292" s="113" t="str">
        <f ca="1">IFERROR(__xludf.DUMMYFUNCTION("""COMPUTED_VALUE"""),"Parcial")</f>
        <v>Parcial</v>
      </c>
      <c r="AF292" s="113" t="str">
        <f ca="1">IFERROR(__xludf.DUMMYFUNCTION("""COMPUTED_VALUE"""),"FE")</f>
        <v>FE</v>
      </c>
      <c r="AG292" s="113">
        <f ca="1">IFERROR(__xludf.DUMMYFUNCTION("""COMPUTED_VALUE"""),0)</f>
        <v>0</v>
      </c>
      <c r="AH292" s="113">
        <f ca="1">IFERROR(__xludf.DUMMYFUNCTION("""COMPUTED_VALUE"""),0)</f>
        <v>0</v>
      </c>
      <c r="AI292" s="113">
        <f ca="1">IFERROR(__xludf.DUMMYFUNCTION("""COMPUTED_VALUE"""),2)</f>
        <v>2</v>
      </c>
      <c r="AJ292" s="113">
        <f ca="1">IFERROR(__xludf.DUMMYFUNCTION("""COMPUTED_VALUE"""),0)</f>
        <v>0</v>
      </c>
      <c r="AK292" s="113"/>
      <c r="AL292" s="116"/>
    </row>
    <row r="293" spans="1:38" ht="12.75">
      <c r="A293" s="112" t="str">
        <f ca="1">IFERROR(__xludf.DUMMYFUNCTION("""COMPUTED_VALUE"""),"17026342")</f>
        <v>17026342</v>
      </c>
      <c r="B293" s="113" t="str">
        <f ca="1">IFERROR(__xludf.DUMMYFUNCTION("""COMPUTED_VALUE"""),"Palmas")</f>
        <v>Palmas</v>
      </c>
      <c r="C293" s="113" t="str">
        <f ca="1">IFERROR(__xludf.DUMMYFUNCTION("""COMPUTED_VALUE"""),"Palmas")</f>
        <v>Palmas</v>
      </c>
      <c r="D293" s="114" t="str">
        <f ca="1">IFERROR(__xludf.DUMMYFUNCTION("""COMPUTED_VALUE"""),"A.A. DA COM. ESCOLAR - ESC. EST. SANTA FE")</f>
        <v>A.A. DA COM. ESCOLAR - ESC. EST. SANTA FE</v>
      </c>
      <c r="E293" s="113" t="str">
        <f ca="1">IFERROR(__xludf.DUMMYFUNCTION("""COMPUTED_VALUE"""),"Escola Estadual Santa Fé")</f>
        <v>Escola Estadual Santa Fé</v>
      </c>
      <c r="F293" s="115" t="str">
        <f ca="1">IFERROR(__xludf.DUMMYFUNCTION("""COMPUTED_VALUE"""),"17026342")</f>
        <v>17026342</v>
      </c>
      <c r="G293" s="113" t="str">
        <f ca="1">IFERROR(__xludf.DUMMYFUNCTION("""COMPUTED_VALUE"""),"01932049000145")</f>
        <v>01932049000145</v>
      </c>
      <c r="H293" s="115" t="str">
        <f ca="1">IFERROR(__xludf.DUMMYFUNCTION("""COMPUTED_VALUE"""),"001")</f>
        <v>001</v>
      </c>
      <c r="I293" s="115" t="str">
        <f ca="1">IFERROR(__xludf.DUMMYFUNCTION("""COMPUTED_VALUE"""),"2781")</f>
        <v>2781</v>
      </c>
      <c r="J293" s="115" t="str">
        <f ca="1">IFERROR(__xludf.DUMMYFUNCTION("""COMPUTED_VALUE"""),"261904")</f>
        <v>261904</v>
      </c>
      <c r="K293" s="113" t="e">
        <f ca="1"/>
        <v>#REF!</v>
      </c>
      <c r="L293" s="113" t="e">
        <f ca="1"/>
        <v>#REF!</v>
      </c>
      <c r="M293" s="113" t="e">
        <f ca="1"/>
        <v>#REF!</v>
      </c>
      <c r="N293" s="113" t="e">
        <f ca="1"/>
        <v>#REF!</v>
      </c>
      <c r="O293" s="113" t="e">
        <f ca="1"/>
        <v>#REF!</v>
      </c>
      <c r="P293" s="113" t="e">
        <f ca="1"/>
        <v>#REF!</v>
      </c>
      <c r="Q293" s="113" t="e">
        <f ca="1"/>
        <v>#REF!</v>
      </c>
      <c r="R293" s="113" t="e">
        <f ca="1"/>
        <v>#REF!</v>
      </c>
      <c r="S293" s="113" t="e">
        <f ca="1"/>
        <v>#REF!</v>
      </c>
      <c r="T293" s="113" t="e">
        <f ca="1"/>
        <v>#REF!</v>
      </c>
      <c r="U293" s="113" t="e">
        <f ca="1"/>
        <v>#REF!</v>
      </c>
      <c r="V293" s="113" t="e">
        <f ca="1"/>
        <v>#REF!</v>
      </c>
      <c r="W293" s="113" t="e">
        <f ca="1"/>
        <v>#REF!</v>
      </c>
      <c r="X293" s="113" t="e">
        <f ca="1"/>
        <v>#REF!</v>
      </c>
      <c r="Y293" s="113" t="e">
        <f ca="1"/>
        <v>#REF!</v>
      </c>
      <c r="Z293" s="113" t="e">
        <f ca="1"/>
        <v>#REF!</v>
      </c>
      <c r="AA293" s="113"/>
      <c r="AB293" s="113"/>
      <c r="AC293" s="113"/>
      <c r="AD293" s="113"/>
      <c r="AE293" s="113" t="str">
        <f ca="1">IFERROR(__xludf.DUMMYFUNCTION("""COMPUTED_VALUE"""),"Parcial")</f>
        <v>Parcial</v>
      </c>
      <c r="AF293" s="113" t="str">
        <f ca="1">IFERROR(__xludf.DUMMYFUNCTION("""COMPUTED_VALUE"""),"FE")</f>
        <v>FE</v>
      </c>
      <c r="AG293" s="113">
        <f ca="1">IFERROR(__xludf.DUMMYFUNCTION("""COMPUTED_VALUE"""),0)</f>
        <v>0</v>
      </c>
      <c r="AH293" s="113">
        <f ca="1">IFERROR(__xludf.DUMMYFUNCTION("""COMPUTED_VALUE"""),0)</f>
        <v>0</v>
      </c>
      <c r="AI293" s="113">
        <f ca="1">IFERROR(__xludf.DUMMYFUNCTION("""COMPUTED_VALUE"""),0)</f>
        <v>0</v>
      </c>
      <c r="AJ293" s="113">
        <f ca="1">IFERROR(__xludf.DUMMYFUNCTION("""COMPUTED_VALUE"""),0)</f>
        <v>0</v>
      </c>
      <c r="AK293" s="113"/>
      <c r="AL293" s="116"/>
    </row>
    <row r="294" spans="1:38" ht="12.75">
      <c r="A294" s="112" t="str">
        <f ca="1">IFERROR(__xludf.DUMMYFUNCTION("""COMPUTED_VALUE"""),"17026369")</f>
        <v>17026369</v>
      </c>
      <c r="B294" s="113" t="str">
        <f ca="1">IFERROR(__xludf.DUMMYFUNCTION("""COMPUTED_VALUE"""),"Palmas")</f>
        <v>Palmas</v>
      </c>
      <c r="C294" s="113" t="str">
        <f ca="1">IFERROR(__xludf.DUMMYFUNCTION("""COMPUTED_VALUE"""),"Palmas")</f>
        <v>Palmas</v>
      </c>
      <c r="D294" s="114" t="str">
        <f ca="1">IFERROR(__xludf.DUMMYFUNCTION("""COMPUTED_VALUE"""),"A.COMUN.ESCOLA-DA ESC. EST. SETOR SUL")</f>
        <v>A.COMUN.ESCOLA-DA ESC. EST. SETOR SUL</v>
      </c>
      <c r="E294" s="113" t="str">
        <f ca="1">IFERROR(__xludf.DUMMYFUNCTION("""COMPUTED_VALUE"""),"Escola Estadual Setor Sul")</f>
        <v>Escola Estadual Setor Sul</v>
      </c>
      <c r="F294" s="115" t="str">
        <f ca="1">IFERROR(__xludf.DUMMYFUNCTION("""COMPUTED_VALUE"""),"17026369")</f>
        <v>17026369</v>
      </c>
      <c r="G294" s="113" t="str">
        <f ca="1">IFERROR(__xludf.DUMMYFUNCTION("""COMPUTED_VALUE"""),"01926545000196")</f>
        <v>01926545000196</v>
      </c>
      <c r="H294" s="115" t="str">
        <f ca="1">IFERROR(__xludf.DUMMYFUNCTION("""COMPUTED_VALUE"""),"001")</f>
        <v>001</v>
      </c>
      <c r="I294" s="115" t="str">
        <f ca="1">IFERROR(__xludf.DUMMYFUNCTION("""COMPUTED_VALUE"""),"1505")</f>
        <v>1505</v>
      </c>
      <c r="J294" s="115" t="str">
        <f ca="1">IFERROR(__xludf.DUMMYFUNCTION("""COMPUTED_VALUE"""),"258105")</f>
        <v>258105</v>
      </c>
      <c r="K294" s="113" t="e">
        <f ca="1"/>
        <v>#REF!</v>
      </c>
      <c r="L294" s="113" t="e">
        <f ca="1"/>
        <v>#REF!</v>
      </c>
      <c r="M294" s="113" t="e">
        <f ca="1"/>
        <v>#REF!</v>
      </c>
      <c r="N294" s="113" t="e">
        <f ca="1"/>
        <v>#REF!</v>
      </c>
      <c r="O294" s="113" t="e">
        <f ca="1"/>
        <v>#REF!</v>
      </c>
      <c r="P294" s="113" t="e">
        <f ca="1"/>
        <v>#REF!</v>
      </c>
      <c r="Q294" s="113" t="e">
        <f ca="1"/>
        <v>#REF!</v>
      </c>
      <c r="R294" s="113" t="e">
        <f ca="1"/>
        <v>#REF!</v>
      </c>
      <c r="S294" s="113" t="e">
        <f ca="1"/>
        <v>#REF!</v>
      </c>
      <c r="T294" s="113" t="e">
        <f ca="1"/>
        <v>#REF!</v>
      </c>
      <c r="U294" s="113" t="e">
        <f ca="1"/>
        <v>#REF!</v>
      </c>
      <c r="V294" s="113" t="e">
        <f ca="1"/>
        <v>#REF!</v>
      </c>
      <c r="W294" s="113" t="e">
        <f ca="1"/>
        <v>#REF!</v>
      </c>
      <c r="X294" s="113" t="e">
        <f ca="1"/>
        <v>#REF!</v>
      </c>
      <c r="Y294" s="113" t="e">
        <f ca="1"/>
        <v>#REF!</v>
      </c>
      <c r="Z294" s="113" t="e">
        <f ca="1"/>
        <v>#REF!</v>
      </c>
      <c r="AA294" s="113"/>
      <c r="AB294" s="113"/>
      <c r="AC294" s="113"/>
      <c r="AD294" s="113"/>
      <c r="AE294" s="113" t="str">
        <f ca="1">IFERROR(__xludf.DUMMYFUNCTION("""COMPUTED_VALUE"""),"Integral")</f>
        <v>Integral</v>
      </c>
      <c r="AF294" s="113" t="str">
        <f ca="1">IFERROR(__xludf.DUMMYFUNCTION("""COMPUTED_VALUE"""),"FE")</f>
        <v>FE</v>
      </c>
      <c r="AG294" s="113">
        <f ca="1">IFERROR(__xludf.DUMMYFUNCTION("""COMPUTED_VALUE"""),0)</f>
        <v>0</v>
      </c>
      <c r="AH294" s="113">
        <f ca="1">IFERROR(__xludf.DUMMYFUNCTION("""COMPUTED_VALUE"""),0)</f>
        <v>0</v>
      </c>
      <c r="AI294" s="113">
        <f ca="1">IFERROR(__xludf.DUMMYFUNCTION("""COMPUTED_VALUE"""),0)</f>
        <v>0</v>
      </c>
      <c r="AJ294" s="113">
        <f ca="1">IFERROR(__xludf.DUMMYFUNCTION("""COMPUTED_VALUE"""),0)</f>
        <v>0</v>
      </c>
      <c r="AK294" s="113"/>
      <c r="AL294" s="116"/>
    </row>
    <row r="295" spans="1:38" ht="12.75">
      <c r="A295" s="112" t="str">
        <f ca="1">IFERROR(__xludf.DUMMYFUNCTION("""COMPUTED_VALUE"""),"17026377")</f>
        <v>17026377</v>
      </c>
      <c r="B295" s="113" t="str">
        <f ca="1">IFERROR(__xludf.DUMMYFUNCTION("""COMPUTED_VALUE"""),"Palmas")</f>
        <v>Palmas</v>
      </c>
      <c r="C295" s="113" t="str">
        <f ca="1">IFERROR(__xludf.DUMMYFUNCTION("""COMPUTED_VALUE"""),"Palmas")</f>
        <v>Palmas</v>
      </c>
      <c r="D295" s="114" t="str">
        <f ca="1">IFERROR(__xludf.DUMMYFUNCTION("""COMPUTED_VALUE"""),"A.COMUNIDADE ESCOLA/E. EST. VALE DO SOL")</f>
        <v>A.COMUNIDADE ESCOLA/E. EST. VALE DO SOL</v>
      </c>
      <c r="E295" s="113" t="str">
        <f ca="1">IFERROR(__xludf.DUMMYFUNCTION("""COMPUTED_VALUE"""),"Escola Estadual Vale do Sol")</f>
        <v>Escola Estadual Vale do Sol</v>
      </c>
      <c r="F295" s="115" t="str">
        <f ca="1">IFERROR(__xludf.DUMMYFUNCTION("""COMPUTED_VALUE"""),"17026377")</f>
        <v>17026377</v>
      </c>
      <c r="G295" s="113" t="str">
        <f ca="1">IFERROR(__xludf.DUMMYFUNCTION("""COMPUTED_VALUE"""),"01873442000105")</f>
        <v>01873442000105</v>
      </c>
      <c r="H295" s="115" t="str">
        <f ca="1">IFERROR(__xludf.DUMMYFUNCTION("""COMPUTED_VALUE"""),"001")</f>
        <v>001</v>
      </c>
      <c r="I295" s="115" t="str">
        <f ca="1">IFERROR(__xludf.DUMMYFUNCTION("""COMPUTED_VALUE"""),"1505")</f>
        <v>1505</v>
      </c>
      <c r="J295" s="115" t="str">
        <f ca="1">IFERROR(__xludf.DUMMYFUNCTION("""COMPUTED_VALUE"""),"256404")</f>
        <v>256404</v>
      </c>
      <c r="K295" s="113" t="e">
        <f ca="1"/>
        <v>#REF!</v>
      </c>
      <c r="L295" s="113" t="e">
        <f ca="1"/>
        <v>#REF!</v>
      </c>
      <c r="M295" s="113" t="e">
        <f ca="1"/>
        <v>#REF!</v>
      </c>
      <c r="N295" s="113" t="e">
        <f ca="1"/>
        <v>#REF!</v>
      </c>
      <c r="O295" s="113" t="e">
        <f ca="1"/>
        <v>#REF!</v>
      </c>
      <c r="P295" s="113" t="e">
        <f ca="1"/>
        <v>#REF!</v>
      </c>
      <c r="Q295" s="113" t="e">
        <f ca="1"/>
        <v>#REF!</v>
      </c>
      <c r="R295" s="113" t="e">
        <f ca="1"/>
        <v>#REF!</v>
      </c>
      <c r="S295" s="113" t="e">
        <f ca="1"/>
        <v>#REF!</v>
      </c>
      <c r="T295" s="113" t="e">
        <f ca="1"/>
        <v>#REF!</v>
      </c>
      <c r="U295" s="113" t="e">
        <f ca="1"/>
        <v>#REF!</v>
      </c>
      <c r="V295" s="113" t="e">
        <f ca="1"/>
        <v>#REF!</v>
      </c>
      <c r="W295" s="113" t="e">
        <f ca="1"/>
        <v>#REF!</v>
      </c>
      <c r="X295" s="113" t="e">
        <f ca="1"/>
        <v>#REF!</v>
      </c>
      <c r="Y295" s="113" t="e">
        <f ca="1"/>
        <v>#REF!</v>
      </c>
      <c r="Z295" s="113" t="e">
        <f ca="1"/>
        <v>#REF!</v>
      </c>
      <c r="AA295" s="113"/>
      <c r="AB295" s="113"/>
      <c r="AC295" s="113"/>
      <c r="AD295" s="113"/>
      <c r="AE295" s="113" t="str">
        <f ca="1">IFERROR(__xludf.DUMMYFUNCTION("""COMPUTED_VALUE"""),"Parcial")</f>
        <v>Parcial</v>
      </c>
      <c r="AF295" s="113" t="str">
        <f ca="1">IFERROR(__xludf.DUMMYFUNCTION("""COMPUTED_VALUE"""),"FE")</f>
        <v>FE</v>
      </c>
      <c r="AG295" s="113">
        <f ca="1">IFERROR(__xludf.DUMMYFUNCTION("""COMPUTED_VALUE"""),0)</f>
        <v>0</v>
      </c>
      <c r="AH295" s="113">
        <f ca="1">IFERROR(__xludf.DUMMYFUNCTION("""COMPUTED_VALUE"""),0)</f>
        <v>0</v>
      </c>
      <c r="AI295" s="113">
        <f ca="1">IFERROR(__xludf.DUMMYFUNCTION("""COMPUTED_VALUE"""),0)</f>
        <v>0</v>
      </c>
      <c r="AJ295" s="113">
        <f ca="1">IFERROR(__xludf.DUMMYFUNCTION("""COMPUTED_VALUE"""),0)</f>
        <v>0</v>
      </c>
      <c r="AK295" s="113"/>
      <c r="AL295" s="116"/>
    </row>
    <row r="296" spans="1:38" ht="12.75">
      <c r="A296" s="112" t="str">
        <f ca="1">IFERROR(__xludf.DUMMYFUNCTION("""COMPUTED_VALUE"""),"17026261")</f>
        <v>17026261</v>
      </c>
      <c r="B296" s="113" t="str">
        <f ca="1">IFERROR(__xludf.DUMMYFUNCTION("""COMPUTED_VALUE"""),"Palmas")</f>
        <v>Palmas</v>
      </c>
      <c r="C296" s="113" t="str">
        <f ca="1">IFERROR(__xludf.DUMMYFUNCTION("""COMPUTED_VALUE"""),"Palmas")</f>
        <v>Palmas</v>
      </c>
      <c r="D296" s="114" t="str">
        <f ca="1">IFERROR(__xludf.DUMMYFUNCTION("""COMPUTED_VALUE"""),"A.P.M.DA ESC. EST. DE I GRAU VILA UNIAO")</f>
        <v>A.P.M.DA ESC. EST. DE I GRAU VILA UNIAO</v>
      </c>
      <c r="E296" s="113" t="str">
        <f ca="1">IFERROR(__xludf.DUMMYFUNCTION("""COMPUTED_VALUE"""),"Escola Estadual Vila União")</f>
        <v>Escola Estadual Vila União</v>
      </c>
      <c r="F296" s="115" t="str">
        <f ca="1">IFERROR(__xludf.DUMMYFUNCTION("""COMPUTED_VALUE"""),"17026261")</f>
        <v>17026261</v>
      </c>
      <c r="G296" s="113" t="str">
        <f ca="1">IFERROR(__xludf.DUMMYFUNCTION("""COMPUTED_VALUE"""),"01926551000143")</f>
        <v>01926551000143</v>
      </c>
      <c r="H296" s="115" t="str">
        <f ca="1">IFERROR(__xludf.DUMMYFUNCTION("""COMPUTED_VALUE"""),"001")</f>
        <v>001</v>
      </c>
      <c r="I296" s="115" t="str">
        <f ca="1">IFERROR(__xludf.DUMMYFUNCTION("""COMPUTED_VALUE"""),"1505")</f>
        <v>1505</v>
      </c>
      <c r="J296" s="115" t="str">
        <f ca="1">IFERROR(__xludf.DUMMYFUNCTION("""COMPUTED_VALUE"""),"255734")</f>
        <v>255734</v>
      </c>
      <c r="K296" s="113" t="e">
        <f ca="1"/>
        <v>#REF!</v>
      </c>
      <c r="L296" s="113" t="e">
        <f ca="1"/>
        <v>#REF!</v>
      </c>
      <c r="M296" s="113" t="e">
        <f ca="1"/>
        <v>#REF!</v>
      </c>
      <c r="N296" s="113" t="e">
        <f ca="1"/>
        <v>#REF!</v>
      </c>
      <c r="O296" s="113" t="e">
        <f ca="1"/>
        <v>#REF!</v>
      </c>
      <c r="P296" s="113" t="e">
        <f ca="1"/>
        <v>#REF!</v>
      </c>
      <c r="Q296" s="113" t="e">
        <f ca="1"/>
        <v>#REF!</v>
      </c>
      <c r="R296" s="113" t="e">
        <f ca="1"/>
        <v>#REF!</v>
      </c>
      <c r="S296" s="113" t="e">
        <f ca="1"/>
        <v>#REF!</v>
      </c>
      <c r="T296" s="113" t="e">
        <f ca="1"/>
        <v>#REF!</v>
      </c>
      <c r="U296" s="113" t="e">
        <f ca="1"/>
        <v>#REF!</v>
      </c>
      <c r="V296" s="113" t="e">
        <f ca="1"/>
        <v>#REF!</v>
      </c>
      <c r="W296" s="113" t="e">
        <f ca="1"/>
        <v>#REF!</v>
      </c>
      <c r="X296" s="113" t="e">
        <f ca="1"/>
        <v>#REF!</v>
      </c>
      <c r="Y296" s="113" t="e">
        <f ca="1"/>
        <v>#REF!</v>
      </c>
      <c r="Z296" s="113" t="e">
        <f ca="1"/>
        <v>#REF!</v>
      </c>
      <c r="AA296" s="113"/>
      <c r="AB296" s="113"/>
      <c r="AC296" s="113"/>
      <c r="AD296" s="113"/>
      <c r="AE296" s="113" t="str">
        <f ca="1">IFERROR(__xludf.DUMMYFUNCTION("""COMPUTED_VALUE"""),"Integral")</f>
        <v>Integral</v>
      </c>
      <c r="AF296" s="113" t="str">
        <f ca="1">IFERROR(__xludf.DUMMYFUNCTION("""COMPUTED_VALUE"""),"FE")</f>
        <v>FE</v>
      </c>
      <c r="AG296" s="113">
        <f ca="1">IFERROR(__xludf.DUMMYFUNCTION("""COMPUTED_VALUE"""),0)</f>
        <v>0</v>
      </c>
      <c r="AH296" s="113">
        <f ca="1">IFERROR(__xludf.DUMMYFUNCTION("""COMPUTED_VALUE"""),0)</f>
        <v>0</v>
      </c>
      <c r="AI296" s="113">
        <f ca="1">IFERROR(__xludf.DUMMYFUNCTION("""COMPUTED_VALUE"""),0)</f>
        <v>0</v>
      </c>
      <c r="AJ296" s="113">
        <f ca="1">IFERROR(__xludf.DUMMYFUNCTION("""COMPUTED_VALUE"""),0)</f>
        <v>0</v>
      </c>
      <c r="AK296" s="113"/>
      <c r="AL296" s="116"/>
    </row>
    <row r="297" spans="1:38" ht="12.75">
      <c r="A297" s="112" t="str">
        <f ca="1">IFERROR(__xludf.DUMMYFUNCTION("""COMPUTED_VALUE"""),"17050120")</f>
        <v>17050120</v>
      </c>
      <c r="B297" s="113" t="str">
        <f ca="1">IFERROR(__xludf.DUMMYFUNCTION("""COMPUTED_VALUE"""),"Palmas")</f>
        <v>Palmas</v>
      </c>
      <c r="C297" s="113" t="str">
        <f ca="1">IFERROR(__xludf.DUMMYFUNCTION("""COMPUTED_VALUE"""),"Palmas")</f>
        <v>Palmas</v>
      </c>
      <c r="D297" s="114" t="str">
        <f ca="1">IFERROR(__xludf.DUMMYFUNCTION("""COMPUTED_VALUE"""),"AÇÃO SOCIAL JESUS DE NAZARÉ/ESC JOÃO PAULO II")</f>
        <v>AÇÃO SOCIAL JESUS DE NAZARÉ/ESC JOÃO PAULO II</v>
      </c>
      <c r="E297" s="113" t="str">
        <f ca="1">IFERROR(__xludf.DUMMYFUNCTION("""COMPUTED_VALUE"""),"Escola João Paulo II")</f>
        <v>Escola João Paulo II</v>
      </c>
      <c r="F297" s="115" t="str">
        <f ca="1">IFERROR(__xludf.DUMMYFUNCTION("""COMPUTED_VALUE"""),"17050120")</f>
        <v>17050120</v>
      </c>
      <c r="G297" s="113" t="str">
        <f ca="1">IFERROR(__xludf.DUMMYFUNCTION("""COMPUTED_VALUE"""),"03005522000174")</f>
        <v>03005522000174</v>
      </c>
      <c r="H297" s="115" t="str">
        <f ca="1">IFERROR(__xludf.DUMMYFUNCTION("""COMPUTED_VALUE"""),"001")</f>
        <v>001</v>
      </c>
      <c r="I297" s="115" t="str">
        <f ca="1">IFERROR(__xludf.DUMMYFUNCTION("""COMPUTED_VALUE"""),"1505")</f>
        <v>1505</v>
      </c>
      <c r="J297" s="115" t="str">
        <f ca="1">IFERROR(__xludf.DUMMYFUNCTION("""COMPUTED_VALUE"""),"423475")</f>
        <v>423475</v>
      </c>
      <c r="K297" s="113" t="e">
        <f ca="1"/>
        <v>#REF!</v>
      </c>
      <c r="L297" s="113" t="e">
        <f ca="1"/>
        <v>#REF!</v>
      </c>
      <c r="M297" s="113" t="e">
        <f ca="1"/>
        <v>#REF!</v>
      </c>
      <c r="N297" s="113" t="e">
        <f ca="1"/>
        <v>#REF!</v>
      </c>
      <c r="O297" s="113" t="e">
        <f ca="1"/>
        <v>#REF!</v>
      </c>
      <c r="P297" s="113" t="e">
        <f ca="1"/>
        <v>#REF!</v>
      </c>
      <c r="Q297" s="113" t="e">
        <f ca="1"/>
        <v>#REF!</v>
      </c>
      <c r="R297" s="113" t="e">
        <f ca="1"/>
        <v>#REF!</v>
      </c>
      <c r="S297" s="113" t="e">
        <f ca="1"/>
        <v>#REF!</v>
      </c>
      <c r="T297" s="113" t="e">
        <f ca="1"/>
        <v>#REF!</v>
      </c>
      <c r="U297" s="113" t="e">
        <f ca="1"/>
        <v>#REF!</v>
      </c>
      <c r="V297" s="113" t="e">
        <f ca="1"/>
        <v>#REF!</v>
      </c>
      <c r="W297" s="113" t="e">
        <f ca="1"/>
        <v>#REF!</v>
      </c>
      <c r="X297" s="113" t="e">
        <f ca="1"/>
        <v>#REF!</v>
      </c>
      <c r="Y297" s="113" t="e">
        <f ca="1"/>
        <v>#REF!</v>
      </c>
      <c r="Z297" s="113" t="e">
        <f ca="1"/>
        <v>#REF!</v>
      </c>
      <c r="AA297" s="113"/>
      <c r="AB297" s="113"/>
      <c r="AC297" s="113"/>
      <c r="AD297" s="113"/>
      <c r="AE297" s="113" t="str">
        <f ca="1">IFERROR(__xludf.DUMMYFUNCTION("""COMPUTED_VALUE"""),"Parcial")</f>
        <v>Parcial</v>
      </c>
      <c r="AF297" s="113" t="str">
        <f ca="1">IFERROR(__xludf.DUMMYFUNCTION("""COMPUTED_VALUE"""),"FE")</f>
        <v>FE</v>
      </c>
      <c r="AG297" s="113">
        <f ca="1">IFERROR(__xludf.DUMMYFUNCTION("""COMPUTED_VALUE"""),0)</f>
        <v>0</v>
      </c>
      <c r="AH297" s="113">
        <f ca="1">IFERROR(__xludf.DUMMYFUNCTION("""COMPUTED_VALUE"""),0)</f>
        <v>0</v>
      </c>
      <c r="AI297" s="113">
        <f ca="1">IFERROR(__xludf.DUMMYFUNCTION("""COMPUTED_VALUE"""),0)</f>
        <v>0</v>
      </c>
      <c r="AJ297" s="113">
        <f ca="1">IFERROR(__xludf.DUMMYFUNCTION("""COMPUTED_VALUE"""),0)</f>
        <v>0</v>
      </c>
      <c r="AK297" s="113"/>
      <c r="AL297" s="116"/>
    </row>
    <row r="298" spans="1:38" ht="12.75">
      <c r="A298" s="112" t="str">
        <f ca="1">IFERROR(__xludf.DUMMYFUNCTION("""COMPUTED_VALUE"""),"17051975")</f>
        <v>17051975</v>
      </c>
      <c r="B298" s="113" t="str">
        <f ca="1">IFERROR(__xludf.DUMMYFUNCTION("""COMPUTED_VALUE"""),"Palmas")</f>
        <v>Palmas</v>
      </c>
      <c r="C298" s="113" t="str">
        <f ca="1">IFERROR(__xludf.DUMMYFUNCTION("""COMPUTED_VALUE"""),"Palmas")</f>
        <v>Palmas</v>
      </c>
      <c r="D298" s="114" t="str">
        <f ca="1">IFERROR(__xludf.DUMMYFUNCTION("""COMPUTED_VALUE"""),"A.A. DO INST.PRESB.EDUC.SOC.REV.ROBERT CA")</f>
        <v>A.A. DO INST.PRESB.EDUC.SOC.REV.ROBERT CA</v>
      </c>
      <c r="E298" s="113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8" s="115" t="str">
        <f ca="1">IFERROR(__xludf.DUMMYFUNCTION("""COMPUTED_VALUE"""),"17051975")</f>
        <v>17051975</v>
      </c>
      <c r="G298" s="113" t="str">
        <f ca="1">IFERROR(__xludf.DUMMYFUNCTION("""COMPUTED_VALUE"""),"05470057000178")</f>
        <v>05470057000178</v>
      </c>
      <c r="H298" s="115" t="str">
        <f ca="1">IFERROR(__xludf.DUMMYFUNCTION("""COMPUTED_VALUE"""),"001")</f>
        <v>001</v>
      </c>
      <c r="I298" s="115" t="str">
        <f ca="1">IFERROR(__xludf.DUMMYFUNCTION("""COMPUTED_VALUE"""),"1505")</f>
        <v>1505</v>
      </c>
      <c r="J298" s="115" t="str">
        <f ca="1">IFERROR(__xludf.DUMMYFUNCTION("""COMPUTED_VALUE"""),"45110X")</f>
        <v>45110X</v>
      </c>
      <c r="K298" s="113" t="e">
        <f ca="1"/>
        <v>#REF!</v>
      </c>
      <c r="L298" s="113" t="e">
        <f ca="1"/>
        <v>#REF!</v>
      </c>
      <c r="M298" s="113" t="e">
        <f ca="1"/>
        <v>#REF!</v>
      </c>
      <c r="N298" s="113" t="e">
        <f ca="1"/>
        <v>#REF!</v>
      </c>
      <c r="O298" s="113" t="e">
        <f ca="1"/>
        <v>#REF!</v>
      </c>
      <c r="P298" s="113" t="e">
        <f ca="1"/>
        <v>#REF!</v>
      </c>
      <c r="Q298" s="113" t="e">
        <f ca="1"/>
        <v>#REF!</v>
      </c>
      <c r="R298" s="113" t="e">
        <f ca="1"/>
        <v>#REF!</v>
      </c>
      <c r="S298" s="113" t="e">
        <f ca="1"/>
        <v>#REF!</v>
      </c>
      <c r="T298" s="113" t="e">
        <f ca="1"/>
        <v>#REF!</v>
      </c>
      <c r="U298" s="113" t="e">
        <f ca="1"/>
        <v>#REF!</v>
      </c>
      <c r="V298" s="113" t="e">
        <f ca="1"/>
        <v>#REF!</v>
      </c>
      <c r="W298" s="113" t="e">
        <f ca="1"/>
        <v>#REF!</v>
      </c>
      <c r="X298" s="113" t="e">
        <f ca="1"/>
        <v>#REF!</v>
      </c>
      <c r="Y298" s="113" t="e">
        <f ca="1"/>
        <v>#REF!</v>
      </c>
      <c r="Z298" s="113" t="e">
        <f ca="1"/>
        <v>#REF!</v>
      </c>
      <c r="AA298" s="113"/>
      <c r="AB298" s="113"/>
      <c r="AC298" s="113"/>
      <c r="AD298" s="113" t="str">
        <f ca="1">IFERROR(__xludf.DUMMYFUNCTION("""COMPUTED_VALUE"""),"CRECHE")</f>
        <v>CRECHE</v>
      </c>
      <c r="AE298" s="113" t="str">
        <f ca="1">IFERROR(__xludf.DUMMYFUNCTION("""COMPUTED_VALUE"""),"Parcial")</f>
        <v>Parcial</v>
      </c>
      <c r="AF298" s="113" t="str">
        <f ca="1">IFERROR(__xludf.DUMMYFUNCTION("""COMPUTED_VALUE"""),"FE")</f>
        <v>FE</v>
      </c>
      <c r="AG298" s="113">
        <f ca="1">IFERROR(__xludf.DUMMYFUNCTION("""COMPUTED_VALUE"""),0)</f>
        <v>0</v>
      </c>
      <c r="AH298" s="113">
        <f ca="1">IFERROR(__xludf.DUMMYFUNCTION("""COMPUTED_VALUE"""),0)</f>
        <v>0</v>
      </c>
      <c r="AI298" s="113">
        <f ca="1">IFERROR(__xludf.DUMMYFUNCTION("""COMPUTED_VALUE"""),0)</f>
        <v>0</v>
      </c>
      <c r="AJ298" s="113">
        <f ca="1">IFERROR(__xludf.DUMMYFUNCTION("""COMPUTED_VALUE"""),0)</f>
        <v>0</v>
      </c>
      <c r="AK298" s="113"/>
      <c r="AL298" s="116"/>
    </row>
    <row r="299" spans="1:38" ht="12.75">
      <c r="A299" s="112" t="str">
        <f ca="1">IFERROR(__xludf.DUMMYFUNCTION("""COMPUTED_VALUE"""),"17031540")</f>
        <v>17031540</v>
      </c>
      <c r="B299" s="113" t="str">
        <f ca="1">IFERROR(__xludf.DUMMYFUNCTION("""COMPUTED_VALUE"""),"Palmas")</f>
        <v>Palmas</v>
      </c>
      <c r="C299" s="113" t="str">
        <f ca="1">IFERROR(__xludf.DUMMYFUNCTION("""COMPUTED_VALUE"""),"Rio Sono")</f>
        <v>Rio Sono</v>
      </c>
      <c r="D299" s="114" t="str">
        <f ca="1">IFERROR(__xludf.DUMMYFUNCTION("""COMPUTED_VALUE"""),"A. DE PAIS E MESTRES DO COL. EST.RIO SONO")</f>
        <v>A. DE PAIS E MESTRES DO COL. EST.RIO SONO</v>
      </c>
      <c r="E299" s="113" t="str">
        <f ca="1">IFERROR(__xludf.DUMMYFUNCTION("""COMPUTED_VALUE"""),"Colégio Estadual Rio Sono")</f>
        <v>Colégio Estadual Rio Sono</v>
      </c>
      <c r="F299" s="115" t="str">
        <f ca="1">IFERROR(__xludf.DUMMYFUNCTION("""COMPUTED_VALUE"""),"17031540")</f>
        <v>17031540</v>
      </c>
      <c r="G299" s="113" t="str">
        <f ca="1">IFERROR(__xludf.DUMMYFUNCTION("""COMPUTED_VALUE"""),"01184376000166")</f>
        <v>01184376000166</v>
      </c>
      <c r="H299" s="115" t="str">
        <f ca="1">IFERROR(__xludf.DUMMYFUNCTION("""COMPUTED_VALUE"""),"001")</f>
        <v>001</v>
      </c>
      <c r="I299" s="115" t="str">
        <f ca="1">IFERROR(__xludf.DUMMYFUNCTION("""COMPUTED_VALUE"""),"1505")</f>
        <v>1505</v>
      </c>
      <c r="J299" s="115" t="str">
        <f ca="1">IFERROR(__xludf.DUMMYFUNCTION("""COMPUTED_VALUE"""),"530042")</f>
        <v>530042</v>
      </c>
      <c r="K299" s="113" t="e">
        <f ca="1"/>
        <v>#REF!</v>
      </c>
      <c r="L299" s="113" t="e">
        <f ca="1"/>
        <v>#REF!</v>
      </c>
      <c r="M299" s="113" t="e">
        <f ca="1"/>
        <v>#REF!</v>
      </c>
      <c r="N299" s="113" t="e">
        <f ca="1"/>
        <v>#REF!</v>
      </c>
      <c r="O299" s="113" t="e">
        <f ca="1"/>
        <v>#REF!</v>
      </c>
      <c r="P299" s="113" t="e">
        <f ca="1"/>
        <v>#REF!</v>
      </c>
      <c r="Q299" s="113" t="e">
        <f ca="1"/>
        <v>#REF!</v>
      </c>
      <c r="R299" s="113" t="e">
        <f ca="1"/>
        <v>#REF!</v>
      </c>
      <c r="S299" s="113" t="e">
        <f ca="1"/>
        <v>#REF!</v>
      </c>
      <c r="T299" s="113" t="e">
        <f ca="1"/>
        <v>#REF!</v>
      </c>
      <c r="U299" s="113" t="e">
        <f ca="1"/>
        <v>#REF!</v>
      </c>
      <c r="V299" s="113" t="e">
        <f ca="1"/>
        <v>#REF!</v>
      </c>
      <c r="W299" s="113" t="e">
        <f ca="1"/>
        <v>#REF!</v>
      </c>
      <c r="X299" s="113" t="e">
        <f ca="1"/>
        <v>#REF!</v>
      </c>
      <c r="Y299" s="113" t="e">
        <f ca="1"/>
        <v>#REF!</v>
      </c>
      <c r="Z299" s="113" t="e">
        <f ca="1"/>
        <v>#REF!</v>
      </c>
      <c r="AA299" s="113"/>
      <c r="AB299" s="113"/>
      <c r="AC299" s="113"/>
      <c r="AD299" s="113"/>
      <c r="AE299" s="113" t="str">
        <f ca="1">IFERROR(__xludf.DUMMYFUNCTION("""COMPUTED_VALUE"""),"Parcial")</f>
        <v>Parcial</v>
      </c>
      <c r="AF299" s="113" t="str">
        <f ca="1">IFERROR(__xludf.DUMMYFUNCTION("""COMPUTED_VALUE"""),"FE")</f>
        <v>FE</v>
      </c>
      <c r="AG299" s="113">
        <f ca="1">IFERROR(__xludf.DUMMYFUNCTION("""COMPUTED_VALUE"""),0)</f>
        <v>0</v>
      </c>
      <c r="AH299" s="113">
        <f ca="1">IFERROR(__xludf.DUMMYFUNCTION("""COMPUTED_VALUE"""),0)</f>
        <v>0</v>
      </c>
      <c r="AI299" s="113">
        <f ca="1">IFERROR(__xludf.DUMMYFUNCTION("""COMPUTED_VALUE"""),0)</f>
        <v>0</v>
      </c>
      <c r="AJ299" s="113">
        <f ca="1">IFERROR(__xludf.DUMMYFUNCTION("""COMPUTED_VALUE"""),0)</f>
        <v>0</v>
      </c>
      <c r="AK299" s="113"/>
      <c r="AL299" s="116"/>
    </row>
    <row r="300" spans="1:38" ht="12.75">
      <c r="A300" s="112" t="str">
        <f ca="1">IFERROR(__xludf.DUMMYFUNCTION("""COMPUTED_VALUE"""),"17031567")</f>
        <v>17031567</v>
      </c>
      <c r="B300" s="113" t="str">
        <f ca="1">IFERROR(__xludf.DUMMYFUNCTION("""COMPUTED_VALUE"""),"Palmas")</f>
        <v>Palmas</v>
      </c>
      <c r="C300" s="113" t="str">
        <f ca="1">IFERROR(__xludf.DUMMYFUNCTION("""COMPUTED_VALUE"""),"Rio Sono")</f>
        <v>Rio Sono</v>
      </c>
      <c r="D300" s="114" t="str">
        <f ca="1">IFERROR(__xludf.DUMMYFUNCTION("""COMPUTED_VALUE"""),"A.A.  ESCOLA EST. IMACULADA CONCEICAO")</f>
        <v>A.A.  ESCOLA EST. IMACULADA CONCEICAO</v>
      </c>
      <c r="E300" s="113" t="str">
        <f ca="1">IFERROR(__xludf.DUMMYFUNCTION("""COMPUTED_VALUE"""),"Escola Estadual Imaculada Conceicao")</f>
        <v>Escola Estadual Imaculada Conceicao</v>
      </c>
      <c r="F300" s="115" t="str">
        <f ca="1">IFERROR(__xludf.DUMMYFUNCTION("""COMPUTED_VALUE"""),"17031567")</f>
        <v>17031567</v>
      </c>
      <c r="G300" s="113" t="str">
        <f ca="1">IFERROR(__xludf.DUMMYFUNCTION("""COMPUTED_VALUE"""),"01197175000101")</f>
        <v>01197175000101</v>
      </c>
      <c r="H300" s="115" t="str">
        <f ca="1">IFERROR(__xludf.DUMMYFUNCTION("""COMPUTED_VALUE"""),"001")</f>
        <v>001</v>
      </c>
      <c r="I300" s="115" t="str">
        <f ca="1">IFERROR(__xludf.DUMMYFUNCTION("""COMPUTED_VALUE"""),"0862")</f>
        <v>0862</v>
      </c>
      <c r="J300" s="115" t="str">
        <f ca="1">IFERROR(__xludf.DUMMYFUNCTION("""COMPUTED_VALUE"""),"161497")</f>
        <v>161497</v>
      </c>
      <c r="K300" s="113" t="e">
        <f ca="1"/>
        <v>#REF!</v>
      </c>
      <c r="L300" s="113" t="e">
        <f ca="1"/>
        <v>#REF!</v>
      </c>
      <c r="M300" s="113" t="e">
        <f ca="1"/>
        <v>#REF!</v>
      </c>
      <c r="N300" s="113" t="e">
        <f ca="1"/>
        <v>#REF!</v>
      </c>
      <c r="O300" s="113" t="e">
        <f ca="1"/>
        <v>#REF!</v>
      </c>
      <c r="P300" s="113" t="e">
        <f ca="1"/>
        <v>#REF!</v>
      </c>
      <c r="Q300" s="113" t="e">
        <f ca="1"/>
        <v>#REF!</v>
      </c>
      <c r="R300" s="113" t="e">
        <f ca="1"/>
        <v>#REF!</v>
      </c>
      <c r="S300" s="113" t="e">
        <f ca="1"/>
        <v>#REF!</v>
      </c>
      <c r="T300" s="113" t="e">
        <f ca="1"/>
        <v>#REF!</v>
      </c>
      <c r="U300" s="113" t="e">
        <f ca="1"/>
        <v>#REF!</v>
      </c>
      <c r="V300" s="113" t="e">
        <f ca="1"/>
        <v>#REF!</v>
      </c>
      <c r="W300" s="113" t="e">
        <f ca="1"/>
        <v>#REF!</v>
      </c>
      <c r="X300" s="113" t="e">
        <f ca="1"/>
        <v>#REF!</v>
      </c>
      <c r="Y300" s="113" t="e">
        <f ca="1"/>
        <v>#REF!</v>
      </c>
      <c r="Z300" s="113" t="e">
        <f ca="1"/>
        <v>#REF!</v>
      </c>
      <c r="AA300" s="113"/>
      <c r="AB300" s="113"/>
      <c r="AC300" s="113"/>
      <c r="AD300" s="113"/>
      <c r="AE300" s="113" t="str">
        <f ca="1">IFERROR(__xludf.DUMMYFUNCTION("""COMPUTED_VALUE"""),"Parcial")</f>
        <v>Parcial</v>
      </c>
      <c r="AF300" s="113" t="str">
        <f ca="1">IFERROR(__xludf.DUMMYFUNCTION("""COMPUTED_VALUE"""),"FE")</f>
        <v>FE</v>
      </c>
      <c r="AG300" s="113">
        <f ca="1">IFERROR(__xludf.DUMMYFUNCTION("""COMPUTED_VALUE"""),0)</f>
        <v>0</v>
      </c>
      <c r="AH300" s="113">
        <f ca="1">IFERROR(__xludf.DUMMYFUNCTION("""COMPUTED_VALUE"""),0)</f>
        <v>0</v>
      </c>
      <c r="AI300" s="113">
        <f ca="1">IFERROR(__xludf.DUMMYFUNCTION("""COMPUTED_VALUE"""),0)</f>
        <v>0</v>
      </c>
      <c r="AJ300" s="113">
        <f ca="1">IFERROR(__xludf.DUMMYFUNCTION("""COMPUTED_VALUE"""),0)</f>
        <v>0</v>
      </c>
      <c r="AK300" s="113"/>
      <c r="AL300" s="116"/>
    </row>
    <row r="301" spans="1:38" ht="12.75">
      <c r="A301" s="112" t="str">
        <f ca="1">IFERROR(__xludf.DUMMYFUNCTION("""COMPUTED_VALUE"""),"17031990")</f>
        <v>17031990</v>
      </c>
      <c r="B301" s="113" t="str">
        <f ca="1">IFERROR(__xludf.DUMMYFUNCTION("""COMPUTED_VALUE"""),"Palmas")</f>
        <v>Palmas</v>
      </c>
      <c r="C301" s="113" t="str">
        <f ca="1">IFERROR(__xludf.DUMMYFUNCTION("""COMPUTED_VALUE"""),"Santa Tereza do Tocantins")</f>
        <v>Santa Tereza do Tocantins</v>
      </c>
      <c r="D301" s="114" t="str">
        <f ca="1">IFERROR(__xludf.DUMMYFUNCTION("""COMPUTED_VALUE"""),"A.A. C.EST. MANOEL S.DOURADO")</f>
        <v>A.A. C.EST. MANOEL S.DOURADO</v>
      </c>
      <c r="E301" s="113" t="str">
        <f ca="1">IFERROR(__xludf.DUMMYFUNCTION("""COMPUTED_VALUE"""),"Colégio Estadual Professor Manoel Silvério dourado")</f>
        <v>Colégio Estadual Professor Manoel Silvério dourado</v>
      </c>
      <c r="F301" s="115" t="str">
        <f ca="1">IFERROR(__xludf.DUMMYFUNCTION("""COMPUTED_VALUE"""),"17031990")</f>
        <v>17031990</v>
      </c>
      <c r="G301" s="113" t="str">
        <f ca="1">IFERROR(__xludf.DUMMYFUNCTION("""COMPUTED_VALUE"""),"01136013000155")</f>
        <v>01136013000155</v>
      </c>
      <c r="H301" s="115" t="str">
        <f ca="1">IFERROR(__xludf.DUMMYFUNCTION("""COMPUTED_VALUE"""),"001")</f>
        <v>001</v>
      </c>
      <c r="I301" s="115" t="str">
        <f ca="1">IFERROR(__xludf.DUMMYFUNCTION("""COMPUTED_VALUE"""),"1117")</f>
        <v>1117</v>
      </c>
      <c r="J301" s="115" t="str">
        <f ca="1">IFERROR(__xludf.DUMMYFUNCTION("""COMPUTED_VALUE"""),"313033")</f>
        <v>313033</v>
      </c>
      <c r="K301" s="113" t="e">
        <f ca="1"/>
        <v>#REF!</v>
      </c>
      <c r="L301" s="113" t="e">
        <f ca="1"/>
        <v>#REF!</v>
      </c>
      <c r="M301" s="113" t="e">
        <f ca="1"/>
        <v>#REF!</v>
      </c>
      <c r="N301" s="113" t="e">
        <f ca="1"/>
        <v>#REF!</v>
      </c>
      <c r="O301" s="113" t="e">
        <f ca="1"/>
        <v>#REF!</v>
      </c>
      <c r="P301" s="113" t="e">
        <f ca="1"/>
        <v>#REF!</v>
      </c>
      <c r="Q301" s="113" t="e">
        <f ca="1"/>
        <v>#REF!</v>
      </c>
      <c r="R301" s="113" t="e">
        <f ca="1"/>
        <v>#REF!</v>
      </c>
      <c r="S301" s="113" t="e">
        <f ca="1"/>
        <v>#REF!</v>
      </c>
      <c r="T301" s="113" t="e">
        <f ca="1"/>
        <v>#REF!</v>
      </c>
      <c r="U301" s="113" t="e">
        <f ca="1"/>
        <v>#REF!</v>
      </c>
      <c r="V301" s="113" t="e">
        <f ca="1"/>
        <v>#REF!</v>
      </c>
      <c r="W301" s="113" t="e">
        <f ca="1"/>
        <v>#REF!</v>
      </c>
      <c r="X301" s="113" t="e">
        <f ca="1"/>
        <v>#REF!</v>
      </c>
      <c r="Y301" s="113" t="e">
        <f ca="1"/>
        <v>#REF!</v>
      </c>
      <c r="Z301" s="113" t="e">
        <f ca="1"/>
        <v>#REF!</v>
      </c>
      <c r="AA301" s="113"/>
      <c r="AB301" s="113"/>
      <c r="AC301" s="113"/>
      <c r="AD301" s="113"/>
      <c r="AE301" s="113" t="str">
        <f ca="1">IFERROR(__xludf.DUMMYFUNCTION("""COMPUTED_VALUE"""),"Parcial")</f>
        <v>Parcial</v>
      </c>
      <c r="AF301" s="113" t="str">
        <f ca="1">IFERROR(__xludf.DUMMYFUNCTION("""COMPUTED_VALUE"""),"FE")</f>
        <v>FE</v>
      </c>
      <c r="AG301" s="113">
        <f ca="1">IFERROR(__xludf.DUMMYFUNCTION("""COMPUTED_VALUE"""),0)</f>
        <v>0</v>
      </c>
      <c r="AH301" s="113">
        <f ca="1">IFERROR(__xludf.DUMMYFUNCTION("""COMPUTED_VALUE"""),0)</f>
        <v>0</v>
      </c>
      <c r="AI301" s="113">
        <f ca="1">IFERROR(__xludf.DUMMYFUNCTION("""COMPUTED_VALUE"""),0)</f>
        <v>0</v>
      </c>
      <c r="AJ301" s="113">
        <f ca="1">IFERROR(__xludf.DUMMYFUNCTION("""COMPUTED_VALUE"""),0)</f>
        <v>0</v>
      </c>
      <c r="AK301" s="113"/>
      <c r="AL301" s="116"/>
    </row>
    <row r="302" spans="1:38" ht="12.75">
      <c r="A302" s="112" t="str">
        <f ca="1">IFERROR(__xludf.DUMMYFUNCTION("""COMPUTED_VALUE"""),"17032091")</f>
        <v>17032091</v>
      </c>
      <c r="B302" s="113" t="str">
        <f ca="1">IFERROR(__xludf.DUMMYFUNCTION("""COMPUTED_VALUE"""),"Palmas")</f>
        <v>Palmas</v>
      </c>
      <c r="C302" s="113" t="str">
        <f ca="1">IFERROR(__xludf.DUMMYFUNCTION("""COMPUTED_VALUE"""),"Sao Felix do Tocantins")</f>
        <v>Sao Felix do Tocantins</v>
      </c>
      <c r="D302" s="114" t="str">
        <f ca="1">IFERROR(__xludf.DUMMYFUNCTION("""COMPUTED_VALUE"""),"A. DE AP.ESC. EST. SAGRADO CORACAO DE JESUS")</f>
        <v>A. DE AP.ESC. EST. SAGRADO CORACAO DE JESUS</v>
      </c>
      <c r="E302" s="113" t="str">
        <f ca="1">IFERROR(__xludf.DUMMYFUNCTION("""COMPUTED_VALUE"""),"Escola Estadual Sagrado Coração de Jesus")</f>
        <v>Escola Estadual Sagrado Coração de Jesus</v>
      </c>
      <c r="F302" s="115" t="str">
        <f ca="1">IFERROR(__xludf.DUMMYFUNCTION("""COMPUTED_VALUE"""),"17032091")</f>
        <v>17032091</v>
      </c>
      <c r="G302" s="113" t="str">
        <f ca="1">IFERROR(__xludf.DUMMYFUNCTION("""COMPUTED_VALUE"""),"01656550000126")</f>
        <v>01656550000126</v>
      </c>
      <c r="H302" s="115" t="str">
        <f ca="1">IFERROR(__xludf.DUMMYFUNCTION("""COMPUTED_VALUE"""),"001")</f>
        <v>001</v>
      </c>
      <c r="I302" s="115" t="str">
        <f ca="1">IFERROR(__xludf.DUMMYFUNCTION("""COMPUTED_VALUE"""),"3962")</f>
        <v>3962</v>
      </c>
      <c r="J302" s="115" t="str">
        <f ca="1">IFERROR(__xludf.DUMMYFUNCTION("""COMPUTED_VALUE"""),"147605")</f>
        <v>147605</v>
      </c>
      <c r="K302" s="113" t="e">
        <f ca="1"/>
        <v>#REF!</v>
      </c>
      <c r="L302" s="113" t="e">
        <f ca="1"/>
        <v>#REF!</v>
      </c>
      <c r="M302" s="113" t="e">
        <f ca="1"/>
        <v>#REF!</v>
      </c>
      <c r="N302" s="113" t="e">
        <f ca="1"/>
        <v>#REF!</v>
      </c>
      <c r="O302" s="113" t="e">
        <f ca="1"/>
        <v>#REF!</v>
      </c>
      <c r="P302" s="113" t="e">
        <f ca="1"/>
        <v>#REF!</v>
      </c>
      <c r="Q302" s="113" t="e">
        <f ca="1"/>
        <v>#REF!</v>
      </c>
      <c r="R302" s="113" t="e">
        <f ca="1"/>
        <v>#REF!</v>
      </c>
      <c r="S302" s="113" t="e">
        <f ca="1"/>
        <v>#REF!</v>
      </c>
      <c r="T302" s="113" t="e">
        <f ca="1"/>
        <v>#REF!</v>
      </c>
      <c r="U302" s="113" t="e">
        <f ca="1"/>
        <v>#REF!</v>
      </c>
      <c r="V302" s="113" t="e">
        <f ca="1"/>
        <v>#REF!</v>
      </c>
      <c r="W302" s="113" t="e">
        <f ca="1"/>
        <v>#REF!</v>
      </c>
      <c r="X302" s="113" t="e">
        <f ca="1"/>
        <v>#REF!</v>
      </c>
      <c r="Y302" s="113" t="e">
        <f ca="1"/>
        <v>#REF!</v>
      </c>
      <c r="Z302" s="113" t="e">
        <f ca="1"/>
        <v>#REF!</v>
      </c>
      <c r="AA302" s="113"/>
      <c r="AB302" s="113"/>
      <c r="AC302" s="113"/>
      <c r="AD302" s="113"/>
      <c r="AE302" s="113" t="str">
        <f ca="1">IFERROR(__xludf.DUMMYFUNCTION("""COMPUTED_VALUE"""),"Parcial")</f>
        <v>Parcial</v>
      </c>
      <c r="AF302" s="113" t="str">
        <f ca="1">IFERROR(__xludf.DUMMYFUNCTION("""COMPUTED_VALUE"""),"FE")</f>
        <v>FE</v>
      </c>
      <c r="AG302" s="113">
        <f ca="1">IFERROR(__xludf.DUMMYFUNCTION("""COMPUTED_VALUE"""),0)</f>
        <v>0</v>
      </c>
      <c r="AH302" s="113">
        <f ca="1">IFERROR(__xludf.DUMMYFUNCTION("""COMPUTED_VALUE"""),0)</f>
        <v>0</v>
      </c>
      <c r="AI302" s="113">
        <f ca="1">IFERROR(__xludf.DUMMYFUNCTION("""COMPUTED_VALUE"""),0)</f>
        <v>0</v>
      </c>
      <c r="AJ302" s="113">
        <f ca="1">IFERROR(__xludf.DUMMYFUNCTION("""COMPUTED_VALUE"""),0)</f>
        <v>0</v>
      </c>
      <c r="AK302" s="113"/>
      <c r="AL302" s="116"/>
    </row>
    <row r="303" spans="1:38" ht="12.75">
      <c r="A303" s="112" t="str">
        <f ca="1">IFERROR(__xludf.DUMMYFUNCTION("""COMPUTED_VALUE"""),"17010535")</f>
        <v>17010535</v>
      </c>
      <c r="B303" s="113" t="str">
        <f ca="1">IFERROR(__xludf.DUMMYFUNCTION("""COMPUTED_VALUE"""),"Paraíso")</f>
        <v>Paraíso</v>
      </c>
      <c r="C303" s="113" t="str">
        <f ca="1">IFERROR(__xludf.DUMMYFUNCTION("""COMPUTED_VALUE"""),"Abreulandia")</f>
        <v>Abreulandia</v>
      </c>
      <c r="D303" s="114" t="str">
        <f ca="1">IFERROR(__xludf.DUMMYFUNCTION("""COMPUTED_VALUE"""),"ASS. DE APOIO DA ESCOLA EST. SAO PEDRO")</f>
        <v>ASS. DE APOIO DA ESCOLA EST. SAO PEDRO</v>
      </c>
      <c r="E303" s="113" t="str">
        <f ca="1">IFERROR(__xludf.DUMMYFUNCTION("""COMPUTED_VALUE"""),"Colégio Estadual São Pedro")</f>
        <v>Colégio Estadual São Pedro</v>
      </c>
      <c r="F303" s="115" t="str">
        <f ca="1">IFERROR(__xludf.DUMMYFUNCTION("""COMPUTED_VALUE"""),"17010535")</f>
        <v>17010535</v>
      </c>
      <c r="G303" s="113" t="str">
        <f ca="1">IFERROR(__xludf.DUMMYFUNCTION("""COMPUTED_VALUE"""),"01071408000117")</f>
        <v>01071408000117</v>
      </c>
      <c r="H303" s="115" t="str">
        <f ca="1">IFERROR(__xludf.DUMMYFUNCTION("""COMPUTED_VALUE"""),"001")</f>
        <v>001</v>
      </c>
      <c r="I303" s="115" t="str">
        <f ca="1">IFERROR(__xludf.DUMMYFUNCTION("""COMPUTED_VALUE"""),"0804")</f>
        <v>0804</v>
      </c>
      <c r="J303" s="115" t="str">
        <f ca="1">IFERROR(__xludf.DUMMYFUNCTION("""COMPUTED_VALUE"""),"286893")</f>
        <v>286893</v>
      </c>
      <c r="K303" s="113" t="e">
        <f ca="1"/>
        <v>#REF!</v>
      </c>
      <c r="L303" s="113" t="e">
        <f ca="1"/>
        <v>#REF!</v>
      </c>
      <c r="M303" s="113" t="e">
        <f ca="1"/>
        <v>#REF!</v>
      </c>
      <c r="N303" s="113" t="e">
        <f ca="1"/>
        <v>#REF!</v>
      </c>
      <c r="O303" s="113" t="e">
        <f ca="1"/>
        <v>#REF!</v>
      </c>
      <c r="P303" s="113" t="e">
        <f ca="1"/>
        <v>#REF!</v>
      </c>
      <c r="Q303" s="113" t="e">
        <f ca="1"/>
        <v>#REF!</v>
      </c>
      <c r="R303" s="113" t="e">
        <f ca="1"/>
        <v>#REF!</v>
      </c>
      <c r="S303" s="113" t="e">
        <f ca="1"/>
        <v>#REF!</v>
      </c>
      <c r="T303" s="113" t="e">
        <f ca="1"/>
        <v>#REF!</v>
      </c>
      <c r="U303" s="113" t="e">
        <f ca="1"/>
        <v>#REF!</v>
      </c>
      <c r="V303" s="113" t="e">
        <f ca="1"/>
        <v>#REF!</v>
      </c>
      <c r="W303" s="113" t="e">
        <f ca="1"/>
        <v>#REF!</v>
      </c>
      <c r="X303" s="113" t="e">
        <f ca="1"/>
        <v>#REF!</v>
      </c>
      <c r="Y303" s="113" t="e">
        <f ca="1"/>
        <v>#REF!</v>
      </c>
      <c r="Z303" s="113" t="e">
        <f ca="1"/>
        <v>#REF!</v>
      </c>
      <c r="AA303" s="113"/>
      <c r="AB303" s="113"/>
      <c r="AC303" s="113"/>
      <c r="AD303" s="113"/>
      <c r="AE303" s="113" t="str">
        <f ca="1">IFERROR(__xludf.DUMMYFUNCTION("""COMPUTED_VALUE"""),"Parcial")</f>
        <v>Parcial</v>
      </c>
      <c r="AF303" s="113" t="str">
        <f ca="1">IFERROR(__xludf.DUMMYFUNCTION("""COMPUTED_VALUE"""),"FE")</f>
        <v>FE</v>
      </c>
      <c r="AG303" s="113">
        <f ca="1">IFERROR(__xludf.DUMMYFUNCTION("""COMPUTED_VALUE"""),0)</f>
        <v>0</v>
      </c>
      <c r="AH303" s="113">
        <f ca="1">IFERROR(__xludf.DUMMYFUNCTION("""COMPUTED_VALUE"""),0)</f>
        <v>0</v>
      </c>
      <c r="AI303" s="113">
        <f ca="1">IFERROR(__xludf.DUMMYFUNCTION("""COMPUTED_VALUE"""),0)</f>
        <v>0</v>
      </c>
      <c r="AJ303" s="113">
        <f ca="1">IFERROR(__xludf.DUMMYFUNCTION("""COMPUTED_VALUE"""),0)</f>
        <v>0</v>
      </c>
      <c r="AK303" s="113"/>
      <c r="AL303" s="116"/>
    </row>
    <row r="304" spans="1:38" ht="12.75">
      <c r="A304" s="112" t="str">
        <f ca="1">IFERROR(__xludf.DUMMYFUNCTION("""COMPUTED_VALUE"""),"17010748")</f>
        <v>17010748</v>
      </c>
      <c r="B304" s="113" t="str">
        <f ca="1">IFERROR(__xludf.DUMMYFUNCTION("""COMPUTED_VALUE"""),"Paraíso")</f>
        <v>Paraíso</v>
      </c>
      <c r="C304" s="113" t="str">
        <f ca="1">IFERROR(__xludf.DUMMYFUNCTION("""COMPUTED_VALUE"""),"Araguacema")</f>
        <v>Araguacema</v>
      </c>
      <c r="D304" s="114" t="str">
        <f ca="1">IFERROR(__xludf.DUMMYFUNCTION("""COMPUTED_VALUE"""),"ASSOC. DE APOIO AO COL. EST. DE ARAGUACEMA")</f>
        <v>ASSOC. DE APOIO AO COL. EST. DE ARAGUACEMA</v>
      </c>
      <c r="E304" s="113" t="str">
        <f ca="1">IFERROR(__xludf.DUMMYFUNCTION("""COMPUTED_VALUE"""),"Colegio Estadual de Araguacema")</f>
        <v>Colegio Estadual de Araguacema</v>
      </c>
      <c r="F304" s="115" t="str">
        <f ca="1">IFERROR(__xludf.DUMMYFUNCTION("""COMPUTED_VALUE"""),"17010748")</f>
        <v>17010748</v>
      </c>
      <c r="G304" s="113" t="str">
        <f ca="1">IFERROR(__xludf.DUMMYFUNCTION("""COMPUTED_VALUE"""),"01187107000153")</f>
        <v>01187107000153</v>
      </c>
      <c r="H304" s="115" t="str">
        <f ca="1">IFERROR(__xludf.DUMMYFUNCTION("""COMPUTED_VALUE"""),"001")</f>
        <v>001</v>
      </c>
      <c r="I304" s="115" t="str">
        <f ca="1">IFERROR(__xludf.DUMMYFUNCTION("""COMPUTED_VALUE"""),"0804")</f>
        <v>0804</v>
      </c>
      <c r="J304" s="115" t="str">
        <f ca="1">IFERROR(__xludf.DUMMYFUNCTION("""COMPUTED_VALUE"""),"286532")</f>
        <v>286532</v>
      </c>
      <c r="K304" s="113" t="e">
        <f ca="1"/>
        <v>#REF!</v>
      </c>
      <c r="L304" s="113" t="e">
        <f ca="1"/>
        <v>#REF!</v>
      </c>
      <c r="M304" s="113" t="e">
        <f ca="1"/>
        <v>#REF!</v>
      </c>
      <c r="N304" s="113" t="e">
        <f ca="1"/>
        <v>#REF!</v>
      </c>
      <c r="O304" s="113" t="e">
        <f ca="1"/>
        <v>#REF!</v>
      </c>
      <c r="P304" s="113" t="e">
        <f ca="1"/>
        <v>#REF!</v>
      </c>
      <c r="Q304" s="113" t="e">
        <f ca="1"/>
        <v>#REF!</v>
      </c>
      <c r="R304" s="113" t="e">
        <f ca="1"/>
        <v>#REF!</v>
      </c>
      <c r="S304" s="113" t="e">
        <f ca="1"/>
        <v>#REF!</v>
      </c>
      <c r="T304" s="113" t="e">
        <f ca="1"/>
        <v>#REF!</v>
      </c>
      <c r="U304" s="113" t="e">
        <f ca="1"/>
        <v>#REF!</v>
      </c>
      <c r="V304" s="113" t="e">
        <f ca="1"/>
        <v>#REF!</v>
      </c>
      <c r="W304" s="113" t="e">
        <f ca="1"/>
        <v>#REF!</v>
      </c>
      <c r="X304" s="113" t="e">
        <f ca="1"/>
        <v>#REF!</v>
      </c>
      <c r="Y304" s="113" t="e">
        <f ca="1"/>
        <v>#REF!</v>
      </c>
      <c r="Z304" s="113" t="e">
        <f ca="1"/>
        <v>#REF!</v>
      </c>
      <c r="AA304" s="113"/>
      <c r="AB304" s="113"/>
      <c r="AC304" s="113"/>
      <c r="AD304" s="113"/>
      <c r="AE304" s="113" t="str">
        <f ca="1">IFERROR(__xludf.DUMMYFUNCTION("""COMPUTED_VALUE"""),"Parcial")</f>
        <v>Parcial</v>
      </c>
      <c r="AF304" s="113" t="str">
        <f ca="1">IFERROR(__xludf.DUMMYFUNCTION("""COMPUTED_VALUE"""),"FE")</f>
        <v>FE</v>
      </c>
      <c r="AG304" s="113">
        <f ca="1">IFERROR(__xludf.DUMMYFUNCTION("""COMPUTED_VALUE"""),0)</f>
        <v>0</v>
      </c>
      <c r="AH304" s="113">
        <f ca="1">IFERROR(__xludf.DUMMYFUNCTION("""COMPUTED_VALUE"""),0)</f>
        <v>0</v>
      </c>
      <c r="AI304" s="113">
        <f ca="1">IFERROR(__xludf.DUMMYFUNCTION("""COMPUTED_VALUE"""),0)</f>
        <v>0</v>
      </c>
      <c r="AJ304" s="113">
        <f ca="1">IFERROR(__xludf.DUMMYFUNCTION("""COMPUTED_VALUE"""),0)</f>
        <v>0</v>
      </c>
      <c r="AK304" s="113"/>
      <c r="AL304" s="116"/>
    </row>
    <row r="305" spans="1:38" ht="12.75">
      <c r="A305" s="112" t="str">
        <f ca="1">IFERROR(__xludf.DUMMYFUNCTION("""COMPUTED_VALUE"""),"17010772")</f>
        <v>17010772</v>
      </c>
      <c r="B305" s="113" t="str">
        <f ca="1">IFERROR(__xludf.DUMMYFUNCTION("""COMPUTED_VALUE"""),"Paraíso")</f>
        <v>Paraíso</v>
      </c>
      <c r="C305" s="113" t="str">
        <f ca="1">IFERROR(__xludf.DUMMYFUNCTION("""COMPUTED_VALUE"""),"Araguacema")</f>
        <v>Araguacema</v>
      </c>
      <c r="D305" s="114" t="str">
        <f ca="1">IFERROR(__xludf.DUMMYFUNCTION("""COMPUTED_VALUE"""),"ASSOC. DE APOIO COLEGIO MENNO SIMONS")</f>
        <v>ASSOC. DE APOIO COLEGIO MENNO SIMONS</v>
      </c>
      <c r="E305" s="113" t="str">
        <f ca="1">IFERROR(__xludf.DUMMYFUNCTION("""COMPUTED_VALUE"""),"Escola Conveniada Menno Simons")</f>
        <v>Escola Conveniada Menno Simons</v>
      </c>
      <c r="F305" s="115" t="str">
        <f ca="1">IFERROR(__xludf.DUMMYFUNCTION("""COMPUTED_VALUE"""),"17010772")</f>
        <v>17010772</v>
      </c>
      <c r="G305" s="113" t="str">
        <f ca="1">IFERROR(__xludf.DUMMYFUNCTION("""COMPUTED_VALUE"""),"01138321000110")</f>
        <v>01138321000110</v>
      </c>
      <c r="H305" s="115" t="str">
        <f ca="1">IFERROR(__xludf.DUMMYFUNCTION("""COMPUTED_VALUE"""),"001")</f>
        <v>001</v>
      </c>
      <c r="I305" s="115" t="str">
        <f ca="1">IFERROR(__xludf.DUMMYFUNCTION("""COMPUTED_VALUE"""),"0804")</f>
        <v>0804</v>
      </c>
      <c r="J305" s="115" t="str">
        <f ca="1">IFERROR(__xludf.DUMMYFUNCTION("""COMPUTED_VALUE"""),"300764")</f>
        <v>300764</v>
      </c>
      <c r="K305" s="113" t="e">
        <f ca="1"/>
        <v>#REF!</v>
      </c>
      <c r="L305" s="113" t="e">
        <f ca="1"/>
        <v>#REF!</v>
      </c>
      <c r="M305" s="113" t="e">
        <f ca="1"/>
        <v>#REF!</v>
      </c>
      <c r="N305" s="113" t="e">
        <f ca="1"/>
        <v>#REF!</v>
      </c>
      <c r="O305" s="113" t="e">
        <f ca="1"/>
        <v>#REF!</v>
      </c>
      <c r="P305" s="113" t="e">
        <f ca="1"/>
        <v>#REF!</v>
      </c>
      <c r="Q305" s="113" t="e">
        <f ca="1"/>
        <v>#REF!</v>
      </c>
      <c r="R305" s="113" t="e">
        <f ca="1"/>
        <v>#REF!</v>
      </c>
      <c r="S305" s="113" t="e">
        <f ca="1"/>
        <v>#REF!</v>
      </c>
      <c r="T305" s="113" t="e">
        <f ca="1"/>
        <v>#REF!</v>
      </c>
      <c r="U305" s="113" t="e">
        <f ca="1"/>
        <v>#REF!</v>
      </c>
      <c r="V305" s="113" t="e">
        <f ca="1"/>
        <v>#REF!</v>
      </c>
      <c r="W305" s="113" t="e">
        <f ca="1"/>
        <v>#REF!</v>
      </c>
      <c r="X305" s="113" t="e">
        <f ca="1"/>
        <v>#REF!</v>
      </c>
      <c r="Y305" s="113" t="e">
        <f ca="1"/>
        <v>#REF!</v>
      </c>
      <c r="Z305" s="113" t="e">
        <f ca="1"/>
        <v>#REF!</v>
      </c>
      <c r="AA305" s="113"/>
      <c r="AB305" s="113"/>
      <c r="AC305" s="113"/>
      <c r="AD305" s="113"/>
      <c r="AE305" s="113" t="str">
        <f ca="1">IFERROR(__xludf.DUMMYFUNCTION("""COMPUTED_VALUE"""),"Parcial")</f>
        <v>Parcial</v>
      </c>
      <c r="AF305" s="113" t="str">
        <f ca="1">IFERROR(__xludf.DUMMYFUNCTION("""COMPUTED_VALUE"""),"FE")</f>
        <v>FE</v>
      </c>
      <c r="AG305" s="113">
        <f ca="1">IFERROR(__xludf.DUMMYFUNCTION("""COMPUTED_VALUE"""),0)</f>
        <v>0</v>
      </c>
      <c r="AH305" s="113">
        <f ca="1">IFERROR(__xludf.DUMMYFUNCTION("""COMPUTED_VALUE"""),0)</f>
        <v>0</v>
      </c>
      <c r="AI305" s="113">
        <f ca="1">IFERROR(__xludf.DUMMYFUNCTION("""COMPUTED_VALUE"""),0)</f>
        <v>0</v>
      </c>
      <c r="AJ305" s="113">
        <f ca="1">IFERROR(__xludf.DUMMYFUNCTION("""COMPUTED_VALUE"""),0)</f>
        <v>0</v>
      </c>
      <c r="AK305" s="113"/>
      <c r="AL305" s="116"/>
    </row>
    <row r="306" spans="1:38" ht="12.75">
      <c r="A306" s="112" t="str">
        <f ca="1">IFERROR(__xludf.DUMMYFUNCTION("""COMPUTED_VALUE"""),"17010926")</f>
        <v>17010926</v>
      </c>
      <c r="B306" s="113" t="str">
        <f ca="1">IFERROR(__xludf.DUMMYFUNCTION("""COMPUTED_VALUE"""),"Paraíso")</f>
        <v>Paraíso</v>
      </c>
      <c r="C306" s="113" t="str">
        <f ca="1">IFERROR(__xludf.DUMMYFUNCTION("""COMPUTED_VALUE"""),"Barrolandia")</f>
        <v>Barrolandia</v>
      </c>
      <c r="D306" s="114" t="str">
        <f ca="1">IFERROR(__xludf.DUMMYFUNCTION("""COMPUTED_VALUE"""),"ASSOC. DE A. DO COL. EST. PRES. TANCREDO NEVES")</f>
        <v>ASSOC. DE A. DO COL. EST. PRES. TANCREDO NEVES</v>
      </c>
      <c r="E306" s="113" t="str">
        <f ca="1">IFERROR(__xludf.DUMMYFUNCTION("""COMPUTED_VALUE"""),"Colégio Estadual Presidente Tancredo Neves")</f>
        <v>Colégio Estadual Presidente Tancredo Neves</v>
      </c>
      <c r="F306" s="115" t="str">
        <f ca="1">IFERROR(__xludf.DUMMYFUNCTION("""COMPUTED_VALUE"""),"17010926")</f>
        <v>17010926</v>
      </c>
      <c r="G306" s="113" t="str">
        <f ca="1">IFERROR(__xludf.DUMMYFUNCTION("""COMPUTED_VALUE"""),"01086975000147")</f>
        <v>01086975000147</v>
      </c>
      <c r="H306" s="115" t="str">
        <f ca="1">IFERROR(__xludf.DUMMYFUNCTION("""COMPUTED_VALUE"""),"001")</f>
        <v>001</v>
      </c>
      <c r="I306" s="115" t="str">
        <f ca="1">IFERROR(__xludf.DUMMYFUNCTION("""COMPUTED_VALUE"""),"0862")</f>
        <v>0862</v>
      </c>
      <c r="J306" s="115" t="str">
        <f ca="1">IFERROR(__xludf.DUMMYFUNCTION("""COMPUTED_VALUE"""),"244155")</f>
        <v>244155</v>
      </c>
      <c r="K306" s="113" t="e">
        <f ca="1"/>
        <v>#REF!</v>
      </c>
      <c r="L306" s="113" t="e">
        <f ca="1"/>
        <v>#REF!</v>
      </c>
      <c r="M306" s="113" t="e">
        <f ca="1"/>
        <v>#REF!</v>
      </c>
      <c r="N306" s="113" t="e">
        <f ca="1"/>
        <v>#REF!</v>
      </c>
      <c r="O306" s="113" t="e">
        <f ca="1"/>
        <v>#REF!</v>
      </c>
      <c r="P306" s="113" t="e">
        <f ca="1"/>
        <v>#REF!</v>
      </c>
      <c r="Q306" s="113" t="e">
        <f ca="1"/>
        <v>#REF!</v>
      </c>
      <c r="R306" s="113" t="e">
        <f ca="1"/>
        <v>#REF!</v>
      </c>
      <c r="S306" s="113" t="e">
        <f ca="1"/>
        <v>#REF!</v>
      </c>
      <c r="T306" s="113" t="e">
        <f ca="1"/>
        <v>#REF!</v>
      </c>
      <c r="U306" s="113" t="e">
        <f ca="1"/>
        <v>#REF!</v>
      </c>
      <c r="V306" s="113" t="e">
        <f ca="1"/>
        <v>#REF!</v>
      </c>
      <c r="W306" s="113" t="e">
        <f ca="1"/>
        <v>#REF!</v>
      </c>
      <c r="X306" s="113" t="e">
        <f ca="1"/>
        <v>#REF!</v>
      </c>
      <c r="Y306" s="113" t="e">
        <f ca="1"/>
        <v>#REF!</v>
      </c>
      <c r="Z306" s="113" t="e">
        <f ca="1"/>
        <v>#REF!</v>
      </c>
      <c r="AA306" s="113"/>
      <c r="AB306" s="113"/>
      <c r="AC306" s="113"/>
      <c r="AD306" s="113" t="str">
        <f ca="1">IFERROR(__xludf.DUMMYFUNCTION("""COMPUTED_VALUE"""),"CRECHE")</f>
        <v>CRECHE</v>
      </c>
      <c r="AE306" s="113" t="str">
        <f ca="1">IFERROR(__xludf.DUMMYFUNCTION("""COMPUTED_VALUE"""),"Parcial")</f>
        <v>Parcial</v>
      </c>
      <c r="AF306" s="113" t="str">
        <f ca="1">IFERROR(__xludf.DUMMYFUNCTION("""COMPUTED_VALUE"""),"FE")</f>
        <v>FE</v>
      </c>
      <c r="AG306" s="113">
        <f ca="1">IFERROR(__xludf.DUMMYFUNCTION("""COMPUTED_VALUE"""),7)</f>
        <v>7</v>
      </c>
      <c r="AH306" s="113">
        <f ca="1">IFERROR(__xludf.DUMMYFUNCTION("""COMPUTED_VALUE"""),0)</f>
        <v>0</v>
      </c>
      <c r="AI306" s="113">
        <f ca="1">IFERROR(__xludf.DUMMYFUNCTION("""COMPUTED_VALUE"""),0)</f>
        <v>0</v>
      </c>
      <c r="AJ306" s="113">
        <f ca="1">IFERROR(__xludf.DUMMYFUNCTION("""COMPUTED_VALUE"""),0)</f>
        <v>0</v>
      </c>
      <c r="AK306" s="113"/>
      <c r="AL306" s="116"/>
    </row>
    <row r="307" spans="1:38" ht="12.75">
      <c r="A307" s="112" t="str">
        <f ca="1">IFERROR(__xludf.DUMMYFUNCTION("""COMPUTED_VALUE"""),"17041902")</f>
        <v>17041902</v>
      </c>
      <c r="B307" s="113" t="str">
        <f ca="1">IFERROR(__xludf.DUMMYFUNCTION("""COMPUTED_VALUE"""),"Paraíso")</f>
        <v>Paraíso</v>
      </c>
      <c r="C307" s="113" t="str">
        <f ca="1">IFERROR(__xludf.DUMMYFUNCTION("""COMPUTED_VALUE"""),"Barrolandia")</f>
        <v>Barrolandia</v>
      </c>
      <c r="D307" s="114" t="str">
        <f ca="1">IFERROR(__xludf.DUMMYFUNCTION("""COMPUTED_VALUE"""),"A..A. ESC. ESPECIAL AMOR DE DEUS")</f>
        <v>A..A. ESC. ESPECIAL AMOR DE DEUS</v>
      </c>
      <c r="E307" s="113" t="str">
        <f ca="1">IFERROR(__xludf.DUMMYFUNCTION("""COMPUTED_VALUE"""),"Escola Especial Amor de deus")</f>
        <v>Escola Especial Amor de deus</v>
      </c>
      <c r="F307" s="115" t="str">
        <f ca="1">IFERROR(__xludf.DUMMYFUNCTION("""COMPUTED_VALUE"""),"17041902")</f>
        <v>17041902</v>
      </c>
      <c r="G307" s="113" t="str">
        <f ca="1">IFERROR(__xludf.DUMMYFUNCTION("""COMPUTED_VALUE"""),"07935641000187")</f>
        <v>07935641000187</v>
      </c>
      <c r="H307" s="115" t="str">
        <f ca="1">IFERROR(__xludf.DUMMYFUNCTION("""COMPUTED_VALUE"""),"001")</f>
        <v>001</v>
      </c>
      <c r="I307" s="115" t="str">
        <f ca="1">IFERROR(__xludf.DUMMYFUNCTION("""COMPUTED_VALUE"""),"0804")</f>
        <v>0804</v>
      </c>
      <c r="J307" s="115" t="str">
        <f ca="1">IFERROR(__xludf.DUMMYFUNCTION("""COMPUTED_VALUE"""),"279501")</f>
        <v>279501</v>
      </c>
      <c r="K307" s="113" t="e">
        <f ca="1"/>
        <v>#REF!</v>
      </c>
      <c r="L307" s="113" t="e">
        <f ca="1"/>
        <v>#REF!</v>
      </c>
      <c r="M307" s="113" t="e">
        <f ca="1"/>
        <v>#REF!</v>
      </c>
      <c r="N307" s="113" t="e">
        <f ca="1"/>
        <v>#REF!</v>
      </c>
      <c r="O307" s="113" t="e">
        <f ca="1"/>
        <v>#REF!</v>
      </c>
      <c r="P307" s="113" t="e">
        <f ca="1"/>
        <v>#REF!</v>
      </c>
      <c r="Q307" s="113" t="e">
        <f ca="1"/>
        <v>#REF!</v>
      </c>
      <c r="R307" s="113" t="e">
        <f ca="1"/>
        <v>#REF!</v>
      </c>
      <c r="S307" s="113" t="e">
        <f ca="1"/>
        <v>#REF!</v>
      </c>
      <c r="T307" s="113" t="e">
        <f ca="1"/>
        <v>#REF!</v>
      </c>
      <c r="U307" s="113" t="e">
        <f ca="1"/>
        <v>#REF!</v>
      </c>
      <c r="V307" s="113" t="e">
        <f ca="1"/>
        <v>#REF!</v>
      </c>
      <c r="W307" s="113" t="e">
        <f ca="1"/>
        <v>#REF!</v>
      </c>
      <c r="X307" s="113" t="e">
        <f ca="1"/>
        <v>#REF!</v>
      </c>
      <c r="Y307" s="113" t="e">
        <f ca="1"/>
        <v>#REF!</v>
      </c>
      <c r="Z307" s="113" t="e">
        <f ca="1"/>
        <v>#REF!</v>
      </c>
      <c r="AA307" s="113"/>
      <c r="AB307" s="113"/>
      <c r="AC307" s="113"/>
      <c r="AD307" s="113"/>
      <c r="AE307" s="113" t="str">
        <f ca="1">IFERROR(__xludf.DUMMYFUNCTION("""COMPUTED_VALUE"""),"Parcial")</f>
        <v>Parcial</v>
      </c>
      <c r="AF307" s="113" t="str">
        <f ca="1">IFERROR(__xludf.DUMMYFUNCTION("""COMPUTED_VALUE"""),"FE")</f>
        <v>FE</v>
      </c>
      <c r="AG307" s="113">
        <f ca="1">IFERROR(__xludf.DUMMYFUNCTION("""COMPUTED_VALUE"""),0)</f>
        <v>0</v>
      </c>
      <c r="AH307" s="113">
        <f ca="1">IFERROR(__xludf.DUMMYFUNCTION("""COMPUTED_VALUE"""),0)</f>
        <v>0</v>
      </c>
      <c r="AI307" s="113">
        <f ca="1">IFERROR(__xludf.DUMMYFUNCTION("""COMPUTED_VALUE"""),0)</f>
        <v>0</v>
      </c>
      <c r="AJ307" s="113">
        <f ca="1">IFERROR(__xludf.DUMMYFUNCTION("""COMPUTED_VALUE"""),0)</f>
        <v>0</v>
      </c>
      <c r="AK307" s="113"/>
      <c r="AL307" s="116"/>
    </row>
    <row r="308" spans="1:38" ht="12.75">
      <c r="A308" s="112" t="str">
        <f ca="1">IFERROR(__xludf.DUMMYFUNCTION("""COMPUTED_VALUE"""),"17010950")</f>
        <v>17010950</v>
      </c>
      <c r="B308" s="113" t="str">
        <f ca="1">IFERROR(__xludf.DUMMYFUNCTION("""COMPUTED_VALUE"""),"Paraíso")</f>
        <v>Paraíso</v>
      </c>
      <c r="C308" s="113" t="str">
        <f ca="1">IFERROR(__xludf.DUMMYFUNCTION("""COMPUTED_VALUE"""),"Barrolandia")</f>
        <v>Barrolandia</v>
      </c>
      <c r="D308" s="114" t="str">
        <f ca="1">IFERROR(__xludf.DUMMYFUNCTION("""COMPUTED_VALUE"""),"ASS. APOIO DA ESC EST PAULINA CAMARA")</f>
        <v>ASS. APOIO DA ESC EST PAULINA CAMARA</v>
      </c>
      <c r="E308" s="113" t="str">
        <f ca="1">IFERROR(__xludf.DUMMYFUNCTION("""COMPUTED_VALUE"""),"Escola Estadual Paulina Câmara")</f>
        <v>Escola Estadual Paulina Câmara</v>
      </c>
      <c r="F308" s="115" t="str">
        <f ca="1">IFERROR(__xludf.DUMMYFUNCTION("""COMPUTED_VALUE"""),"17010950")</f>
        <v>17010950</v>
      </c>
      <c r="G308" s="113" t="str">
        <f ca="1">IFERROR(__xludf.DUMMYFUNCTION("""COMPUTED_VALUE"""),"01071402000140")</f>
        <v>01071402000140</v>
      </c>
      <c r="H308" s="115" t="str">
        <f ca="1">IFERROR(__xludf.DUMMYFUNCTION("""COMPUTED_VALUE"""),"001")</f>
        <v>001</v>
      </c>
      <c r="I308" s="115" t="str">
        <f ca="1">IFERROR(__xludf.DUMMYFUNCTION("""COMPUTED_VALUE"""),"0862")</f>
        <v>0862</v>
      </c>
      <c r="J308" s="115" t="str">
        <f ca="1">IFERROR(__xludf.DUMMYFUNCTION("""COMPUTED_VALUE"""),"68926")</f>
        <v>68926</v>
      </c>
      <c r="K308" s="113" t="e">
        <f ca="1"/>
        <v>#REF!</v>
      </c>
      <c r="L308" s="113" t="e">
        <f ca="1"/>
        <v>#REF!</v>
      </c>
      <c r="M308" s="113" t="e">
        <f ca="1"/>
        <v>#REF!</v>
      </c>
      <c r="N308" s="113" t="e">
        <f ca="1"/>
        <v>#REF!</v>
      </c>
      <c r="O308" s="113" t="e">
        <f ca="1"/>
        <v>#REF!</v>
      </c>
      <c r="P308" s="113" t="e">
        <f ca="1"/>
        <v>#REF!</v>
      </c>
      <c r="Q308" s="113" t="e">
        <f ca="1"/>
        <v>#REF!</v>
      </c>
      <c r="R308" s="113" t="e">
        <f ca="1"/>
        <v>#REF!</v>
      </c>
      <c r="S308" s="113" t="e">
        <f ca="1"/>
        <v>#REF!</v>
      </c>
      <c r="T308" s="113" t="e">
        <f ca="1"/>
        <v>#REF!</v>
      </c>
      <c r="U308" s="113" t="e">
        <f ca="1"/>
        <v>#REF!</v>
      </c>
      <c r="V308" s="113" t="e">
        <f ca="1"/>
        <v>#REF!</v>
      </c>
      <c r="W308" s="113" t="e">
        <f ca="1"/>
        <v>#REF!</v>
      </c>
      <c r="X308" s="113" t="e">
        <f ca="1"/>
        <v>#REF!</v>
      </c>
      <c r="Y308" s="113" t="e">
        <f ca="1"/>
        <v>#REF!</v>
      </c>
      <c r="Z308" s="113" t="e">
        <f ca="1"/>
        <v>#REF!</v>
      </c>
      <c r="AA308" s="113"/>
      <c r="AB308" s="113"/>
      <c r="AC308" s="113"/>
      <c r="AD308" s="113"/>
      <c r="AE308" s="113" t="str">
        <f ca="1">IFERROR(__xludf.DUMMYFUNCTION("""COMPUTED_VALUE"""),"Parcial")</f>
        <v>Parcial</v>
      </c>
      <c r="AF308" s="113" t="str">
        <f ca="1">IFERROR(__xludf.DUMMYFUNCTION("""COMPUTED_VALUE"""),"FE")</f>
        <v>FE</v>
      </c>
      <c r="AG308" s="113">
        <f ca="1">IFERROR(__xludf.DUMMYFUNCTION("""COMPUTED_VALUE"""),0)</f>
        <v>0</v>
      </c>
      <c r="AH308" s="113">
        <f ca="1">IFERROR(__xludf.DUMMYFUNCTION("""COMPUTED_VALUE"""),0)</f>
        <v>0</v>
      </c>
      <c r="AI308" s="113">
        <f ca="1">IFERROR(__xludf.DUMMYFUNCTION("""COMPUTED_VALUE"""),0)</f>
        <v>0</v>
      </c>
      <c r="AJ308" s="113">
        <f ca="1">IFERROR(__xludf.DUMMYFUNCTION("""COMPUTED_VALUE"""),0)</f>
        <v>0</v>
      </c>
      <c r="AK308" s="113"/>
      <c r="AL308" s="116"/>
    </row>
    <row r="309" spans="1:38" ht="12.75">
      <c r="A309" s="112" t="str">
        <f ca="1">IFERROR(__xludf.DUMMYFUNCTION("""COMPUTED_VALUE"""),"17010934")</f>
        <v>17010934</v>
      </c>
      <c r="B309" s="113" t="str">
        <f ca="1">IFERROR(__xludf.DUMMYFUNCTION("""COMPUTED_VALUE"""),"Paraíso")</f>
        <v>Paraíso</v>
      </c>
      <c r="C309" s="113" t="str">
        <f ca="1">IFERROR(__xludf.DUMMYFUNCTION("""COMPUTED_VALUE"""),"Barrolandia")</f>
        <v>Barrolandia</v>
      </c>
      <c r="D309" s="114" t="str">
        <f ca="1">IFERROR(__xludf.DUMMYFUNCTION("""COMPUTED_VALUE"""),"A.A. COLEGIO ESTADUAL COSTA E SILVA")</f>
        <v>A.A. COLEGIO ESTADUAL COSTA E SILVA</v>
      </c>
      <c r="E309" s="113" t="str">
        <f ca="1">IFERROR(__xludf.DUMMYFUNCTION("""COMPUTED_VALUE"""),"Escola Estadual Presidente Costa E Silva")</f>
        <v>Escola Estadual Presidente Costa E Silva</v>
      </c>
      <c r="F309" s="115" t="str">
        <f ca="1">IFERROR(__xludf.DUMMYFUNCTION("""COMPUTED_VALUE"""),"17010934")</f>
        <v>17010934</v>
      </c>
      <c r="G309" s="113" t="str">
        <f ca="1">IFERROR(__xludf.DUMMYFUNCTION("""COMPUTED_VALUE"""),"01100434000126")</f>
        <v>01100434000126</v>
      </c>
      <c r="H309" s="115" t="str">
        <f ca="1">IFERROR(__xludf.DUMMYFUNCTION("""COMPUTED_VALUE"""),"001")</f>
        <v>001</v>
      </c>
      <c r="I309" s="115" t="str">
        <f ca="1">IFERROR(__xludf.DUMMYFUNCTION("""COMPUTED_VALUE"""),"0862")</f>
        <v>0862</v>
      </c>
      <c r="J309" s="115" t="str">
        <f ca="1">IFERROR(__xludf.DUMMYFUNCTION("""COMPUTED_VALUE"""),"68942")</f>
        <v>68942</v>
      </c>
      <c r="K309" s="113" t="e">
        <f ca="1"/>
        <v>#REF!</v>
      </c>
      <c r="L309" s="113" t="e">
        <f ca="1"/>
        <v>#REF!</v>
      </c>
      <c r="M309" s="113" t="e">
        <f ca="1"/>
        <v>#REF!</v>
      </c>
      <c r="N309" s="113" t="e">
        <f ca="1"/>
        <v>#REF!</v>
      </c>
      <c r="O309" s="113" t="e">
        <f ca="1"/>
        <v>#REF!</v>
      </c>
      <c r="P309" s="113" t="e">
        <f ca="1"/>
        <v>#REF!</v>
      </c>
      <c r="Q309" s="113" t="e">
        <f ca="1"/>
        <v>#REF!</v>
      </c>
      <c r="R309" s="113" t="e">
        <f ca="1"/>
        <v>#REF!</v>
      </c>
      <c r="S309" s="113" t="e">
        <f ca="1"/>
        <v>#REF!</v>
      </c>
      <c r="T309" s="113" t="e">
        <f ca="1"/>
        <v>#REF!</v>
      </c>
      <c r="U309" s="113" t="e">
        <f ca="1"/>
        <v>#REF!</v>
      </c>
      <c r="V309" s="113" t="e">
        <f ca="1"/>
        <v>#REF!</v>
      </c>
      <c r="W309" s="113" t="e">
        <f ca="1"/>
        <v>#REF!</v>
      </c>
      <c r="X309" s="113" t="e">
        <f ca="1"/>
        <v>#REF!</v>
      </c>
      <c r="Y309" s="113" t="e">
        <f ca="1"/>
        <v>#REF!</v>
      </c>
      <c r="Z309" s="113" t="e">
        <f ca="1"/>
        <v>#REF!</v>
      </c>
      <c r="AA309" s="113"/>
      <c r="AB309" s="113"/>
      <c r="AC309" s="113"/>
      <c r="AD309" s="113"/>
      <c r="AE309" s="113" t="str">
        <f ca="1">IFERROR(__xludf.DUMMYFUNCTION("""COMPUTED_VALUE"""),"Parcial")</f>
        <v>Parcial</v>
      </c>
      <c r="AF309" s="113" t="str">
        <f ca="1">IFERROR(__xludf.DUMMYFUNCTION("""COMPUTED_VALUE"""),"FE")</f>
        <v>FE</v>
      </c>
      <c r="AG309" s="113">
        <f ca="1">IFERROR(__xludf.DUMMYFUNCTION("""COMPUTED_VALUE"""),0)</f>
        <v>0</v>
      </c>
      <c r="AH309" s="113">
        <f ca="1">IFERROR(__xludf.DUMMYFUNCTION("""COMPUTED_VALUE"""),0)</f>
        <v>0</v>
      </c>
      <c r="AI309" s="113">
        <f ca="1">IFERROR(__xludf.DUMMYFUNCTION("""COMPUTED_VALUE"""),0)</f>
        <v>0</v>
      </c>
      <c r="AJ309" s="113">
        <f ca="1">IFERROR(__xludf.DUMMYFUNCTION("""COMPUTED_VALUE"""),0)</f>
        <v>0</v>
      </c>
      <c r="AK309" s="113"/>
      <c r="AL309" s="116"/>
    </row>
    <row r="310" spans="1:38" ht="12.75">
      <c r="A310" s="112" t="str">
        <f ca="1">IFERROR(__xludf.DUMMYFUNCTION("""COMPUTED_VALUE"""),"17011736")</f>
        <v>17011736</v>
      </c>
      <c r="B310" s="113" t="str">
        <f ca="1">IFERROR(__xludf.DUMMYFUNCTION("""COMPUTED_VALUE"""),"Paraíso")</f>
        <v>Paraíso</v>
      </c>
      <c r="C310" s="113" t="str">
        <f ca="1">IFERROR(__xludf.DUMMYFUNCTION("""COMPUTED_VALUE"""),"Caseara")</f>
        <v>Caseara</v>
      </c>
      <c r="D310" s="114" t="str">
        <f ca="1">IFERROR(__xludf.DUMMYFUNCTION("""COMPUTED_VALUE"""),"A.A. AO COLEGIO EST. TRAJANO DE ALMEIDA")</f>
        <v>A.A. AO COLEGIO EST. TRAJANO DE ALMEIDA</v>
      </c>
      <c r="E310" s="113" t="str">
        <f ca="1">IFERROR(__xludf.DUMMYFUNCTION("""COMPUTED_VALUE"""),"Colégio Estadual Trajano de Almeida - Caseara")</f>
        <v>Colégio Estadual Trajano de Almeida - Caseara</v>
      </c>
      <c r="F310" s="115" t="str">
        <f ca="1">IFERROR(__xludf.DUMMYFUNCTION("""COMPUTED_VALUE"""),"17011736")</f>
        <v>17011736</v>
      </c>
      <c r="G310" s="113" t="str">
        <f ca="1">IFERROR(__xludf.DUMMYFUNCTION("""COMPUTED_VALUE"""),"01136037000104")</f>
        <v>01136037000104</v>
      </c>
      <c r="H310" s="115" t="str">
        <f ca="1">IFERROR(__xludf.DUMMYFUNCTION("""COMPUTED_VALUE"""),"001")</f>
        <v>001</v>
      </c>
      <c r="I310" s="115" t="str">
        <f ca="1">IFERROR(__xludf.DUMMYFUNCTION("""COMPUTED_VALUE"""),"0804")</f>
        <v>0804</v>
      </c>
      <c r="J310" s="115" t="str">
        <f ca="1">IFERROR(__xludf.DUMMYFUNCTION("""COMPUTED_VALUE"""),"110558")</f>
        <v>110558</v>
      </c>
      <c r="K310" s="113" t="e">
        <f ca="1"/>
        <v>#REF!</v>
      </c>
      <c r="L310" s="113" t="e">
        <f ca="1"/>
        <v>#REF!</v>
      </c>
      <c r="M310" s="113" t="e">
        <f ca="1"/>
        <v>#REF!</v>
      </c>
      <c r="N310" s="113" t="e">
        <f ca="1"/>
        <v>#REF!</v>
      </c>
      <c r="O310" s="113" t="e">
        <f ca="1"/>
        <v>#REF!</v>
      </c>
      <c r="P310" s="113" t="e">
        <f ca="1"/>
        <v>#REF!</v>
      </c>
      <c r="Q310" s="113" t="e">
        <f ca="1"/>
        <v>#REF!</v>
      </c>
      <c r="R310" s="113" t="e">
        <f ca="1"/>
        <v>#REF!</v>
      </c>
      <c r="S310" s="113" t="e">
        <f ca="1"/>
        <v>#REF!</v>
      </c>
      <c r="T310" s="113" t="e">
        <f ca="1"/>
        <v>#REF!</v>
      </c>
      <c r="U310" s="113" t="e">
        <f ca="1"/>
        <v>#REF!</v>
      </c>
      <c r="V310" s="113" t="e">
        <f ca="1"/>
        <v>#REF!</v>
      </c>
      <c r="W310" s="113" t="e">
        <f ca="1"/>
        <v>#REF!</v>
      </c>
      <c r="X310" s="113" t="e">
        <f ca="1"/>
        <v>#REF!</v>
      </c>
      <c r="Y310" s="113" t="e">
        <f ca="1"/>
        <v>#REF!</v>
      </c>
      <c r="Z310" s="113" t="e">
        <f ca="1"/>
        <v>#REF!</v>
      </c>
      <c r="AA310" s="113"/>
      <c r="AB310" s="113"/>
      <c r="AC310" s="113"/>
      <c r="AD310" s="113"/>
      <c r="AE310" s="113" t="str">
        <f ca="1">IFERROR(__xludf.DUMMYFUNCTION("""COMPUTED_VALUE"""),"Parcial")</f>
        <v>Parcial</v>
      </c>
      <c r="AF310" s="113" t="str">
        <f ca="1">IFERROR(__xludf.DUMMYFUNCTION("""COMPUTED_VALUE"""),"FE")</f>
        <v>FE</v>
      </c>
      <c r="AG310" s="113">
        <f ca="1">IFERROR(__xludf.DUMMYFUNCTION("""COMPUTED_VALUE"""),0)</f>
        <v>0</v>
      </c>
      <c r="AH310" s="113">
        <f ca="1">IFERROR(__xludf.DUMMYFUNCTION("""COMPUTED_VALUE"""),0)</f>
        <v>0</v>
      </c>
      <c r="AI310" s="113">
        <f ca="1">IFERROR(__xludf.DUMMYFUNCTION("""COMPUTED_VALUE"""),0)</f>
        <v>0</v>
      </c>
      <c r="AJ310" s="113">
        <f ca="1">IFERROR(__xludf.DUMMYFUNCTION("""COMPUTED_VALUE"""),0)</f>
        <v>0</v>
      </c>
      <c r="AK310" s="113"/>
      <c r="AL310" s="116"/>
    </row>
    <row r="311" spans="1:38" ht="12.75">
      <c r="A311" s="112" t="str">
        <f ca="1">IFERROR(__xludf.DUMMYFUNCTION("""COMPUTED_VALUE"""),"17011744")</f>
        <v>17011744</v>
      </c>
      <c r="B311" s="113" t="str">
        <f ca="1">IFERROR(__xludf.DUMMYFUNCTION("""COMPUTED_VALUE"""),"Paraíso")</f>
        <v>Paraíso</v>
      </c>
      <c r="C311" s="113" t="str">
        <f ca="1">IFERROR(__xludf.DUMMYFUNCTION("""COMPUTED_VALUE"""),"Caseara")</f>
        <v>Caseara</v>
      </c>
      <c r="D311" s="114" t="str">
        <f ca="1">IFERROR(__xludf.DUMMYFUNCTION("""COMPUTED_VALUE"""),"A. DE APOIO A ESC. EST. JOSE ALVES DE ASSIS")</f>
        <v>A. DE APOIO A ESC. EST. JOSE ALVES DE ASSIS</v>
      </c>
      <c r="E311" s="113" t="str">
        <f ca="1">IFERROR(__xludf.DUMMYFUNCTION("""COMPUTED_VALUE"""),"Escola Estadual José Alves de Assis - Caseara")</f>
        <v>Escola Estadual José Alves de Assis - Caseara</v>
      </c>
      <c r="F311" s="115" t="str">
        <f ca="1">IFERROR(__xludf.DUMMYFUNCTION("""COMPUTED_VALUE"""),"17011744")</f>
        <v>17011744</v>
      </c>
      <c r="G311" s="113" t="str">
        <f ca="1">IFERROR(__xludf.DUMMYFUNCTION("""COMPUTED_VALUE"""),"01138318000104")</f>
        <v>01138318000104</v>
      </c>
      <c r="H311" s="115" t="str">
        <f ca="1">IFERROR(__xludf.DUMMYFUNCTION("""COMPUTED_VALUE"""),"104")</f>
        <v>104</v>
      </c>
      <c r="I311" s="115" t="str">
        <f ca="1">IFERROR(__xludf.DUMMYFUNCTION("""COMPUTED_VALUE"""),"1141")</f>
        <v>1141</v>
      </c>
      <c r="J311" s="115" t="str">
        <f ca="1">IFERROR(__xludf.DUMMYFUNCTION("""COMPUTED_VALUE"""),"307968")</f>
        <v>307968</v>
      </c>
      <c r="K311" s="113" t="e">
        <f ca="1"/>
        <v>#REF!</v>
      </c>
      <c r="L311" s="113" t="e">
        <f ca="1"/>
        <v>#REF!</v>
      </c>
      <c r="M311" s="113" t="e">
        <f ca="1"/>
        <v>#REF!</v>
      </c>
      <c r="N311" s="113" t="e">
        <f ca="1"/>
        <v>#REF!</v>
      </c>
      <c r="O311" s="113" t="e">
        <f ca="1"/>
        <v>#REF!</v>
      </c>
      <c r="P311" s="113" t="e">
        <f ca="1"/>
        <v>#REF!</v>
      </c>
      <c r="Q311" s="113" t="e">
        <f ca="1"/>
        <v>#REF!</v>
      </c>
      <c r="R311" s="113" t="e">
        <f ca="1"/>
        <v>#REF!</v>
      </c>
      <c r="S311" s="113" t="e">
        <f ca="1"/>
        <v>#REF!</v>
      </c>
      <c r="T311" s="113" t="e">
        <f ca="1"/>
        <v>#REF!</v>
      </c>
      <c r="U311" s="113" t="e">
        <f ca="1"/>
        <v>#REF!</v>
      </c>
      <c r="V311" s="113" t="e">
        <f ca="1"/>
        <v>#REF!</v>
      </c>
      <c r="W311" s="113" t="e">
        <f ca="1"/>
        <v>#REF!</v>
      </c>
      <c r="X311" s="113" t="e">
        <f ca="1"/>
        <v>#REF!</v>
      </c>
      <c r="Y311" s="113" t="e">
        <f ca="1"/>
        <v>#REF!</v>
      </c>
      <c r="Z311" s="113" t="e">
        <f ca="1"/>
        <v>#REF!</v>
      </c>
      <c r="AA311" s="113"/>
      <c r="AB311" s="113"/>
      <c r="AC311" s="113"/>
      <c r="AD311" s="113"/>
      <c r="AE311" s="113" t="str">
        <f ca="1">IFERROR(__xludf.DUMMYFUNCTION("""COMPUTED_VALUE"""),"Parcial")</f>
        <v>Parcial</v>
      </c>
      <c r="AF311" s="113" t="str">
        <f ca="1">IFERROR(__xludf.DUMMYFUNCTION("""COMPUTED_VALUE"""),"FE")</f>
        <v>FE</v>
      </c>
      <c r="AG311" s="113">
        <f ca="1">IFERROR(__xludf.DUMMYFUNCTION("""COMPUTED_VALUE"""),0)</f>
        <v>0</v>
      </c>
      <c r="AH311" s="113">
        <f ca="1">IFERROR(__xludf.DUMMYFUNCTION("""COMPUTED_VALUE"""),0)</f>
        <v>0</v>
      </c>
      <c r="AI311" s="113">
        <f ca="1">IFERROR(__xludf.DUMMYFUNCTION("""COMPUTED_VALUE"""),0)</f>
        <v>0</v>
      </c>
      <c r="AJ311" s="113">
        <f ca="1">IFERROR(__xludf.DUMMYFUNCTION("""COMPUTED_VALUE"""),0)</f>
        <v>0</v>
      </c>
      <c r="AK311" s="113"/>
      <c r="AL311" s="116"/>
    </row>
    <row r="312" spans="1:38" ht="12.75">
      <c r="A312" s="112" t="str">
        <f ca="1">IFERROR(__xludf.DUMMYFUNCTION("""COMPUTED_VALUE"""),"17017653")</f>
        <v>17017653</v>
      </c>
      <c r="B312" s="113" t="str">
        <f ca="1">IFERROR(__xludf.DUMMYFUNCTION("""COMPUTED_VALUE"""),"Paraíso")</f>
        <v>Paraíso</v>
      </c>
      <c r="C312" s="113" t="str">
        <f ca="1">IFERROR(__xludf.DUMMYFUNCTION("""COMPUTED_VALUE"""),"Cristalandia")</f>
        <v>Cristalandia</v>
      </c>
      <c r="D312" s="114" t="str">
        <f ca="1">IFERROR(__xludf.DUMMYFUNCTION("""COMPUTED_VALUE"""),"ASS. APOIO DO COL. EST. DE CRISTALANDIA")</f>
        <v>ASS. APOIO DO COL. EST. DE CRISTALANDIA</v>
      </c>
      <c r="E312" s="113" t="str">
        <f ca="1">IFERROR(__xludf.DUMMYFUNCTION("""COMPUTED_VALUE"""),"Colégio Estadual de Cristalândia")</f>
        <v>Colégio Estadual de Cristalândia</v>
      </c>
      <c r="F312" s="115" t="str">
        <f ca="1">IFERROR(__xludf.DUMMYFUNCTION("""COMPUTED_VALUE"""),"17017653")</f>
        <v>17017653</v>
      </c>
      <c r="G312" s="113" t="str">
        <f ca="1">IFERROR(__xludf.DUMMYFUNCTION("""COMPUTED_VALUE"""),"01186467000130")</f>
        <v>01186467000130</v>
      </c>
      <c r="H312" s="115" t="str">
        <f ca="1">IFERROR(__xludf.DUMMYFUNCTION("""COMPUTED_VALUE"""),"001")</f>
        <v>001</v>
      </c>
      <c r="I312" s="115" t="str">
        <f ca="1">IFERROR(__xludf.DUMMYFUNCTION("""COMPUTED_VALUE"""),"3638")</f>
        <v>3638</v>
      </c>
      <c r="J312" s="115" t="str">
        <f ca="1">IFERROR(__xludf.DUMMYFUNCTION("""COMPUTED_VALUE"""),"17469")</f>
        <v>17469</v>
      </c>
      <c r="K312" s="113" t="e">
        <f ca="1"/>
        <v>#REF!</v>
      </c>
      <c r="L312" s="113" t="e">
        <f ca="1"/>
        <v>#REF!</v>
      </c>
      <c r="M312" s="113" t="e">
        <f ca="1"/>
        <v>#REF!</v>
      </c>
      <c r="N312" s="113" t="e">
        <f ca="1"/>
        <v>#REF!</v>
      </c>
      <c r="O312" s="113" t="e">
        <f ca="1"/>
        <v>#REF!</v>
      </c>
      <c r="P312" s="113" t="e">
        <f ca="1"/>
        <v>#REF!</v>
      </c>
      <c r="Q312" s="113" t="e">
        <f ca="1"/>
        <v>#REF!</v>
      </c>
      <c r="R312" s="113" t="e">
        <f ca="1"/>
        <v>#REF!</v>
      </c>
      <c r="S312" s="113" t="e">
        <f ca="1"/>
        <v>#REF!</v>
      </c>
      <c r="T312" s="113" t="e">
        <f ca="1"/>
        <v>#REF!</v>
      </c>
      <c r="U312" s="113" t="e">
        <f ca="1"/>
        <v>#REF!</v>
      </c>
      <c r="V312" s="113" t="e">
        <f ca="1"/>
        <v>#REF!</v>
      </c>
      <c r="W312" s="113" t="e">
        <f ca="1"/>
        <v>#REF!</v>
      </c>
      <c r="X312" s="113" t="e">
        <f ca="1"/>
        <v>#REF!</v>
      </c>
      <c r="Y312" s="113" t="e">
        <f ca="1"/>
        <v>#REF!</v>
      </c>
      <c r="Z312" s="113" t="e">
        <f ca="1"/>
        <v>#REF!</v>
      </c>
      <c r="AA312" s="113"/>
      <c r="AB312" s="113"/>
      <c r="AC312" s="113"/>
      <c r="AD312" s="113"/>
      <c r="AE312" s="113" t="str">
        <f ca="1">IFERROR(__xludf.DUMMYFUNCTION("""COMPUTED_VALUE"""),"Parcial")</f>
        <v>Parcial</v>
      </c>
      <c r="AF312" s="113" t="str">
        <f ca="1">IFERROR(__xludf.DUMMYFUNCTION("""COMPUTED_VALUE"""),"FE")</f>
        <v>FE</v>
      </c>
      <c r="AG312" s="113">
        <f ca="1">IFERROR(__xludf.DUMMYFUNCTION("""COMPUTED_VALUE"""),0)</f>
        <v>0</v>
      </c>
      <c r="AH312" s="113">
        <f ca="1">IFERROR(__xludf.DUMMYFUNCTION("""COMPUTED_VALUE"""),0)</f>
        <v>0</v>
      </c>
      <c r="AI312" s="113">
        <f ca="1">IFERROR(__xludf.DUMMYFUNCTION("""COMPUTED_VALUE"""),0)</f>
        <v>0</v>
      </c>
      <c r="AJ312" s="113">
        <f ca="1">IFERROR(__xludf.DUMMYFUNCTION("""COMPUTED_VALUE"""),0)</f>
        <v>0</v>
      </c>
      <c r="AK312" s="113"/>
      <c r="AL312" s="116"/>
    </row>
    <row r="313" spans="1:38" ht="12.75">
      <c r="A313" s="112" t="str">
        <f ca="1">IFERROR(__xludf.DUMMYFUNCTION("""COMPUTED_VALUE"""),"17047200")</f>
        <v>17047200</v>
      </c>
      <c r="B313" s="113" t="str">
        <f ca="1">IFERROR(__xludf.DUMMYFUNCTION("""COMPUTED_VALUE"""),"Paraíso")</f>
        <v>Paraíso</v>
      </c>
      <c r="C313" s="113" t="str">
        <f ca="1">IFERROR(__xludf.DUMMYFUNCTION("""COMPUTED_VALUE"""),"Cristalandia")</f>
        <v>Cristalandia</v>
      </c>
      <c r="D313" s="114" t="str">
        <f ca="1">IFERROR(__xludf.DUMMYFUNCTION("""COMPUTED_VALUE"""),"APAE DE CRISTALÂNDIA")</f>
        <v>APAE DE CRISTALÂNDIA</v>
      </c>
      <c r="E313" s="113" t="str">
        <f ca="1">IFERROR(__xludf.DUMMYFUNCTION("""COMPUTED_VALUE"""),"Escola Especial Espaço Feliz")</f>
        <v>Escola Especial Espaço Feliz</v>
      </c>
      <c r="F313" s="115" t="str">
        <f ca="1">IFERROR(__xludf.DUMMYFUNCTION("""COMPUTED_VALUE"""),"17047200")</f>
        <v>17047200</v>
      </c>
      <c r="G313" s="113" t="str">
        <f ca="1">IFERROR(__xludf.DUMMYFUNCTION("""COMPUTED_VALUE"""),"01995319000167")</f>
        <v>01995319000167</v>
      </c>
      <c r="H313" s="115" t="str">
        <f ca="1">IFERROR(__xludf.DUMMYFUNCTION("""COMPUTED_VALUE"""),"001")</f>
        <v>001</v>
      </c>
      <c r="I313" s="115" t="str">
        <f ca="1">IFERROR(__xludf.DUMMYFUNCTION("""COMPUTED_VALUE"""),"3638")</f>
        <v>3638</v>
      </c>
      <c r="J313" s="115" t="str">
        <f ca="1">IFERROR(__xludf.DUMMYFUNCTION("""COMPUTED_VALUE"""),"71315")</f>
        <v>71315</v>
      </c>
      <c r="K313" s="113" t="e">
        <f ca="1"/>
        <v>#REF!</v>
      </c>
      <c r="L313" s="113" t="e">
        <f ca="1"/>
        <v>#REF!</v>
      </c>
      <c r="M313" s="113" t="e">
        <f ca="1"/>
        <v>#REF!</v>
      </c>
      <c r="N313" s="113" t="e">
        <f ca="1"/>
        <v>#REF!</v>
      </c>
      <c r="O313" s="113" t="e">
        <f ca="1"/>
        <v>#REF!</v>
      </c>
      <c r="P313" s="113" t="e">
        <f ca="1"/>
        <v>#REF!</v>
      </c>
      <c r="Q313" s="113" t="e">
        <f ca="1"/>
        <v>#REF!</v>
      </c>
      <c r="R313" s="113" t="e">
        <f ca="1"/>
        <v>#REF!</v>
      </c>
      <c r="S313" s="113" t="e">
        <f ca="1"/>
        <v>#REF!</v>
      </c>
      <c r="T313" s="113" t="e">
        <f ca="1"/>
        <v>#REF!</v>
      </c>
      <c r="U313" s="113" t="e">
        <f ca="1"/>
        <v>#REF!</v>
      </c>
      <c r="V313" s="113" t="e">
        <f ca="1"/>
        <v>#REF!</v>
      </c>
      <c r="W313" s="113" t="e">
        <f ca="1"/>
        <v>#REF!</v>
      </c>
      <c r="X313" s="113" t="e">
        <f ca="1"/>
        <v>#REF!</v>
      </c>
      <c r="Y313" s="113" t="e">
        <f ca="1"/>
        <v>#REF!</v>
      </c>
      <c r="Z313" s="113" t="e">
        <f ca="1"/>
        <v>#REF!</v>
      </c>
      <c r="AA313" s="113"/>
      <c r="AB313" s="113"/>
      <c r="AC313" s="113"/>
      <c r="AD313" s="113" t="str">
        <f ca="1">IFERROR(__xludf.DUMMYFUNCTION("""COMPUTED_VALUE"""),"CRECHE")</f>
        <v>CRECHE</v>
      </c>
      <c r="AE313" s="113" t="str">
        <f ca="1">IFERROR(__xludf.DUMMYFUNCTION("""COMPUTED_VALUE"""),"Parcial")</f>
        <v>Parcial</v>
      </c>
      <c r="AF313" s="113" t="str">
        <f ca="1">IFERROR(__xludf.DUMMYFUNCTION("""COMPUTED_VALUE"""),"FE")</f>
        <v>FE</v>
      </c>
      <c r="AG313" s="113">
        <f ca="1">IFERROR(__xludf.DUMMYFUNCTION("""COMPUTED_VALUE"""),0)</f>
        <v>0</v>
      </c>
      <c r="AH313" s="113">
        <f ca="1">IFERROR(__xludf.DUMMYFUNCTION("""COMPUTED_VALUE"""),0)</f>
        <v>0</v>
      </c>
      <c r="AI313" s="113">
        <f ca="1">IFERROR(__xludf.DUMMYFUNCTION("""COMPUTED_VALUE"""),0)</f>
        <v>0</v>
      </c>
      <c r="AJ313" s="113">
        <f ca="1">IFERROR(__xludf.DUMMYFUNCTION("""COMPUTED_VALUE"""),0)</f>
        <v>0</v>
      </c>
      <c r="AK313" s="113"/>
      <c r="AL313" s="116"/>
    </row>
    <row r="314" spans="1:38" ht="12.75">
      <c r="A314" s="112" t="str">
        <f ca="1">IFERROR(__xludf.DUMMYFUNCTION("""COMPUTED_VALUE"""),"17017718")</f>
        <v>17017718</v>
      </c>
      <c r="B314" s="113" t="str">
        <f ca="1">IFERROR(__xludf.DUMMYFUNCTION("""COMPUTED_VALUE"""),"Paraíso")</f>
        <v>Paraíso</v>
      </c>
      <c r="C314" s="113" t="str">
        <f ca="1">IFERROR(__xludf.DUMMYFUNCTION("""COMPUTED_VALUE"""),"Cristalandia")</f>
        <v>Cristalandia</v>
      </c>
      <c r="D314" s="114" t="str">
        <f ca="1">IFERROR(__xludf.DUMMYFUNCTION("""COMPUTED_VALUE"""),"A.A. ESCOLA MUL.OTACILIO MARQUES ROSAL")</f>
        <v>A.A. ESCOLA MUL.OTACILIO MARQUES ROSAL</v>
      </c>
      <c r="E314" s="113" t="str">
        <f ca="1">IFERROR(__xludf.DUMMYFUNCTION("""COMPUTED_VALUE"""),"Escola Estadual Otacilio Marques Rosal")</f>
        <v>Escola Estadual Otacilio Marques Rosal</v>
      </c>
      <c r="F314" s="115" t="str">
        <f ca="1">IFERROR(__xludf.DUMMYFUNCTION("""COMPUTED_VALUE"""),"17017718")</f>
        <v>17017718</v>
      </c>
      <c r="G314" s="113" t="str">
        <f ca="1">IFERROR(__xludf.DUMMYFUNCTION("""COMPUTED_VALUE"""),"01071438000123")</f>
        <v>01071438000123</v>
      </c>
      <c r="H314" s="115" t="str">
        <f ca="1">IFERROR(__xludf.DUMMYFUNCTION("""COMPUTED_VALUE"""),"001")</f>
        <v>001</v>
      </c>
      <c r="I314" s="115" t="str">
        <f ca="1">IFERROR(__xludf.DUMMYFUNCTION("""COMPUTED_VALUE"""),"3638")</f>
        <v>3638</v>
      </c>
      <c r="J314" s="115" t="str">
        <f ca="1">IFERROR(__xludf.DUMMYFUNCTION("""COMPUTED_VALUE"""),"7120X")</f>
        <v>7120X</v>
      </c>
      <c r="K314" s="113" t="e">
        <f ca="1"/>
        <v>#REF!</v>
      </c>
      <c r="L314" s="113" t="e">
        <f ca="1"/>
        <v>#REF!</v>
      </c>
      <c r="M314" s="113" t="e">
        <f ca="1"/>
        <v>#REF!</v>
      </c>
      <c r="N314" s="113" t="e">
        <f ca="1"/>
        <v>#REF!</v>
      </c>
      <c r="O314" s="113" t="e">
        <f ca="1"/>
        <v>#REF!</v>
      </c>
      <c r="P314" s="113" t="e">
        <f ca="1"/>
        <v>#REF!</v>
      </c>
      <c r="Q314" s="113" t="e">
        <f ca="1"/>
        <v>#REF!</v>
      </c>
      <c r="R314" s="113" t="e">
        <f ca="1"/>
        <v>#REF!</v>
      </c>
      <c r="S314" s="113" t="e">
        <f ca="1"/>
        <v>#REF!</v>
      </c>
      <c r="T314" s="113" t="e">
        <f ca="1"/>
        <v>#REF!</v>
      </c>
      <c r="U314" s="113" t="e">
        <f ca="1"/>
        <v>#REF!</v>
      </c>
      <c r="V314" s="113" t="e">
        <f ca="1"/>
        <v>#REF!</v>
      </c>
      <c r="W314" s="113" t="e">
        <f ca="1"/>
        <v>#REF!</v>
      </c>
      <c r="X314" s="113" t="e">
        <f ca="1"/>
        <v>#REF!</v>
      </c>
      <c r="Y314" s="113" t="e">
        <f ca="1"/>
        <v>#REF!</v>
      </c>
      <c r="Z314" s="113" t="e">
        <f ca="1"/>
        <v>#REF!</v>
      </c>
      <c r="AA314" s="113"/>
      <c r="AB314" s="113"/>
      <c r="AC314" s="113"/>
      <c r="AD314" s="113" t="str">
        <f ca="1">IFERROR(__xludf.DUMMYFUNCTION("""COMPUTED_VALUE"""),"E.M. INTEGRADO")</f>
        <v>E.M. INTEGRADO</v>
      </c>
      <c r="AE314" s="113" t="str">
        <f ca="1">IFERROR(__xludf.DUMMYFUNCTION("""COMPUTED_VALUE"""),"Parcial")</f>
        <v>Parcial</v>
      </c>
      <c r="AF314" s="113" t="str">
        <f ca="1">IFERROR(__xludf.DUMMYFUNCTION("""COMPUTED_VALUE"""),"FE")</f>
        <v>FE</v>
      </c>
      <c r="AG314" s="113">
        <f ca="1">IFERROR(__xludf.DUMMYFUNCTION("""COMPUTED_VALUE"""),0)</f>
        <v>0</v>
      </c>
      <c r="AH314" s="113">
        <f ca="1">IFERROR(__xludf.DUMMYFUNCTION("""COMPUTED_VALUE"""),0)</f>
        <v>0</v>
      </c>
      <c r="AI314" s="113">
        <f ca="1">IFERROR(__xludf.DUMMYFUNCTION("""COMPUTED_VALUE"""),0)</f>
        <v>0</v>
      </c>
      <c r="AJ314" s="113">
        <f ca="1">IFERROR(__xludf.DUMMYFUNCTION("""COMPUTED_VALUE"""),0)</f>
        <v>0</v>
      </c>
      <c r="AK314" s="113"/>
      <c r="AL314" s="116"/>
    </row>
    <row r="315" spans="1:38" ht="12.75">
      <c r="A315" s="112" t="str">
        <f ca="1">IFERROR(__xludf.DUMMYFUNCTION("""COMPUTED_VALUE"""),"17012104")</f>
        <v>17012104</v>
      </c>
      <c r="B315" s="113" t="str">
        <f ca="1">IFERROR(__xludf.DUMMYFUNCTION("""COMPUTED_VALUE"""),"Paraíso")</f>
        <v>Paraíso</v>
      </c>
      <c r="C315" s="113" t="str">
        <f ca="1">IFERROR(__xludf.DUMMYFUNCTION("""COMPUTED_VALUE"""),"Divinopolis do Tocantins")</f>
        <v>Divinopolis do Tocantins</v>
      </c>
      <c r="D315" s="114" t="str">
        <f ca="1">IFERROR(__xludf.DUMMYFUNCTION("""COMPUTED_VALUE"""),"A.A. DO COLEGIO MUL. JOAO DIAS SOBRINHO")</f>
        <v>A.A. DO COLEGIO MUL. JOAO DIAS SOBRINHO</v>
      </c>
      <c r="E315" s="113" t="str">
        <f ca="1">IFERROR(__xludf.DUMMYFUNCTION("""COMPUTED_VALUE"""),"Colégio Estadual João Dias Sobrinho")</f>
        <v>Colégio Estadual João Dias Sobrinho</v>
      </c>
      <c r="F315" s="115" t="str">
        <f ca="1">IFERROR(__xludf.DUMMYFUNCTION("""COMPUTED_VALUE"""),"17012104")</f>
        <v>17012104</v>
      </c>
      <c r="G315" s="113" t="str">
        <f ca="1">IFERROR(__xludf.DUMMYFUNCTION("""COMPUTED_VALUE"""),"01184383000168")</f>
        <v>01184383000168</v>
      </c>
      <c r="H315" s="115" t="str">
        <f ca="1">IFERROR(__xludf.DUMMYFUNCTION("""COMPUTED_VALUE"""),"001")</f>
        <v>001</v>
      </c>
      <c r="I315" s="115" t="str">
        <f ca="1">IFERROR(__xludf.DUMMYFUNCTION("""COMPUTED_VALUE"""),"3812")</f>
        <v>3812</v>
      </c>
      <c r="J315" s="115" t="str">
        <f ca="1">IFERROR(__xludf.DUMMYFUNCTION("""COMPUTED_VALUE"""),"275069")</f>
        <v>275069</v>
      </c>
      <c r="K315" s="113" t="e">
        <f ca="1"/>
        <v>#REF!</v>
      </c>
      <c r="L315" s="113" t="e">
        <f ca="1"/>
        <v>#REF!</v>
      </c>
      <c r="M315" s="113" t="e">
        <f ca="1"/>
        <v>#REF!</v>
      </c>
      <c r="N315" s="113" t="e">
        <f ca="1"/>
        <v>#REF!</v>
      </c>
      <c r="O315" s="113" t="e">
        <f ca="1"/>
        <v>#REF!</v>
      </c>
      <c r="P315" s="113" t="e">
        <f ca="1"/>
        <v>#REF!</v>
      </c>
      <c r="Q315" s="113" t="e">
        <f ca="1"/>
        <v>#REF!</v>
      </c>
      <c r="R315" s="113" t="e">
        <f ca="1"/>
        <v>#REF!</v>
      </c>
      <c r="S315" s="113" t="e">
        <f ca="1"/>
        <v>#REF!</v>
      </c>
      <c r="T315" s="113" t="e">
        <f ca="1"/>
        <v>#REF!</v>
      </c>
      <c r="U315" s="113" t="e">
        <f ca="1"/>
        <v>#REF!</v>
      </c>
      <c r="V315" s="113" t="e">
        <f ca="1"/>
        <v>#REF!</v>
      </c>
      <c r="W315" s="113" t="e">
        <f ca="1"/>
        <v>#REF!</v>
      </c>
      <c r="X315" s="113" t="e">
        <f ca="1"/>
        <v>#REF!</v>
      </c>
      <c r="Y315" s="113" t="e">
        <f ca="1"/>
        <v>#REF!</v>
      </c>
      <c r="Z315" s="113" t="e">
        <f ca="1"/>
        <v>#REF!</v>
      </c>
      <c r="AA315" s="113"/>
      <c r="AB315" s="113"/>
      <c r="AC315" s="113"/>
      <c r="AD315" s="113"/>
      <c r="AE315" s="113" t="str">
        <f ca="1">IFERROR(__xludf.DUMMYFUNCTION("""COMPUTED_VALUE"""),"Parcial")</f>
        <v>Parcial</v>
      </c>
      <c r="AF315" s="113" t="str">
        <f ca="1">IFERROR(__xludf.DUMMYFUNCTION("""COMPUTED_VALUE"""),"FE")</f>
        <v>FE</v>
      </c>
      <c r="AG315" s="113">
        <f ca="1">IFERROR(__xludf.DUMMYFUNCTION("""COMPUTED_VALUE"""),0)</f>
        <v>0</v>
      </c>
      <c r="AH315" s="113">
        <f ca="1">IFERROR(__xludf.DUMMYFUNCTION("""COMPUTED_VALUE"""),0)</f>
        <v>0</v>
      </c>
      <c r="AI315" s="113">
        <f ca="1">IFERROR(__xludf.DUMMYFUNCTION("""COMPUTED_VALUE"""),0)</f>
        <v>0</v>
      </c>
      <c r="AJ315" s="113">
        <f ca="1">IFERROR(__xludf.DUMMYFUNCTION("""COMPUTED_VALUE"""),0)</f>
        <v>0</v>
      </c>
      <c r="AK315" s="113"/>
      <c r="AL315" s="116"/>
    </row>
    <row r="316" spans="1:38" ht="12.75">
      <c r="A316" s="112" t="str">
        <f ca="1">IFERROR(__xludf.DUMMYFUNCTION("""COMPUTED_VALUE"""),"17012112")</f>
        <v>17012112</v>
      </c>
      <c r="B316" s="113" t="str">
        <f ca="1">IFERROR(__xludf.DUMMYFUNCTION("""COMPUTED_VALUE"""),"Paraíso")</f>
        <v>Paraíso</v>
      </c>
      <c r="C316" s="113" t="str">
        <f ca="1">IFERROR(__xludf.DUMMYFUNCTION("""COMPUTED_VALUE"""),"Divinopolis do Tocantins")</f>
        <v>Divinopolis do Tocantins</v>
      </c>
      <c r="D316" s="114" t="str">
        <f ca="1">IFERROR(__xludf.DUMMYFUNCTION("""COMPUTED_VALUE"""),"ASS. APOIO ESC. EST. D. CANDIDA DE FREITAS")</f>
        <v>ASS. APOIO ESC. EST. D. CANDIDA DE FREITAS</v>
      </c>
      <c r="E316" s="113" t="str">
        <f ca="1">IFERROR(__xludf.DUMMYFUNCTION("""COMPUTED_VALUE"""),"Escola Estadual dona Candida de Freitas")</f>
        <v>Escola Estadual dona Candida de Freitas</v>
      </c>
      <c r="F316" s="115" t="str">
        <f ca="1">IFERROR(__xludf.DUMMYFUNCTION("""COMPUTED_VALUE"""),"17012112")</f>
        <v>17012112</v>
      </c>
      <c r="G316" s="113" t="str">
        <f ca="1">IFERROR(__xludf.DUMMYFUNCTION("""COMPUTED_VALUE"""),"01296363000189")</f>
        <v>01296363000189</v>
      </c>
      <c r="H316" s="115" t="str">
        <f ca="1">IFERROR(__xludf.DUMMYFUNCTION("""COMPUTED_VALUE"""),"001")</f>
        <v>001</v>
      </c>
      <c r="I316" s="115" t="str">
        <f ca="1">IFERROR(__xludf.DUMMYFUNCTION("""COMPUTED_VALUE"""),"3812")</f>
        <v>3812</v>
      </c>
      <c r="J316" s="115" t="str">
        <f ca="1">IFERROR(__xludf.DUMMYFUNCTION("""COMPUTED_VALUE"""),"70629")</f>
        <v>70629</v>
      </c>
      <c r="K316" s="113" t="e">
        <f ca="1"/>
        <v>#REF!</v>
      </c>
      <c r="L316" s="113" t="e">
        <f ca="1"/>
        <v>#REF!</v>
      </c>
      <c r="M316" s="113" t="e">
        <f ca="1"/>
        <v>#REF!</v>
      </c>
      <c r="N316" s="113" t="e">
        <f ca="1"/>
        <v>#REF!</v>
      </c>
      <c r="O316" s="113" t="e">
        <f ca="1"/>
        <v>#REF!</v>
      </c>
      <c r="P316" s="113" t="e">
        <f ca="1"/>
        <v>#REF!</v>
      </c>
      <c r="Q316" s="113" t="e">
        <f ca="1"/>
        <v>#REF!</v>
      </c>
      <c r="R316" s="113" t="e">
        <f ca="1"/>
        <v>#REF!</v>
      </c>
      <c r="S316" s="113" t="e">
        <f ca="1"/>
        <v>#REF!</v>
      </c>
      <c r="T316" s="113" t="e">
        <f ca="1"/>
        <v>#REF!</v>
      </c>
      <c r="U316" s="113" t="e">
        <f ca="1"/>
        <v>#REF!</v>
      </c>
      <c r="V316" s="113" t="e">
        <f ca="1"/>
        <v>#REF!</v>
      </c>
      <c r="W316" s="113" t="e">
        <f ca="1"/>
        <v>#REF!</v>
      </c>
      <c r="X316" s="113" t="e">
        <f ca="1"/>
        <v>#REF!</v>
      </c>
      <c r="Y316" s="113" t="e">
        <f ca="1"/>
        <v>#REF!</v>
      </c>
      <c r="Z316" s="113" t="e">
        <f ca="1"/>
        <v>#REF!</v>
      </c>
      <c r="AA316" s="113"/>
      <c r="AB316" s="113"/>
      <c r="AC316" s="113"/>
      <c r="AD316" s="113"/>
      <c r="AE316" s="113" t="str">
        <f ca="1">IFERROR(__xludf.DUMMYFUNCTION("""COMPUTED_VALUE"""),"Parcial")</f>
        <v>Parcial</v>
      </c>
      <c r="AF316" s="113" t="str">
        <f ca="1">IFERROR(__xludf.DUMMYFUNCTION("""COMPUTED_VALUE"""),"FE")</f>
        <v>FE</v>
      </c>
      <c r="AG316" s="113">
        <f ca="1">IFERROR(__xludf.DUMMYFUNCTION("""COMPUTED_VALUE"""),0)</f>
        <v>0</v>
      </c>
      <c r="AH316" s="113">
        <f ca="1">IFERROR(__xludf.DUMMYFUNCTION("""COMPUTED_VALUE"""),0)</f>
        <v>0</v>
      </c>
      <c r="AI316" s="113">
        <f ca="1">IFERROR(__xludf.DUMMYFUNCTION("""COMPUTED_VALUE"""),0)</f>
        <v>0</v>
      </c>
      <c r="AJ316" s="113">
        <f ca="1">IFERROR(__xludf.DUMMYFUNCTION("""COMPUTED_VALUE"""),0)</f>
        <v>0</v>
      </c>
      <c r="AK316" s="113"/>
      <c r="AL316" s="116"/>
    </row>
    <row r="317" spans="1:38" ht="12.75">
      <c r="A317" s="112" t="str">
        <f ca="1">IFERROR(__xludf.DUMMYFUNCTION("""COMPUTED_VALUE"""),"17018994")</f>
        <v>17018994</v>
      </c>
      <c r="B317" s="113" t="str">
        <f ca="1">IFERROR(__xludf.DUMMYFUNCTION("""COMPUTED_VALUE"""),"Paraíso")</f>
        <v>Paraíso</v>
      </c>
      <c r="C317" s="113" t="str">
        <f ca="1">IFERROR(__xludf.DUMMYFUNCTION("""COMPUTED_VALUE"""),"Lagoa da Confusao")</f>
        <v>Lagoa da Confusao</v>
      </c>
      <c r="D317" s="114" t="str">
        <f ca="1">IFERROR(__xludf.DUMMYFUNCTION("""COMPUTED_VALUE"""),"A.A.  ESTUD COL. EST. LAGOA DA CONFUSAO")</f>
        <v>A.A.  ESTUD COL. EST. LAGOA DA CONFUSAO</v>
      </c>
      <c r="E317" s="113" t="str">
        <f ca="1">IFERROR(__xludf.DUMMYFUNCTION("""COMPUTED_VALUE"""),"Colégio Estadual Lagoa da Confusão")</f>
        <v>Colégio Estadual Lagoa da Confusão</v>
      </c>
      <c r="F317" s="115" t="str">
        <f ca="1">IFERROR(__xludf.DUMMYFUNCTION("""COMPUTED_VALUE"""),"17018994")</f>
        <v>17018994</v>
      </c>
      <c r="G317" s="113" t="str">
        <f ca="1">IFERROR(__xludf.DUMMYFUNCTION("""COMPUTED_VALUE"""),"01179116000100")</f>
        <v>01179116000100</v>
      </c>
      <c r="H317" s="115" t="str">
        <f ca="1">IFERROR(__xludf.DUMMYFUNCTION("""COMPUTED_VALUE"""),"001")</f>
        <v>001</v>
      </c>
      <c r="I317" s="115" t="str">
        <f ca="1">IFERROR(__xludf.DUMMYFUNCTION("""COMPUTED_VALUE"""),"3983")</f>
        <v>3983</v>
      </c>
      <c r="J317" s="115" t="str">
        <f ca="1">IFERROR(__xludf.DUMMYFUNCTION("""COMPUTED_VALUE"""),"84735")</f>
        <v>84735</v>
      </c>
      <c r="K317" s="113" t="e">
        <f ca="1"/>
        <v>#REF!</v>
      </c>
      <c r="L317" s="113" t="e">
        <f ca="1"/>
        <v>#REF!</v>
      </c>
      <c r="M317" s="113" t="e">
        <f ca="1"/>
        <v>#REF!</v>
      </c>
      <c r="N317" s="113" t="e">
        <f ca="1"/>
        <v>#REF!</v>
      </c>
      <c r="O317" s="113" t="e">
        <f ca="1"/>
        <v>#REF!</v>
      </c>
      <c r="P317" s="113" t="e">
        <f ca="1"/>
        <v>#REF!</v>
      </c>
      <c r="Q317" s="113" t="e">
        <f ca="1"/>
        <v>#REF!</v>
      </c>
      <c r="R317" s="113" t="e">
        <f ca="1"/>
        <v>#REF!</v>
      </c>
      <c r="S317" s="113" t="e">
        <f ca="1"/>
        <v>#REF!</v>
      </c>
      <c r="T317" s="113" t="e">
        <f ca="1"/>
        <v>#REF!</v>
      </c>
      <c r="U317" s="113" t="e">
        <f ca="1"/>
        <v>#REF!</v>
      </c>
      <c r="V317" s="113" t="e">
        <f ca="1"/>
        <v>#REF!</v>
      </c>
      <c r="W317" s="113" t="e">
        <f ca="1"/>
        <v>#REF!</v>
      </c>
      <c r="X317" s="113" t="e">
        <f ca="1"/>
        <v>#REF!</v>
      </c>
      <c r="Y317" s="113" t="e">
        <f ca="1"/>
        <v>#REF!</v>
      </c>
      <c r="Z317" s="113" t="e">
        <f ca="1"/>
        <v>#REF!</v>
      </c>
      <c r="AA317" s="113"/>
      <c r="AB317" s="113"/>
      <c r="AC317" s="113"/>
      <c r="AD317" s="113"/>
      <c r="AE317" s="113" t="str">
        <f ca="1">IFERROR(__xludf.DUMMYFUNCTION("""COMPUTED_VALUE"""),"Parcial")</f>
        <v>Parcial</v>
      </c>
      <c r="AF317" s="113" t="str">
        <f ca="1">IFERROR(__xludf.DUMMYFUNCTION("""COMPUTED_VALUE"""),"FE")</f>
        <v>FE</v>
      </c>
      <c r="AG317" s="113">
        <f ca="1">IFERROR(__xludf.DUMMYFUNCTION("""COMPUTED_VALUE"""),0)</f>
        <v>0</v>
      </c>
      <c r="AH317" s="113">
        <f ca="1">IFERROR(__xludf.DUMMYFUNCTION("""COMPUTED_VALUE"""),0)</f>
        <v>0</v>
      </c>
      <c r="AI317" s="113">
        <f ca="1">IFERROR(__xludf.DUMMYFUNCTION("""COMPUTED_VALUE"""),0)</f>
        <v>0</v>
      </c>
      <c r="AJ317" s="113">
        <f ca="1">IFERROR(__xludf.DUMMYFUNCTION("""COMPUTED_VALUE"""),0)</f>
        <v>0</v>
      </c>
      <c r="AK317" s="113"/>
      <c r="AL317" s="116"/>
    </row>
    <row r="318" spans="1:38" ht="12.75">
      <c r="A318" s="112" t="str">
        <f ca="1">IFERROR(__xludf.DUMMYFUNCTION("""COMPUTED_VALUE"""),"17053374")</f>
        <v>17053374</v>
      </c>
      <c r="B318" s="113" t="str">
        <f ca="1">IFERROR(__xludf.DUMMYFUNCTION("""COMPUTED_VALUE"""),"Paraíso")</f>
        <v>Paraíso</v>
      </c>
      <c r="C318" s="113" t="str">
        <f ca="1">IFERROR(__xludf.DUMMYFUNCTION("""COMPUTED_VALUE"""),"Lagoa da Confusao")</f>
        <v>Lagoa da Confusao</v>
      </c>
      <c r="D318" s="114" t="str">
        <f ca="1">IFERROR(__xludf.DUMMYFUNCTION("""COMPUTED_VALUE"""),"ASSOCIAÇÃO DA ESCOLA ESPECIAL LAGOA DA CONFUSÃO")</f>
        <v>ASSOCIAÇÃO DA ESCOLA ESPECIAL LAGOA DA CONFUSÃO</v>
      </c>
      <c r="E318" s="113" t="str">
        <f ca="1">IFERROR(__xludf.DUMMYFUNCTION("""COMPUTED_VALUE"""),"Escola Especial Lagoa da Confusão")</f>
        <v>Escola Especial Lagoa da Confusão</v>
      </c>
      <c r="F318" s="115" t="str">
        <f ca="1">IFERROR(__xludf.DUMMYFUNCTION("""COMPUTED_VALUE"""),"17053374")</f>
        <v>17053374</v>
      </c>
      <c r="G318" s="113" t="str">
        <f ca="1">IFERROR(__xludf.DUMMYFUNCTION("""COMPUTED_VALUE"""),"08755554000100")</f>
        <v>08755554000100</v>
      </c>
      <c r="H318" s="115" t="str">
        <f ca="1">IFERROR(__xludf.DUMMYFUNCTION("""COMPUTED_VALUE"""),"001")</f>
        <v>001</v>
      </c>
      <c r="I318" s="115" t="str">
        <f ca="1">IFERROR(__xludf.DUMMYFUNCTION("""COMPUTED_VALUE"""),"3983")</f>
        <v>3983</v>
      </c>
      <c r="J318" s="115" t="str">
        <f ca="1">IFERROR(__xludf.DUMMYFUNCTION("""COMPUTED_VALUE"""),"83712")</f>
        <v>83712</v>
      </c>
      <c r="K318" s="113" t="e">
        <f ca="1"/>
        <v>#REF!</v>
      </c>
      <c r="L318" s="113" t="e">
        <f ca="1"/>
        <v>#REF!</v>
      </c>
      <c r="M318" s="113" t="e">
        <f ca="1"/>
        <v>#REF!</v>
      </c>
      <c r="N318" s="113" t="e">
        <f ca="1"/>
        <v>#REF!</v>
      </c>
      <c r="O318" s="113" t="e">
        <f ca="1"/>
        <v>#REF!</v>
      </c>
      <c r="P318" s="113" t="e">
        <f ca="1"/>
        <v>#REF!</v>
      </c>
      <c r="Q318" s="113" t="e">
        <f ca="1"/>
        <v>#REF!</v>
      </c>
      <c r="R318" s="113" t="e">
        <f ca="1"/>
        <v>#REF!</v>
      </c>
      <c r="S318" s="113" t="e">
        <f ca="1"/>
        <v>#REF!</v>
      </c>
      <c r="T318" s="113" t="e">
        <f ca="1"/>
        <v>#REF!</v>
      </c>
      <c r="U318" s="113" t="e">
        <f ca="1"/>
        <v>#REF!</v>
      </c>
      <c r="V318" s="113" t="e">
        <f ca="1"/>
        <v>#REF!</v>
      </c>
      <c r="W318" s="113" t="e">
        <f ca="1"/>
        <v>#REF!</v>
      </c>
      <c r="X318" s="113" t="e">
        <f ca="1"/>
        <v>#REF!</v>
      </c>
      <c r="Y318" s="113" t="e">
        <f ca="1"/>
        <v>#REF!</v>
      </c>
      <c r="Z318" s="113" t="e">
        <f ca="1"/>
        <v>#REF!</v>
      </c>
      <c r="AA318" s="113"/>
      <c r="AB318" s="113"/>
      <c r="AC318" s="113"/>
      <c r="AD318" s="113" t="str">
        <f ca="1">IFERROR(__xludf.DUMMYFUNCTION("""COMPUTED_VALUE"""),"CRECHE")</f>
        <v>CRECHE</v>
      </c>
      <c r="AE318" s="113" t="str">
        <f ca="1">IFERROR(__xludf.DUMMYFUNCTION("""COMPUTED_VALUE"""),"Parcial")</f>
        <v>Parcial</v>
      </c>
      <c r="AF318" s="113" t="str">
        <f ca="1">IFERROR(__xludf.DUMMYFUNCTION("""COMPUTED_VALUE"""),"FE")</f>
        <v>FE</v>
      </c>
      <c r="AG318" s="113">
        <f ca="1">IFERROR(__xludf.DUMMYFUNCTION("""COMPUTED_VALUE"""),0)</f>
        <v>0</v>
      </c>
      <c r="AH318" s="113">
        <f ca="1">IFERROR(__xludf.DUMMYFUNCTION("""COMPUTED_VALUE"""),0)</f>
        <v>0</v>
      </c>
      <c r="AI318" s="113">
        <f ca="1">IFERROR(__xludf.DUMMYFUNCTION("""COMPUTED_VALUE"""),0)</f>
        <v>0</v>
      </c>
      <c r="AJ318" s="113">
        <f ca="1">IFERROR(__xludf.DUMMYFUNCTION("""COMPUTED_VALUE"""),0)</f>
        <v>0</v>
      </c>
      <c r="AK318" s="113"/>
      <c r="AL318" s="116"/>
    </row>
    <row r="319" spans="1:38" ht="12.75">
      <c r="A319" s="112" t="str">
        <f ca="1">IFERROR(__xludf.DUMMYFUNCTION("""COMPUTED_VALUE"""),"17014522")</f>
        <v>17014522</v>
      </c>
      <c r="B319" s="113" t="str">
        <f ca="1">IFERROR(__xludf.DUMMYFUNCTION("""COMPUTED_VALUE"""),"Paraíso")</f>
        <v>Paraíso</v>
      </c>
      <c r="C319" s="113" t="str">
        <f ca="1">IFERROR(__xludf.DUMMYFUNCTION("""COMPUTED_VALUE"""),"Marianopolis do Tocantins")</f>
        <v>Marianopolis do Tocantins</v>
      </c>
      <c r="D319" s="114" t="str">
        <f ca="1">IFERROR(__xludf.DUMMYFUNCTION("""COMPUTED_VALUE"""),"A.A. DO COL. EST. DAVID BARBOSA ROLINS")</f>
        <v>A.A. DO COL. EST. DAVID BARBOSA ROLINS</v>
      </c>
      <c r="E319" s="113" t="str">
        <f ca="1">IFERROR(__xludf.DUMMYFUNCTION("""COMPUTED_VALUE"""),"Colégio Estadual david Barbosa Rolins")</f>
        <v>Colégio Estadual david Barbosa Rolins</v>
      </c>
      <c r="F319" s="115" t="str">
        <f ca="1">IFERROR(__xludf.DUMMYFUNCTION("""COMPUTED_VALUE"""),"17014522")</f>
        <v>17014522</v>
      </c>
      <c r="G319" s="113" t="str">
        <f ca="1">IFERROR(__xludf.DUMMYFUNCTION("""COMPUTED_VALUE"""),"01980050000145")</f>
        <v>01980050000145</v>
      </c>
      <c r="H319" s="115" t="str">
        <f ca="1">IFERROR(__xludf.DUMMYFUNCTION("""COMPUTED_VALUE"""),"001")</f>
        <v>001</v>
      </c>
      <c r="I319" s="115" t="str">
        <f ca="1">IFERROR(__xludf.DUMMYFUNCTION("""COMPUTED_VALUE"""),"0804")</f>
        <v>0804</v>
      </c>
      <c r="J319" s="115" t="str">
        <f ca="1">IFERROR(__xludf.DUMMYFUNCTION("""COMPUTED_VALUE"""),"219045")</f>
        <v>219045</v>
      </c>
      <c r="K319" s="113" t="e">
        <f ca="1"/>
        <v>#REF!</v>
      </c>
      <c r="L319" s="113" t="e">
        <f ca="1"/>
        <v>#REF!</v>
      </c>
      <c r="M319" s="113" t="e">
        <f ca="1"/>
        <v>#REF!</v>
      </c>
      <c r="N319" s="113" t="e">
        <f ca="1"/>
        <v>#REF!</v>
      </c>
      <c r="O319" s="113" t="e">
        <f ca="1"/>
        <v>#REF!</v>
      </c>
      <c r="P319" s="113" t="e">
        <f ca="1"/>
        <v>#REF!</v>
      </c>
      <c r="Q319" s="113" t="e">
        <f ca="1"/>
        <v>#REF!</v>
      </c>
      <c r="R319" s="113" t="e">
        <f ca="1"/>
        <v>#REF!</v>
      </c>
      <c r="S319" s="113" t="e">
        <f ca="1"/>
        <v>#REF!</v>
      </c>
      <c r="T319" s="113" t="e">
        <f ca="1"/>
        <v>#REF!</v>
      </c>
      <c r="U319" s="113" t="e">
        <f ca="1"/>
        <v>#REF!</v>
      </c>
      <c r="V319" s="113" t="e">
        <f ca="1"/>
        <v>#REF!</v>
      </c>
      <c r="W319" s="113" t="e">
        <f ca="1"/>
        <v>#REF!</v>
      </c>
      <c r="X319" s="113" t="e">
        <f ca="1"/>
        <v>#REF!</v>
      </c>
      <c r="Y319" s="113" t="e">
        <f ca="1"/>
        <v>#REF!</v>
      </c>
      <c r="Z319" s="113" t="e">
        <f ca="1"/>
        <v>#REF!</v>
      </c>
      <c r="AA319" s="113"/>
      <c r="AB319" s="113"/>
      <c r="AC319" s="113"/>
      <c r="AD319" s="113"/>
      <c r="AE319" s="113" t="str">
        <f ca="1">IFERROR(__xludf.DUMMYFUNCTION("""COMPUTED_VALUE"""),"Parcial")</f>
        <v>Parcial</v>
      </c>
      <c r="AF319" s="113" t="str">
        <f ca="1">IFERROR(__xludf.DUMMYFUNCTION("""COMPUTED_VALUE"""),"FE")</f>
        <v>FE</v>
      </c>
      <c r="AG319" s="113">
        <f ca="1">IFERROR(__xludf.DUMMYFUNCTION("""COMPUTED_VALUE"""),0)</f>
        <v>0</v>
      </c>
      <c r="AH319" s="113">
        <f ca="1">IFERROR(__xludf.DUMMYFUNCTION("""COMPUTED_VALUE"""),0)</f>
        <v>0</v>
      </c>
      <c r="AI319" s="113">
        <f ca="1">IFERROR(__xludf.DUMMYFUNCTION("""COMPUTED_VALUE"""),0)</f>
        <v>0</v>
      </c>
      <c r="AJ319" s="113">
        <f ca="1">IFERROR(__xludf.DUMMYFUNCTION("""COMPUTED_VALUE"""),0)</f>
        <v>0</v>
      </c>
      <c r="AK319" s="113"/>
      <c r="AL319" s="116"/>
    </row>
    <row r="320" spans="1:38" ht="12.75">
      <c r="A320" s="112" t="str">
        <f ca="1">IFERROR(__xludf.DUMMYFUNCTION("""COMPUTED_VALUE"""),"17019095")</f>
        <v>17019095</v>
      </c>
      <c r="B320" s="113" t="str">
        <f ca="1">IFERROR(__xludf.DUMMYFUNCTION("""COMPUTED_VALUE"""),"Paraíso")</f>
        <v>Paraíso</v>
      </c>
      <c r="C320" s="113" t="str">
        <f ca="1">IFERROR(__xludf.DUMMYFUNCTION("""COMPUTED_VALUE"""),"Nova Rosalandia")</f>
        <v>Nova Rosalandia</v>
      </c>
      <c r="D320" s="114" t="str">
        <f ca="1">IFERROR(__xludf.DUMMYFUNCTION("""COMPUTED_VALUE"""),"A. ESC. COM. ESC. EST.PEDRO XAVIER TEIXEIRA")</f>
        <v>A. ESC. COM. ESC. EST.PEDRO XAVIER TEIXEIRA</v>
      </c>
      <c r="E320" s="113" t="str">
        <f ca="1">IFERROR(__xludf.DUMMYFUNCTION("""COMPUTED_VALUE"""),"Colégio Estadual Vereador Pedro Xavier Teixeira")</f>
        <v>Colégio Estadual Vereador Pedro Xavier Teixeira</v>
      </c>
      <c r="F320" s="115" t="str">
        <f ca="1">IFERROR(__xludf.DUMMYFUNCTION("""COMPUTED_VALUE"""),"17019095")</f>
        <v>17019095</v>
      </c>
      <c r="G320" s="113" t="str">
        <f ca="1">IFERROR(__xludf.DUMMYFUNCTION("""COMPUTED_VALUE"""),"01068367000100")</f>
        <v>01068367000100</v>
      </c>
      <c r="H320" s="115" t="str">
        <f ca="1">IFERROR(__xludf.DUMMYFUNCTION("""COMPUTED_VALUE"""),"001")</f>
        <v>001</v>
      </c>
      <c r="I320" s="115" t="str">
        <f ca="1">IFERROR(__xludf.DUMMYFUNCTION("""COMPUTED_VALUE"""),"0804")</f>
        <v>0804</v>
      </c>
      <c r="J320" s="115" t="str">
        <f ca="1">IFERROR(__xludf.DUMMYFUNCTION("""COMPUTED_VALUE"""),"234265")</f>
        <v>234265</v>
      </c>
      <c r="K320" s="113" t="e">
        <f ca="1"/>
        <v>#REF!</v>
      </c>
      <c r="L320" s="113" t="e">
        <f ca="1"/>
        <v>#REF!</v>
      </c>
      <c r="M320" s="113" t="e">
        <f ca="1"/>
        <v>#REF!</v>
      </c>
      <c r="N320" s="113" t="e">
        <f ca="1"/>
        <v>#REF!</v>
      </c>
      <c r="O320" s="113" t="e">
        <f ca="1"/>
        <v>#REF!</v>
      </c>
      <c r="P320" s="113" t="e">
        <f ca="1"/>
        <v>#REF!</v>
      </c>
      <c r="Q320" s="113" t="e">
        <f ca="1"/>
        <v>#REF!</v>
      </c>
      <c r="R320" s="113" t="e">
        <f ca="1"/>
        <v>#REF!</v>
      </c>
      <c r="S320" s="113" t="e">
        <f ca="1"/>
        <v>#REF!</v>
      </c>
      <c r="T320" s="113" t="e">
        <f ca="1"/>
        <v>#REF!</v>
      </c>
      <c r="U320" s="113" t="e">
        <f ca="1"/>
        <v>#REF!</v>
      </c>
      <c r="V320" s="113" t="e">
        <f ca="1"/>
        <v>#REF!</v>
      </c>
      <c r="W320" s="113" t="e">
        <f ca="1"/>
        <v>#REF!</v>
      </c>
      <c r="X320" s="113" t="e">
        <f ca="1"/>
        <v>#REF!</v>
      </c>
      <c r="Y320" s="113" t="e">
        <f ca="1"/>
        <v>#REF!</v>
      </c>
      <c r="Z320" s="113" t="e">
        <f ca="1"/>
        <v>#REF!</v>
      </c>
      <c r="AA320" s="113"/>
      <c r="AB320" s="113"/>
      <c r="AC320" s="113"/>
      <c r="AD320" s="113"/>
      <c r="AE320" s="113" t="str">
        <f ca="1">IFERROR(__xludf.DUMMYFUNCTION("""COMPUTED_VALUE"""),"Parcial")</f>
        <v>Parcial</v>
      </c>
      <c r="AF320" s="113" t="str">
        <f ca="1">IFERROR(__xludf.DUMMYFUNCTION("""COMPUTED_VALUE"""),"FE")</f>
        <v>FE</v>
      </c>
      <c r="AG320" s="113">
        <f ca="1">IFERROR(__xludf.DUMMYFUNCTION("""COMPUTED_VALUE"""),0)</f>
        <v>0</v>
      </c>
      <c r="AH320" s="113">
        <f ca="1">IFERROR(__xludf.DUMMYFUNCTION("""COMPUTED_VALUE"""),0)</f>
        <v>0</v>
      </c>
      <c r="AI320" s="113">
        <f ca="1">IFERROR(__xludf.DUMMYFUNCTION("""COMPUTED_VALUE"""),0)</f>
        <v>0</v>
      </c>
      <c r="AJ320" s="113">
        <f ca="1">IFERROR(__xludf.DUMMYFUNCTION("""COMPUTED_VALUE"""),0)</f>
        <v>0</v>
      </c>
      <c r="AK320" s="113"/>
      <c r="AL320" s="116"/>
    </row>
    <row r="321" spans="1:38" ht="12.75">
      <c r="A321" s="112" t="str">
        <f ca="1">IFERROR(__xludf.DUMMYFUNCTION("""COMPUTED_VALUE"""),"17019117")</f>
        <v>17019117</v>
      </c>
      <c r="B321" s="113" t="str">
        <f ca="1">IFERROR(__xludf.DUMMYFUNCTION("""COMPUTED_VALUE"""),"Paraíso")</f>
        <v>Paraíso</v>
      </c>
      <c r="C321" s="113" t="str">
        <f ca="1">IFERROR(__xludf.DUMMYFUNCTION("""COMPUTED_VALUE"""),"Nova Rosalandia")</f>
        <v>Nova Rosalandia</v>
      </c>
      <c r="D321" s="114" t="str">
        <f ca="1">IFERROR(__xludf.DUMMYFUNCTION("""COMPUTED_VALUE"""),"A.A. A ESCOLA ESTADUAL CAMPO MAIOR")</f>
        <v>A.A. A ESCOLA ESTADUAL CAMPO MAIOR</v>
      </c>
      <c r="E321" s="113" t="str">
        <f ca="1">IFERROR(__xludf.DUMMYFUNCTION("""COMPUTED_VALUE"""),"Escola Estadual Campo Maior")</f>
        <v>Escola Estadual Campo Maior</v>
      </c>
      <c r="F321" s="115" t="str">
        <f ca="1">IFERROR(__xludf.DUMMYFUNCTION("""COMPUTED_VALUE"""),"17019117")</f>
        <v>17019117</v>
      </c>
      <c r="G321" s="113" t="str">
        <f ca="1">IFERROR(__xludf.DUMMYFUNCTION("""COMPUTED_VALUE"""),"01068373000167")</f>
        <v>01068373000167</v>
      </c>
      <c r="H321" s="115" t="str">
        <f ca="1">IFERROR(__xludf.DUMMYFUNCTION("""COMPUTED_VALUE"""),"001")</f>
        <v>001</v>
      </c>
      <c r="I321" s="115" t="str">
        <f ca="1">IFERROR(__xludf.DUMMYFUNCTION("""COMPUTED_VALUE"""),"0804")</f>
        <v>0804</v>
      </c>
      <c r="J321" s="115" t="str">
        <f ca="1">IFERROR(__xludf.DUMMYFUNCTION("""COMPUTED_VALUE"""),"341290")</f>
        <v>341290</v>
      </c>
      <c r="K321" s="113" t="e">
        <f ca="1"/>
        <v>#REF!</v>
      </c>
      <c r="L321" s="113" t="e">
        <f ca="1"/>
        <v>#REF!</v>
      </c>
      <c r="M321" s="113" t="e">
        <f ca="1"/>
        <v>#REF!</v>
      </c>
      <c r="N321" s="113" t="e">
        <f ca="1"/>
        <v>#REF!</v>
      </c>
      <c r="O321" s="113" t="e">
        <f ca="1"/>
        <v>#REF!</v>
      </c>
      <c r="P321" s="113" t="e">
        <f ca="1"/>
        <v>#REF!</v>
      </c>
      <c r="Q321" s="113" t="e">
        <f ca="1"/>
        <v>#REF!</v>
      </c>
      <c r="R321" s="113" t="e">
        <f ca="1"/>
        <v>#REF!</v>
      </c>
      <c r="S321" s="113" t="e">
        <f ca="1"/>
        <v>#REF!</v>
      </c>
      <c r="T321" s="113" t="e">
        <f ca="1"/>
        <v>#REF!</v>
      </c>
      <c r="U321" s="113" t="e">
        <f ca="1"/>
        <v>#REF!</v>
      </c>
      <c r="V321" s="113" t="e">
        <f ca="1"/>
        <v>#REF!</v>
      </c>
      <c r="W321" s="113" t="e">
        <f ca="1"/>
        <v>#REF!</v>
      </c>
      <c r="X321" s="113" t="e">
        <f ca="1"/>
        <v>#REF!</v>
      </c>
      <c r="Y321" s="113" t="e">
        <f ca="1"/>
        <v>#REF!</v>
      </c>
      <c r="Z321" s="113" t="e">
        <f ca="1"/>
        <v>#REF!</v>
      </c>
      <c r="AA321" s="113"/>
      <c r="AB321" s="113"/>
      <c r="AC321" s="113"/>
      <c r="AD321" s="113"/>
      <c r="AE321" s="113" t="str">
        <f ca="1">IFERROR(__xludf.DUMMYFUNCTION("""COMPUTED_VALUE"""),"Parcial")</f>
        <v>Parcial</v>
      </c>
      <c r="AF321" s="113" t="str">
        <f ca="1">IFERROR(__xludf.DUMMYFUNCTION("""COMPUTED_VALUE"""),"FE")</f>
        <v>FE</v>
      </c>
      <c r="AG321" s="113">
        <f ca="1">IFERROR(__xludf.DUMMYFUNCTION("""COMPUTED_VALUE"""),0)</f>
        <v>0</v>
      </c>
      <c r="AH321" s="113">
        <f ca="1">IFERROR(__xludf.DUMMYFUNCTION("""COMPUTED_VALUE"""),0)</f>
        <v>0</v>
      </c>
      <c r="AI321" s="113">
        <f ca="1">IFERROR(__xludf.DUMMYFUNCTION("""COMPUTED_VALUE"""),0)</f>
        <v>0</v>
      </c>
      <c r="AJ321" s="113">
        <f ca="1">IFERROR(__xludf.DUMMYFUNCTION("""COMPUTED_VALUE"""),0)</f>
        <v>0</v>
      </c>
      <c r="AK321" s="113"/>
      <c r="AL321" s="116"/>
    </row>
    <row r="322" spans="1:38" ht="12.75">
      <c r="A322" s="112" t="str">
        <f ca="1">IFERROR(__xludf.DUMMYFUNCTION("""COMPUTED_VALUE"""),"17019125")</f>
        <v>17019125</v>
      </c>
      <c r="B322" s="113" t="str">
        <f ca="1">IFERROR(__xludf.DUMMYFUNCTION("""COMPUTED_VALUE"""),"Paraíso")</f>
        <v>Paraíso</v>
      </c>
      <c r="C322" s="113" t="str">
        <f ca="1">IFERROR(__xludf.DUMMYFUNCTION("""COMPUTED_VALUE"""),"Nova Rosalandia")</f>
        <v>Nova Rosalandia</v>
      </c>
      <c r="D322" s="114" t="str">
        <f ca="1">IFERROR(__xludf.DUMMYFUNCTION("""COMPUTED_VALUE"""),"ASSOC.COM. ESC EST.REGINA SIQUEIRA CAMPOS")</f>
        <v>ASSOC.COM. ESC EST.REGINA SIQUEIRA CAMPOS</v>
      </c>
      <c r="E322" s="113" t="str">
        <f ca="1">IFERROR(__xludf.DUMMYFUNCTION("""COMPUTED_VALUE"""),"Escola Estadual Regina Siqueira Campos")</f>
        <v>Escola Estadual Regina Siqueira Campos</v>
      </c>
      <c r="F322" s="115" t="str">
        <f ca="1">IFERROR(__xludf.DUMMYFUNCTION("""COMPUTED_VALUE"""),"17019125")</f>
        <v>17019125</v>
      </c>
      <c r="G322" s="113" t="str">
        <f ca="1">IFERROR(__xludf.DUMMYFUNCTION("""COMPUTED_VALUE"""),"01181170000182")</f>
        <v>01181170000182</v>
      </c>
      <c r="H322" s="115" t="str">
        <f ca="1">IFERROR(__xludf.DUMMYFUNCTION("""COMPUTED_VALUE"""),"001")</f>
        <v>001</v>
      </c>
      <c r="I322" s="115" t="str">
        <f ca="1">IFERROR(__xludf.DUMMYFUNCTION("""COMPUTED_VALUE"""),"0804")</f>
        <v>0804</v>
      </c>
      <c r="J322" s="115" t="str">
        <f ca="1">IFERROR(__xludf.DUMMYFUNCTION("""COMPUTED_VALUE"""),"16383X")</f>
        <v>16383X</v>
      </c>
      <c r="K322" s="113" t="e">
        <f ca="1"/>
        <v>#REF!</v>
      </c>
      <c r="L322" s="113" t="e">
        <f ca="1"/>
        <v>#REF!</v>
      </c>
      <c r="M322" s="113" t="e">
        <f ca="1"/>
        <v>#REF!</v>
      </c>
      <c r="N322" s="113" t="e">
        <f ca="1"/>
        <v>#REF!</v>
      </c>
      <c r="O322" s="113" t="e">
        <f ca="1"/>
        <v>#REF!</v>
      </c>
      <c r="P322" s="113" t="e">
        <f ca="1"/>
        <v>#REF!</v>
      </c>
      <c r="Q322" s="113" t="e">
        <f ca="1"/>
        <v>#REF!</v>
      </c>
      <c r="R322" s="113" t="e">
        <f ca="1"/>
        <v>#REF!</v>
      </c>
      <c r="S322" s="113" t="e">
        <f ca="1"/>
        <v>#REF!</v>
      </c>
      <c r="T322" s="113" t="e">
        <f ca="1"/>
        <v>#REF!</v>
      </c>
      <c r="U322" s="113" t="e">
        <f ca="1"/>
        <v>#REF!</v>
      </c>
      <c r="V322" s="113" t="e">
        <f ca="1"/>
        <v>#REF!</v>
      </c>
      <c r="W322" s="113" t="e">
        <f ca="1"/>
        <v>#REF!</v>
      </c>
      <c r="X322" s="113" t="e">
        <f ca="1"/>
        <v>#REF!</v>
      </c>
      <c r="Y322" s="113" t="e">
        <f ca="1"/>
        <v>#REF!</v>
      </c>
      <c r="Z322" s="113" t="e">
        <f ca="1"/>
        <v>#REF!</v>
      </c>
      <c r="AA322" s="113"/>
      <c r="AB322" s="113"/>
      <c r="AC322" s="113"/>
      <c r="AD322" s="113"/>
      <c r="AE322" s="113" t="str">
        <f ca="1">IFERROR(__xludf.DUMMYFUNCTION("""COMPUTED_VALUE"""),"Integral")</f>
        <v>Integral</v>
      </c>
      <c r="AF322" s="113" t="str">
        <f ca="1">IFERROR(__xludf.DUMMYFUNCTION("""COMPUTED_VALUE"""),"FE")</f>
        <v>FE</v>
      </c>
      <c r="AG322" s="113">
        <f ca="1">IFERROR(__xludf.DUMMYFUNCTION("""COMPUTED_VALUE"""),0)</f>
        <v>0</v>
      </c>
      <c r="AH322" s="113">
        <f ca="1">IFERROR(__xludf.DUMMYFUNCTION("""COMPUTED_VALUE"""),0)</f>
        <v>0</v>
      </c>
      <c r="AI322" s="113">
        <f ca="1">IFERROR(__xludf.DUMMYFUNCTION("""COMPUTED_VALUE"""),0)</f>
        <v>0</v>
      </c>
      <c r="AJ322" s="113">
        <f ca="1">IFERROR(__xludf.DUMMYFUNCTION("""COMPUTED_VALUE"""),11)</f>
        <v>11</v>
      </c>
      <c r="AK322" s="113"/>
      <c r="AL322" s="116"/>
    </row>
    <row r="323" spans="1:38" ht="12.75">
      <c r="A323" s="112" t="str">
        <f ca="1">IFERROR(__xludf.DUMMYFUNCTION("""COMPUTED_VALUE"""),"17122813")</f>
        <v>17122813</v>
      </c>
      <c r="B323" s="113" t="str">
        <f ca="1">IFERROR(__xludf.DUMMYFUNCTION("""COMPUTED_VALUE"""),"Paraíso")</f>
        <v>Paraíso</v>
      </c>
      <c r="C323" s="113" t="str">
        <f ca="1">IFERROR(__xludf.DUMMYFUNCTION("""COMPUTED_VALUE"""),"Paraiso do Tocantins")</f>
        <v>Paraiso do Tocantins</v>
      </c>
      <c r="D323" s="114" t="str">
        <f ca="1">IFERROR(__xludf.DUMMYFUNCTION("""COMPUTED_VALUE"""),"A.A. ESC. EST.ISOL.INDIG REG PARAISO DO TO")</f>
        <v>A.A. ESC. EST.ISOL.INDIG REG PARAISO DO TO</v>
      </c>
      <c r="E323" s="113" t="str">
        <f ca="1">IFERROR(__xludf.DUMMYFUNCTION("""COMPUTED_VALUE"""),"A.A. Esc.Est.Isol.Indig Reg Paraiso do To")</f>
        <v>A.A. Esc.Est.Isol.Indig Reg Paraiso do To</v>
      </c>
      <c r="F323" s="115" t="str">
        <f ca="1">IFERROR(__xludf.DUMMYFUNCTION("""COMPUTED_VALUE"""),"17122813")</f>
        <v>17122813</v>
      </c>
      <c r="G323" s="113" t="str">
        <f ca="1">IFERROR(__xludf.DUMMYFUNCTION("""COMPUTED_VALUE"""),"05099542000187")</f>
        <v>05099542000187</v>
      </c>
      <c r="H323" s="115" t="str">
        <f ca="1">IFERROR(__xludf.DUMMYFUNCTION("""COMPUTED_VALUE"""),"001")</f>
        <v>001</v>
      </c>
      <c r="I323" s="115" t="str">
        <f ca="1">IFERROR(__xludf.DUMMYFUNCTION("""COMPUTED_VALUE"""),"0804")</f>
        <v>0804</v>
      </c>
      <c r="J323" s="115" t="str">
        <f ca="1">IFERROR(__xludf.DUMMYFUNCTION("""COMPUTED_VALUE"""),"111678")</f>
        <v>111678</v>
      </c>
      <c r="K323" s="113" t="e">
        <f ca="1"/>
        <v>#REF!</v>
      </c>
      <c r="L323" s="113" t="e">
        <f ca="1"/>
        <v>#REF!</v>
      </c>
      <c r="M323" s="113" t="e">
        <f ca="1"/>
        <v>#REF!</v>
      </c>
      <c r="N323" s="113" t="e">
        <f ca="1"/>
        <v>#REF!</v>
      </c>
      <c r="O323" s="113" t="e">
        <f ca="1"/>
        <v>#REF!</v>
      </c>
      <c r="P323" s="113" t="e">
        <f ca="1"/>
        <v>#REF!</v>
      </c>
      <c r="Q323" s="113" t="e">
        <f ca="1"/>
        <v>#REF!</v>
      </c>
      <c r="R323" s="113" t="e">
        <f ca="1"/>
        <v>#REF!</v>
      </c>
      <c r="S323" s="113" t="e">
        <f ca="1"/>
        <v>#REF!</v>
      </c>
      <c r="T323" s="113" t="e">
        <f ca="1"/>
        <v>#REF!</v>
      </c>
      <c r="U323" s="113" t="e">
        <f ca="1"/>
        <v>#REF!</v>
      </c>
      <c r="V323" s="113" t="e">
        <f ca="1"/>
        <v>#REF!</v>
      </c>
      <c r="W323" s="113" t="e">
        <f ca="1"/>
        <v>#REF!</v>
      </c>
      <c r="X323" s="113" t="e">
        <f ca="1"/>
        <v>#REF!</v>
      </c>
      <c r="Y323" s="113" t="e">
        <f ca="1"/>
        <v>#REF!</v>
      </c>
      <c r="Z323" s="113" t="e">
        <f ca="1"/>
        <v>#REF!</v>
      </c>
      <c r="AA323" s="113"/>
      <c r="AB323" s="113"/>
      <c r="AC323" s="113"/>
      <c r="AD323" s="113"/>
      <c r="AE323" s="113" t="str">
        <f ca="1">IFERROR(__xludf.DUMMYFUNCTION("""COMPUTED_VALUE"""),"Parcial")</f>
        <v>Parcial</v>
      </c>
      <c r="AF323" s="113" t="str">
        <f ca="1">IFERROR(__xludf.DUMMYFUNCTION("""COMPUTED_VALUE"""),"FE")</f>
        <v>FE</v>
      </c>
      <c r="AG323" s="113">
        <f ca="1">IFERROR(__xludf.DUMMYFUNCTION("""COMPUTED_VALUE"""),0)</f>
        <v>0</v>
      </c>
      <c r="AH323" s="113">
        <f ca="1">IFERROR(__xludf.DUMMYFUNCTION("""COMPUTED_VALUE"""),0)</f>
        <v>0</v>
      </c>
      <c r="AI323" s="113">
        <f ca="1">IFERROR(__xludf.DUMMYFUNCTION("""COMPUTED_VALUE"""),0)</f>
        <v>0</v>
      </c>
      <c r="AJ323" s="113">
        <f ca="1">IFERROR(__xludf.DUMMYFUNCTION("""COMPUTED_VALUE"""),0)</f>
        <v>0</v>
      </c>
      <c r="AK323" s="113"/>
      <c r="AL323" s="116"/>
    </row>
    <row r="324" spans="1:38" ht="12.75">
      <c r="A324" s="112" t="str">
        <f ca="1">IFERROR(__xludf.DUMMYFUNCTION("""COMPUTED_VALUE"""),"17122805")</f>
        <v>17122805</v>
      </c>
      <c r="B324" s="113" t="str">
        <f ca="1">IFERROR(__xludf.DUMMYFUNCTION("""COMPUTED_VALUE"""),"Paraíso")</f>
        <v>Paraíso</v>
      </c>
      <c r="C324" s="113" t="str">
        <f ca="1">IFERROR(__xludf.DUMMYFUNCTION("""COMPUTED_VALUE"""),"Paraiso do Tocantins")</f>
        <v>Paraiso do Tocantins</v>
      </c>
      <c r="D324" s="114" t="str">
        <f ca="1">IFERROR(__xludf.DUMMYFUNCTION("""COMPUTED_VALUE"""),"A.A. COLÉGIO MILITAR DIACONÍZIO BEZERRA DA SILVA")</f>
        <v>A.A. COLÉGIO MILITAR DIACONÍZIO BEZERRA DA SILVA</v>
      </c>
      <c r="E324" s="113" t="str">
        <f ca="1">IFERROR(__xludf.DUMMYFUNCTION("""COMPUTED_VALUE"""),"Centro de Ensino Médio Diaconizio Bezerra da Silva")</f>
        <v>Centro de Ensino Médio Diaconizio Bezerra da Silva</v>
      </c>
      <c r="F324" s="115" t="str">
        <f ca="1">IFERROR(__xludf.DUMMYFUNCTION("""COMPUTED_VALUE"""),"17122805")</f>
        <v>17122805</v>
      </c>
      <c r="G324" s="113" t="str">
        <f ca="1">IFERROR(__xludf.DUMMYFUNCTION("""COMPUTED_VALUE"""),"11675300000197")</f>
        <v>11675300000197</v>
      </c>
      <c r="H324" s="115" t="str">
        <f ca="1">IFERROR(__xludf.DUMMYFUNCTION("""COMPUTED_VALUE"""),"001")</f>
        <v>001</v>
      </c>
      <c r="I324" s="115" t="str">
        <f ca="1">IFERROR(__xludf.DUMMYFUNCTION("""COMPUTED_VALUE"""),"0804")</f>
        <v>0804</v>
      </c>
      <c r="J324" s="115" t="str">
        <f ca="1">IFERROR(__xludf.DUMMYFUNCTION("""COMPUTED_VALUE"""),"320781")</f>
        <v>320781</v>
      </c>
      <c r="K324" s="113" t="e">
        <f ca="1"/>
        <v>#REF!</v>
      </c>
      <c r="L324" s="113" t="e">
        <f ca="1"/>
        <v>#REF!</v>
      </c>
      <c r="M324" s="113" t="e">
        <f ca="1"/>
        <v>#REF!</v>
      </c>
      <c r="N324" s="113" t="e">
        <f ca="1"/>
        <v>#REF!</v>
      </c>
      <c r="O324" s="113" t="e">
        <f ca="1"/>
        <v>#REF!</v>
      </c>
      <c r="P324" s="113" t="e">
        <f ca="1"/>
        <v>#REF!</v>
      </c>
      <c r="Q324" s="113" t="e">
        <f ca="1"/>
        <v>#REF!</v>
      </c>
      <c r="R324" s="113" t="e">
        <f ca="1"/>
        <v>#REF!</v>
      </c>
      <c r="S324" s="113" t="e">
        <f ca="1"/>
        <v>#REF!</v>
      </c>
      <c r="T324" s="113" t="e">
        <f ca="1"/>
        <v>#REF!</v>
      </c>
      <c r="U324" s="113" t="e">
        <f ca="1"/>
        <v>#REF!</v>
      </c>
      <c r="V324" s="113" t="e">
        <f ca="1"/>
        <v>#REF!</v>
      </c>
      <c r="W324" s="113" t="e">
        <f ca="1"/>
        <v>#REF!</v>
      </c>
      <c r="X324" s="113" t="e">
        <f ca="1"/>
        <v>#REF!</v>
      </c>
      <c r="Y324" s="113" t="e">
        <f ca="1"/>
        <v>#REF!</v>
      </c>
      <c r="Z324" s="113" t="e">
        <f ca="1"/>
        <v>#REF!</v>
      </c>
      <c r="AA324" s="113"/>
      <c r="AB324" s="113"/>
      <c r="AC324" s="113"/>
      <c r="AD324" s="113"/>
      <c r="AE324" s="113" t="str">
        <f ca="1">IFERROR(__xludf.DUMMYFUNCTION("""COMPUTED_VALUE"""),"Parcial")</f>
        <v>Parcial</v>
      </c>
      <c r="AF324" s="113" t="str">
        <f ca="1">IFERROR(__xludf.DUMMYFUNCTION("""COMPUTED_VALUE"""),"FE")</f>
        <v>FE</v>
      </c>
      <c r="AG324" s="113">
        <f ca="1">IFERROR(__xludf.DUMMYFUNCTION("""COMPUTED_VALUE"""),0)</f>
        <v>0</v>
      </c>
      <c r="AH324" s="113">
        <f ca="1">IFERROR(__xludf.DUMMYFUNCTION("""COMPUTED_VALUE"""),0)</f>
        <v>0</v>
      </c>
      <c r="AI324" s="113">
        <f ca="1">IFERROR(__xludf.DUMMYFUNCTION("""COMPUTED_VALUE"""),0)</f>
        <v>0</v>
      </c>
      <c r="AJ324" s="113">
        <f ca="1">IFERROR(__xludf.DUMMYFUNCTION("""COMPUTED_VALUE"""),0)</f>
        <v>0</v>
      </c>
      <c r="AK324" s="113"/>
      <c r="AL324" s="116"/>
    </row>
    <row r="325" spans="1:38" ht="12.75">
      <c r="A325" s="112" t="str">
        <f ca="1">IFERROR(__xludf.DUMMYFUNCTION("""COMPUTED_VALUE"""),"17019176")</f>
        <v>17019176</v>
      </c>
      <c r="B325" s="113" t="str">
        <f ca="1">IFERROR(__xludf.DUMMYFUNCTION("""COMPUTED_VALUE"""),"Paraíso")</f>
        <v>Paraíso</v>
      </c>
      <c r="C325" s="113" t="str">
        <f ca="1">IFERROR(__xludf.DUMMYFUNCTION("""COMPUTED_VALUE"""),"Paraiso do Tocantins")</f>
        <v>Paraiso do Tocantins</v>
      </c>
      <c r="D325" s="114" t="str">
        <f ca="1">IFERROR(__xludf.DUMMYFUNCTION("""COMPUTED_VALUE"""),"ASSOC. APOIO AO CEM JOSE ALVES DE ASSIS")</f>
        <v>ASSOC. APOIO AO CEM JOSE ALVES DE ASSIS</v>
      </c>
      <c r="E325" s="113" t="str">
        <f ca="1">IFERROR(__xludf.DUMMYFUNCTION("""COMPUTED_VALUE"""),"Centro de Ensino Médio José Alves de Assis")</f>
        <v>Centro de Ensino Médio José Alves de Assis</v>
      </c>
      <c r="F325" s="115" t="str">
        <f ca="1">IFERROR(__xludf.DUMMYFUNCTION("""COMPUTED_VALUE"""),"17019176")</f>
        <v>17019176</v>
      </c>
      <c r="G325" s="113" t="str">
        <f ca="1">IFERROR(__xludf.DUMMYFUNCTION("""COMPUTED_VALUE"""),"01181169000158")</f>
        <v>01181169000158</v>
      </c>
      <c r="H325" s="115" t="str">
        <f ca="1">IFERROR(__xludf.DUMMYFUNCTION("""COMPUTED_VALUE"""),"001")</f>
        <v>001</v>
      </c>
      <c r="I325" s="115" t="str">
        <f ca="1">IFERROR(__xludf.DUMMYFUNCTION("""COMPUTED_VALUE"""),"0804")</f>
        <v>0804</v>
      </c>
      <c r="J325" s="115" t="str">
        <f ca="1">IFERROR(__xludf.DUMMYFUNCTION("""COMPUTED_VALUE"""),"286257")</f>
        <v>286257</v>
      </c>
      <c r="K325" s="113" t="e">
        <f ca="1"/>
        <v>#REF!</v>
      </c>
      <c r="L325" s="113" t="e">
        <f ca="1"/>
        <v>#REF!</v>
      </c>
      <c r="M325" s="113" t="e">
        <f ca="1"/>
        <v>#REF!</v>
      </c>
      <c r="N325" s="113" t="e">
        <f ca="1"/>
        <v>#REF!</v>
      </c>
      <c r="O325" s="113" t="e">
        <f ca="1"/>
        <v>#REF!</v>
      </c>
      <c r="P325" s="113" t="e">
        <f ca="1"/>
        <v>#REF!</v>
      </c>
      <c r="Q325" s="113" t="e">
        <f ca="1"/>
        <v>#REF!</v>
      </c>
      <c r="R325" s="113" t="e">
        <f ca="1"/>
        <v>#REF!</v>
      </c>
      <c r="S325" s="113" t="e">
        <f ca="1"/>
        <v>#REF!</v>
      </c>
      <c r="T325" s="113" t="e">
        <f ca="1"/>
        <v>#REF!</v>
      </c>
      <c r="U325" s="113" t="e">
        <f ca="1"/>
        <v>#REF!</v>
      </c>
      <c r="V325" s="113" t="e">
        <f ca="1"/>
        <v>#REF!</v>
      </c>
      <c r="W325" s="113" t="e">
        <f ca="1"/>
        <v>#REF!</v>
      </c>
      <c r="X325" s="113" t="e">
        <f ca="1"/>
        <v>#REF!</v>
      </c>
      <c r="Y325" s="113" t="e">
        <f ca="1"/>
        <v>#REF!</v>
      </c>
      <c r="Z325" s="113" t="e">
        <f ca="1"/>
        <v>#REF!</v>
      </c>
      <c r="AA325" s="113"/>
      <c r="AB325" s="113"/>
      <c r="AC325" s="113"/>
      <c r="AD325" s="113"/>
      <c r="AE325" s="113" t="str">
        <f ca="1">IFERROR(__xludf.DUMMYFUNCTION("""COMPUTED_VALUE"""),"Parcial")</f>
        <v>Parcial</v>
      </c>
      <c r="AF325" s="113" t="str">
        <f ca="1">IFERROR(__xludf.DUMMYFUNCTION("""COMPUTED_VALUE"""),"FE")</f>
        <v>FE</v>
      </c>
      <c r="AG325" s="113">
        <f ca="1">IFERROR(__xludf.DUMMYFUNCTION("""COMPUTED_VALUE"""),0)</f>
        <v>0</v>
      </c>
      <c r="AH325" s="113">
        <f ca="1">IFERROR(__xludf.DUMMYFUNCTION("""COMPUTED_VALUE"""),0)</f>
        <v>0</v>
      </c>
      <c r="AI325" s="113">
        <f ca="1">IFERROR(__xludf.DUMMYFUNCTION("""COMPUTED_VALUE"""),0)</f>
        <v>0</v>
      </c>
      <c r="AJ325" s="113">
        <f ca="1">IFERROR(__xludf.DUMMYFUNCTION("""COMPUTED_VALUE"""),0)</f>
        <v>0</v>
      </c>
      <c r="AK325" s="113"/>
      <c r="AL325" s="116"/>
    </row>
    <row r="326" spans="1:38" ht="12.75">
      <c r="A326" s="112" t="str">
        <f ca="1">IFERROR(__xludf.DUMMYFUNCTION("""COMPUTED_VALUE"""),"17019192")</f>
        <v>17019192</v>
      </c>
      <c r="B326" s="113" t="str">
        <f ca="1">IFERROR(__xludf.DUMMYFUNCTION("""COMPUTED_VALUE"""),"Paraíso")</f>
        <v>Paraíso</v>
      </c>
      <c r="C326" s="113" t="str">
        <f ca="1">IFERROR(__xludf.DUMMYFUNCTION("""COMPUTED_VALUE"""),"Paraiso do Tocantins")</f>
        <v>Paraiso do Tocantins</v>
      </c>
      <c r="D326" s="114" t="str">
        <f ca="1">IFERROR(__xludf.DUMMYFUNCTION("""COMPUTED_VALUE"""),"ASSOC. DE APOIO ESC. EST.IDALINA DE PAULA")</f>
        <v>ASSOC. DE APOIO ESC. EST.IDALINA DE PAULA</v>
      </c>
      <c r="E326" s="113" t="str">
        <f ca="1">IFERROR(__xludf.DUMMYFUNCTION("""COMPUTED_VALUE"""),"Colégio Estadual Idalina de Paula")</f>
        <v>Colégio Estadual Idalina de Paula</v>
      </c>
      <c r="F326" s="115" t="str">
        <f ca="1">IFERROR(__xludf.DUMMYFUNCTION("""COMPUTED_VALUE"""),"17019192")</f>
        <v>17019192</v>
      </c>
      <c r="G326" s="113" t="str">
        <f ca="1">IFERROR(__xludf.DUMMYFUNCTION("""COMPUTED_VALUE"""),"01066419000109")</f>
        <v>01066419000109</v>
      </c>
      <c r="H326" s="115" t="str">
        <f ca="1">IFERROR(__xludf.DUMMYFUNCTION("""COMPUTED_VALUE"""),"001")</f>
        <v>001</v>
      </c>
      <c r="I326" s="115" t="str">
        <f ca="1">IFERROR(__xludf.DUMMYFUNCTION("""COMPUTED_VALUE"""),"0804")</f>
        <v>0804</v>
      </c>
      <c r="J326" s="115" t="str">
        <f ca="1">IFERROR(__xludf.DUMMYFUNCTION("""COMPUTED_VALUE"""),"115797")</f>
        <v>115797</v>
      </c>
      <c r="K326" s="113" t="e">
        <f ca="1"/>
        <v>#REF!</v>
      </c>
      <c r="L326" s="113" t="e">
        <f ca="1"/>
        <v>#REF!</v>
      </c>
      <c r="M326" s="113" t="e">
        <f ca="1"/>
        <v>#REF!</v>
      </c>
      <c r="N326" s="113" t="e">
        <f ca="1"/>
        <v>#REF!</v>
      </c>
      <c r="O326" s="113" t="e">
        <f ca="1"/>
        <v>#REF!</v>
      </c>
      <c r="P326" s="113" t="e">
        <f ca="1"/>
        <v>#REF!</v>
      </c>
      <c r="Q326" s="113" t="e">
        <f ca="1"/>
        <v>#REF!</v>
      </c>
      <c r="R326" s="113" t="e">
        <f ca="1"/>
        <v>#REF!</v>
      </c>
      <c r="S326" s="113" t="e">
        <f ca="1"/>
        <v>#REF!</v>
      </c>
      <c r="T326" s="113" t="e">
        <f ca="1"/>
        <v>#REF!</v>
      </c>
      <c r="U326" s="113" t="e">
        <f ca="1"/>
        <v>#REF!</v>
      </c>
      <c r="V326" s="113" t="e">
        <f ca="1"/>
        <v>#REF!</v>
      </c>
      <c r="W326" s="113" t="e">
        <f ca="1"/>
        <v>#REF!</v>
      </c>
      <c r="X326" s="113" t="e">
        <f ca="1"/>
        <v>#REF!</v>
      </c>
      <c r="Y326" s="113" t="e">
        <f ca="1"/>
        <v>#REF!</v>
      </c>
      <c r="Z326" s="113" t="e">
        <f ca="1"/>
        <v>#REF!</v>
      </c>
      <c r="AA326" s="113"/>
      <c r="AB326" s="113"/>
      <c r="AC326" s="113"/>
      <c r="AD326" s="113"/>
      <c r="AE326" s="113" t="str">
        <f ca="1">IFERROR(__xludf.DUMMYFUNCTION("""COMPUTED_VALUE"""),"Parcial")</f>
        <v>Parcial</v>
      </c>
      <c r="AF326" s="113" t="str">
        <f ca="1">IFERROR(__xludf.DUMMYFUNCTION("""COMPUTED_VALUE"""),"FE")</f>
        <v>FE</v>
      </c>
      <c r="AG326" s="113">
        <f ca="1">IFERROR(__xludf.DUMMYFUNCTION("""COMPUTED_VALUE"""),0)</f>
        <v>0</v>
      </c>
      <c r="AH326" s="113">
        <f ca="1">IFERROR(__xludf.DUMMYFUNCTION("""COMPUTED_VALUE"""),0)</f>
        <v>0</v>
      </c>
      <c r="AI326" s="113">
        <f ca="1">IFERROR(__xludf.DUMMYFUNCTION("""COMPUTED_VALUE"""),0)</f>
        <v>0</v>
      </c>
      <c r="AJ326" s="113">
        <f ca="1">IFERROR(__xludf.DUMMYFUNCTION("""COMPUTED_VALUE"""),0)</f>
        <v>0</v>
      </c>
      <c r="AK326" s="113"/>
      <c r="AL326" s="116"/>
    </row>
    <row r="327" spans="1:38" ht="12.75">
      <c r="A327" s="112" t="str">
        <f ca="1">IFERROR(__xludf.DUMMYFUNCTION("""COMPUTED_VALUE"""),"17019290")</f>
        <v>17019290</v>
      </c>
      <c r="B327" s="113" t="str">
        <f ca="1">IFERROR(__xludf.DUMMYFUNCTION("""COMPUTED_VALUE"""),"Paraíso")</f>
        <v>Paraíso</v>
      </c>
      <c r="C327" s="113" t="str">
        <f ca="1">IFERROR(__xludf.DUMMYFUNCTION("""COMPUTED_VALUE"""),"Paraiso do Tocantins")</f>
        <v>Paraiso do Tocantins</v>
      </c>
      <c r="D327" s="114" t="str">
        <f ca="1">IFERROR(__xludf.DUMMYFUNCTION("""COMPUTED_VALUE"""),"ASS. APOIO ESC. EST.PROF. JOSE NEZIO RAMOS")</f>
        <v>ASS. APOIO ESC. EST.PROF. JOSE NEZIO RAMOS</v>
      </c>
      <c r="E327" s="113" t="str">
        <f ca="1">IFERROR(__xludf.DUMMYFUNCTION("""COMPUTED_VALUE"""),"Colégio Estadual Professor José Nézio Ramos ")</f>
        <v xml:space="preserve">Colégio Estadual Professor José Nézio Ramos </v>
      </c>
      <c r="F327" s="115" t="str">
        <f ca="1">IFERROR(__xludf.DUMMYFUNCTION("""COMPUTED_VALUE"""),"17019290")</f>
        <v>17019290</v>
      </c>
      <c r="G327" s="113" t="str">
        <f ca="1">IFERROR(__xludf.DUMMYFUNCTION("""COMPUTED_VALUE"""),"01233716000100")</f>
        <v>01233716000100</v>
      </c>
      <c r="H327" s="115" t="str">
        <f ca="1">IFERROR(__xludf.DUMMYFUNCTION("""COMPUTED_VALUE"""),"001")</f>
        <v>001</v>
      </c>
      <c r="I327" s="115" t="str">
        <f ca="1">IFERROR(__xludf.DUMMYFUNCTION("""COMPUTED_VALUE"""),"0804")</f>
        <v>0804</v>
      </c>
      <c r="J327" s="115" t="str">
        <f ca="1">IFERROR(__xludf.DUMMYFUNCTION("""COMPUTED_VALUE"""),"0263656")</f>
        <v>0263656</v>
      </c>
      <c r="K327" s="113" t="e">
        <f ca="1"/>
        <v>#REF!</v>
      </c>
      <c r="L327" s="113" t="e">
        <f ca="1"/>
        <v>#REF!</v>
      </c>
      <c r="M327" s="113" t="e">
        <f ca="1"/>
        <v>#REF!</v>
      </c>
      <c r="N327" s="113" t="e">
        <f ca="1"/>
        <v>#REF!</v>
      </c>
      <c r="O327" s="113" t="e">
        <f ca="1"/>
        <v>#REF!</v>
      </c>
      <c r="P327" s="113" t="e">
        <f ca="1"/>
        <v>#REF!</v>
      </c>
      <c r="Q327" s="113" t="e">
        <f ca="1"/>
        <v>#REF!</v>
      </c>
      <c r="R327" s="113" t="e">
        <f ca="1"/>
        <v>#REF!</v>
      </c>
      <c r="S327" s="113" t="e">
        <f ca="1"/>
        <v>#REF!</v>
      </c>
      <c r="T327" s="113" t="e">
        <f ca="1"/>
        <v>#REF!</v>
      </c>
      <c r="U327" s="113" t="e">
        <f ca="1"/>
        <v>#REF!</v>
      </c>
      <c r="V327" s="113" t="e">
        <f ca="1"/>
        <v>#REF!</v>
      </c>
      <c r="W327" s="113" t="e">
        <f ca="1"/>
        <v>#REF!</v>
      </c>
      <c r="X327" s="113" t="e">
        <f ca="1"/>
        <v>#REF!</v>
      </c>
      <c r="Y327" s="113" t="e">
        <f ca="1"/>
        <v>#REF!</v>
      </c>
      <c r="Z327" s="113" t="e">
        <f ca="1"/>
        <v>#REF!</v>
      </c>
      <c r="AA327" s="113"/>
      <c r="AB327" s="113"/>
      <c r="AC327" s="113"/>
      <c r="AD327" s="113" t="str">
        <f ca="1">IFERROR(__xludf.DUMMYFUNCTION("""COMPUTED_VALUE"""),"INDIGENA /QUILOMBOLA PARCIAL")</f>
        <v>INDIGENA /QUILOMBOLA PARCIAL</v>
      </c>
      <c r="AE327" s="113" t="str">
        <f ca="1">IFERROR(__xludf.DUMMYFUNCTION("""COMPUTED_VALUE"""),"Parcial")</f>
        <v>Parcial</v>
      </c>
      <c r="AF327" s="113" t="str">
        <f ca="1">IFERROR(__xludf.DUMMYFUNCTION("""COMPUTED_VALUE"""),"FE")</f>
        <v>FE</v>
      </c>
      <c r="AG327" s="113">
        <f ca="1">IFERROR(__xludf.DUMMYFUNCTION("""COMPUTED_VALUE"""),0)</f>
        <v>0</v>
      </c>
      <c r="AH327" s="113">
        <f ca="1">IFERROR(__xludf.DUMMYFUNCTION("""COMPUTED_VALUE"""),0)</f>
        <v>0</v>
      </c>
      <c r="AI327" s="113">
        <f ca="1">IFERROR(__xludf.DUMMYFUNCTION("""COMPUTED_VALUE"""),0)</f>
        <v>0</v>
      </c>
      <c r="AJ327" s="113">
        <f ca="1">IFERROR(__xludf.DUMMYFUNCTION("""COMPUTED_VALUE"""),0)</f>
        <v>0</v>
      </c>
      <c r="AK327" s="113"/>
      <c r="AL327" s="116"/>
    </row>
    <row r="328" spans="1:38" ht="12.75">
      <c r="A328" s="112" t="str">
        <f ca="1">IFERROR(__xludf.DUMMYFUNCTION("""COMPUTED_VALUE"""),"17040868")</f>
        <v>17040868</v>
      </c>
      <c r="B328" s="113" t="str">
        <f ca="1">IFERROR(__xludf.DUMMYFUNCTION("""COMPUTED_VALUE"""),"Paraíso")</f>
        <v>Paraíso</v>
      </c>
      <c r="C328" s="113" t="str">
        <f ca="1">IFERROR(__xludf.DUMMYFUNCTION("""COMPUTED_VALUE"""),"Paraiso do Tocantins")</f>
        <v>Paraiso do Tocantins</v>
      </c>
      <c r="D328" s="114" t="str">
        <f ca="1">IFERROR(__xludf.DUMMYFUNCTION("""COMPUTED_VALUE"""),"AAE. ESPECIAL LUZ DA VIDA")</f>
        <v>AAE. ESPECIAL LUZ DA VIDA</v>
      </c>
      <c r="E328" s="113" t="str">
        <f ca="1">IFERROR(__xludf.DUMMYFUNCTION("""COMPUTED_VALUE"""),"Escola Especial Luz da Vida")</f>
        <v>Escola Especial Luz da Vida</v>
      </c>
      <c r="F328" s="115" t="str">
        <f ca="1">IFERROR(__xludf.DUMMYFUNCTION("""COMPUTED_VALUE"""),"17040868")</f>
        <v>17040868</v>
      </c>
      <c r="G328" s="113" t="str">
        <f ca="1">IFERROR(__xludf.DUMMYFUNCTION("""COMPUTED_VALUE"""),"07905330000175")</f>
        <v>07905330000175</v>
      </c>
      <c r="H328" s="115" t="str">
        <f ca="1">IFERROR(__xludf.DUMMYFUNCTION("""COMPUTED_VALUE"""),"001")</f>
        <v>001</v>
      </c>
      <c r="I328" s="115" t="str">
        <f ca="1">IFERROR(__xludf.DUMMYFUNCTION("""COMPUTED_VALUE"""),"0804")</f>
        <v>0804</v>
      </c>
      <c r="J328" s="115" t="str">
        <f ca="1">IFERROR(__xludf.DUMMYFUNCTION("""COMPUTED_VALUE"""),"331724")</f>
        <v>331724</v>
      </c>
      <c r="K328" s="113" t="e">
        <f ca="1"/>
        <v>#REF!</v>
      </c>
      <c r="L328" s="113" t="e">
        <f ca="1"/>
        <v>#REF!</v>
      </c>
      <c r="M328" s="113" t="e">
        <f ca="1"/>
        <v>#REF!</v>
      </c>
      <c r="N328" s="113" t="e">
        <f ca="1"/>
        <v>#REF!</v>
      </c>
      <c r="O328" s="113" t="e">
        <f ca="1"/>
        <v>#REF!</v>
      </c>
      <c r="P328" s="113" t="e">
        <f ca="1"/>
        <v>#REF!</v>
      </c>
      <c r="Q328" s="113" t="e">
        <f ca="1"/>
        <v>#REF!</v>
      </c>
      <c r="R328" s="113" t="e">
        <f ca="1"/>
        <v>#REF!</v>
      </c>
      <c r="S328" s="113" t="e">
        <f ca="1"/>
        <v>#REF!</v>
      </c>
      <c r="T328" s="113" t="e">
        <f ca="1"/>
        <v>#REF!</v>
      </c>
      <c r="U328" s="113" t="e">
        <f ca="1"/>
        <v>#REF!</v>
      </c>
      <c r="V328" s="113" t="e">
        <f ca="1"/>
        <v>#REF!</v>
      </c>
      <c r="W328" s="113" t="e">
        <f ca="1"/>
        <v>#REF!</v>
      </c>
      <c r="X328" s="113" t="e">
        <f ca="1"/>
        <v>#REF!</v>
      </c>
      <c r="Y328" s="113" t="e">
        <f ca="1"/>
        <v>#REF!</v>
      </c>
      <c r="Z328" s="113" t="e">
        <f ca="1"/>
        <v>#REF!</v>
      </c>
      <c r="AA328" s="113"/>
      <c r="AB328" s="113"/>
      <c r="AC328" s="113"/>
      <c r="AD328" s="113"/>
      <c r="AE328" s="113" t="str">
        <f ca="1">IFERROR(__xludf.DUMMYFUNCTION("""COMPUTED_VALUE"""),"Parcial")</f>
        <v>Parcial</v>
      </c>
      <c r="AF328" s="113" t="str">
        <f ca="1">IFERROR(__xludf.DUMMYFUNCTION("""COMPUTED_VALUE"""),"FE")</f>
        <v>FE</v>
      </c>
      <c r="AG328" s="113">
        <f ca="1">IFERROR(__xludf.DUMMYFUNCTION("""COMPUTED_VALUE"""),0)</f>
        <v>0</v>
      </c>
      <c r="AH328" s="113">
        <f ca="1">IFERROR(__xludf.DUMMYFUNCTION("""COMPUTED_VALUE"""),0)</f>
        <v>0</v>
      </c>
      <c r="AI328" s="113">
        <f ca="1">IFERROR(__xludf.DUMMYFUNCTION("""COMPUTED_VALUE"""),0)</f>
        <v>0</v>
      </c>
      <c r="AJ328" s="113">
        <f ca="1">IFERROR(__xludf.DUMMYFUNCTION("""COMPUTED_VALUE"""),0)</f>
        <v>0</v>
      </c>
      <c r="AK328" s="113"/>
      <c r="AL328" s="116"/>
    </row>
    <row r="329" spans="1:38" ht="12.75">
      <c r="A329" s="112" t="str">
        <f ca="1">IFERROR(__xludf.DUMMYFUNCTION("""COMPUTED_VALUE"""),"17019184")</f>
        <v>17019184</v>
      </c>
      <c r="B329" s="113" t="str">
        <f ca="1">IFERROR(__xludf.DUMMYFUNCTION("""COMPUTED_VALUE"""),"Paraíso")</f>
        <v>Paraíso</v>
      </c>
      <c r="C329" s="113" t="str">
        <f ca="1">IFERROR(__xludf.DUMMYFUNCTION("""COMPUTED_VALUE"""),"Paraiso do Tocantins")</f>
        <v>Paraiso do Tocantins</v>
      </c>
      <c r="D329" s="114" t="str">
        <f ca="1">IFERROR(__xludf.DUMMYFUNCTION("""COMPUTED_VALUE"""),"ASS. DE APOIO ESC. EST. AMANCIO DE MORAES")</f>
        <v>ASS. DE APOIO ESC. EST. AMANCIO DE MORAES</v>
      </c>
      <c r="E329" s="113" t="str">
        <f ca="1">IFERROR(__xludf.DUMMYFUNCTION("""COMPUTED_VALUE"""),"Escola Estadual Amâncio de Moraes")</f>
        <v>Escola Estadual Amâncio de Moraes</v>
      </c>
      <c r="F329" s="115" t="str">
        <f ca="1">IFERROR(__xludf.DUMMYFUNCTION("""COMPUTED_VALUE"""),"17019184")</f>
        <v>17019184</v>
      </c>
      <c r="G329" s="113" t="str">
        <f ca="1">IFERROR(__xludf.DUMMYFUNCTION("""COMPUTED_VALUE"""),"01068375000156")</f>
        <v>01068375000156</v>
      </c>
      <c r="H329" s="115" t="str">
        <f ca="1">IFERROR(__xludf.DUMMYFUNCTION("""COMPUTED_VALUE"""),"104")</f>
        <v>104</v>
      </c>
      <c r="I329" s="115" t="str">
        <f ca="1">IFERROR(__xludf.DUMMYFUNCTION("""COMPUTED_VALUE"""),"1141")</f>
        <v>1141</v>
      </c>
      <c r="J329" s="115" t="str">
        <f ca="1">IFERROR(__xludf.DUMMYFUNCTION("""COMPUTED_VALUE"""),"308140")</f>
        <v>308140</v>
      </c>
      <c r="K329" s="113" t="e">
        <f ca="1"/>
        <v>#REF!</v>
      </c>
      <c r="L329" s="113" t="e">
        <f ca="1"/>
        <v>#REF!</v>
      </c>
      <c r="M329" s="113" t="e">
        <f ca="1"/>
        <v>#REF!</v>
      </c>
      <c r="N329" s="113" t="e">
        <f ca="1"/>
        <v>#REF!</v>
      </c>
      <c r="O329" s="113" t="e">
        <f ca="1"/>
        <v>#REF!</v>
      </c>
      <c r="P329" s="113" t="e">
        <f ca="1"/>
        <v>#REF!</v>
      </c>
      <c r="Q329" s="113" t="e">
        <f ca="1"/>
        <v>#REF!</v>
      </c>
      <c r="R329" s="113" t="e">
        <f ca="1"/>
        <v>#REF!</v>
      </c>
      <c r="S329" s="113" t="e">
        <f ca="1"/>
        <v>#REF!</v>
      </c>
      <c r="T329" s="113" t="e">
        <f ca="1"/>
        <v>#REF!</v>
      </c>
      <c r="U329" s="113" t="e">
        <f ca="1"/>
        <v>#REF!</v>
      </c>
      <c r="V329" s="113" t="e">
        <f ca="1"/>
        <v>#REF!</v>
      </c>
      <c r="W329" s="113" t="e">
        <f ca="1"/>
        <v>#REF!</v>
      </c>
      <c r="X329" s="113" t="e">
        <f ca="1"/>
        <v>#REF!</v>
      </c>
      <c r="Y329" s="113" t="e">
        <f ca="1"/>
        <v>#REF!</v>
      </c>
      <c r="Z329" s="113" t="e">
        <f ca="1"/>
        <v>#REF!</v>
      </c>
      <c r="AA329" s="113"/>
      <c r="AB329" s="113"/>
      <c r="AC329" s="113"/>
      <c r="AD329" s="113" t="str">
        <f ca="1">IFERROR(__xludf.DUMMYFUNCTION("""COMPUTED_VALUE"""),"CRECHE")</f>
        <v>CRECHE</v>
      </c>
      <c r="AE329" s="113" t="str">
        <f ca="1">IFERROR(__xludf.DUMMYFUNCTION("""COMPUTED_VALUE"""),"Parcial")</f>
        <v>Parcial</v>
      </c>
      <c r="AF329" s="113" t="str">
        <f ca="1">IFERROR(__xludf.DUMMYFUNCTION("""COMPUTED_VALUE"""),"FE")</f>
        <v>FE</v>
      </c>
      <c r="AG329" s="113">
        <f ca="1">IFERROR(__xludf.DUMMYFUNCTION("""COMPUTED_VALUE"""),0)</f>
        <v>0</v>
      </c>
      <c r="AH329" s="113">
        <f ca="1">IFERROR(__xludf.DUMMYFUNCTION("""COMPUTED_VALUE"""),0)</f>
        <v>0</v>
      </c>
      <c r="AI329" s="113">
        <f ca="1">IFERROR(__xludf.DUMMYFUNCTION("""COMPUTED_VALUE"""),0)</f>
        <v>0</v>
      </c>
      <c r="AJ329" s="113">
        <f ca="1">IFERROR(__xludf.DUMMYFUNCTION("""COMPUTED_VALUE"""),0)</f>
        <v>0</v>
      </c>
      <c r="AK329" s="113"/>
      <c r="AL329" s="116"/>
    </row>
    <row r="330" spans="1:38" ht="12.75">
      <c r="A330" s="112" t="str">
        <f ca="1">IFERROR(__xludf.DUMMYFUNCTION("""COMPUTED_VALUE"""),"17040205")</f>
        <v>17040205</v>
      </c>
      <c r="B330" s="113" t="str">
        <f ca="1">IFERROR(__xludf.DUMMYFUNCTION("""COMPUTED_VALUE"""),"Paraíso")</f>
        <v>Paraíso</v>
      </c>
      <c r="C330" s="113" t="str">
        <f ca="1">IFERROR(__xludf.DUMMYFUNCTION("""COMPUTED_VALUE"""),"Paraiso do Tocantins")</f>
        <v>Paraiso do Tocantins</v>
      </c>
      <c r="D330" s="114" t="str">
        <f ca="1">IFERROR(__xludf.DUMMYFUNCTION("""COMPUTED_VALUE"""),"A.A. ESCOLA ESTADUAL DEUSA DE MORAES")</f>
        <v>A.A. ESCOLA ESTADUAL DEUSA DE MORAES</v>
      </c>
      <c r="E330" s="113" t="str">
        <f ca="1">IFERROR(__xludf.DUMMYFUNCTION("""COMPUTED_VALUE"""),"Escola Estadual Deusa Moraes")</f>
        <v>Escola Estadual Deusa Moraes</v>
      </c>
      <c r="F330" s="115" t="str">
        <f ca="1">IFERROR(__xludf.DUMMYFUNCTION("""COMPUTED_VALUE"""),"17040205")</f>
        <v>17040205</v>
      </c>
      <c r="G330" s="113" t="str">
        <f ca="1">IFERROR(__xludf.DUMMYFUNCTION("""COMPUTED_VALUE"""),"01068362000187")</f>
        <v>01068362000187</v>
      </c>
      <c r="H330" s="115" t="str">
        <f ca="1">IFERROR(__xludf.DUMMYFUNCTION("""COMPUTED_VALUE"""),"001")</f>
        <v>001</v>
      </c>
      <c r="I330" s="115" t="str">
        <f ca="1">IFERROR(__xludf.DUMMYFUNCTION("""COMPUTED_VALUE"""),"0804")</f>
        <v>0804</v>
      </c>
      <c r="J330" s="115" t="str">
        <f ca="1">IFERROR(__xludf.DUMMYFUNCTION("""COMPUTED_VALUE"""),"304549")</f>
        <v>304549</v>
      </c>
      <c r="K330" s="113" t="e">
        <f ca="1"/>
        <v>#REF!</v>
      </c>
      <c r="L330" s="113" t="e">
        <f ca="1"/>
        <v>#REF!</v>
      </c>
      <c r="M330" s="113" t="e">
        <f ca="1"/>
        <v>#REF!</v>
      </c>
      <c r="N330" s="113" t="e">
        <f ca="1"/>
        <v>#REF!</v>
      </c>
      <c r="O330" s="113" t="e">
        <f ca="1"/>
        <v>#REF!</v>
      </c>
      <c r="P330" s="113" t="e">
        <f ca="1"/>
        <v>#REF!</v>
      </c>
      <c r="Q330" s="113" t="e">
        <f ca="1"/>
        <v>#REF!</v>
      </c>
      <c r="R330" s="113" t="e">
        <f ca="1"/>
        <v>#REF!</v>
      </c>
      <c r="S330" s="113" t="e">
        <f ca="1"/>
        <v>#REF!</v>
      </c>
      <c r="T330" s="113" t="e">
        <f ca="1"/>
        <v>#REF!</v>
      </c>
      <c r="U330" s="113" t="e">
        <f ca="1"/>
        <v>#REF!</v>
      </c>
      <c r="V330" s="113" t="e">
        <f ca="1"/>
        <v>#REF!</v>
      </c>
      <c r="W330" s="113" t="e">
        <f ca="1"/>
        <v>#REF!</v>
      </c>
      <c r="X330" s="113" t="e">
        <f ca="1"/>
        <v>#REF!</v>
      </c>
      <c r="Y330" s="113" t="e">
        <f ca="1"/>
        <v>#REF!</v>
      </c>
      <c r="Z330" s="113" t="e">
        <f ca="1"/>
        <v>#REF!</v>
      </c>
      <c r="AA330" s="113"/>
      <c r="AB330" s="113"/>
      <c r="AC330" s="113"/>
      <c r="AD330" s="113"/>
      <c r="AE330" s="113" t="str">
        <f ca="1">IFERROR(__xludf.DUMMYFUNCTION("""COMPUTED_VALUE"""),"Parcial")</f>
        <v>Parcial</v>
      </c>
      <c r="AF330" s="113" t="str">
        <f ca="1">IFERROR(__xludf.DUMMYFUNCTION("""COMPUTED_VALUE"""),"FE")</f>
        <v>FE</v>
      </c>
      <c r="AG330" s="113">
        <f ca="1">IFERROR(__xludf.DUMMYFUNCTION("""COMPUTED_VALUE"""),0)</f>
        <v>0</v>
      </c>
      <c r="AH330" s="113">
        <f ca="1">IFERROR(__xludf.DUMMYFUNCTION("""COMPUTED_VALUE"""),0)</f>
        <v>0</v>
      </c>
      <c r="AI330" s="113">
        <f ca="1">IFERROR(__xludf.DUMMYFUNCTION("""COMPUTED_VALUE"""),0)</f>
        <v>0</v>
      </c>
      <c r="AJ330" s="113">
        <f ca="1">IFERROR(__xludf.DUMMYFUNCTION("""COMPUTED_VALUE"""),0)</f>
        <v>0</v>
      </c>
      <c r="AK330" s="113"/>
      <c r="AL330" s="116"/>
    </row>
    <row r="331" spans="1:38" ht="12.75">
      <c r="A331" s="112" t="str">
        <f ca="1">IFERROR(__xludf.DUMMYFUNCTION("""COMPUTED_VALUE"""),"17019265")</f>
        <v>17019265</v>
      </c>
      <c r="B331" s="113" t="str">
        <f ca="1">IFERROR(__xludf.DUMMYFUNCTION("""COMPUTED_VALUE"""),"Paraíso")</f>
        <v>Paraíso</v>
      </c>
      <c r="C331" s="113" t="str">
        <f ca="1">IFERROR(__xludf.DUMMYFUNCTION("""COMPUTED_VALUE"""),"Paraiso do Tocantins")</f>
        <v>Paraiso do Tocantins</v>
      </c>
      <c r="D331" s="114" t="str">
        <f ca="1">IFERROR(__xludf.DUMMYFUNCTION("""COMPUTED_VALUE"""),"A. ESC COM. DA ESC EST J.K. DE OLIVEIRA")</f>
        <v>A. ESC COM. DA ESC EST J.K. DE OLIVEIRA</v>
      </c>
      <c r="E331" s="113" t="str">
        <f ca="1">IFERROR(__xludf.DUMMYFUNCTION("""COMPUTED_VALUE"""),"Escola Estadual Juscelino Kubitschek de Oliveira")</f>
        <v>Escola Estadual Juscelino Kubitschek de Oliveira</v>
      </c>
      <c r="F331" s="115" t="str">
        <f ca="1">IFERROR(__xludf.DUMMYFUNCTION("""COMPUTED_VALUE"""),"17019265")</f>
        <v>17019265</v>
      </c>
      <c r="G331" s="113" t="str">
        <f ca="1">IFERROR(__xludf.DUMMYFUNCTION("""COMPUTED_VALUE"""),"00921537000194")</f>
        <v>00921537000194</v>
      </c>
      <c r="H331" s="115" t="str">
        <f ca="1">IFERROR(__xludf.DUMMYFUNCTION("""COMPUTED_VALUE"""),"001")</f>
        <v>001</v>
      </c>
      <c r="I331" s="115" t="str">
        <f ca="1">IFERROR(__xludf.DUMMYFUNCTION("""COMPUTED_VALUE"""),"0804")</f>
        <v>0804</v>
      </c>
      <c r="J331" s="115" t="str">
        <f ca="1">IFERROR(__xludf.DUMMYFUNCTION("""COMPUTED_VALUE"""),"163821")</f>
        <v>163821</v>
      </c>
      <c r="K331" s="113" t="e">
        <f ca="1"/>
        <v>#REF!</v>
      </c>
      <c r="L331" s="113" t="e">
        <f ca="1"/>
        <v>#REF!</v>
      </c>
      <c r="M331" s="113" t="e">
        <f ca="1"/>
        <v>#REF!</v>
      </c>
      <c r="N331" s="113" t="e">
        <f ca="1"/>
        <v>#REF!</v>
      </c>
      <c r="O331" s="113" t="e">
        <f ca="1"/>
        <v>#REF!</v>
      </c>
      <c r="P331" s="113" t="e">
        <f ca="1"/>
        <v>#REF!</v>
      </c>
      <c r="Q331" s="113" t="e">
        <f ca="1"/>
        <v>#REF!</v>
      </c>
      <c r="R331" s="113" t="e">
        <f ca="1"/>
        <v>#REF!</v>
      </c>
      <c r="S331" s="113" t="e">
        <f ca="1"/>
        <v>#REF!</v>
      </c>
      <c r="T331" s="113" t="e">
        <f ca="1"/>
        <v>#REF!</v>
      </c>
      <c r="U331" s="113" t="e">
        <f ca="1"/>
        <v>#REF!</v>
      </c>
      <c r="V331" s="113" t="e">
        <f ca="1"/>
        <v>#REF!</v>
      </c>
      <c r="W331" s="113" t="e">
        <f ca="1"/>
        <v>#REF!</v>
      </c>
      <c r="X331" s="113" t="e">
        <f ca="1"/>
        <v>#REF!</v>
      </c>
      <c r="Y331" s="113" t="e">
        <f ca="1"/>
        <v>#REF!</v>
      </c>
      <c r="Z331" s="113" t="e">
        <f ca="1"/>
        <v>#REF!</v>
      </c>
      <c r="AA331" s="113"/>
      <c r="AB331" s="113"/>
      <c r="AC331" s="113"/>
      <c r="AD331" s="113"/>
      <c r="AE331" s="113" t="str">
        <f ca="1">IFERROR(__xludf.DUMMYFUNCTION("""COMPUTED_VALUE"""),"Parcial")</f>
        <v>Parcial</v>
      </c>
      <c r="AF331" s="113" t="str">
        <f ca="1">IFERROR(__xludf.DUMMYFUNCTION("""COMPUTED_VALUE"""),"FE")</f>
        <v>FE</v>
      </c>
      <c r="AG331" s="113">
        <f ca="1">IFERROR(__xludf.DUMMYFUNCTION("""COMPUTED_VALUE"""),0)</f>
        <v>0</v>
      </c>
      <c r="AH331" s="113">
        <f ca="1">IFERROR(__xludf.DUMMYFUNCTION("""COMPUTED_VALUE"""),0)</f>
        <v>0</v>
      </c>
      <c r="AI331" s="113">
        <f ca="1">IFERROR(__xludf.DUMMYFUNCTION("""COMPUTED_VALUE"""),0)</f>
        <v>0</v>
      </c>
      <c r="AJ331" s="113">
        <f ca="1">IFERROR(__xludf.DUMMYFUNCTION("""COMPUTED_VALUE"""),0)</f>
        <v>0</v>
      </c>
      <c r="AK331" s="113"/>
      <c r="AL331" s="116"/>
    </row>
    <row r="332" spans="1:38" ht="12.75">
      <c r="A332" s="112" t="str">
        <f ca="1">IFERROR(__xludf.DUMMYFUNCTION("""COMPUTED_VALUE"""),"17019303")</f>
        <v>17019303</v>
      </c>
      <c r="B332" s="113" t="str">
        <f ca="1">IFERROR(__xludf.DUMMYFUNCTION("""COMPUTED_VALUE"""),"Paraíso")</f>
        <v>Paraíso</v>
      </c>
      <c r="C332" s="113" t="str">
        <f ca="1">IFERROR(__xludf.DUMMYFUNCTION("""COMPUTED_VALUE"""),"Paraiso do Tocantins")</f>
        <v>Paraiso do Tocantins</v>
      </c>
      <c r="D332" s="114" t="str">
        <f ca="1">IFERROR(__xludf.DUMMYFUNCTION("""COMPUTED_VALUE"""),"A.A.  ESCOLA EST. SAO JOSE OPERARIO")</f>
        <v>A.A.  ESCOLA EST. SAO JOSE OPERARIO</v>
      </c>
      <c r="E332" s="113" t="str">
        <f ca="1">IFERROR(__xludf.DUMMYFUNCTION("""COMPUTED_VALUE"""),"Escola Estadual São José Operário")</f>
        <v>Escola Estadual São José Operário</v>
      </c>
      <c r="F332" s="115" t="str">
        <f ca="1">IFERROR(__xludf.DUMMYFUNCTION("""COMPUTED_VALUE"""),"17019303")</f>
        <v>17019303</v>
      </c>
      <c r="G332" s="113" t="str">
        <f ca="1">IFERROR(__xludf.DUMMYFUNCTION("""COMPUTED_VALUE"""),"01186454000161")</f>
        <v>01186454000161</v>
      </c>
      <c r="H332" s="115" t="str">
        <f ca="1">IFERROR(__xludf.DUMMYFUNCTION("""COMPUTED_VALUE"""),"001")</f>
        <v>001</v>
      </c>
      <c r="I332" s="115" t="str">
        <f ca="1">IFERROR(__xludf.DUMMYFUNCTION("""COMPUTED_VALUE"""),"0804")</f>
        <v>0804</v>
      </c>
      <c r="J332" s="115" t="str">
        <f ca="1">IFERROR(__xludf.DUMMYFUNCTION("""COMPUTED_VALUE"""),"285986")</f>
        <v>285986</v>
      </c>
      <c r="K332" s="113" t="e">
        <f ca="1"/>
        <v>#REF!</v>
      </c>
      <c r="L332" s="113" t="e">
        <f ca="1"/>
        <v>#REF!</v>
      </c>
      <c r="M332" s="113" t="e">
        <f ca="1"/>
        <v>#REF!</v>
      </c>
      <c r="N332" s="113" t="e">
        <f ca="1"/>
        <v>#REF!</v>
      </c>
      <c r="O332" s="113" t="e">
        <f ca="1"/>
        <v>#REF!</v>
      </c>
      <c r="P332" s="113" t="e">
        <f ca="1"/>
        <v>#REF!</v>
      </c>
      <c r="Q332" s="113" t="e">
        <f ca="1"/>
        <v>#REF!</v>
      </c>
      <c r="R332" s="113" t="e">
        <f ca="1"/>
        <v>#REF!</v>
      </c>
      <c r="S332" s="113" t="e">
        <f ca="1"/>
        <v>#REF!</v>
      </c>
      <c r="T332" s="113" t="e">
        <f ca="1"/>
        <v>#REF!</v>
      </c>
      <c r="U332" s="113" t="e">
        <f ca="1"/>
        <v>#REF!</v>
      </c>
      <c r="V332" s="113" t="e">
        <f ca="1"/>
        <v>#REF!</v>
      </c>
      <c r="W332" s="113" t="e">
        <f ca="1"/>
        <v>#REF!</v>
      </c>
      <c r="X332" s="113" t="e">
        <f ca="1"/>
        <v>#REF!</v>
      </c>
      <c r="Y332" s="113" t="e">
        <f ca="1"/>
        <v>#REF!</v>
      </c>
      <c r="Z332" s="113" t="e">
        <f ca="1"/>
        <v>#REF!</v>
      </c>
      <c r="AA332" s="113"/>
      <c r="AB332" s="113"/>
      <c r="AC332" s="113"/>
      <c r="AD332" s="113" t="str">
        <f ca="1">IFERROR(__xludf.DUMMYFUNCTION("""COMPUTED_VALUE"""),"E.M. INTEGRADO")</f>
        <v>E.M. INTEGRADO</v>
      </c>
      <c r="AE332" s="113" t="str">
        <f ca="1">IFERROR(__xludf.DUMMYFUNCTION("""COMPUTED_VALUE"""),"Parcial")</f>
        <v>Parcial</v>
      </c>
      <c r="AF332" s="113" t="str">
        <f ca="1">IFERROR(__xludf.DUMMYFUNCTION("""COMPUTED_VALUE"""),"FE")</f>
        <v>FE</v>
      </c>
      <c r="AG332" s="113">
        <f ca="1">IFERROR(__xludf.DUMMYFUNCTION("""COMPUTED_VALUE"""),0)</f>
        <v>0</v>
      </c>
      <c r="AH332" s="113">
        <f ca="1">IFERROR(__xludf.DUMMYFUNCTION("""COMPUTED_VALUE"""),0)</f>
        <v>0</v>
      </c>
      <c r="AI332" s="113">
        <f ca="1">IFERROR(__xludf.DUMMYFUNCTION("""COMPUTED_VALUE"""),0)</f>
        <v>0</v>
      </c>
      <c r="AJ332" s="113">
        <f ca="1">IFERROR(__xludf.DUMMYFUNCTION("""COMPUTED_VALUE"""),0)</f>
        <v>0</v>
      </c>
      <c r="AK332" s="113"/>
      <c r="AL332" s="116"/>
    </row>
    <row r="333" spans="1:38" ht="12.75">
      <c r="A333" s="112" t="str">
        <f ca="1">IFERROR(__xludf.DUMMYFUNCTION("""COMPUTED_VALUE"""),"17019206")</f>
        <v>17019206</v>
      </c>
      <c r="B333" s="113" t="str">
        <f ca="1">IFERROR(__xludf.DUMMYFUNCTION("""COMPUTED_VALUE"""),"Paraíso")</f>
        <v>Paraíso</v>
      </c>
      <c r="C333" s="113" t="str">
        <f ca="1">IFERROR(__xludf.DUMMYFUNCTION("""COMPUTED_VALUE"""),"Paraiso do Tocantins")</f>
        <v>Paraiso do Tocantins</v>
      </c>
      <c r="D333" s="114" t="str">
        <f ca="1">IFERROR(__xludf.DUMMYFUNCTION("""COMPUTED_VALUE"""),"A.A. DO COL. PRESB. VALE DO TOCANTINS")</f>
        <v>A.A. DO COL. PRESB. VALE DO TOCANTINS</v>
      </c>
      <c r="E333" s="113" t="str">
        <f ca="1">IFERROR(__xludf.DUMMYFUNCTION("""COMPUTED_VALUE"""),"Instituto Presbiteriano Vale do Tocantins")</f>
        <v>Instituto Presbiteriano Vale do Tocantins</v>
      </c>
      <c r="F333" s="115" t="str">
        <f ca="1">IFERROR(__xludf.DUMMYFUNCTION("""COMPUTED_VALUE"""),"17019206")</f>
        <v>17019206</v>
      </c>
      <c r="G333" s="113" t="str">
        <f ca="1">IFERROR(__xludf.DUMMYFUNCTION("""COMPUTED_VALUE"""),"01071426000107")</f>
        <v>01071426000107</v>
      </c>
      <c r="H333" s="115" t="str">
        <f ca="1">IFERROR(__xludf.DUMMYFUNCTION("""COMPUTED_VALUE"""),"001")</f>
        <v>001</v>
      </c>
      <c r="I333" s="115" t="str">
        <f ca="1">IFERROR(__xludf.DUMMYFUNCTION("""COMPUTED_VALUE"""),"0804")</f>
        <v>0804</v>
      </c>
      <c r="J333" s="115" t="str">
        <f ca="1">IFERROR(__xludf.DUMMYFUNCTION("""COMPUTED_VALUE"""),"311618")</f>
        <v>311618</v>
      </c>
      <c r="K333" s="113" t="e">
        <f ca="1"/>
        <v>#REF!</v>
      </c>
      <c r="L333" s="113" t="e">
        <f ca="1"/>
        <v>#REF!</v>
      </c>
      <c r="M333" s="113" t="e">
        <f ca="1"/>
        <v>#REF!</v>
      </c>
      <c r="N333" s="113" t="e">
        <f ca="1"/>
        <v>#REF!</v>
      </c>
      <c r="O333" s="113" t="e">
        <f ca="1"/>
        <v>#REF!</v>
      </c>
      <c r="P333" s="113" t="e">
        <f ca="1"/>
        <v>#REF!</v>
      </c>
      <c r="Q333" s="113" t="e">
        <f ca="1"/>
        <v>#REF!</v>
      </c>
      <c r="R333" s="113" t="e">
        <f ca="1"/>
        <v>#REF!</v>
      </c>
      <c r="S333" s="113" t="e">
        <f ca="1"/>
        <v>#REF!</v>
      </c>
      <c r="T333" s="113" t="e">
        <f ca="1"/>
        <v>#REF!</v>
      </c>
      <c r="U333" s="113" t="e">
        <f ca="1"/>
        <v>#REF!</v>
      </c>
      <c r="V333" s="113" t="e">
        <f ca="1"/>
        <v>#REF!</v>
      </c>
      <c r="W333" s="113" t="e">
        <f ca="1"/>
        <v>#REF!</v>
      </c>
      <c r="X333" s="113" t="e">
        <f ca="1"/>
        <v>#REF!</v>
      </c>
      <c r="Y333" s="113" t="e">
        <f ca="1"/>
        <v>#REF!</v>
      </c>
      <c r="Z333" s="113" t="e">
        <f ca="1"/>
        <v>#REF!</v>
      </c>
      <c r="AA333" s="113"/>
      <c r="AB333" s="113"/>
      <c r="AC333" s="113"/>
      <c r="AD333" s="113"/>
      <c r="AE333" s="113" t="str">
        <f ca="1">IFERROR(__xludf.DUMMYFUNCTION("""COMPUTED_VALUE"""),"Parcial")</f>
        <v>Parcial</v>
      </c>
      <c r="AF333" s="113" t="str">
        <f ca="1">IFERROR(__xludf.DUMMYFUNCTION("""COMPUTED_VALUE"""),"FE")</f>
        <v>FE</v>
      </c>
      <c r="AG333" s="113">
        <f ca="1">IFERROR(__xludf.DUMMYFUNCTION("""COMPUTED_VALUE"""),0)</f>
        <v>0</v>
      </c>
      <c r="AH333" s="113">
        <f ca="1">IFERROR(__xludf.DUMMYFUNCTION("""COMPUTED_VALUE"""),0)</f>
        <v>0</v>
      </c>
      <c r="AI333" s="113">
        <f ca="1">IFERROR(__xludf.DUMMYFUNCTION("""COMPUTED_VALUE"""),0)</f>
        <v>0</v>
      </c>
      <c r="AJ333" s="113">
        <f ca="1">IFERROR(__xludf.DUMMYFUNCTION("""COMPUTED_VALUE"""),0)</f>
        <v>0</v>
      </c>
      <c r="AK333" s="113"/>
      <c r="AL333" s="116"/>
    </row>
    <row r="334" spans="1:38" ht="12.75">
      <c r="A334" s="112" t="str">
        <f ca="1">IFERROR(__xludf.DUMMYFUNCTION("""COMPUTED_VALUE"""),"17057108")</f>
        <v>17057108</v>
      </c>
      <c r="B334" s="113" t="str">
        <f ca="1">IFERROR(__xludf.DUMMYFUNCTION("""COMPUTED_VALUE"""),"Paraíso")</f>
        <v>Paraíso</v>
      </c>
      <c r="C334" s="113" t="str">
        <f ca="1">IFERROR(__xludf.DUMMYFUNCTION("""COMPUTED_VALUE"""),"Paraiso do Tocantins")</f>
        <v>Paraiso do Tocantins</v>
      </c>
      <c r="D334" s="114" t="str">
        <f ca="1">IFERROR(__xludf.DUMMYFUNCTION("""COMPUTED_VALUE"""),"ASS. A. ESCOLA EST. DE TEMPO INTEGRAL PROFESSORA RITA ANDRADE SANTOS")</f>
        <v>ASS. A. ESCOLA EST. DE TEMPO INTEGRAL PROFESSORA RITA ANDRADE SANTOS</v>
      </c>
      <c r="E334" s="113" t="str">
        <f ca="1">IFERROR(__xludf.DUMMYFUNCTION("""COMPUTED_VALUE"""),"Escola de Tempo Integral Professora Rita Andrade Santos")</f>
        <v>Escola de Tempo Integral Professora Rita Andrade Santos</v>
      </c>
      <c r="F334" s="115" t="str">
        <f ca="1">IFERROR(__xludf.DUMMYFUNCTION("""COMPUTED_VALUE"""),"17057108")</f>
        <v>17057108</v>
      </c>
      <c r="G334" s="113" t="str">
        <f ca="1">IFERROR(__xludf.DUMMYFUNCTION("""COMPUTED_VALUE"""),"48740961000169")</f>
        <v>48740961000169</v>
      </c>
      <c r="H334" s="115" t="str">
        <f ca="1">IFERROR(__xludf.DUMMYFUNCTION("""COMPUTED_VALUE"""),"001")</f>
        <v>001</v>
      </c>
      <c r="I334" s="115" t="str">
        <f ca="1">IFERROR(__xludf.DUMMYFUNCTION("""COMPUTED_VALUE"""),"0804")</f>
        <v>0804</v>
      </c>
      <c r="J334" s="115" t="str">
        <f ca="1">IFERROR(__xludf.DUMMYFUNCTION("""COMPUTED_VALUE"""),"58858X")</f>
        <v>58858X</v>
      </c>
      <c r="K334" s="113" t="e">
        <f ca="1"/>
        <v>#REF!</v>
      </c>
      <c r="L334" s="113" t="e">
        <f ca="1"/>
        <v>#REF!</v>
      </c>
      <c r="M334" s="113" t="e">
        <f ca="1"/>
        <v>#REF!</v>
      </c>
      <c r="N334" s="113" t="e">
        <f ca="1"/>
        <v>#REF!</v>
      </c>
      <c r="O334" s="113" t="e">
        <f ca="1"/>
        <v>#REF!</v>
      </c>
      <c r="P334" s="113" t="e">
        <f ca="1"/>
        <v>#REF!</v>
      </c>
      <c r="Q334" s="113" t="e">
        <f ca="1"/>
        <v>#REF!</v>
      </c>
      <c r="R334" s="113" t="e">
        <f ca="1"/>
        <v>#REF!</v>
      </c>
      <c r="S334" s="113" t="e">
        <f ca="1"/>
        <v>#REF!</v>
      </c>
      <c r="T334" s="113" t="e">
        <f ca="1"/>
        <v>#REF!</v>
      </c>
      <c r="U334" s="113" t="e">
        <f ca="1"/>
        <v>#REF!</v>
      </c>
      <c r="V334" s="113" t="e">
        <f ca="1"/>
        <v>#REF!</v>
      </c>
      <c r="W334" s="113" t="e">
        <f ca="1"/>
        <v>#REF!</v>
      </c>
      <c r="X334" s="113" t="e">
        <f ca="1"/>
        <v>#REF!</v>
      </c>
      <c r="Y334" s="113" t="e">
        <f ca="1"/>
        <v>#REF!</v>
      </c>
      <c r="Z334" s="113" t="e">
        <f ca="1"/>
        <v>#REF!</v>
      </c>
      <c r="AA334" s="113"/>
      <c r="AB334" s="113"/>
      <c r="AC334" s="113"/>
      <c r="AD334" s="113"/>
      <c r="AE334" s="113" t="str">
        <f ca="1">IFERROR(__xludf.DUMMYFUNCTION("""COMPUTED_VALUE"""),"Integral")</f>
        <v>Integral</v>
      </c>
      <c r="AF334" s="113" t="str">
        <f ca="1">IFERROR(__xludf.DUMMYFUNCTION("""COMPUTED_VALUE"""),"FE")</f>
        <v>FE</v>
      </c>
      <c r="AG334" s="113">
        <f ca="1">IFERROR(__xludf.DUMMYFUNCTION("""COMPUTED_VALUE"""),0)</f>
        <v>0</v>
      </c>
      <c r="AH334" s="113">
        <f ca="1">IFERROR(__xludf.DUMMYFUNCTION("""COMPUTED_VALUE"""),0)</f>
        <v>0</v>
      </c>
      <c r="AI334" s="113">
        <f ca="1">IFERROR(__xludf.DUMMYFUNCTION("""COMPUTED_VALUE"""),0)</f>
        <v>0</v>
      </c>
      <c r="AJ334" s="113">
        <f ca="1">IFERROR(__xludf.DUMMYFUNCTION("""COMPUTED_VALUE"""),34)</f>
        <v>34</v>
      </c>
      <c r="AK334" s="113"/>
      <c r="AL334" s="116"/>
    </row>
    <row r="335" spans="1:38" ht="12.75">
      <c r="A335" s="112" t="str">
        <f ca="1">IFERROR(__xludf.DUMMYFUNCTION("""COMPUTED_VALUE"""),"17019729")</f>
        <v>17019729</v>
      </c>
      <c r="B335" s="113" t="str">
        <f ca="1">IFERROR(__xludf.DUMMYFUNCTION("""COMPUTED_VALUE"""),"Paraíso")</f>
        <v>Paraíso</v>
      </c>
      <c r="C335" s="113" t="str">
        <f ca="1">IFERROR(__xludf.DUMMYFUNCTION("""COMPUTED_VALUE"""),"Pium")</f>
        <v>Pium</v>
      </c>
      <c r="D335" s="114" t="str">
        <f ca="1">IFERROR(__xludf.DUMMYFUNCTION("""COMPUTED_VALUE"""),"A.A. COLEGIO ESTADUAL BARTOLOMEU BUENO")</f>
        <v>A.A. COLEGIO ESTADUAL BARTOLOMEU BUENO</v>
      </c>
      <c r="E335" s="113" t="str">
        <f ca="1">IFERROR(__xludf.DUMMYFUNCTION("""COMPUTED_VALUE"""),"Colégio Estadual Bartolomeu Bueno")</f>
        <v>Colégio Estadual Bartolomeu Bueno</v>
      </c>
      <c r="F335" s="115" t="str">
        <f ca="1">IFERROR(__xludf.DUMMYFUNCTION("""COMPUTED_VALUE"""),"17019729")</f>
        <v>17019729</v>
      </c>
      <c r="G335" s="113" t="str">
        <f ca="1">IFERROR(__xludf.DUMMYFUNCTION("""COMPUTED_VALUE"""),"01071436000134")</f>
        <v>01071436000134</v>
      </c>
      <c r="H335" s="115" t="str">
        <f ca="1">IFERROR(__xludf.DUMMYFUNCTION("""COMPUTED_VALUE"""),"001")</f>
        <v>001</v>
      </c>
      <c r="I335" s="115" t="str">
        <f ca="1">IFERROR(__xludf.DUMMYFUNCTION("""COMPUTED_VALUE"""),"0804")</f>
        <v>0804</v>
      </c>
      <c r="J335" s="115" t="str">
        <f ca="1">IFERROR(__xludf.DUMMYFUNCTION("""COMPUTED_VALUE"""),"286206")</f>
        <v>286206</v>
      </c>
      <c r="K335" s="113" t="e">
        <f ca="1"/>
        <v>#REF!</v>
      </c>
      <c r="L335" s="113" t="e">
        <f ca="1"/>
        <v>#REF!</v>
      </c>
      <c r="M335" s="113" t="e">
        <f ca="1"/>
        <v>#REF!</v>
      </c>
      <c r="N335" s="113" t="e">
        <f ca="1"/>
        <v>#REF!</v>
      </c>
      <c r="O335" s="113" t="e">
        <f ca="1"/>
        <v>#REF!</v>
      </c>
      <c r="P335" s="113" t="e">
        <f ca="1"/>
        <v>#REF!</v>
      </c>
      <c r="Q335" s="113" t="e">
        <f ca="1"/>
        <v>#REF!</v>
      </c>
      <c r="R335" s="113" t="e">
        <f ca="1"/>
        <v>#REF!</v>
      </c>
      <c r="S335" s="113" t="e">
        <f ca="1"/>
        <v>#REF!</v>
      </c>
      <c r="T335" s="113" t="e">
        <f ca="1"/>
        <v>#REF!</v>
      </c>
      <c r="U335" s="113" t="e">
        <f ca="1"/>
        <v>#REF!</v>
      </c>
      <c r="V335" s="113" t="e">
        <f ca="1"/>
        <v>#REF!</v>
      </c>
      <c r="W335" s="113" t="e">
        <f ca="1"/>
        <v>#REF!</v>
      </c>
      <c r="X335" s="113" t="e">
        <f ca="1"/>
        <v>#REF!</v>
      </c>
      <c r="Y335" s="113" t="e">
        <f ca="1"/>
        <v>#REF!</v>
      </c>
      <c r="Z335" s="113" t="e">
        <f ca="1"/>
        <v>#REF!</v>
      </c>
      <c r="AA335" s="113"/>
      <c r="AB335" s="113"/>
      <c r="AC335" s="113"/>
      <c r="AD335" s="113" t="str">
        <f ca="1">IFERROR(__xludf.DUMMYFUNCTION("""COMPUTED_VALUE"""),"E.M. INTEGRADO")</f>
        <v>E.M. INTEGRADO</v>
      </c>
      <c r="AE335" s="113" t="str">
        <f ca="1">IFERROR(__xludf.DUMMYFUNCTION("""COMPUTED_VALUE"""),"Parcial")</f>
        <v>Parcial</v>
      </c>
      <c r="AF335" s="113" t="str">
        <f ca="1">IFERROR(__xludf.DUMMYFUNCTION("""COMPUTED_VALUE"""),"FE")</f>
        <v>FE</v>
      </c>
      <c r="AG335" s="113">
        <f ca="1">IFERROR(__xludf.DUMMYFUNCTION("""COMPUTED_VALUE"""),0)</f>
        <v>0</v>
      </c>
      <c r="AH335" s="113">
        <f ca="1">IFERROR(__xludf.DUMMYFUNCTION("""COMPUTED_VALUE"""),0)</f>
        <v>0</v>
      </c>
      <c r="AI335" s="113">
        <f ca="1">IFERROR(__xludf.DUMMYFUNCTION("""COMPUTED_VALUE"""),0)</f>
        <v>0</v>
      </c>
      <c r="AJ335" s="113">
        <f ca="1">IFERROR(__xludf.DUMMYFUNCTION("""COMPUTED_VALUE"""),0)</f>
        <v>0</v>
      </c>
      <c r="AK335" s="113"/>
      <c r="AL335" s="116"/>
    </row>
    <row r="336" spans="1:38" ht="12.75">
      <c r="A336" s="112" t="str">
        <f ca="1">IFERROR(__xludf.DUMMYFUNCTION("""COMPUTED_VALUE"""),"17046386")</f>
        <v>17046386</v>
      </c>
      <c r="B336" s="113" t="str">
        <f ca="1">IFERROR(__xludf.DUMMYFUNCTION("""COMPUTED_VALUE"""),"Paraíso")</f>
        <v>Paraíso</v>
      </c>
      <c r="C336" s="113" t="str">
        <f ca="1">IFERROR(__xludf.DUMMYFUNCTION("""COMPUTED_VALUE"""),"Pugmil")</f>
        <v>Pugmil</v>
      </c>
      <c r="D336" s="114" t="str">
        <f ca="1">IFERROR(__xludf.DUMMYFUNCTION("""COMPUTED_VALUE"""),"A.A. DA ESC. EST. DARCY RIBEIRO")</f>
        <v>A.A. DA ESC. EST. DARCY RIBEIRO</v>
      </c>
      <c r="E336" s="113" t="str">
        <f ca="1">IFERROR(__xludf.DUMMYFUNCTION("""COMPUTED_VALUE"""),"Colégio Estadual darcy Ribeiro")</f>
        <v>Colégio Estadual darcy Ribeiro</v>
      </c>
      <c r="F336" s="115" t="str">
        <f ca="1">IFERROR(__xludf.DUMMYFUNCTION("""COMPUTED_VALUE"""),"17046386")</f>
        <v>17046386</v>
      </c>
      <c r="G336" s="113" t="str">
        <f ca="1">IFERROR(__xludf.DUMMYFUNCTION("""COMPUTED_VALUE"""),"02382845000114")</f>
        <v>02382845000114</v>
      </c>
      <c r="H336" s="115" t="str">
        <f ca="1">IFERROR(__xludf.DUMMYFUNCTION("""COMPUTED_VALUE"""),"001")</f>
        <v>001</v>
      </c>
      <c r="I336" s="115" t="str">
        <f ca="1">IFERROR(__xludf.DUMMYFUNCTION("""COMPUTED_VALUE"""),"0804")</f>
        <v>0804</v>
      </c>
      <c r="J336" s="115" t="str">
        <f ca="1">IFERROR(__xludf.DUMMYFUNCTION("""COMPUTED_VALUE"""),"286648")</f>
        <v>286648</v>
      </c>
      <c r="K336" s="113" t="e">
        <f ca="1"/>
        <v>#REF!</v>
      </c>
      <c r="L336" s="113" t="e">
        <f ca="1"/>
        <v>#REF!</v>
      </c>
      <c r="M336" s="113" t="e">
        <f ca="1"/>
        <v>#REF!</v>
      </c>
      <c r="N336" s="113" t="e">
        <f ca="1"/>
        <v>#REF!</v>
      </c>
      <c r="O336" s="113" t="e">
        <f ca="1"/>
        <v>#REF!</v>
      </c>
      <c r="P336" s="113" t="e">
        <f ca="1"/>
        <v>#REF!</v>
      </c>
      <c r="Q336" s="113" t="e">
        <f ca="1"/>
        <v>#REF!</v>
      </c>
      <c r="R336" s="113" t="e">
        <f ca="1"/>
        <v>#REF!</v>
      </c>
      <c r="S336" s="113" t="e">
        <f ca="1"/>
        <v>#REF!</v>
      </c>
      <c r="T336" s="113" t="e">
        <f ca="1"/>
        <v>#REF!</v>
      </c>
      <c r="U336" s="113" t="e">
        <f ca="1"/>
        <v>#REF!</v>
      </c>
      <c r="V336" s="113" t="e">
        <f ca="1"/>
        <v>#REF!</v>
      </c>
      <c r="W336" s="113" t="e">
        <f ca="1"/>
        <v>#REF!</v>
      </c>
      <c r="X336" s="113" t="e">
        <f ca="1"/>
        <v>#REF!</v>
      </c>
      <c r="Y336" s="113" t="e">
        <f ca="1"/>
        <v>#REF!</v>
      </c>
      <c r="Z336" s="113" t="e">
        <f ca="1"/>
        <v>#REF!</v>
      </c>
      <c r="AA336" s="113"/>
      <c r="AB336" s="113"/>
      <c r="AC336" s="113"/>
      <c r="AD336" s="113"/>
      <c r="AE336" s="113" t="str">
        <f ca="1">IFERROR(__xludf.DUMMYFUNCTION("""COMPUTED_VALUE"""),"Parcial")</f>
        <v>Parcial</v>
      </c>
      <c r="AF336" s="113" t="str">
        <f ca="1">IFERROR(__xludf.DUMMYFUNCTION("""COMPUTED_VALUE"""),"FE")</f>
        <v>FE</v>
      </c>
      <c r="AG336" s="113">
        <f ca="1">IFERROR(__xludf.DUMMYFUNCTION("""COMPUTED_VALUE"""),0)</f>
        <v>0</v>
      </c>
      <c r="AH336" s="113">
        <f ca="1">IFERROR(__xludf.DUMMYFUNCTION("""COMPUTED_VALUE"""),0)</f>
        <v>0</v>
      </c>
      <c r="AI336" s="113">
        <f ca="1">IFERROR(__xludf.DUMMYFUNCTION("""COMPUTED_VALUE"""),0)</f>
        <v>0</v>
      </c>
      <c r="AJ336" s="113">
        <f ca="1">IFERROR(__xludf.DUMMYFUNCTION("""COMPUTED_VALUE"""),0)</f>
        <v>0</v>
      </c>
      <c r="AK336" s="113"/>
      <c r="AL336" s="116"/>
    </row>
    <row r="337" spans="1:38" ht="12.75">
      <c r="A337" s="112" t="str">
        <f ca="1">IFERROR(__xludf.DUMMYFUNCTION("""COMPUTED_VALUE"""),"17023530")</f>
        <v>17023530</v>
      </c>
      <c r="B337" s="113" t="str">
        <f ca="1">IFERROR(__xludf.DUMMYFUNCTION("""COMPUTED_VALUE"""),"Pedro Afonso")</f>
        <v>Pedro Afonso</v>
      </c>
      <c r="C337" s="113" t="str">
        <f ca="1">IFERROR(__xludf.DUMMYFUNCTION("""COMPUTED_VALUE"""),"Bom Jesus do Tocantins")</f>
        <v>Bom Jesus do Tocantins</v>
      </c>
      <c r="D337" s="114" t="str">
        <f ca="1">IFERROR(__xludf.DUMMYFUNCTION("""COMPUTED_VALUE"""),"ASSOC. DE AP.A ESC. EST. ALFREDO NASSER")</f>
        <v>ASSOC. DE AP.A ESC. EST. ALFREDO NASSER</v>
      </c>
      <c r="E337" s="113" t="str">
        <f ca="1">IFERROR(__xludf.DUMMYFUNCTION("""COMPUTED_VALUE"""),"Escola Estadual Alfredo Nasser")</f>
        <v>Escola Estadual Alfredo Nasser</v>
      </c>
      <c r="F337" s="115" t="str">
        <f ca="1">IFERROR(__xludf.DUMMYFUNCTION("""COMPUTED_VALUE"""),"17023530")</f>
        <v>17023530</v>
      </c>
      <c r="G337" s="113" t="str">
        <f ca="1">IFERROR(__xludf.DUMMYFUNCTION("""COMPUTED_VALUE"""),"01138329000186")</f>
        <v>01138329000186</v>
      </c>
      <c r="H337" s="115" t="str">
        <f ca="1">IFERROR(__xludf.DUMMYFUNCTION("""COMPUTED_VALUE"""),"001")</f>
        <v>001</v>
      </c>
      <c r="I337" s="115" t="str">
        <f ca="1">IFERROR(__xludf.DUMMYFUNCTION("""COMPUTED_VALUE"""),"1595")</f>
        <v>1595</v>
      </c>
      <c r="J337" s="115" t="str">
        <f ca="1">IFERROR(__xludf.DUMMYFUNCTION("""COMPUTED_VALUE"""),"59277")</f>
        <v>59277</v>
      </c>
      <c r="K337" s="113" t="e">
        <f ca="1"/>
        <v>#REF!</v>
      </c>
      <c r="L337" s="113" t="e">
        <f ca="1"/>
        <v>#REF!</v>
      </c>
      <c r="M337" s="113" t="e">
        <f ca="1"/>
        <v>#REF!</v>
      </c>
      <c r="N337" s="113" t="e">
        <f ca="1"/>
        <v>#REF!</v>
      </c>
      <c r="O337" s="113" t="e">
        <f ca="1"/>
        <v>#REF!</v>
      </c>
      <c r="P337" s="113" t="e">
        <f ca="1"/>
        <v>#REF!</v>
      </c>
      <c r="Q337" s="113" t="e">
        <f ca="1"/>
        <v>#REF!</v>
      </c>
      <c r="R337" s="113" t="e">
        <f ca="1"/>
        <v>#REF!</v>
      </c>
      <c r="S337" s="113" t="e">
        <f ca="1"/>
        <v>#REF!</v>
      </c>
      <c r="T337" s="113" t="e">
        <f ca="1"/>
        <v>#REF!</v>
      </c>
      <c r="U337" s="113" t="e">
        <f ca="1"/>
        <v>#REF!</v>
      </c>
      <c r="V337" s="113" t="e">
        <f ca="1"/>
        <v>#REF!</v>
      </c>
      <c r="W337" s="113" t="e">
        <f ca="1"/>
        <v>#REF!</v>
      </c>
      <c r="X337" s="113" t="e">
        <f ca="1"/>
        <v>#REF!</v>
      </c>
      <c r="Y337" s="113" t="e">
        <f ca="1"/>
        <v>#REF!</v>
      </c>
      <c r="Z337" s="113" t="e">
        <f ca="1"/>
        <v>#REF!</v>
      </c>
      <c r="AA337" s="113"/>
      <c r="AB337" s="113"/>
      <c r="AC337" s="113"/>
      <c r="AD337" s="113" t="str">
        <f ca="1">IFERROR(__xludf.DUMMYFUNCTION("""COMPUTED_VALUE"""),"E.M. INTEGRADO")</f>
        <v>E.M. INTEGRADO</v>
      </c>
      <c r="AE337" s="113" t="str">
        <f ca="1">IFERROR(__xludf.DUMMYFUNCTION("""COMPUTED_VALUE"""),"Parcial")</f>
        <v>Parcial</v>
      </c>
      <c r="AF337" s="113" t="str">
        <f ca="1">IFERROR(__xludf.DUMMYFUNCTION("""COMPUTED_VALUE"""),"FE")</f>
        <v>FE</v>
      </c>
      <c r="AG337" s="113">
        <f ca="1">IFERROR(__xludf.DUMMYFUNCTION("""COMPUTED_VALUE"""),0)</f>
        <v>0</v>
      </c>
      <c r="AH337" s="113">
        <f ca="1">IFERROR(__xludf.DUMMYFUNCTION("""COMPUTED_VALUE"""),0)</f>
        <v>0</v>
      </c>
      <c r="AI337" s="113">
        <f ca="1">IFERROR(__xludf.DUMMYFUNCTION("""COMPUTED_VALUE"""),0)</f>
        <v>0</v>
      </c>
      <c r="AJ337" s="113">
        <f ca="1">IFERROR(__xludf.DUMMYFUNCTION("""COMPUTED_VALUE"""),0)</f>
        <v>0</v>
      </c>
      <c r="AK337" s="113"/>
      <c r="AL337" s="116"/>
    </row>
    <row r="338" spans="1:38" ht="12.75">
      <c r="A338" s="112" t="str">
        <f ca="1">IFERROR(__xludf.DUMMYFUNCTION("""COMPUTED_VALUE"""),"17027705")</f>
        <v>17027705</v>
      </c>
      <c r="B338" s="113" t="str">
        <f ca="1">IFERROR(__xludf.DUMMYFUNCTION("""COMPUTED_VALUE"""),"Pedro Afonso")</f>
        <v>Pedro Afonso</v>
      </c>
      <c r="C338" s="113" t="str">
        <f ca="1">IFERROR(__xludf.DUMMYFUNCTION("""COMPUTED_VALUE"""),"Centenario")</f>
        <v>Centenario</v>
      </c>
      <c r="D338" s="114" t="str">
        <f ca="1">IFERROR(__xludf.DUMMYFUNCTION("""COMPUTED_VALUE"""),"A. ESC. COM. DO COL. EST. OTONIEL C.DE JESUS")</f>
        <v>A. ESC. COM. DO COL. EST. OTONIEL C.DE JESUS</v>
      </c>
      <c r="E338" s="113" t="str">
        <f ca="1">IFERROR(__xludf.DUMMYFUNCTION("""COMPUTED_VALUE"""),"Colégio Estadual Otoniel Cavalcante de Jesus")</f>
        <v>Colégio Estadual Otoniel Cavalcante de Jesus</v>
      </c>
      <c r="F338" s="115" t="str">
        <f ca="1">IFERROR(__xludf.DUMMYFUNCTION("""COMPUTED_VALUE"""),"17027705")</f>
        <v>17027705</v>
      </c>
      <c r="G338" s="113" t="str">
        <f ca="1">IFERROR(__xludf.DUMMYFUNCTION("""COMPUTED_VALUE"""),"02008180000183")</f>
        <v>02008180000183</v>
      </c>
      <c r="H338" s="115" t="str">
        <f ca="1">IFERROR(__xludf.DUMMYFUNCTION("""COMPUTED_VALUE"""),"001")</f>
        <v>001</v>
      </c>
      <c r="I338" s="115" t="str">
        <f ca="1">IFERROR(__xludf.DUMMYFUNCTION("""COMPUTED_VALUE"""),"1595")</f>
        <v>1595</v>
      </c>
      <c r="J338" s="115" t="str">
        <f ca="1">IFERROR(__xludf.DUMMYFUNCTION("""COMPUTED_VALUE"""),"10081")</f>
        <v>10081</v>
      </c>
      <c r="K338" s="113" t="e">
        <f ca="1"/>
        <v>#REF!</v>
      </c>
      <c r="L338" s="113" t="e">
        <f ca="1"/>
        <v>#REF!</v>
      </c>
      <c r="M338" s="113" t="e">
        <f ca="1"/>
        <v>#REF!</v>
      </c>
      <c r="N338" s="113" t="e">
        <f ca="1"/>
        <v>#REF!</v>
      </c>
      <c r="O338" s="113" t="e">
        <f ca="1"/>
        <v>#REF!</v>
      </c>
      <c r="P338" s="113" t="e">
        <f ca="1"/>
        <v>#REF!</v>
      </c>
      <c r="Q338" s="113" t="e">
        <f ca="1"/>
        <v>#REF!</v>
      </c>
      <c r="R338" s="113" t="e">
        <f ca="1"/>
        <v>#REF!</v>
      </c>
      <c r="S338" s="113" t="e">
        <f ca="1"/>
        <v>#REF!</v>
      </c>
      <c r="T338" s="113" t="e">
        <f ca="1"/>
        <v>#REF!</v>
      </c>
      <c r="U338" s="113" t="e">
        <f ca="1"/>
        <v>#REF!</v>
      </c>
      <c r="V338" s="113" t="e">
        <f ca="1"/>
        <v>#REF!</v>
      </c>
      <c r="W338" s="113" t="e">
        <f ca="1"/>
        <v>#REF!</v>
      </c>
      <c r="X338" s="113" t="e">
        <f ca="1"/>
        <v>#REF!</v>
      </c>
      <c r="Y338" s="113" t="e">
        <f ca="1"/>
        <v>#REF!</v>
      </c>
      <c r="Z338" s="113" t="e">
        <f ca="1"/>
        <v>#REF!</v>
      </c>
      <c r="AA338" s="113"/>
      <c r="AB338" s="113"/>
      <c r="AC338" s="113"/>
      <c r="AD338" s="113"/>
      <c r="AE338" s="113" t="str">
        <f ca="1">IFERROR(__xludf.DUMMYFUNCTION("""COMPUTED_VALUE"""),"Parcial")</f>
        <v>Parcial</v>
      </c>
      <c r="AF338" s="113" t="str">
        <f ca="1">IFERROR(__xludf.DUMMYFUNCTION("""COMPUTED_VALUE"""),"FE")</f>
        <v>FE</v>
      </c>
      <c r="AG338" s="113">
        <f ca="1">IFERROR(__xludf.DUMMYFUNCTION("""COMPUTED_VALUE"""),0)</f>
        <v>0</v>
      </c>
      <c r="AH338" s="113">
        <f ca="1">IFERROR(__xludf.DUMMYFUNCTION("""COMPUTED_VALUE"""),0)</f>
        <v>0</v>
      </c>
      <c r="AI338" s="113">
        <f ca="1">IFERROR(__xludf.DUMMYFUNCTION("""COMPUTED_VALUE"""),0)</f>
        <v>0</v>
      </c>
      <c r="AJ338" s="113">
        <f ca="1">IFERROR(__xludf.DUMMYFUNCTION("""COMPUTED_VALUE"""),0)</f>
        <v>0</v>
      </c>
      <c r="AK338" s="113"/>
      <c r="AL338" s="116"/>
    </row>
    <row r="339" spans="1:38" ht="12.75">
      <c r="A339" s="112" t="str">
        <f ca="1">IFERROR(__xludf.DUMMYFUNCTION("""COMPUTED_VALUE"""),"17028795")</f>
        <v>17028795</v>
      </c>
      <c r="B339" s="113" t="str">
        <f ca="1">IFERROR(__xludf.DUMMYFUNCTION("""COMPUTED_VALUE"""),"Pedro Afonso")</f>
        <v>Pedro Afonso</v>
      </c>
      <c r="C339" s="113" t="str">
        <f ca="1">IFERROR(__xludf.DUMMYFUNCTION("""COMPUTED_VALUE"""),"Itacaja")</f>
        <v>Itacaja</v>
      </c>
      <c r="D339" s="114" t="str">
        <f ca="1">IFERROR(__xludf.DUMMYFUNCTION("""COMPUTED_VALUE"""),"A.A. COLEGIO ESTADUAL DE ITACAJA")</f>
        <v>A.A. COLEGIO ESTADUAL DE ITACAJA</v>
      </c>
      <c r="E339" s="113" t="str">
        <f ca="1">IFERROR(__xludf.DUMMYFUNCTION("""COMPUTED_VALUE"""),"Colégio Estadual de Itacajá")</f>
        <v>Colégio Estadual de Itacajá</v>
      </c>
      <c r="F339" s="115" t="str">
        <f ca="1">IFERROR(__xludf.DUMMYFUNCTION("""COMPUTED_VALUE"""),"17028795")</f>
        <v>17028795</v>
      </c>
      <c r="G339" s="113" t="str">
        <f ca="1">IFERROR(__xludf.DUMMYFUNCTION("""COMPUTED_VALUE"""),"01138428000168")</f>
        <v>01138428000168</v>
      </c>
      <c r="H339" s="115" t="str">
        <f ca="1">IFERROR(__xludf.DUMMYFUNCTION("""COMPUTED_VALUE"""),"001")</f>
        <v>001</v>
      </c>
      <c r="I339" s="115" t="str">
        <f ca="1">IFERROR(__xludf.DUMMYFUNCTION("""COMPUTED_VALUE"""),"1595")</f>
        <v>1595</v>
      </c>
      <c r="J339" s="115" t="str">
        <f ca="1">IFERROR(__xludf.DUMMYFUNCTION("""COMPUTED_VALUE"""),"59773")</f>
        <v>59773</v>
      </c>
      <c r="K339" s="113" t="e">
        <f ca="1"/>
        <v>#REF!</v>
      </c>
      <c r="L339" s="113" t="e">
        <f ca="1"/>
        <v>#REF!</v>
      </c>
      <c r="M339" s="113" t="e">
        <f ca="1"/>
        <v>#REF!</v>
      </c>
      <c r="N339" s="113" t="e">
        <f ca="1"/>
        <v>#REF!</v>
      </c>
      <c r="O339" s="113" t="e">
        <f ca="1"/>
        <v>#REF!</v>
      </c>
      <c r="P339" s="113" t="e">
        <f ca="1"/>
        <v>#REF!</v>
      </c>
      <c r="Q339" s="113" t="e">
        <f ca="1"/>
        <v>#REF!</v>
      </c>
      <c r="R339" s="113" t="e">
        <f ca="1"/>
        <v>#REF!</v>
      </c>
      <c r="S339" s="113" t="e">
        <f ca="1"/>
        <v>#REF!</v>
      </c>
      <c r="T339" s="113" t="e">
        <f ca="1"/>
        <v>#REF!</v>
      </c>
      <c r="U339" s="113" t="e">
        <f ca="1"/>
        <v>#REF!</v>
      </c>
      <c r="V339" s="113" t="e">
        <f ca="1"/>
        <v>#REF!</v>
      </c>
      <c r="W339" s="113" t="e">
        <f ca="1"/>
        <v>#REF!</v>
      </c>
      <c r="X339" s="113" t="e">
        <f ca="1"/>
        <v>#REF!</v>
      </c>
      <c r="Y339" s="113" t="e">
        <f ca="1"/>
        <v>#REF!</v>
      </c>
      <c r="Z339" s="113" t="e">
        <f ca="1"/>
        <v>#REF!</v>
      </c>
      <c r="AA339" s="113"/>
      <c r="AB339" s="113"/>
      <c r="AC339" s="113"/>
      <c r="AD339" s="113"/>
      <c r="AE339" s="113" t="str">
        <f ca="1">IFERROR(__xludf.DUMMYFUNCTION("""COMPUTED_VALUE"""),"Parcial")</f>
        <v>Parcial</v>
      </c>
      <c r="AF339" s="113" t="str">
        <f ca="1">IFERROR(__xludf.DUMMYFUNCTION("""COMPUTED_VALUE"""),"FE")</f>
        <v>FE</v>
      </c>
      <c r="AG339" s="113">
        <f ca="1">IFERROR(__xludf.DUMMYFUNCTION("""COMPUTED_VALUE"""),0)</f>
        <v>0</v>
      </c>
      <c r="AH339" s="113">
        <f ca="1">IFERROR(__xludf.DUMMYFUNCTION("""COMPUTED_VALUE"""),0)</f>
        <v>0</v>
      </c>
      <c r="AI339" s="113">
        <f ca="1">IFERROR(__xludf.DUMMYFUNCTION("""COMPUTED_VALUE"""),0)</f>
        <v>0</v>
      </c>
      <c r="AJ339" s="113">
        <f ca="1">IFERROR(__xludf.DUMMYFUNCTION("""COMPUTED_VALUE"""),0)</f>
        <v>0</v>
      </c>
      <c r="AK339" s="113"/>
      <c r="AL339" s="116"/>
    </row>
    <row r="340" spans="1:38" ht="12.75">
      <c r="A340" s="112" t="str">
        <f ca="1">IFERROR(__xludf.DUMMYFUNCTION("""COMPUTED_VALUE"""),"17028809")</f>
        <v>17028809</v>
      </c>
      <c r="B340" s="113" t="str">
        <f ca="1">IFERROR(__xludf.DUMMYFUNCTION("""COMPUTED_VALUE"""),"Pedro Afonso")</f>
        <v>Pedro Afonso</v>
      </c>
      <c r="C340" s="113" t="str">
        <f ca="1">IFERROR(__xludf.DUMMYFUNCTION("""COMPUTED_VALUE"""),"Itacaja")</f>
        <v>Itacaja</v>
      </c>
      <c r="D340" s="114" t="str">
        <f ca="1">IFERROR(__xludf.DUMMYFUNCTION("""COMPUTED_VALUE"""),"ASSOC. APOIO ESC. EST. ALMEIDA SARDINHA")</f>
        <v>ASSOC. APOIO ESC. EST. ALMEIDA SARDINHA</v>
      </c>
      <c r="E340" s="113" t="str">
        <f ca="1">IFERROR(__xludf.DUMMYFUNCTION("""COMPUTED_VALUE"""),"Escola Estadual Almeida Sardinha")</f>
        <v>Escola Estadual Almeida Sardinha</v>
      </c>
      <c r="F340" s="115" t="str">
        <f ca="1">IFERROR(__xludf.DUMMYFUNCTION("""COMPUTED_VALUE"""),"17028809")</f>
        <v>17028809</v>
      </c>
      <c r="G340" s="113" t="str">
        <f ca="1">IFERROR(__xludf.DUMMYFUNCTION("""COMPUTED_VALUE"""),"01138335000133")</f>
        <v>01138335000133</v>
      </c>
      <c r="H340" s="115" t="str">
        <f ca="1">IFERROR(__xludf.DUMMYFUNCTION("""COMPUTED_VALUE"""),"001")</f>
        <v>001</v>
      </c>
      <c r="I340" s="115" t="str">
        <f ca="1">IFERROR(__xludf.DUMMYFUNCTION("""COMPUTED_VALUE"""),"2094")</f>
        <v>2094</v>
      </c>
      <c r="J340" s="115" t="str">
        <f ca="1">IFERROR(__xludf.DUMMYFUNCTION("""COMPUTED_VALUE"""),"466484")</f>
        <v>466484</v>
      </c>
      <c r="K340" s="113" t="e">
        <f ca="1"/>
        <v>#REF!</v>
      </c>
      <c r="L340" s="113" t="e">
        <f ca="1"/>
        <v>#REF!</v>
      </c>
      <c r="M340" s="113" t="e">
        <f ca="1"/>
        <v>#REF!</v>
      </c>
      <c r="N340" s="113" t="e">
        <f ca="1"/>
        <v>#REF!</v>
      </c>
      <c r="O340" s="113" t="e">
        <f ca="1"/>
        <v>#REF!</v>
      </c>
      <c r="P340" s="113" t="e">
        <f ca="1"/>
        <v>#REF!</v>
      </c>
      <c r="Q340" s="113" t="e">
        <f ca="1"/>
        <v>#REF!</v>
      </c>
      <c r="R340" s="113" t="e">
        <f ca="1"/>
        <v>#REF!</v>
      </c>
      <c r="S340" s="113" t="e">
        <f ca="1"/>
        <v>#REF!</v>
      </c>
      <c r="T340" s="113" t="e">
        <f ca="1"/>
        <v>#REF!</v>
      </c>
      <c r="U340" s="113" t="e">
        <f ca="1"/>
        <v>#REF!</v>
      </c>
      <c r="V340" s="113" t="e">
        <f ca="1"/>
        <v>#REF!</v>
      </c>
      <c r="W340" s="113" t="e">
        <f ca="1"/>
        <v>#REF!</v>
      </c>
      <c r="X340" s="113" t="e">
        <f ca="1"/>
        <v>#REF!</v>
      </c>
      <c r="Y340" s="113" t="e">
        <f ca="1"/>
        <v>#REF!</v>
      </c>
      <c r="Z340" s="113" t="e">
        <f ca="1"/>
        <v>#REF!</v>
      </c>
      <c r="AA340" s="113"/>
      <c r="AB340" s="113"/>
      <c r="AC340" s="113"/>
      <c r="AD340" s="113" t="str">
        <f ca="1">IFERROR(__xludf.DUMMYFUNCTION("""COMPUTED_VALUE"""),"E.M. INTEGRADO")</f>
        <v>E.M. INTEGRADO</v>
      </c>
      <c r="AE340" s="113" t="str">
        <f ca="1">IFERROR(__xludf.DUMMYFUNCTION("""COMPUTED_VALUE"""),"Parcial")</f>
        <v>Parcial</v>
      </c>
      <c r="AF340" s="113" t="str">
        <f ca="1">IFERROR(__xludf.DUMMYFUNCTION("""COMPUTED_VALUE"""),"FE")</f>
        <v>FE</v>
      </c>
      <c r="AG340" s="113">
        <f ca="1">IFERROR(__xludf.DUMMYFUNCTION("""COMPUTED_VALUE"""),0)</f>
        <v>0</v>
      </c>
      <c r="AH340" s="113">
        <f ca="1">IFERROR(__xludf.DUMMYFUNCTION("""COMPUTED_VALUE"""),0)</f>
        <v>0</v>
      </c>
      <c r="AI340" s="113">
        <f ca="1">IFERROR(__xludf.DUMMYFUNCTION("""COMPUTED_VALUE"""),0)</f>
        <v>0</v>
      </c>
      <c r="AJ340" s="113">
        <f ca="1">IFERROR(__xludf.DUMMYFUNCTION("""COMPUTED_VALUE"""),0)</f>
        <v>0</v>
      </c>
      <c r="AK340" s="113"/>
      <c r="AL340" s="116"/>
    </row>
    <row r="341" spans="1:38" ht="12.75">
      <c r="A341" s="112" t="str">
        <f ca="1">IFERROR(__xludf.DUMMYFUNCTION("""COMPUTED_VALUE"""),"17056268")</f>
        <v>17056268</v>
      </c>
      <c r="B341" s="113" t="str">
        <f ca="1">IFERROR(__xludf.DUMMYFUNCTION("""COMPUTED_VALUE"""),"Pedro Afonso")</f>
        <v>Pedro Afonso</v>
      </c>
      <c r="C341" s="113" t="str">
        <f ca="1">IFERROR(__xludf.DUMMYFUNCTION("""COMPUTED_VALUE"""),"Itacajá")</f>
        <v>Itacajá</v>
      </c>
      <c r="D341" s="114" t="str">
        <f ca="1">IFERROR(__xludf.DUMMYFUNCTION("""COMPUTED_VALUE"""),"A.A. ESCOLAS ESTADUAIS INDIGENAS DE ITACAJA II")</f>
        <v>A.A. ESCOLAS ESTADUAIS INDIGENAS DE ITACAJA II</v>
      </c>
      <c r="E341" s="113" t="str">
        <f ca="1">IFERROR(__xludf.DUMMYFUNCTION("""COMPUTED_VALUE"""),"A.A. Escolas Estaduais Indígenas de Itacajá II")</f>
        <v>A.A. Escolas Estaduais Indígenas de Itacajá II</v>
      </c>
      <c r="F341" s="115" t="str">
        <f ca="1">IFERROR(__xludf.DUMMYFUNCTION("""COMPUTED_VALUE"""),"17056268")</f>
        <v>17056268</v>
      </c>
      <c r="G341" s="113" t="str">
        <f ca="1">IFERROR(__xludf.DUMMYFUNCTION("""COMPUTED_VALUE"""),"43551682000133")</f>
        <v>43551682000133</v>
      </c>
      <c r="H341" s="115" t="str">
        <f ca="1">IFERROR(__xludf.DUMMYFUNCTION("""COMPUTED_VALUE"""),"001")</f>
        <v>001</v>
      </c>
      <c r="I341" s="115" t="str">
        <f ca="1">IFERROR(__xludf.DUMMYFUNCTION("""COMPUTED_VALUE"""),"1595")</f>
        <v>1595</v>
      </c>
      <c r="J341" s="115" t="str">
        <f ca="1">IFERROR(__xludf.DUMMYFUNCTION("""COMPUTED_VALUE"""),"327905")</f>
        <v>327905</v>
      </c>
      <c r="K341" s="113" t="e">
        <f ca="1"/>
        <v>#REF!</v>
      </c>
      <c r="L341" s="113" t="e">
        <f ca="1"/>
        <v>#REF!</v>
      </c>
      <c r="M341" s="113" t="e">
        <f ca="1"/>
        <v>#REF!</v>
      </c>
      <c r="N341" s="113" t="e">
        <f ca="1"/>
        <v>#REF!</v>
      </c>
      <c r="O341" s="113" t="e">
        <f ca="1"/>
        <v>#REF!</v>
      </c>
      <c r="P341" s="113" t="e">
        <f ca="1"/>
        <v>#REF!</v>
      </c>
      <c r="Q341" s="113" t="e">
        <f ca="1"/>
        <v>#REF!</v>
      </c>
      <c r="R341" s="113" t="e">
        <f ca="1"/>
        <v>#REF!</v>
      </c>
      <c r="S341" s="113" t="e">
        <f ca="1"/>
        <v>#REF!</v>
      </c>
      <c r="T341" s="113" t="e">
        <f ca="1"/>
        <v>#REF!</v>
      </c>
      <c r="U341" s="113" t="e">
        <f ca="1"/>
        <v>#REF!</v>
      </c>
      <c r="V341" s="113" t="e">
        <f ca="1"/>
        <v>#REF!</v>
      </c>
      <c r="W341" s="113" t="e">
        <f ca="1"/>
        <v>#REF!</v>
      </c>
      <c r="X341" s="113" t="e">
        <f ca="1"/>
        <v>#REF!</v>
      </c>
      <c r="Y341" s="113" t="e">
        <f ca="1"/>
        <v>#REF!</v>
      </c>
      <c r="Z341" s="113" t="e">
        <f ca="1"/>
        <v>#REF!</v>
      </c>
      <c r="AA341" s="113"/>
      <c r="AB341" s="113"/>
      <c r="AC341" s="113"/>
      <c r="AD341" s="113" t="str">
        <f ca="1">IFERROR(__xludf.DUMMYFUNCTION("""COMPUTED_VALUE"""),"INDIGENA /QUILOMBOLA PARCIAL")</f>
        <v>INDIGENA /QUILOMBOLA PARCIAL</v>
      </c>
      <c r="AE341" s="113" t="str">
        <f ca="1">IFERROR(__xludf.DUMMYFUNCTION("""COMPUTED_VALUE"""),"Parcial")</f>
        <v>Parcial</v>
      </c>
      <c r="AF341" s="113" t="str">
        <f ca="1">IFERROR(__xludf.DUMMYFUNCTION("""COMPUTED_VALUE"""),"FE")</f>
        <v>FE</v>
      </c>
      <c r="AG341" s="113">
        <f ca="1">IFERROR(__xludf.DUMMYFUNCTION("""COMPUTED_VALUE"""),0)</f>
        <v>0</v>
      </c>
      <c r="AH341" s="113">
        <f ca="1">IFERROR(__xludf.DUMMYFUNCTION("""COMPUTED_VALUE"""),0)</f>
        <v>0</v>
      </c>
      <c r="AI341" s="113">
        <f ca="1">IFERROR(__xludf.DUMMYFUNCTION("""COMPUTED_VALUE"""),0)</f>
        <v>0</v>
      </c>
      <c r="AJ341" s="113">
        <f ca="1">IFERROR(__xludf.DUMMYFUNCTION("""COMPUTED_VALUE"""),0)</f>
        <v>0</v>
      </c>
      <c r="AK341" s="113"/>
      <c r="AL341" s="116"/>
    </row>
    <row r="342" spans="1:38" ht="12.75">
      <c r="A342" s="112" t="str">
        <f ca="1">IFERROR(__xludf.DUMMYFUNCTION("""COMPUTED_VALUE"""),"17029341")</f>
        <v>17029341</v>
      </c>
      <c r="B342" s="113" t="str">
        <f ca="1">IFERROR(__xludf.DUMMYFUNCTION("""COMPUTED_VALUE"""),"Pedro Afonso")</f>
        <v>Pedro Afonso</v>
      </c>
      <c r="C342" s="113" t="str">
        <f ca="1">IFERROR(__xludf.DUMMYFUNCTION("""COMPUTED_VALUE"""),"Pedro Afonso")</f>
        <v>Pedro Afonso</v>
      </c>
      <c r="D342" s="114" t="str">
        <f ca="1">IFERROR(__xludf.DUMMYFUNCTION("""COMPUTED_VALUE"""),"A.A. EC.INDIGENAS")</f>
        <v>A.A. EC.INDIGENAS</v>
      </c>
      <c r="E342" s="113" t="str">
        <f ca="1">IFERROR(__xludf.DUMMYFUNCTION("""COMPUTED_VALUE"""),"A.A. Ec.Indigenas")</f>
        <v>A.A. Ec.Indigenas</v>
      </c>
      <c r="F342" s="115" t="str">
        <f ca="1">IFERROR(__xludf.DUMMYFUNCTION("""COMPUTED_VALUE"""),"17029341")</f>
        <v>17029341</v>
      </c>
      <c r="G342" s="113" t="str">
        <f ca="1">IFERROR(__xludf.DUMMYFUNCTION("""COMPUTED_VALUE"""),"06135108000178")</f>
        <v>06135108000178</v>
      </c>
      <c r="H342" s="115" t="str">
        <f ca="1">IFERROR(__xludf.DUMMYFUNCTION("""COMPUTED_VALUE"""),"001")</f>
        <v>001</v>
      </c>
      <c r="I342" s="115" t="str">
        <f ca="1">IFERROR(__xludf.DUMMYFUNCTION("""COMPUTED_VALUE"""),"1595")</f>
        <v>1595</v>
      </c>
      <c r="J342" s="115" t="str">
        <f ca="1">IFERROR(__xludf.DUMMYFUNCTION("""COMPUTED_VALUE"""),"114499")</f>
        <v>114499</v>
      </c>
      <c r="K342" s="113" t="e">
        <f ca="1"/>
        <v>#REF!</v>
      </c>
      <c r="L342" s="113" t="e">
        <f ca="1"/>
        <v>#REF!</v>
      </c>
      <c r="M342" s="113" t="e">
        <f ca="1"/>
        <v>#REF!</v>
      </c>
      <c r="N342" s="113" t="e">
        <f ca="1"/>
        <v>#REF!</v>
      </c>
      <c r="O342" s="113" t="e">
        <f ca="1"/>
        <v>#REF!</v>
      </c>
      <c r="P342" s="113" t="e">
        <f ca="1"/>
        <v>#REF!</v>
      </c>
      <c r="Q342" s="113" t="e">
        <f ca="1"/>
        <v>#REF!</v>
      </c>
      <c r="R342" s="113" t="e">
        <f ca="1"/>
        <v>#REF!</v>
      </c>
      <c r="S342" s="113" t="e">
        <f ca="1"/>
        <v>#REF!</v>
      </c>
      <c r="T342" s="113" t="e">
        <f ca="1"/>
        <v>#REF!</v>
      </c>
      <c r="U342" s="113" t="e">
        <f ca="1"/>
        <v>#REF!</v>
      </c>
      <c r="V342" s="113" t="e">
        <f ca="1"/>
        <v>#REF!</v>
      </c>
      <c r="W342" s="113" t="e">
        <f ca="1"/>
        <v>#REF!</v>
      </c>
      <c r="X342" s="113" t="e">
        <f ca="1"/>
        <v>#REF!</v>
      </c>
      <c r="Y342" s="113" t="e">
        <f ca="1"/>
        <v>#REF!</v>
      </c>
      <c r="Z342" s="113" t="e">
        <f ca="1"/>
        <v>#REF!</v>
      </c>
      <c r="AA342" s="113"/>
      <c r="AB342" s="113"/>
      <c r="AC342" s="113"/>
      <c r="AD342" s="113"/>
      <c r="AE342" s="113" t="str">
        <f ca="1">IFERROR(__xludf.DUMMYFUNCTION("""COMPUTED_VALUE"""),"Parcial")</f>
        <v>Parcial</v>
      </c>
      <c r="AF342" s="113" t="str">
        <f ca="1">IFERROR(__xludf.DUMMYFUNCTION("""COMPUTED_VALUE"""),"FE")</f>
        <v>FE</v>
      </c>
      <c r="AG342" s="113">
        <f ca="1">IFERROR(__xludf.DUMMYFUNCTION("""COMPUTED_VALUE"""),0)</f>
        <v>0</v>
      </c>
      <c r="AH342" s="113">
        <f ca="1">IFERROR(__xludf.DUMMYFUNCTION("""COMPUTED_VALUE"""),0)</f>
        <v>0</v>
      </c>
      <c r="AI342" s="113">
        <f ca="1">IFERROR(__xludf.DUMMYFUNCTION("""COMPUTED_VALUE"""),0)</f>
        <v>0</v>
      </c>
      <c r="AJ342" s="113">
        <f ca="1">IFERROR(__xludf.DUMMYFUNCTION("""COMPUTED_VALUE"""),0)</f>
        <v>0</v>
      </c>
      <c r="AK342" s="113"/>
      <c r="AL342" s="116"/>
    </row>
    <row r="343" spans="1:38" ht="12.75">
      <c r="A343" s="112" t="str">
        <f ca="1">IFERROR(__xludf.DUMMYFUNCTION("""COMPUTED_VALUE"""),"17024358")</f>
        <v>17024358</v>
      </c>
      <c r="B343" s="113" t="str">
        <f ca="1">IFERROR(__xludf.DUMMYFUNCTION("""COMPUTED_VALUE"""),"Pedro Afonso")</f>
        <v>Pedro Afonso</v>
      </c>
      <c r="C343" s="113" t="str">
        <f ca="1">IFERROR(__xludf.DUMMYFUNCTION("""COMPUTED_VALUE"""),"Pedro Afonso")</f>
        <v>Pedro Afonso</v>
      </c>
      <c r="D343" s="114" t="str">
        <f ca="1">IFERROR(__xludf.DUMMYFUNCTION("""COMPUTED_VALUE"""),"A.A. E. EST.IS.DA REG.DE ENS.DE GUARAI")</f>
        <v>A.A. E. EST.IS.DA REG.DE ENS.DE GUARAI</v>
      </c>
      <c r="E343" s="113" t="str">
        <f ca="1">IFERROR(__xludf.DUMMYFUNCTION("""COMPUTED_VALUE"""),"A.A. Escolas Isoladas de  Pedro Afonso ( Escola Est. de Anajanópolis)")</f>
        <v>A.A. Escolas Isoladas de  Pedro Afonso ( Escola Est. de Anajanópolis)</v>
      </c>
      <c r="F343" s="115" t="str">
        <f ca="1">IFERROR(__xludf.DUMMYFUNCTION("""COMPUTED_VALUE"""),"17024358")</f>
        <v>17024358</v>
      </c>
      <c r="G343" s="113" t="str">
        <f ca="1">IFERROR(__xludf.DUMMYFUNCTION("""COMPUTED_VALUE"""),"02508361000179")</f>
        <v>02508361000179</v>
      </c>
      <c r="H343" s="115" t="str">
        <f ca="1">IFERROR(__xludf.DUMMYFUNCTION("""COMPUTED_VALUE"""),"001")</f>
        <v>001</v>
      </c>
      <c r="I343" s="115" t="str">
        <f ca="1">IFERROR(__xludf.DUMMYFUNCTION("""COMPUTED_VALUE"""),"1595")</f>
        <v>1595</v>
      </c>
      <c r="J343" s="115" t="str">
        <f ca="1">IFERROR(__xludf.DUMMYFUNCTION("""COMPUTED_VALUE"""),"110663")</f>
        <v>110663</v>
      </c>
      <c r="K343" s="113" t="e">
        <f ca="1"/>
        <v>#REF!</v>
      </c>
      <c r="L343" s="113" t="e">
        <f ca="1"/>
        <v>#REF!</v>
      </c>
      <c r="M343" s="113" t="e">
        <f ca="1"/>
        <v>#REF!</v>
      </c>
      <c r="N343" s="113" t="e">
        <f ca="1"/>
        <v>#REF!</v>
      </c>
      <c r="O343" s="113" t="e">
        <f ca="1"/>
        <v>#REF!</v>
      </c>
      <c r="P343" s="113" t="e">
        <f ca="1"/>
        <v>#REF!</v>
      </c>
      <c r="Q343" s="113" t="e">
        <f ca="1"/>
        <v>#REF!</v>
      </c>
      <c r="R343" s="113" t="e">
        <f ca="1"/>
        <v>#REF!</v>
      </c>
      <c r="S343" s="113" t="e">
        <f ca="1"/>
        <v>#REF!</v>
      </c>
      <c r="T343" s="113" t="e">
        <f ca="1"/>
        <v>#REF!</v>
      </c>
      <c r="U343" s="113" t="e">
        <f ca="1"/>
        <v>#REF!</v>
      </c>
      <c r="V343" s="113" t="e">
        <f ca="1"/>
        <v>#REF!</v>
      </c>
      <c r="W343" s="113" t="e">
        <f ca="1"/>
        <v>#REF!</v>
      </c>
      <c r="X343" s="113" t="e">
        <f ca="1"/>
        <v>#REF!</v>
      </c>
      <c r="Y343" s="113" t="e">
        <f ca="1"/>
        <v>#REF!</v>
      </c>
      <c r="Z343" s="113" t="e">
        <f ca="1"/>
        <v>#REF!</v>
      </c>
      <c r="AA343" s="113"/>
      <c r="AB343" s="113"/>
      <c r="AC343" s="113"/>
      <c r="AD343" s="113"/>
      <c r="AE343" s="113" t="str">
        <f ca="1">IFERROR(__xludf.DUMMYFUNCTION("""COMPUTED_VALUE"""),"Parcial")</f>
        <v>Parcial</v>
      </c>
      <c r="AF343" s="113" t="str">
        <f ca="1">IFERROR(__xludf.DUMMYFUNCTION("""COMPUTED_VALUE"""),"FE")</f>
        <v>FE</v>
      </c>
      <c r="AG343" s="113">
        <f ca="1">IFERROR(__xludf.DUMMYFUNCTION("""COMPUTED_VALUE"""),0)</f>
        <v>0</v>
      </c>
      <c r="AH343" s="113">
        <f ca="1">IFERROR(__xludf.DUMMYFUNCTION("""COMPUTED_VALUE"""),0)</f>
        <v>0</v>
      </c>
      <c r="AI343" s="113">
        <f ca="1">IFERROR(__xludf.DUMMYFUNCTION("""COMPUTED_VALUE"""),0)</f>
        <v>0</v>
      </c>
      <c r="AJ343" s="113">
        <f ca="1">IFERROR(__xludf.DUMMYFUNCTION("""COMPUTED_VALUE"""),0)</f>
        <v>0</v>
      </c>
      <c r="AK343" s="113"/>
      <c r="AL343" s="116"/>
    </row>
    <row r="344" spans="1:38" ht="12.75">
      <c r="A344" s="112" t="str">
        <f ca="1">IFERROR(__xludf.DUMMYFUNCTION("""COMPUTED_VALUE"""),"17024307")</f>
        <v>17024307</v>
      </c>
      <c r="B344" s="113" t="str">
        <f ca="1">IFERROR(__xludf.DUMMYFUNCTION("""COMPUTED_VALUE"""),"Pedro Afonso")</f>
        <v>Pedro Afonso</v>
      </c>
      <c r="C344" s="113" t="str">
        <f ca="1">IFERROR(__xludf.DUMMYFUNCTION("""COMPUTED_VALUE"""),"Pedro Afonso")</f>
        <v>Pedro Afonso</v>
      </c>
      <c r="D344" s="114" t="str">
        <f ca="1">IFERROR(__xludf.DUMMYFUNCTION("""COMPUTED_VALUE"""),"A.A. ESCOLAR DO COLEGIO EST.CRISTO REI")</f>
        <v>A.A. ESCOLAR DO COLEGIO EST.CRISTO REI</v>
      </c>
      <c r="E344" s="113" t="str">
        <f ca="1">IFERROR(__xludf.DUMMYFUNCTION("""COMPUTED_VALUE"""),"Colégio Cristo Rei")</f>
        <v>Colégio Cristo Rei</v>
      </c>
      <c r="F344" s="115" t="str">
        <f ca="1">IFERROR(__xludf.DUMMYFUNCTION("""COMPUTED_VALUE"""),"17024307")</f>
        <v>17024307</v>
      </c>
      <c r="G344" s="113" t="str">
        <f ca="1">IFERROR(__xludf.DUMMYFUNCTION("""COMPUTED_VALUE"""),"02250658000187")</f>
        <v>02250658000187</v>
      </c>
      <c r="H344" s="115" t="str">
        <f ca="1">IFERROR(__xludf.DUMMYFUNCTION("""COMPUTED_VALUE"""),"001")</f>
        <v>001</v>
      </c>
      <c r="I344" s="115" t="str">
        <f ca="1">IFERROR(__xludf.DUMMYFUNCTION("""COMPUTED_VALUE"""),"1595")</f>
        <v>1595</v>
      </c>
      <c r="J344" s="115" t="str">
        <f ca="1">IFERROR(__xludf.DUMMYFUNCTION("""COMPUTED_VALUE"""),"66141")</f>
        <v>66141</v>
      </c>
      <c r="K344" s="113" t="e">
        <f ca="1"/>
        <v>#REF!</v>
      </c>
      <c r="L344" s="113" t="e">
        <f ca="1"/>
        <v>#REF!</v>
      </c>
      <c r="M344" s="113" t="e">
        <f ca="1"/>
        <v>#REF!</v>
      </c>
      <c r="N344" s="113" t="e">
        <f ca="1"/>
        <v>#REF!</v>
      </c>
      <c r="O344" s="113" t="e">
        <f ca="1"/>
        <v>#REF!</v>
      </c>
      <c r="P344" s="113" t="e">
        <f ca="1"/>
        <v>#REF!</v>
      </c>
      <c r="Q344" s="113" t="e">
        <f ca="1"/>
        <v>#REF!</v>
      </c>
      <c r="R344" s="113" t="e">
        <f ca="1"/>
        <v>#REF!</v>
      </c>
      <c r="S344" s="113" t="e">
        <f ca="1"/>
        <v>#REF!</v>
      </c>
      <c r="T344" s="113" t="e">
        <f ca="1"/>
        <v>#REF!</v>
      </c>
      <c r="U344" s="113" t="e">
        <f ca="1"/>
        <v>#REF!</v>
      </c>
      <c r="V344" s="113" t="e">
        <f ca="1"/>
        <v>#REF!</v>
      </c>
      <c r="W344" s="113" t="e">
        <f ca="1"/>
        <v>#REF!</v>
      </c>
      <c r="X344" s="113" t="e">
        <f ca="1"/>
        <v>#REF!</v>
      </c>
      <c r="Y344" s="113" t="e">
        <f ca="1"/>
        <v>#REF!</v>
      </c>
      <c r="Z344" s="113" t="e">
        <f ca="1"/>
        <v>#REF!</v>
      </c>
      <c r="AA344" s="113"/>
      <c r="AB344" s="113"/>
      <c r="AC344" s="113"/>
      <c r="AD344" s="113" t="str">
        <f ca="1">IFERROR(__xludf.DUMMYFUNCTION("""COMPUTED_VALUE"""),"INDIGENA /QUILOMBOLA PARCIAL")</f>
        <v>INDIGENA /QUILOMBOLA PARCIAL</v>
      </c>
      <c r="AE344" s="113" t="str">
        <f ca="1">IFERROR(__xludf.DUMMYFUNCTION("""COMPUTED_VALUE"""),"Parcial/Integral")</f>
        <v>Parcial/Integral</v>
      </c>
      <c r="AF344" s="113" t="str">
        <f ca="1">IFERROR(__xludf.DUMMYFUNCTION("""COMPUTED_VALUE"""),"FE")</f>
        <v>FE</v>
      </c>
      <c r="AG344" s="113">
        <f ca="1">IFERROR(__xludf.DUMMYFUNCTION("""COMPUTED_VALUE"""),0)</f>
        <v>0</v>
      </c>
      <c r="AH344" s="113">
        <f ca="1">IFERROR(__xludf.DUMMYFUNCTION("""COMPUTED_VALUE"""),0)</f>
        <v>0</v>
      </c>
      <c r="AI344" s="113">
        <f ca="1">IFERROR(__xludf.DUMMYFUNCTION("""COMPUTED_VALUE"""),0)</f>
        <v>0</v>
      </c>
      <c r="AJ344" s="113">
        <f ca="1">IFERROR(__xludf.DUMMYFUNCTION("""COMPUTED_VALUE"""),0)</f>
        <v>0</v>
      </c>
      <c r="AK344" s="113"/>
      <c r="AL344" s="116"/>
    </row>
    <row r="345" spans="1:38" ht="12.75">
      <c r="A345" s="112" t="str">
        <f ca="1">IFERROR(__xludf.DUMMYFUNCTION("""COMPUTED_VALUE"""),"17051932")</f>
        <v>17051932</v>
      </c>
      <c r="B345" s="113" t="str">
        <f ca="1">IFERROR(__xludf.DUMMYFUNCTION("""COMPUTED_VALUE"""),"Pedro Afonso")</f>
        <v>Pedro Afonso</v>
      </c>
      <c r="C345" s="113" t="str">
        <f ca="1">IFERROR(__xludf.DUMMYFUNCTION("""COMPUTED_VALUE"""),"Pedro Afonso")</f>
        <v>Pedro Afonso</v>
      </c>
      <c r="D345" s="114" t="str">
        <f ca="1">IFERROR(__xludf.DUMMYFUNCTION("""COMPUTED_VALUE"""),"ASSOCIAÇÃO DE PAIS E AMIGOS DOS EXCEPCIONAIS DE PEDRO AFONSO")</f>
        <v>ASSOCIAÇÃO DE PAIS E AMIGOS DOS EXCEPCIONAIS DE PEDRO AFONSO</v>
      </c>
      <c r="E345" s="113" t="str">
        <f ca="1">IFERROR(__xludf.DUMMYFUNCTION("""COMPUTED_VALUE"""),"Escola Especial Santuário da Vida")</f>
        <v>Escola Especial Santuário da Vida</v>
      </c>
      <c r="F345" s="115" t="str">
        <f ca="1">IFERROR(__xludf.DUMMYFUNCTION("""COMPUTED_VALUE"""),"17051932")</f>
        <v>17051932</v>
      </c>
      <c r="G345" s="113" t="str">
        <f ca="1">IFERROR(__xludf.DUMMYFUNCTION("""COMPUTED_VALUE"""),"04406588000139")</f>
        <v>04406588000139</v>
      </c>
      <c r="H345" s="115" t="str">
        <f ca="1">IFERROR(__xludf.DUMMYFUNCTION("""COMPUTED_VALUE"""),"001")</f>
        <v>001</v>
      </c>
      <c r="I345" s="115" t="str">
        <f ca="1">IFERROR(__xludf.DUMMYFUNCTION("""COMPUTED_VALUE"""),"1595")</f>
        <v>1595</v>
      </c>
      <c r="J345" s="115" t="str">
        <f ca="1">IFERROR(__xludf.DUMMYFUNCTION("""COMPUTED_VALUE"""),"119105")</f>
        <v>119105</v>
      </c>
      <c r="K345" s="113" t="e">
        <f ca="1"/>
        <v>#REF!</v>
      </c>
      <c r="L345" s="113" t="e">
        <f ca="1"/>
        <v>#REF!</v>
      </c>
      <c r="M345" s="113" t="e">
        <f ca="1"/>
        <v>#REF!</v>
      </c>
      <c r="N345" s="113" t="e">
        <f ca="1"/>
        <v>#REF!</v>
      </c>
      <c r="O345" s="113" t="e">
        <f ca="1"/>
        <v>#REF!</v>
      </c>
      <c r="P345" s="113" t="e">
        <f ca="1"/>
        <v>#REF!</v>
      </c>
      <c r="Q345" s="113" t="e">
        <f ca="1"/>
        <v>#REF!</v>
      </c>
      <c r="R345" s="113" t="e">
        <f ca="1"/>
        <v>#REF!</v>
      </c>
      <c r="S345" s="113" t="e">
        <f ca="1"/>
        <v>#REF!</v>
      </c>
      <c r="T345" s="113" t="e">
        <f ca="1"/>
        <v>#REF!</v>
      </c>
      <c r="U345" s="113" t="e">
        <f ca="1"/>
        <v>#REF!</v>
      </c>
      <c r="V345" s="113" t="e">
        <f ca="1"/>
        <v>#REF!</v>
      </c>
      <c r="W345" s="113" t="e">
        <f ca="1"/>
        <v>#REF!</v>
      </c>
      <c r="X345" s="113" t="e">
        <f ca="1"/>
        <v>#REF!</v>
      </c>
      <c r="Y345" s="113" t="e">
        <f ca="1"/>
        <v>#REF!</v>
      </c>
      <c r="Z345" s="113" t="e">
        <f ca="1"/>
        <v>#REF!</v>
      </c>
      <c r="AA345" s="113"/>
      <c r="AB345" s="113"/>
      <c r="AC345" s="113"/>
      <c r="AD345" s="113" t="str">
        <f ca="1">IFERROR(__xludf.DUMMYFUNCTION("""COMPUTED_VALUE"""),"E.M. INTEGRADO")</f>
        <v>E.M. INTEGRADO</v>
      </c>
      <c r="AE345" s="113" t="str">
        <f ca="1">IFERROR(__xludf.DUMMYFUNCTION("""COMPUTED_VALUE"""),"Parcial")</f>
        <v>Parcial</v>
      </c>
      <c r="AF345" s="113" t="str">
        <f ca="1">IFERROR(__xludf.DUMMYFUNCTION("""COMPUTED_VALUE"""),"FE")</f>
        <v>FE</v>
      </c>
      <c r="AG345" s="113">
        <f ca="1">IFERROR(__xludf.DUMMYFUNCTION("""COMPUTED_VALUE"""),0)</f>
        <v>0</v>
      </c>
      <c r="AH345" s="113">
        <f ca="1">IFERROR(__xludf.DUMMYFUNCTION("""COMPUTED_VALUE"""),0)</f>
        <v>0</v>
      </c>
      <c r="AI345" s="113">
        <f ca="1">IFERROR(__xludf.DUMMYFUNCTION("""COMPUTED_VALUE"""),0)</f>
        <v>0</v>
      </c>
      <c r="AJ345" s="113">
        <f ca="1">IFERROR(__xludf.DUMMYFUNCTION("""COMPUTED_VALUE"""),0)</f>
        <v>0</v>
      </c>
      <c r="AK345" s="113"/>
      <c r="AL345" s="116"/>
    </row>
    <row r="346" spans="1:38" ht="12.75">
      <c r="A346" s="112" t="str">
        <f ca="1">IFERROR(__xludf.DUMMYFUNCTION("""COMPUTED_VALUE"""),"17024323")</f>
        <v>17024323</v>
      </c>
      <c r="B346" s="113" t="str">
        <f ca="1">IFERROR(__xludf.DUMMYFUNCTION("""COMPUTED_VALUE"""),"Pedro Afonso")</f>
        <v>Pedro Afonso</v>
      </c>
      <c r="C346" s="113" t="str">
        <f ca="1">IFERROR(__xludf.DUMMYFUNCTION("""COMPUTED_VALUE"""),"Pedro Afonso")</f>
        <v>Pedro Afonso</v>
      </c>
      <c r="D346" s="114" t="str">
        <f ca="1">IFERROR(__xludf.DUMMYFUNCTION("""COMPUTED_VALUE"""),"A. DE PAIS E MEST. DA ESC. EST. ANA AMORIM")</f>
        <v>A. DE PAIS E MEST. DA ESC. EST. ANA AMORIM</v>
      </c>
      <c r="E346" s="113" t="str">
        <f ca="1">IFERROR(__xludf.DUMMYFUNCTION("""COMPUTED_VALUE"""),"Escola Estadual Ana Amorim")</f>
        <v>Escola Estadual Ana Amorim</v>
      </c>
      <c r="F346" s="115" t="str">
        <f ca="1">IFERROR(__xludf.DUMMYFUNCTION("""COMPUTED_VALUE"""),"17024323")</f>
        <v>17024323</v>
      </c>
      <c r="G346" s="113" t="str">
        <f ca="1">IFERROR(__xludf.DUMMYFUNCTION("""COMPUTED_VALUE"""),"01990364000129")</f>
        <v>01990364000129</v>
      </c>
      <c r="H346" s="115" t="str">
        <f ca="1">IFERROR(__xludf.DUMMYFUNCTION("""COMPUTED_VALUE"""),"001")</f>
        <v>001</v>
      </c>
      <c r="I346" s="115" t="str">
        <f ca="1">IFERROR(__xludf.DUMMYFUNCTION("""COMPUTED_VALUE"""),"1595")</f>
        <v>1595</v>
      </c>
      <c r="J346" s="115" t="str">
        <f ca="1">IFERROR(__xludf.DUMMYFUNCTION("""COMPUTED_VALUE"""),"59722")</f>
        <v>59722</v>
      </c>
      <c r="K346" s="113" t="e">
        <f ca="1"/>
        <v>#REF!</v>
      </c>
      <c r="L346" s="113" t="e">
        <f ca="1"/>
        <v>#REF!</v>
      </c>
      <c r="M346" s="113" t="e">
        <f ca="1"/>
        <v>#REF!</v>
      </c>
      <c r="N346" s="113" t="e">
        <f ca="1"/>
        <v>#REF!</v>
      </c>
      <c r="O346" s="113" t="e">
        <f ca="1"/>
        <v>#REF!</v>
      </c>
      <c r="P346" s="113" t="e">
        <f ca="1"/>
        <v>#REF!</v>
      </c>
      <c r="Q346" s="113" t="e">
        <f ca="1"/>
        <v>#REF!</v>
      </c>
      <c r="R346" s="113" t="e">
        <f ca="1"/>
        <v>#REF!</v>
      </c>
      <c r="S346" s="113" t="e">
        <f ca="1"/>
        <v>#REF!</v>
      </c>
      <c r="T346" s="113" t="e">
        <f ca="1"/>
        <v>#REF!</v>
      </c>
      <c r="U346" s="113" t="e">
        <f ca="1"/>
        <v>#REF!</v>
      </c>
      <c r="V346" s="113" t="e">
        <f ca="1"/>
        <v>#REF!</v>
      </c>
      <c r="W346" s="113" t="e">
        <f ca="1"/>
        <v>#REF!</v>
      </c>
      <c r="X346" s="113" t="e">
        <f ca="1"/>
        <v>#REF!</v>
      </c>
      <c r="Y346" s="113" t="e">
        <f ca="1"/>
        <v>#REF!</v>
      </c>
      <c r="Z346" s="113" t="e">
        <f ca="1"/>
        <v>#REF!</v>
      </c>
      <c r="AA346" s="113"/>
      <c r="AB346" s="113"/>
      <c r="AC346" s="113"/>
      <c r="AD346" s="113"/>
      <c r="AE346" s="113" t="str">
        <f ca="1">IFERROR(__xludf.DUMMYFUNCTION("""COMPUTED_VALUE"""),"Parcial")</f>
        <v>Parcial</v>
      </c>
      <c r="AF346" s="113" t="str">
        <f ca="1">IFERROR(__xludf.DUMMYFUNCTION("""COMPUTED_VALUE"""),"FE")</f>
        <v>FE</v>
      </c>
      <c r="AG346" s="113">
        <f ca="1">IFERROR(__xludf.DUMMYFUNCTION("""COMPUTED_VALUE"""),0)</f>
        <v>0</v>
      </c>
      <c r="AH346" s="113">
        <f ca="1">IFERROR(__xludf.DUMMYFUNCTION("""COMPUTED_VALUE"""),0)</f>
        <v>0</v>
      </c>
      <c r="AI346" s="113">
        <f ca="1">IFERROR(__xludf.DUMMYFUNCTION("""COMPUTED_VALUE"""),0)</f>
        <v>0</v>
      </c>
      <c r="AJ346" s="113">
        <f ca="1">IFERROR(__xludf.DUMMYFUNCTION("""COMPUTED_VALUE"""),0)</f>
        <v>0</v>
      </c>
      <c r="AK346" s="113"/>
      <c r="AL346" s="116"/>
    </row>
    <row r="347" spans="1:38" ht="12.75">
      <c r="A347" s="112" t="str">
        <f ca="1">IFERROR(__xludf.DUMMYFUNCTION("""COMPUTED_VALUE"""),"17024331")</f>
        <v>17024331</v>
      </c>
      <c r="B347" s="113" t="str">
        <f ca="1">IFERROR(__xludf.DUMMYFUNCTION("""COMPUTED_VALUE"""),"Pedro Afonso")</f>
        <v>Pedro Afonso</v>
      </c>
      <c r="C347" s="113" t="str">
        <f ca="1">IFERROR(__xludf.DUMMYFUNCTION("""COMPUTED_VALUE"""),"Pedro Afonso")</f>
        <v>Pedro Afonso</v>
      </c>
      <c r="D347" s="114" t="str">
        <f ca="1">IFERROR(__xludf.DUMMYFUNCTION("""COMPUTED_VALUE"""),"ASS. DE APOIO A ESCOLA ESTADUAL BOM TEMPO")</f>
        <v>ASS. DE APOIO A ESCOLA ESTADUAL BOM TEMPO</v>
      </c>
      <c r="E347" s="113" t="str">
        <f ca="1">IFERROR(__xludf.DUMMYFUNCTION("""COMPUTED_VALUE"""),"A.A. Escola Estadual Bom Tempo")</f>
        <v>A.A. Escola Estadual Bom Tempo</v>
      </c>
      <c r="F347" s="115" t="str">
        <f ca="1">IFERROR(__xludf.DUMMYFUNCTION("""COMPUTED_VALUE"""),"17024331")</f>
        <v>17024331</v>
      </c>
      <c r="G347" s="113" t="str">
        <f ca="1">IFERROR(__xludf.DUMMYFUNCTION("""COMPUTED_VALUE"""),"44776099000193")</f>
        <v>44776099000193</v>
      </c>
      <c r="H347" s="115" t="str">
        <f ca="1">IFERROR(__xludf.DUMMYFUNCTION("""COMPUTED_VALUE"""),"001")</f>
        <v>001</v>
      </c>
      <c r="I347" s="115" t="str">
        <f ca="1">IFERROR(__xludf.DUMMYFUNCTION("""COMPUTED_VALUE"""),"1595")</f>
        <v>1595</v>
      </c>
      <c r="J347" s="115" t="str">
        <f ca="1">IFERROR(__xludf.DUMMYFUNCTION("""COMPUTED_VALUE"""),"324981")</f>
        <v>324981</v>
      </c>
      <c r="K347" s="113" t="e">
        <f ca="1"/>
        <v>#REF!</v>
      </c>
      <c r="L347" s="113" t="e">
        <f ca="1"/>
        <v>#REF!</v>
      </c>
      <c r="M347" s="113" t="e">
        <f ca="1"/>
        <v>#REF!</v>
      </c>
      <c r="N347" s="113" t="e">
        <f ca="1"/>
        <v>#REF!</v>
      </c>
      <c r="O347" s="113" t="e">
        <f ca="1"/>
        <v>#REF!</v>
      </c>
      <c r="P347" s="113" t="e">
        <f ca="1"/>
        <v>#REF!</v>
      </c>
      <c r="Q347" s="113" t="e">
        <f ca="1"/>
        <v>#REF!</v>
      </c>
      <c r="R347" s="113" t="e">
        <f ca="1"/>
        <v>#REF!</v>
      </c>
      <c r="S347" s="113" t="e">
        <f ca="1"/>
        <v>#REF!</v>
      </c>
      <c r="T347" s="113" t="e">
        <f ca="1"/>
        <v>#REF!</v>
      </c>
      <c r="U347" s="113" t="e">
        <f ca="1"/>
        <v>#REF!</v>
      </c>
      <c r="V347" s="113" t="e">
        <f ca="1"/>
        <v>#REF!</v>
      </c>
      <c r="W347" s="113" t="e">
        <f ca="1"/>
        <v>#REF!</v>
      </c>
      <c r="X347" s="113" t="e">
        <f ca="1"/>
        <v>#REF!</v>
      </c>
      <c r="Y347" s="113" t="e">
        <f ca="1"/>
        <v>#REF!</v>
      </c>
      <c r="Z347" s="113" t="e">
        <f ca="1"/>
        <v>#REF!</v>
      </c>
      <c r="AA347" s="113"/>
      <c r="AB347" s="113"/>
      <c r="AC347" s="113"/>
      <c r="AD347" s="113"/>
      <c r="AE347" s="113" t="str">
        <f ca="1">IFERROR(__xludf.DUMMYFUNCTION("""COMPUTED_VALUE"""),"Parcial")</f>
        <v>Parcial</v>
      </c>
      <c r="AF347" s="113" t="str">
        <f ca="1">IFERROR(__xludf.DUMMYFUNCTION("""COMPUTED_VALUE"""),"FE")</f>
        <v>FE</v>
      </c>
      <c r="AG347" s="113">
        <f ca="1">IFERROR(__xludf.DUMMYFUNCTION("""COMPUTED_VALUE"""),0)</f>
        <v>0</v>
      </c>
      <c r="AH347" s="113">
        <f ca="1">IFERROR(__xludf.DUMMYFUNCTION("""COMPUTED_VALUE"""),0)</f>
        <v>0</v>
      </c>
      <c r="AI347" s="113">
        <f ca="1">IFERROR(__xludf.DUMMYFUNCTION("""COMPUTED_VALUE"""),0)</f>
        <v>0</v>
      </c>
      <c r="AJ347" s="113">
        <f ca="1">IFERROR(__xludf.DUMMYFUNCTION("""COMPUTED_VALUE"""),0)</f>
        <v>0</v>
      </c>
      <c r="AK347" s="113"/>
      <c r="AL347" s="116"/>
    </row>
    <row r="348" spans="1:38" ht="12.75">
      <c r="A348" s="112" t="str">
        <f ca="1">IFERROR(__xludf.DUMMYFUNCTION("""COMPUTED_VALUE"""),"13008790")</f>
        <v>13008790</v>
      </c>
      <c r="B348" s="113" t="str">
        <f ca="1">IFERROR(__xludf.DUMMYFUNCTION("""COMPUTED_VALUE"""),"Pedro Afonso")</f>
        <v>Pedro Afonso</v>
      </c>
      <c r="C348" s="113" t="str">
        <f ca="1">IFERROR(__xludf.DUMMYFUNCTION("""COMPUTED_VALUE"""),"Pedro Afonso")</f>
        <v>Pedro Afonso</v>
      </c>
      <c r="D348" s="114" t="str">
        <f ca="1">IFERROR(__xludf.DUMMYFUNCTION("""COMPUTED_VALUE"""),"A.A. AO COLÉGIO DE TEMPO INTEGRAL PROFESSOR ANTONIO BELARMINO FILHO")</f>
        <v>A.A. AO COLÉGIO DE TEMPO INTEGRAL PROFESSOR ANTONIO BELARMINO FILHO</v>
      </c>
      <c r="E348" s="113" t="str">
        <f ca="1">IFERROR(__xludf.DUMMYFUNCTION("""COMPUTED_VALUE"""),"A.A. Escola Estadual Antonio Belarmino Filho")</f>
        <v>A.A. Escola Estadual Antonio Belarmino Filho</v>
      </c>
      <c r="F348" s="115" t="str">
        <f ca="1">IFERROR(__xludf.DUMMYFUNCTION("""COMPUTED_VALUE"""),"13008790")</f>
        <v>13008790</v>
      </c>
      <c r="G348" s="113" t="str">
        <f ca="1">IFERROR(__xludf.DUMMYFUNCTION("""COMPUTED_VALUE"""),"47823286000179")</f>
        <v>47823286000179</v>
      </c>
      <c r="H348" s="115" t="str">
        <f ca="1">IFERROR(__xludf.DUMMYFUNCTION("""COMPUTED_VALUE"""),"001")</f>
        <v>001</v>
      </c>
      <c r="I348" s="115" t="str">
        <f ca="1">IFERROR(__xludf.DUMMYFUNCTION("""COMPUTED_VALUE"""),"1595")</f>
        <v>1595</v>
      </c>
      <c r="J348" s="115" t="str">
        <f ca="1">IFERROR(__xludf.DUMMYFUNCTION("""COMPUTED_VALUE"""),"334804")</f>
        <v>334804</v>
      </c>
      <c r="K348" s="113" t="e">
        <f ca="1"/>
        <v>#REF!</v>
      </c>
      <c r="L348" s="113" t="e">
        <f ca="1"/>
        <v>#REF!</v>
      </c>
      <c r="M348" s="113" t="e">
        <f ca="1"/>
        <v>#REF!</v>
      </c>
      <c r="N348" s="113" t="e">
        <f ca="1"/>
        <v>#REF!</v>
      </c>
      <c r="O348" s="113" t="e">
        <f ca="1"/>
        <v>#REF!</v>
      </c>
      <c r="P348" s="113" t="e">
        <f ca="1"/>
        <v>#REF!</v>
      </c>
      <c r="Q348" s="113" t="e">
        <f ca="1"/>
        <v>#REF!</v>
      </c>
      <c r="R348" s="113" t="e">
        <f ca="1"/>
        <v>#REF!</v>
      </c>
      <c r="S348" s="113" t="e">
        <f ca="1"/>
        <v>#REF!</v>
      </c>
      <c r="T348" s="113" t="e">
        <f ca="1"/>
        <v>#REF!</v>
      </c>
      <c r="U348" s="113" t="e">
        <f ca="1"/>
        <v>#REF!</v>
      </c>
      <c r="V348" s="113" t="e">
        <f ca="1"/>
        <v>#REF!</v>
      </c>
      <c r="W348" s="113" t="e">
        <f ca="1"/>
        <v>#REF!</v>
      </c>
      <c r="X348" s="113" t="e">
        <f ca="1"/>
        <v>#REF!</v>
      </c>
      <c r="Y348" s="113" t="e">
        <f ca="1"/>
        <v>#REF!</v>
      </c>
      <c r="Z348" s="113" t="e">
        <f ca="1"/>
        <v>#REF!</v>
      </c>
      <c r="AA348" s="113"/>
      <c r="AB348" s="113"/>
      <c r="AC348" s="113"/>
      <c r="AD348" s="113"/>
      <c r="AE348" s="113" t="str">
        <f ca="1">IFERROR(__xludf.DUMMYFUNCTION("""COMPUTED_VALUE"""),"Integral")</f>
        <v>Integral</v>
      </c>
      <c r="AF348" s="113" t="str">
        <f ca="1">IFERROR(__xludf.DUMMYFUNCTION("""COMPUTED_VALUE"""),"FE")</f>
        <v>FE</v>
      </c>
      <c r="AG348" s="113">
        <f ca="1">IFERROR(__xludf.DUMMYFUNCTION("""COMPUTED_VALUE"""),0)</f>
        <v>0</v>
      </c>
      <c r="AH348" s="113">
        <f ca="1">IFERROR(__xludf.DUMMYFUNCTION("""COMPUTED_VALUE"""),0)</f>
        <v>0</v>
      </c>
      <c r="AI348" s="113">
        <f ca="1">IFERROR(__xludf.DUMMYFUNCTION("""COMPUTED_VALUE"""),0)</f>
        <v>0</v>
      </c>
      <c r="AJ348" s="113">
        <f ca="1">IFERROR(__xludf.DUMMYFUNCTION("""COMPUTED_VALUE"""),34)</f>
        <v>34</v>
      </c>
      <c r="AK348" s="113"/>
      <c r="AL348" s="116"/>
    </row>
    <row r="349" spans="1:38" ht="12.75">
      <c r="A349" s="112" t="str">
        <f ca="1">IFERROR(__xludf.DUMMYFUNCTION("""COMPUTED_VALUE"""),"17031176")</f>
        <v>17031176</v>
      </c>
      <c r="B349" s="113" t="str">
        <f ca="1">IFERROR(__xludf.DUMMYFUNCTION("""COMPUTED_VALUE"""),"Pedro Afonso")</f>
        <v>Pedro Afonso</v>
      </c>
      <c r="C349" s="113" t="str">
        <f ca="1">IFERROR(__xludf.DUMMYFUNCTION("""COMPUTED_VALUE"""),"Recursolandia")</f>
        <v>Recursolandia</v>
      </c>
      <c r="D349" s="114" t="str">
        <f ca="1">IFERROR(__xludf.DUMMYFUNCTION("""COMPUTED_VALUE"""),"ASS. DE A. A ESCOLA EST. RECURSO I")</f>
        <v>ASS. DE A. A ESCOLA EST. RECURSO I</v>
      </c>
      <c r="E349" s="113" t="str">
        <f ca="1">IFERROR(__xludf.DUMMYFUNCTION("""COMPUTED_VALUE"""),"Escola Estadual Recurso I")</f>
        <v>Escola Estadual Recurso I</v>
      </c>
      <c r="F349" s="115" t="str">
        <f ca="1">IFERROR(__xludf.DUMMYFUNCTION("""COMPUTED_VALUE"""),"17031176")</f>
        <v>17031176</v>
      </c>
      <c r="G349" s="113" t="str">
        <f ca="1">IFERROR(__xludf.DUMMYFUNCTION("""COMPUTED_VALUE"""),"02021097000144")</f>
        <v>02021097000144</v>
      </c>
      <c r="H349" s="115" t="str">
        <f ca="1">IFERROR(__xludf.DUMMYFUNCTION("""COMPUTED_VALUE"""),"001")</f>
        <v>001</v>
      </c>
      <c r="I349" s="115" t="str">
        <f ca="1">IFERROR(__xludf.DUMMYFUNCTION("""COMPUTED_VALUE"""),"1595")</f>
        <v>1595</v>
      </c>
      <c r="J349" s="115" t="str">
        <f ca="1">IFERROR(__xludf.DUMMYFUNCTION("""COMPUTED_VALUE"""),"11029")</f>
        <v>11029</v>
      </c>
      <c r="K349" s="113" t="e">
        <f ca="1"/>
        <v>#REF!</v>
      </c>
      <c r="L349" s="113" t="e">
        <f ca="1"/>
        <v>#REF!</v>
      </c>
      <c r="M349" s="113" t="e">
        <f ca="1"/>
        <v>#REF!</v>
      </c>
      <c r="N349" s="113" t="e">
        <f ca="1"/>
        <v>#REF!</v>
      </c>
      <c r="O349" s="113" t="e">
        <f ca="1"/>
        <v>#REF!</v>
      </c>
      <c r="P349" s="113" t="e">
        <f ca="1"/>
        <v>#REF!</v>
      </c>
      <c r="Q349" s="113" t="e">
        <f ca="1"/>
        <v>#REF!</v>
      </c>
      <c r="R349" s="113" t="e">
        <f ca="1"/>
        <v>#REF!</v>
      </c>
      <c r="S349" s="113" t="e">
        <f ca="1"/>
        <v>#REF!</v>
      </c>
      <c r="T349" s="113" t="e">
        <f ca="1"/>
        <v>#REF!</v>
      </c>
      <c r="U349" s="113" t="e">
        <f ca="1"/>
        <v>#REF!</v>
      </c>
      <c r="V349" s="113" t="e">
        <f ca="1"/>
        <v>#REF!</v>
      </c>
      <c r="W349" s="113" t="e">
        <f ca="1"/>
        <v>#REF!</v>
      </c>
      <c r="X349" s="113" t="e">
        <f ca="1"/>
        <v>#REF!</v>
      </c>
      <c r="Y349" s="113" t="e">
        <f ca="1"/>
        <v>#REF!</v>
      </c>
      <c r="Z349" s="113" t="e">
        <f ca="1"/>
        <v>#REF!</v>
      </c>
      <c r="AA349" s="113"/>
      <c r="AB349" s="113"/>
      <c r="AC349" s="113"/>
      <c r="AD349" s="113"/>
      <c r="AE349" s="113" t="str">
        <f ca="1">IFERROR(__xludf.DUMMYFUNCTION("""COMPUTED_VALUE"""),"Parcial")</f>
        <v>Parcial</v>
      </c>
      <c r="AF349" s="113" t="str">
        <f ca="1">IFERROR(__xludf.DUMMYFUNCTION("""COMPUTED_VALUE"""),"FE")</f>
        <v>FE</v>
      </c>
      <c r="AG349" s="113">
        <f ca="1">IFERROR(__xludf.DUMMYFUNCTION("""COMPUTED_VALUE"""),0)</f>
        <v>0</v>
      </c>
      <c r="AH349" s="113">
        <f ca="1">IFERROR(__xludf.DUMMYFUNCTION("""COMPUTED_VALUE"""),0)</f>
        <v>0</v>
      </c>
      <c r="AI349" s="113">
        <f ca="1">IFERROR(__xludf.DUMMYFUNCTION("""COMPUTED_VALUE"""),0)</f>
        <v>0</v>
      </c>
      <c r="AJ349" s="113">
        <f ca="1">IFERROR(__xludf.DUMMYFUNCTION("""COMPUTED_VALUE"""),0)</f>
        <v>0</v>
      </c>
      <c r="AK349" s="113"/>
      <c r="AL349" s="116"/>
    </row>
    <row r="350" spans="1:38" ht="12.75">
      <c r="A350" s="112" t="str">
        <f ca="1">IFERROR(__xludf.DUMMYFUNCTION("""COMPUTED_VALUE"""),"17025621")</f>
        <v>17025621</v>
      </c>
      <c r="B350" s="113" t="str">
        <f ca="1">IFERROR(__xludf.DUMMYFUNCTION("""COMPUTED_VALUE"""),"Pedro Afonso")</f>
        <v>Pedro Afonso</v>
      </c>
      <c r="C350" s="113" t="str">
        <f ca="1">IFERROR(__xludf.DUMMYFUNCTION("""COMPUTED_VALUE"""),"Santa Maria do Tocantins")</f>
        <v>Santa Maria do Tocantins</v>
      </c>
      <c r="D350" s="114" t="str">
        <f ca="1">IFERROR(__xludf.DUMMYFUNCTION("""COMPUTED_VALUE"""),"A. A.AS ESC.DO COL. EST. SANTA MARIA")</f>
        <v>A. A.AS ESC.DO COL. EST. SANTA MARIA</v>
      </c>
      <c r="E350" s="113" t="str">
        <f ca="1">IFERROR(__xludf.DUMMYFUNCTION("""COMPUTED_VALUE"""),"Colégio Estadual de Tempo Integral Santa Maria")</f>
        <v>Colégio Estadual de Tempo Integral Santa Maria</v>
      </c>
      <c r="F350" s="115" t="str">
        <f ca="1">IFERROR(__xludf.DUMMYFUNCTION("""COMPUTED_VALUE"""),"17025621")</f>
        <v>17025621</v>
      </c>
      <c r="G350" s="113" t="str">
        <f ca="1">IFERROR(__xludf.DUMMYFUNCTION("""COMPUTED_VALUE"""),"02087933000193")</f>
        <v>02087933000193</v>
      </c>
      <c r="H350" s="115" t="str">
        <f ca="1">IFERROR(__xludf.DUMMYFUNCTION("""COMPUTED_VALUE"""),"001")</f>
        <v>001</v>
      </c>
      <c r="I350" s="115" t="str">
        <f ca="1">IFERROR(__xludf.DUMMYFUNCTION("""COMPUTED_VALUE"""),"1595")</f>
        <v>1595</v>
      </c>
      <c r="J350" s="115" t="str">
        <f ca="1">IFERROR(__xludf.DUMMYFUNCTION("""COMPUTED_VALUE"""),"83089")</f>
        <v>83089</v>
      </c>
      <c r="K350" s="113" t="e">
        <f ca="1"/>
        <v>#REF!</v>
      </c>
      <c r="L350" s="113" t="e">
        <f ca="1"/>
        <v>#REF!</v>
      </c>
      <c r="M350" s="113" t="e">
        <f ca="1"/>
        <v>#REF!</v>
      </c>
      <c r="N350" s="113" t="e">
        <f ca="1"/>
        <v>#REF!</v>
      </c>
      <c r="O350" s="113" t="e">
        <f ca="1"/>
        <v>#REF!</v>
      </c>
      <c r="P350" s="113" t="e">
        <f ca="1"/>
        <v>#REF!</v>
      </c>
      <c r="Q350" s="113" t="e">
        <f ca="1"/>
        <v>#REF!</v>
      </c>
      <c r="R350" s="113" t="e">
        <f ca="1"/>
        <v>#REF!</v>
      </c>
      <c r="S350" s="113" t="e">
        <f ca="1"/>
        <v>#REF!</v>
      </c>
      <c r="T350" s="113" t="e">
        <f ca="1"/>
        <v>#REF!</v>
      </c>
      <c r="U350" s="113" t="e">
        <f ca="1"/>
        <v>#REF!</v>
      </c>
      <c r="V350" s="113" t="e">
        <f ca="1"/>
        <v>#REF!</v>
      </c>
      <c r="W350" s="113" t="e">
        <f ca="1"/>
        <v>#REF!</v>
      </c>
      <c r="X350" s="113" t="e">
        <f ca="1"/>
        <v>#REF!</v>
      </c>
      <c r="Y350" s="113" t="e">
        <f ca="1"/>
        <v>#REF!</v>
      </c>
      <c r="Z350" s="113" t="e">
        <f ca="1"/>
        <v>#REF!</v>
      </c>
      <c r="AA350" s="113"/>
      <c r="AB350" s="113"/>
      <c r="AC350" s="113"/>
      <c r="AD350" s="113"/>
      <c r="AE350" s="113" t="str">
        <f ca="1">IFERROR(__xludf.DUMMYFUNCTION("""COMPUTED_VALUE"""),"Integral")</f>
        <v>Integral</v>
      </c>
      <c r="AF350" s="113" t="str">
        <f ca="1">IFERROR(__xludf.DUMMYFUNCTION("""COMPUTED_VALUE"""),"FE")</f>
        <v>FE</v>
      </c>
      <c r="AG350" s="113">
        <f ca="1">IFERROR(__xludf.DUMMYFUNCTION("""COMPUTED_VALUE"""),0)</f>
        <v>0</v>
      </c>
      <c r="AH350" s="113">
        <f ca="1">IFERROR(__xludf.DUMMYFUNCTION("""COMPUTED_VALUE"""),0)</f>
        <v>0</v>
      </c>
      <c r="AI350" s="113">
        <f ca="1">IFERROR(__xludf.DUMMYFUNCTION("""COMPUTED_VALUE"""),0)</f>
        <v>0</v>
      </c>
      <c r="AJ350" s="113">
        <f ca="1">IFERROR(__xludf.DUMMYFUNCTION("""COMPUTED_VALUE"""),7)</f>
        <v>7</v>
      </c>
      <c r="AK350" s="113"/>
      <c r="AL350" s="116"/>
    </row>
    <row r="351" spans="1:38" ht="12.75">
      <c r="A351" s="112" t="str">
        <f ca="1">IFERROR(__xludf.DUMMYFUNCTION("""COMPUTED_VALUE"""),"17014042")</f>
        <v>17014042</v>
      </c>
      <c r="B351" s="113" t="str">
        <f ca="1">IFERROR(__xludf.DUMMYFUNCTION("""COMPUTED_VALUE"""),"Pedro Afonso")</f>
        <v>Pedro Afonso</v>
      </c>
      <c r="C351" s="113" t="str">
        <f ca="1">IFERROR(__xludf.DUMMYFUNCTION("""COMPUTED_VALUE"""),"Tupirama")</f>
        <v>Tupirama</v>
      </c>
      <c r="D351" s="114" t="str">
        <f ca="1">IFERROR(__xludf.DUMMYFUNCTION("""COMPUTED_VALUE"""),"A.A. A ESCOLA EST. MARIA DA GLORIA")</f>
        <v>A.A. A ESCOLA EST. MARIA DA GLORIA</v>
      </c>
      <c r="E351" s="113" t="str">
        <f ca="1">IFERROR(__xludf.DUMMYFUNCTION("""COMPUTED_VALUE"""),"Escola Estadual Girassol de Tempo Integral Maria da Glória")</f>
        <v>Escola Estadual Girassol de Tempo Integral Maria da Glória</v>
      </c>
      <c r="F351" s="115" t="str">
        <f ca="1">IFERROR(__xludf.DUMMYFUNCTION("""COMPUTED_VALUE"""),"17014042")</f>
        <v>17014042</v>
      </c>
      <c r="G351" s="113" t="str">
        <f ca="1">IFERROR(__xludf.DUMMYFUNCTION("""COMPUTED_VALUE"""),"02096555000104")</f>
        <v>02096555000104</v>
      </c>
      <c r="H351" s="115" t="str">
        <f ca="1">IFERROR(__xludf.DUMMYFUNCTION("""COMPUTED_VALUE"""),"001")</f>
        <v>001</v>
      </c>
      <c r="I351" s="115" t="str">
        <f ca="1">IFERROR(__xludf.DUMMYFUNCTION("""COMPUTED_VALUE"""),"2094")</f>
        <v>2094</v>
      </c>
      <c r="J351" s="115" t="str">
        <f ca="1">IFERROR(__xludf.DUMMYFUNCTION("""COMPUTED_VALUE"""),"50482")</f>
        <v>50482</v>
      </c>
      <c r="K351" s="113" t="e">
        <f ca="1"/>
        <v>#REF!</v>
      </c>
      <c r="L351" s="113" t="e">
        <f ca="1"/>
        <v>#REF!</v>
      </c>
      <c r="M351" s="113" t="e">
        <f ca="1"/>
        <v>#REF!</v>
      </c>
      <c r="N351" s="113" t="e">
        <f ca="1"/>
        <v>#REF!</v>
      </c>
      <c r="O351" s="113" t="e">
        <f ca="1"/>
        <v>#REF!</v>
      </c>
      <c r="P351" s="113" t="e">
        <f ca="1"/>
        <v>#REF!</v>
      </c>
      <c r="Q351" s="113" t="e">
        <f ca="1"/>
        <v>#REF!</v>
      </c>
      <c r="R351" s="113" t="e">
        <f ca="1"/>
        <v>#REF!</v>
      </c>
      <c r="S351" s="113" t="e">
        <f ca="1"/>
        <v>#REF!</v>
      </c>
      <c r="T351" s="113" t="e">
        <f ca="1"/>
        <v>#REF!</v>
      </c>
      <c r="U351" s="113" t="e">
        <f ca="1"/>
        <v>#REF!</v>
      </c>
      <c r="V351" s="113" t="e">
        <f ca="1"/>
        <v>#REF!</v>
      </c>
      <c r="W351" s="113" t="e">
        <f ca="1"/>
        <v>#REF!</v>
      </c>
      <c r="X351" s="113" t="e">
        <f ca="1"/>
        <v>#REF!</v>
      </c>
      <c r="Y351" s="113" t="e">
        <f ca="1"/>
        <v>#REF!</v>
      </c>
      <c r="Z351" s="113" t="e">
        <f ca="1"/>
        <v>#REF!</v>
      </c>
      <c r="AA351" s="113"/>
      <c r="AB351" s="113"/>
      <c r="AC351" s="113"/>
      <c r="AD351" s="113"/>
      <c r="AE351" s="113" t="str">
        <f ca="1">IFERROR(__xludf.DUMMYFUNCTION("""COMPUTED_VALUE"""),"Integral")</f>
        <v>Integral</v>
      </c>
      <c r="AF351" s="113" t="str">
        <f ca="1">IFERROR(__xludf.DUMMYFUNCTION("""COMPUTED_VALUE"""),"FE")</f>
        <v>FE</v>
      </c>
      <c r="AG351" s="113">
        <f ca="1">IFERROR(__xludf.DUMMYFUNCTION("""COMPUTED_VALUE"""),0)</f>
        <v>0</v>
      </c>
      <c r="AH351" s="113">
        <f ca="1">IFERROR(__xludf.DUMMYFUNCTION("""COMPUTED_VALUE"""),0)</f>
        <v>0</v>
      </c>
      <c r="AI351" s="113">
        <f ca="1">IFERROR(__xludf.DUMMYFUNCTION("""COMPUTED_VALUE"""),0)</f>
        <v>0</v>
      </c>
      <c r="AJ351" s="113">
        <f ca="1">IFERROR(__xludf.DUMMYFUNCTION("""COMPUTED_VALUE"""),15)</f>
        <v>15</v>
      </c>
      <c r="AK351" s="113"/>
      <c r="AL351" s="116"/>
    </row>
    <row r="352" spans="1:38" ht="12.75">
      <c r="A352" s="112" t="str">
        <f ca="1">IFERROR(__xludf.DUMMYFUNCTION("""COMPUTED_VALUE"""),"17020867")</f>
        <v>17020867</v>
      </c>
      <c r="B352" s="113" t="str">
        <f ca="1">IFERROR(__xludf.DUMMYFUNCTION("""COMPUTED_VALUE"""),"Porto Nacional")</f>
        <v>Porto Nacional</v>
      </c>
      <c r="C352" s="113" t="str">
        <f ca="1">IFERROR(__xludf.DUMMYFUNCTION("""COMPUTED_VALUE"""),"Brejinho de Nazare")</f>
        <v>Brejinho de Nazare</v>
      </c>
      <c r="D352" s="114" t="str">
        <f ca="1">IFERROR(__xludf.DUMMYFUNCTION("""COMPUTED_VALUE"""),"A.A. DO COLEGIO ESTADUAL PADRAO")</f>
        <v>A.A. DO COLEGIO ESTADUAL PADRAO</v>
      </c>
      <c r="E352" s="113" t="str">
        <f ca="1">IFERROR(__xludf.DUMMYFUNCTION("""COMPUTED_VALUE"""),"Colégio Estadual Padrão")</f>
        <v>Colégio Estadual Padrão</v>
      </c>
      <c r="F352" s="115" t="str">
        <f ca="1">IFERROR(__xludf.DUMMYFUNCTION("""COMPUTED_VALUE"""),"17020867")</f>
        <v>17020867</v>
      </c>
      <c r="G352" s="113" t="str">
        <f ca="1">IFERROR(__xludf.DUMMYFUNCTION("""COMPUTED_VALUE"""),"01181175000105")</f>
        <v>01181175000105</v>
      </c>
      <c r="H352" s="115" t="str">
        <f ca="1">IFERROR(__xludf.DUMMYFUNCTION("""COMPUTED_VALUE"""),"001")</f>
        <v>001</v>
      </c>
      <c r="I352" s="115" t="str">
        <f ca="1">IFERROR(__xludf.DUMMYFUNCTION("""COMPUTED_VALUE"""),"3976")</f>
        <v>3976</v>
      </c>
      <c r="J352" s="115" t="str">
        <f ca="1">IFERROR(__xludf.DUMMYFUNCTION("""COMPUTED_VALUE"""),"51047")</f>
        <v>51047</v>
      </c>
      <c r="K352" s="113" t="e">
        <f ca="1"/>
        <v>#REF!</v>
      </c>
      <c r="L352" s="113" t="e">
        <f ca="1"/>
        <v>#REF!</v>
      </c>
      <c r="M352" s="113" t="e">
        <f ca="1"/>
        <v>#REF!</v>
      </c>
      <c r="N352" s="113" t="e">
        <f ca="1"/>
        <v>#REF!</v>
      </c>
      <c r="O352" s="113" t="e">
        <f ca="1"/>
        <v>#REF!</v>
      </c>
      <c r="P352" s="113" t="e">
        <f ca="1"/>
        <v>#REF!</v>
      </c>
      <c r="Q352" s="113" t="e">
        <f ca="1"/>
        <v>#REF!</v>
      </c>
      <c r="R352" s="113" t="e">
        <f ca="1"/>
        <v>#REF!</v>
      </c>
      <c r="S352" s="113" t="e">
        <f ca="1"/>
        <v>#REF!</v>
      </c>
      <c r="T352" s="113" t="e">
        <f ca="1"/>
        <v>#REF!</v>
      </c>
      <c r="U352" s="113" t="e">
        <f ca="1"/>
        <v>#REF!</v>
      </c>
      <c r="V352" s="113" t="e">
        <f ca="1"/>
        <v>#REF!</v>
      </c>
      <c r="W352" s="113" t="e">
        <f ca="1"/>
        <v>#REF!</v>
      </c>
      <c r="X352" s="113" t="e">
        <f ca="1"/>
        <v>#REF!</v>
      </c>
      <c r="Y352" s="113" t="e">
        <f ca="1"/>
        <v>#REF!</v>
      </c>
      <c r="Z352" s="113" t="e">
        <f ca="1"/>
        <v>#REF!</v>
      </c>
      <c r="AA352" s="113"/>
      <c r="AB352" s="113"/>
      <c r="AC352" s="113"/>
      <c r="AD352" s="113" t="str">
        <f ca="1">IFERROR(__xludf.DUMMYFUNCTION("""COMPUTED_VALUE"""),"INDIGENA /QUILOMBOLA INTEGRAL")</f>
        <v>INDIGENA /QUILOMBOLA INTEGRAL</v>
      </c>
      <c r="AE352" s="113" t="str">
        <f ca="1">IFERROR(__xludf.DUMMYFUNCTION("""COMPUTED_VALUE"""),"Parcial/Integral")</f>
        <v>Parcial/Integral</v>
      </c>
      <c r="AF352" s="113" t="str">
        <f ca="1">IFERROR(__xludf.DUMMYFUNCTION("""COMPUTED_VALUE"""),"FE")</f>
        <v>FE</v>
      </c>
      <c r="AG352" s="113">
        <f ca="1">IFERROR(__xludf.DUMMYFUNCTION("""COMPUTED_VALUE"""),12)</f>
        <v>12</v>
      </c>
      <c r="AH352" s="113">
        <f ca="1">IFERROR(__xludf.DUMMYFUNCTION("""COMPUTED_VALUE"""),0)</f>
        <v>0</v>
      </c>
      <c r="AI352" s="113">
        <f ca="1">IFERROR(__xludf.DUMMYFUNCTION("""COMPUTED_VALUE"""),0)</f>
        <v>0</v>
      </c>
      <c r="AJ352" s="113">
        <f ca="1">IFERROR(__xludf.DUMMYFUNCTION("""COMPUTED_VALUE"""),0)</f>
        <v>0</v>
      </c>
      <c r="AK352" s="113"/>
      <c r="AL352" s="116"/>
    </row>
    <row r="353" spans="1:38" ht="12.75">
      <c r="A353" s="112" t="str">
        <f ca="1">IFERROR(__xludf.DUMMYFUNCTION("""COMPUTED_VALUE"""),"17020891")</f>
        <v>17020891</v>
      </c>
      <c r="B353" s="113" t="str">
        <f ca="1">IFERROR(__xludf.DUMMYFUNCTION("""COMPUTED_VALUE"""),"Porto Nacional")</f>
        <v>Porto Nacional</v>
      </c>
      <c r="C353" s="113" t="str">
        <f ca="1">IFERROR(__xludf.DUMMYFUNCTION("""COMPUTED_VALUE"""),"Brejinho de Nazare")</f>
        <v>Brejinho de Nazare</v>
      </c>
      <c r="D353" s="114" t="str">
        <f ca="1">IFERROR(__xludf.DUMMYFUNCTION("""COMPUTED_VALUE"""),"AS.DE APOIO A ESC. EST. JONAS PEREIRA LIMA")</f>
        <v>AS.DE APOIO A ESC. EST. JONAS PEREIRA LIMA</v>
      </c>
      <c r="E353" s="113" t="str">
        <f ca="1">IFERROR(__xludf.DUMMYFUNCTION("""COMPUTED_VALUE"""),"Escola Estadual Jonas Pereira Lima")</f>
        <v>Escola Estadual Jonas Pereira Lima</v>
      </c>
      <c r="F353" s="115" t="str">
        <f ca="1">IFERROR(__xludf.DUMMYFUNCTION("""COMPUTED_VALUE"""),"17020891")</f>
        <v>17020891</v>
      </c>
      <c r="G353" s="113" t="str">
        <f ca="1">IFERROR(__xludf.DUMMYFUNCTION("""COMPUTED_VALUE"""),"01148459000108")</f>
        <v>01148459000108</v>
      </c>
      <c r="H353" s="115" t="str">
        <f ca="1">IFERROR(__xludf.DUMMYFUNCTION("""COMPUTED_VALUE"""),"001")</f>
        <v>001</v>
      </c>
      <c r="I353" s="115" t="str">
        <f ca="1">IFERROR(__xludf.DUMMYFUNCTION("""COMPUTED_VALUE"""),"3976")</f>
        <v>3976</v>
      </c>
      <c r="J353" s="115" t="str">
        <f ca="1">IFERROR(__xludf.DUMMYFUNCTION("""COMPUTED_VALUE"""),"80489")</f>
        <v>80489</v>
      </c>
      <c r="K353" s="113" t="e">
        <f ca="1"/>
        <v>#REF!</v>
      </c>
      <c r="L353" s="113" t="e">
        <f ca="1"/>
        <v>#REF!</v>
      </c>
      <c r="M353" s="113" t="e">
        <f ca="1"/>
        <v>#REF!</v>
      </c>
      <c r="N353" s="113" t="e">
        <f ca="1"/>
        <v>#REF!</v>
      </c>
      <c r="O353" s="113" t="e">
        <f ca="1"/>
        <v>#REF!</v>
      </c>
      <c r="P353" s="113" t="e">
        <f ca="1"/>
        <v>#REF!</v>
      </c>
      <c r="Q353" s="113" t="e">
        <f ca="1"/>
        <v>#REF!</v>
      </c>
      <c r="R353" s="113" t="e">
        <f ca="1"/>
        <v>#REF!</v>
      </c>
      <c r="S353" s="113" t="e">
        <f ca="1"/>
        <v>#REF!</v>
      </c>
      <c r="T353" s="113" t="e">
        <f ca="1"/>
        <v>#REF!</v>
      </c>
      <c r="U353" s="113" t="e">
        <f ca="1"/>
        <v>#REF!</v>
      </c>
      <c r="V353" s="113" t="e">
        <f ca="1"/>
        <v>#REF!</v>
      </c>
      <c r="W353" s="113" t="e">
        <f ca="1"/>
        <v>#REF!</v>
      </c>
      <c r="X353" s="113" t="e">
        <f ca="1"/>
        <v>#REF!</v>
      </c>
      <c r="Y353" s="113" t="e">
        <f ca="1"/>
        <v>#REF!</v>
      </c>
      <c r="Z353" s="113" t="e">
        <f ca="1"/>
        <v>#REF!</v>
      </c>
      <c r="AA353" s="113"/>
      <c r="AB353" s="113"/>
      <c r="AC353" s="113"/>
      <c r="AD353" s="113" t="str">
        <f ca="1">IFERROR(__xludf.DUMMYFUNCTION("""COMPUTED_VALUE"""),"INDIGENA /QUILOMBOLA PARCIAL")</f>
        <v>INDIGENA /QUILOMBOLA PARCIAL</v>
      </c>
      <c r="AE353" s="113" t="str">
        <f ca="1">IFERROR(__xludf.DUMMYFUNCTION("""COMPUTED_VALUE"""),"Parcial")</f>
        <v>Parcial</v>
      </c>
      <c r="AF353" s="113" t="str">
        <f ca="1">IFERROR(__xludf.DUMMYFUNCTION("""COMPUTED_VALUE"""),"FE")</f>
        <v>FE</v>
      </c>
      <c r="AG353" s="113">
        <f ca="1">IFERROR(__xludf.DUMMYFUNCTION("""COMPUTED_VALUE"""),0)</f>
        <v>0</v>
      </c>
      <c r="AH353" s="113">
        <f ca="1">IFERROR(__xludf.DUMMYFUNCTION("""COMPUTED_VALUE"""),0)</f>
        <v>0</v>
      </c>
      <c r="AI353" s="113">
        <f ca="1">IFERROR(__xludf.DUMMYFUNCTION("""COMPUTED_VALUE"""),0)</f>
        <v>0</v>
      </c>
      <c r="AJ353" s="113">
        <f ca="1">IFERROR(__xludf.DUMMYFUNCTION("""COMPUTED_VALUE"""),17)</f>
        <v>17</v>
      </c>
      <c r="AK353" s="113"/>
      <c r="AL353" s="116"/>
    </row>
    <row r="354" spans="1:38" ht="12.75">
      <c r="A354" s="112" t="str">
        <f ca="1">IFERROR(__xludf.DUMMYFUNCTION("""COMPUTED_VALUE"""),"17035163")</f>
        <v>17035163</v>
      </c>
      <c r="B354" s="113" t="str">
        <f ca="1">IFERROR(__xludf.DUMMYFUNCTION("""COMPUTED_VALUE"""),"Porto Nacional")</f>
        <v>Porto Nacional</v>
      </c>
      <c r="C354" s="113" t="str">
        <f ca="1">IFERROR(__xludf.DUMMYFUNCTION("""COMPUTED_VALUE"""),"Chapada da Natividade")</f>
        <v>Chapada da Natividade</v>
      </c>
      <c r="D354" s="114" t="str">
        <f ca="1">IFERROR(__xludf.DUMMYFUNCTION("""COMPUTED_VALUE"""),"A. APOIO ESCOLA EST. FULGENCIO NUNES")</f>
        <v>A. APOIO ESCOLA EST. FULGENCIO NUNES</v>
      </c>
      <c r="E354" s="113" t="str">
        <f ca="1">IFERROR(__xludf.DUMMYFUNCTION("""COMPUTED_VALUE"""),"Colégio Estadual Fulgêncio Nunes")</f>
        <v>Colégio Estadual Fulgêncio Nunes</v>
      </c>
      <c r="F354" s="115" t="str">
        <f ca="1">IFERROR(__xludf.DUMMYFUNCTION("""COMPUTED_VALUE"""),"17035163")</f>
        <v>17035163</v>
      </c>
      <c r="G354" s="113" t="str">
        <f ca="1">IFERROR(__xludf.DUMMYFUNCTION("""COMPUTED_VALUE"""),"01257085000150")</f>
        <v>01257085000150</v>
      </c>
      <c r="H354" s="115" t="str">
        <f ca="1">IFERROR(__xludf.DUMMYFUNCTION("""COMPUTED_VALUE"""),"003")</f>
        <v>003</v>
      </c>
      <c r="I354" s="115" t="str">
        <f ca="1">IFERROR(__xludf.DUMMYFUNCTION("""COMPUTED_VALUE"""),"0037")</f>
        <v>0037</v>
      </c>
      <c r="J354" s="115" t="str">
        <f ca="1">IFERROR(__xludf.DUMMYFUNCTION("""COMPUTED_VALUE"""),"706153")</f>
        <v>706153</v>
      </c>
      <c r="K354" s="113" t="e">
        <f ca="1"/>
        <v>#REF!</v>
      </c>
      <c r="L354" s="113" t="e">
        <f ca="1"/>
        <v>#REF!</v>
      </c>
      <c r="M354" s="113" t="e">
        <f ca="1"/>
        <v>#REF!</v>
      </c>
      <c r="N354" s="113" t="e">
        <f ca="1"/>
        <v>#REF!</v>
      </c>
      <c r="O354" s="113" t="e">
        <f ca="1"/>
        <v>#REF!</v>
      </c>
      <c r="P354" s="113" t="e">
        <f ca="1"/>
        <v>#REF!</v>
      </c>
      <c r="Q354" s="113" t="e">
        <f ca="1"/>
        <v>#REF!</v>
      </c>
      <c r="R354" s="113" t="e">
        <f ca="1"/>
        <v>#REF!</v>
      </c>
      <c r="S354" s="113" t="e">
        <f ca="1"/>
        <v>#REF!</v>
      </c>
      <c r="T354" s="113" t="e">
        <f ca="1"/>
        <v>#REF!</v>
      </c>
      <c r="U354" s="113" t="e">
        <f ca="1"/>
        <v>#REF!</v>
      </c>
      <c r="V354" s="113" t="e">
        <f ca="1"/>
        <v>#REF!</v>
      </c>
      <c r="W354" s="113" t="e">
        <f ca="1"/>
        <v>#REF!</v>
      </c>
      <c r="X354" s="113" t="e">
        <f ca="1"/>
        <v>#REF!</v>
      </c>
      <c r="Y354" s="113" t="e">
        <f ca="1"/>
        <v>#REF!</v>
      </c>
      <c r="Z354" s="113" t="e">
        <f ca="1"/>
        <v>#REF!</v>
      </c>
      <c r="AA354" s="113"/>
      <c r="AB354" s="113"/>
      <c r="AC354" s="113"/>
      <c r="AD354" s="113" t="str">
        <f ca="1">IFERROR(__xludf.DUMMYFUNCTION("""COMPUTED_VALUE"""),"INDIGENA /QUILOMBOLA PARCIAL")</f>
        <v>INDIGENA /QUILOMBOLA PARCIAL</v>
      </c>
      <c r="AE354" s="113" t="str">
        <f ca="1">IFERROR(__xludf.DUMMYFUNCTION("""COMPUTED_VALUE"""),"Parcial")</f>
        <v>Parcial</v>
      </c>
      <c r="AF354" s="113" t="str">
        <f ca="1">IFERROR(__xludf.DUMMYFUNCTION("""COMPUTED_VALUE"""),"FE")</f>
        <v>FE</v>
      </c>
      <c r="AG354" s="113">
        <f ca="1">IFERROR(__xludf.DUMMYFUNCTION("""COMPUTED_VALUE"""),0)</f>
        <v>0</v>
      </c>
      <c r="AH354" s="113">
        <f ca="1">IFERROR(__xludf.DUMMYFUNCTION("""COMPUTED_VALUE"""),0)</f>
        <v>0</v>
      </c>
      <c r="AI354" s="113">
        <f ca="1">IFERROR(__xludf.DUMMYFUNCTION("""COMPUTED_VALUE"""),0)</f>
        <v>0</v>
      </c>
      <c r="AJ354" s="113">
        <f ca="1">IFERROR(__xludf.DUMMYFUNCTION("""COMPUTED_VALUE"""),0)</f>
        <v>0</v>
      </c>
      <c r="AK354" s="113"/>
      <c r="AL354" s="116"/>
    </row>
    <row r="355" spans="1:38" ht="12.75">
      <c r="A355" s="112" t="str">
        <f ca="1">IFERROR(__xludf.DUMMYFUNCTION("""COMPUTED_VALUE"""),"17018161")</f>
        <v>17018161</v>
      </c>
      <c r="B355" s="113" t="str">
        <f ca="1">IFERROR(__xludf.DUMMYFUNCTION("""COMPUTED_VALUE"""),"Porto Nacional")</f>
        <v>Porto Nacional</v>
      </c>
      <c r="C355" s="113" t="str">
        <f ca="1">IFERROR(__xludf.DUMMYFUNCTION("""COMPUTED_VALUE"""),"Fatima")</f>
        <v>Fatima</v>
      </c>
      <c r="D355" s="114" t="str">
        <f ca="1">IFERROR(__xludf.DUMMYFUNCTION("""COMPUTED_VALUE"""),"A.A. ESCOLA ESTADUAL CONCEICAO BRITO")</f>
        <v>A.A. ESCOLA ESTADUAL CONCEICAO BRITO</v>
      </c>
      <c r="E355" s="113" t="str">
        <f ca="1">IFERROR(__xludf.DUMMYFUNCTION("""COMPUTED_VALUE"""),"Colégio Estadual Conceição Brito")</f>
        <v>Colégio Estadual Conceição Brito</v>
      </c>
      <c r="F355" s="115" t="str">
        <f ca="1">IFERROR(__xludf.DUMMYFUNCTION("""COMPUTED_VALUE"""),"17018161")</f>
        <v>17018161</v>
      </c>
      <c r="G355" s="113" t="str">
        <f ca="1">IFERROR(__xludf.DUMMYFUNCTION("""COMPUTED_VALUE"""),"01268285000109")</f>
        <v>01268285000109</v>
      </c>
      <c r="H355" s="115" t="str">
        <f ca="1">IFERROR(__xludf.DUMMYFUNCTION("""COMPUTED_VALUE"""),"001")</f>
        <v>001</v>
      </c>
      <c r="I355" s="115" t="str">
        <f ca="1">IFERROR(__xludf.DUMMYFUNCTION("""COMPUTED_VALUE"""),"4107")</f>
        <v>4107</v>
      </c>
      <c r="J355" s="115" t="str">
        <f ca="1">IFERROR(__xludf.DUMMYFUNCTION("""COMPUTED_VALUE"""),"50911")</f>
        <v>50911</v>
      </c>
      <c r="K355" s="113" t="e">
        <f ca="1"/>
        <v>#REF!</v>
      </c>
      <c r="L355" s="113" t="e">
        <f ca="1"/>
        <v>#REF!</v>
      </c>
      <c r="M355" s="113" t="e">
        <f ca="1"/>
        <v>#REF!</v>
      </c>
      <c r="N355" s="113" t="e">
        <f ca="1"/>
        <v>#REF!</v>
      </c>
      <c r="O355" s="113" t="e">
        <f ca="1"/>
        <v>#REF!</v>
      </c>
      <c r="P355" s="113" t="e">
        <f ca="1"/>
        <v>#REF!</v>
      </c>
      <c r="Q355" s="113" t="e">
        <f ca="1"/>
        <v>#REF!</v>
      </c>
      <c r="R355" s="113" t="e">
        <f ca="1"/>
        <v>#REF!</v>
      </c>
      <c r="S355" s="113" t="e">
        <f ca="1"/>
        <v>#REF!</v>
      </c>
      <c r="T355" s="113" t="e">
        <f ca="1"/>
        <v>#REF!</v>
      </c>
      <c r="U355" s="113" t="e">
        <f ca="1"/>
        <v>#REF!</v>
      </c>
      <c r="V355" s="113" t="e">
        <f ca="1"/>
        <v>#REF!</v>
      </c>
      <c r="W355" s="113" t="e">
        <f ca="1"/>
        <v>#REF!</v>
      </c>
      <c r="X355" s="113" t="e">
        <f ca="1"/>
        <v>#REF!</v>
      </c>
      <c r="Y355" s="113" t="e">
        <f ca="1"/>
        <v>#REF!</v>
      </c>
      <c r="Z355" s="113" t="e">
        <f ca="1"/>
        <v>#REF!</v>
      </c>
      <c r="AA355" s="113"/>
      <c r="AB355" s="113"/>
      <c r="AC355" s="113"/>
      <c r="AD355" s="113"/>
      <c r="AE355" s="113" t="str">
        <f ca="1">IFERROR(__xludf.DUMMYFUNCTION("""COMPUTED_VALUE"""),"Parcial")</f>
        <v>Parcial</v>
      </c>
      <c r="AF355" s="113" t="str">
        <f ca="1">IFERROR(__xludf.DUMMYFUNCTION("""COMPUTED_VALUE"""),"FE")</f>
        <v>FE</v>
      </c>
      <c r="AG355" s="113">
        <f ca="1">IFERROR(__xludf.DUMMYFUNCTION("""COMPUTED_VALUE"""),0)</f>
        <v>0</v>
      </c>
      <c r="AH355" s="113">
        <f ca="1">IFERROR(__xludf.DUMMYFUNCTION("""COMPUTED_VALUE"""),0)</f>
        <v>0</v>
      </c>
      <c r="AI355" s="113">
        <f ca="1">IFERROR(__xludf.DUMMYFUNCTION("""COMPUTED_VALUE"""),0)</f>
        <v>0</v>
      </c>
      <c r="AJ355" s="113">
        <f ca="1">IFERROR(__xludf.DUMMYFUNCTION("""COMPUTED_VALUE"""),0)</f>
        <v>0</v>
      </c>
      <c r="AK355" s="113"/>
      <c r="AL355" s="116"/>
    </row>
    <row r="356" spans="1:38" ht="12.75">
      <c r="A356" s="112" t="str">
        <f ca="1">IFERROR(__xludf.DUMMYFUNCTION("""COMPUTED_VALUE"""),"17104807")</f>
        <v>17104807</v>
      </c>
      <c r="B356" s="113" t="str">
        <f ca="1">IFERROR(__xludf.DUMMYFUNCTION("""COMPUTED_VALUE"""),"Porto Nacional")</f>
        <v>Porto Nacional</v>
      </c>
      <c r="C356" s="113" t="str">
        <f ca="1">IFERROR(__xludf.DUMMYFUNCTION("""COMPUTED_VALUE"""),"Fatima")</f>
        <v>Fatima</v>
      </c>
      <c r="D356" s="114" t="str">
        <f ca="1">IFERROR(__xludf.DUMMYFUNCTION("""COMPUTED_VALUE"""),"ASSOC. DE APOIO A ESCOLA ESPECIAL RENASCER")</f>
        <v>ASSOC. DE APOIO A ESCOLA ESPECIAL RENASCER</v>
      </c>
      <c r="E356" s="113" t="str">
        <f ca="1">IFERROR(__xludf.DUMMYFUNCTION("""COMPUTED_VALUE"""),"Escola Especial Renascer")</f>
        <v>Escola Especial Renascer</v>
      </c>
      <c r="F356" s="115" t="str">
        <f ca="1">IFERROR(__xludf.DUMMYFUNCTION("""COMPUTED_VALUE"""),"17104807")</f>
        <v>17104807</v>
      </c>
      <c r="G356" s="113" t="str">
        <f ca="1">IFERROR(__xludf.DUMMYFUNCTION("""COMPUTED_VALUE"""),"11726757000183")</f>
        <v>11726757000183</v>
      </c>
      <c r="H356" s="115" t="str">
        <f ca="1">IFERROR(__xludf.DUMMYFUNCTION("""COMPUTED_VALUE"""),"001")</f>
        <v>001</v>
      </c>
      <c r="I356" s="115" t="str">
        <f ca="1">IFERROR(__xludf.DUMMYFUNCTION("""COMPUTED_VALUE"""),"4107")</f>
        <v>4107</v>
      </c>
      <c r="J356" s="115" t="str">
        <f ca="1">IFERROR(__xludf.DUMMYFUNCTION("""COMPUTED_VALUE"""),"7991X")</f>
        <v>7991X</v>
      </c>
      <c r="K356" s="113" t="e">
        <f ca="1"/>
        <v>#REF!</v>
      </c>
      <c r="L356" s="113" t="e">
        <f ca="1"/>
        <v>#REF!</v>
      </c>
      <c r="M356" s="113" t="e">
        <f ca="1"/>
        <v>#REF!</v>
      </c>
      <c r="N356" s="113" t="e">
        <f ca="1"/>
        <v>#REF!</v>
      </c>
      <c r="O356" s="113" t="e">
        <f ca="1"/>
        <v>#REF!</v>
      </c>
      <c r="P356" s="113" t="e">
        <f ca="1"/>
        <v>#REF!</v>
      </c>
      <c r="Q356" s="113" t="e">
        <f ca="1"/>
        <v>#REF!</v>
      </c>
      <c r="R356" s="113" t="e">
        <f ca="1"/>
        <v>#REF!</v>
      </c>
      <c r="S356" s="113" t="e">
        <f ca="1"/>
        <v>#REF!</v>
      </c>
      <c r="T356" s="113" t="e">
        <f ca="1"/>
        <v>#REF!</v>
      </c>
      <c r="U356" s="113" t="e">
        <f ca="1"/>
        <v>#REF!</v>
      </c>
      <c r="V356" s="113" t="e">
        <f ca="1"/>
        <v>#REF!</v>
      </c>
      <c r="W356" s="113" t="e">
        <f ca="1"/>
        <v>#REF!</v>
      </c>
      <c r="X356" s="113" t="e">
        <f ca="1"/>
        <v>#REF!</v>
      </c>
      <c r="Y356" s="113" t="e">
        <f ca="1"/>
        <v>#REF!</v>
      </c>
      <c r="Z356" s="113" t="e">
        <f ca="1"/>
        <v>#REF!</v>
      </c>
      <c r="AA356" s="113"/>
      <c r="AB356" s="113"/>
      <c r="AC356" s="113"/>
      <c r="AD356" s="113"/>
      <c r="AE356" s="113" t="str">
        <f ca="1">IFERROR(__xludf.DUMMYFUNCTION("""COMPUTED_VALUE"""),"Parcial")</f>
        <v>Parcial</v>
      </c>
      <c r="AF356" s="113" t="str">
        <f ca="1">IFERROR(__xludf.DUMMYFUNCTION("""COMPUTED_VALUE"""),"FE")</f>
        <v>FE</v>
      </c>
      <c r="AG356" s="113">
        <f ca="1">IFERROR(__xludf.DUMMYFUNCTION("""COMPUTED_VALUE"""),0)</f>
        <v>0</v>
      </c>
      <c r="AH356" s="113">
        <f ca="1">IFERROR(__xludf.DUMMYFUNCTION("""COMPUTED_VALUE"""),0)</f>
        <v>0</v>
      </c>
      <c r="AI356" s="113">
        <f ca="1">IFERROR(__xludf.DUMMYFUNCTION("""COMPUTED_VALUE"""),0)</f>
        <v>0</v>
      </c>
      <c r="AJ356" s="113">
        <f ca="1">IFERROR(__xludf.DUMMYFUNCTION("""COMPUTED_VALUE"""),0)</f>
        <v>0</v>
      </c>
      <c r="AK356" s="113"/>
      <c r="AL356" s="116"/>
    </row>
    <row r="357" spans="1:38" ht="12.75">
      <c r="A357" s="112" t="str">
        <f ca="1">IFERROR(__xludf.DUMMYFUNCTION("""COMPUTED_VALUE"""),"17024935")</f>
        <v>17024935</v>
      </c>
      <c r="B357" s="113" t="str">
        <f ca="1">IFERROR(__xludf.DUMMYFUNCTION("""COMPUTED_VALUE"""),"Porto Nacional")</f>
        <v>Porto Nacional</v>
      </c>
      <c r="C357" s="113" t="str">
        <f ca="1">IFERROR(__xludf.DUMMYFUNCTION("""COMPUTED_VALUE"""),"Ipueiras")</f>
        <v>Ipueiras</v>
      </c>
      <c r="D357" s="114" t="str">
        <f ca="1">IFERROR(__xludf.DUMMYFUNCTION("""COMPUTED_VALUE"""),"ASSOC. DE APOIO DA ESC. EST. FELIX CAMOA")</f>
        <v>ASSOC. DE APOIO DA ESC. EST. FELIX CAMOA</v>
      </c>
      <c r="E357" s="113" t="str">
        <f ca="1">IFERROR(__xludf.DUMMYFUNCTION("""COMPUTED_VALUE"""),"Escola Estadual Félix Camoa II")</f>
        <v>Escola Estadual Félix Camoa II</v>
      </c>
      <c r="F357" s="115" t="str">
        <f ca="1">IFERROR(__xludf.DUMMYFUNCTION("""COMPUTED_VALUE"""),"17024935")</f>
        <v>17024935</v>
      </c>
      <c r="G357" s="113" t="str">
        <f ca="1">IFERROR(__xludf.DUMMYFUNCTION("""COMPUTED_VALUE"""),"01469443000199")</f>
        <v>01469443000199</v>
      </c>
      <c r="H357" s="115" t="str">
        <f ca="1">IFERROR(__xludf.DUMMYFUNCTION("""COMPUTED_VALUE"""),"001")</f>
        <v>001</v>
      </c>
      <c r="I357" s="115" t="str">
        <f ca="1">IFERROR(__xludf.DUMMYFUNCTION("""COMPUTED_VALUE"""),"1117")</f>
        <v>1117</v>
      </c>
      <c r="J357" s="115" t="str">
        <f ca="1">IFERROR(__xludf.DUMMYFUNCTION("""COMPUTED_VALUE"""),"315052")</f>
        <v>315052</v>
      </c>
      <c r="K357" s="113" t="e">
        <f ca="1"/>
        <v>#REF!</v>
      </c>
      <c r="L357" s="113" t="e">
        <f ca="1"/>
        <v>#REF!</v>
      </c>
      <c r="M357" s="113" t="e">
        <f ca="1"/>
        <v>#REF!</v>
      </c>
      <c r="N357" s="113" t="e">
        <f ca="1"/>
        <v>#REF!</v>
      </c>
      <c r="O357" s="113" t="e">
        <f ca="1"/>
        <v>#REF!</v>
      </c>
      <c r="P357" s="113" t="e">
        <f ca="1"/>
        <v>#REF!</v>
      </c>
      <c r="Q357" s="113" t="e">
        <f ca="1"/>
        <v>#REF!</v>
      </c>
      <c r="R357" s="113" t="e">
        <f ca="1"/>
        <v>#REF!</v>
      </c>
      <c r="S357" s="113" t="e">
        <f ca="1"/>
        <v>#REF!</v>
      </c>
      <c r="T357" s="113" t="e">
        <f ca="1"/>
        <v>#REF!</v>
      </c>
      <c r="U357" s="113" t="e">
        <f ca="1"/>
        <v>#REF!</v>
      </c>
      <c r="V357" s="113" t="e">
        <f ca="1"/>
        <v>#REF!</v>
      </c>
      <c r="W357" s="113" t="e">
        <f ca="1"/>
        <v>#REF!</v>
      </c>
      <c r="X357" s="113" t="e">
        <f ca="1"/>
        <v>#REF!</v>
      </c>
      <c r="Y357" s="113" t="e">
        <f ca="1"/>
        <v>#REF!</v>
      </c>
      <c r="Z357" s="113" t="e">
        <f ca="1"/>
        <v>#REF!</v>
      </c>
      <c r="AA357" s="113"/>
      <c r="AB357" s="113"/>
      <c r="AC357" s="113"/>
      <c r="AD357" s="113"/>
      <c r="AE357" s="113" t="str">
        <f ca="1">IFERROR(__xludf.DUMMYFUNCTION("""COMPUTED_VALUE"""),"Parcial")</f>
        <v>Parcial</v>
      </c>
      <c r="AF357" s="113" t="str">
        <f ca="1">IFERROR(__xludf.DUMMYFUNCTION("""COMPUTED_VALUE"""),"FE")</f>
        <v>FE</v>
      </c>
      <c r="AG357" s="113">
        <f ca="1">IFERROR(__xludf.DUMMYFUNCTION("""COMPUTED_VALUE"""),0)</f>
        <v>0</v>
      </c>
      <c r="AH357" s="113">
        <f ca="1">IFERROR(__xludf.DUMMYFUNCTION("""COMPUTED_VALUE"""),0)</f>
        <v>0</v>
      </c>
      <c r="AI357" s="113">
        <f ca="1">IFERROR(__xludf.DUMMYFUNCTION("""COMPUTED_VALUE"""),0)</f>
        <v>0</v>
      </c>
      <c r="AJ357" s="113">
        <f ca="1">IFERROR(__xludf.DUMMYFUNCTION("""COMPUTED_VALUE"""),0)</f>
        <v>0</v>
      </c>
      <c r="AK357" s="113"/>
      <c r="AL357" s="116"/>
    </row>
    <row r="358" spans="1:38" ht="12.75">
      <c r="A358" s="112" t="str">
        <f ca="1">IFERROR(__xludf.DUMMYFUNCTION("""COMPUTED_VALUE"""),"17053986")</f>
        <v>17053986</v>
      </c>
      <c r="B358" s="113" t="str">
        <f ca="1">IFERROR(__xludf.DUMMYFUNCTION("""COMPUTED_VALUE"""),"Porto Nacional")</f>
        <v>Porto Nacional</v>
      </c>
      <c r="C358" s="113" t="str">
        <f ca="1">IFERROR(__xludf.DUMMYFUNCTION("""COMPUTED_VALUE"""),"Monte do Carmo")</f>
        <v>Monte do Carmo</v>
      </c>
      <c r="D358" s="114" t="str">
        <f ca="1">IFERROR(__xludf.DUMMYFUNCTION("""COMPUTED_VALUE"""),"A.A. DA ESC. EST. BRIGADAS CHE GUEVARA")</f>
        <v>A.A. DA ESC. EST. BRIGADAS CHE GUEVARA</v>
      </c>
      <c r="E358" s="113" t="str">
        <f ca="1">IFERROR(__xludf.DUMMYFUNCTION("""COMPUTED_VALUE"""),"Colégio Estadual Agrícola Brigadas Che Guevara")</f>
        <v>Colégio Estadual Agrícola Brigadas Che Guevara</v>
      </c>
      <c r="F358" s="115" t="str">
        <f ca="1">IFERROR(__xludf.DUMMYFUNCTION("""COMPUTED_VALUE"""),"17053986")</f>
        <v>17053986</v>
      </c>
      <c r="G358" s="113" t="str">
        <f ca="1">IFERROR(__xludf.DUMMYFUNCTION("""COMPUTED_VALUE"""),"08593650000108")</f>
        <v>08593650000108</v>
      </c>
      <c r="H358" s="115" t="str">
        <f ca="1">IFERROR(__xludf.DUMMYFUNCTION("""COMPUTED_VALUE"""),"001")</f>
        <v>001</v>
      </c>
      <c r="I358" s="115" t="str">
        <f ca="1">IFERROR(__xludf.DUMMYFUNCTION("""COMPUTED_VALUE"""),"1117")</f>
        <v>1117</v>
      </c>
      <c r="J358" s="115" t="str">
        <f ca="1">IFERROR(__xludf.DUMMYFUNCTION("""COMPUTED_VALUE"""),"263060")</f>
        <v>263060</v>
      </c>
      <c r="K358" s="113" t="e">
        <f ca="1"/>
        <v>#REF!</v>
      </c>
      <c r="L358" s="113" t="e">
        <f ca="1"/>
        <v>#REF!</v>
      </c>
      <c r="M358" s="113" t="e">
        <f ca="1"/>
        <v>#REF!</v>
      </c>
      <c r="N358" s="113" t="e">
        <f ca="1"/>
        <v>#REF!</v>
      </c>
      <c r="O358" s="113" t="e">
        <f ca="1"/>
        <v>#REF!</v>
      </c>
      <c r="P358" s="113" t="e">
        <f ca="1"/>
        <v>#REF!</v>
      </c>
      <c r="Q358" s="113" t="e">
        <f ca="1"/>
        <v>#REF!</v>
      </c>
      <c r="R358" s="113" t="e">
        <f ca="1"/>
        <v>#REF!</v>
      </c>
      <c r="S358" s="113" t="e">
        <f ca="1"/>
        <v>#REF!</v>
      </c>
      <c r="T358" s="113" t="e">
        <f ca="1"/>
        <v>#REF!</v>
      </c>
      <c r="U358" s="113" t="e">
        <f ca="1"/>
        <v>#REF!</v>
      </c>
      <c r="V358" s="113" t="e">
        <f ca="1"/>
        <v>#REF!</v>
      </c>
      <c r="W358" s="113" t="e">
        <f ca="1"/>
        <v>#REF!</v>
      </c>
      <c r="X358" s="113" t="e">
        <f ca="1"/>
        <v>#REF!</v>
      </c>
      <c r="Y358" s="113" t="e">
        <f ca="1"/>
        <v>#REF!</v>
      </c>
      <c r="Z358" s="113" t="e">
        <f ca="1"/>
        <v>#REF!</v>
      </c>
      <c r="AA358" s="113"/>
      <c r="AB358" s="113"/>
      <c r="AC358" s="113"/>
      <c r="AD358" s="113" t="str">
        <f ca="1">IFERROR(__xludf.DUMMYFUNCTION("""COMPUTED_VALUE"""),"AGRÍCOLA")</f>
        <v>AGRÍCOLA</v>
      </c>
      <c r="AE358" s="113" t="str">
        <f ca="1">IFERROR(__xludf.DUMMYFUNCTION("""COMPUTED_VALUE"""),"Parcial")</f>
        <v>Parcial</v>
      </c>
      <c r="AF358" s="113" t="str">
        <f ca="1">IFERROR(__xludf.DUMMYFUNCTION("""COMPUTED_VALUE"""),"FE")</f>
        <v>FE</v>
      </c>
      <c r="AG358" s="113">
        <f ca="1">IFERROR(__xludf.DUMMYFUNCTION("""COMPUTED_VALUE"""),0)</f>
        <v>0</v>
      </c>
      <c r="AH358" s="113">
        <f ca="1">IFERROR(__xludf.DUMMYFUNCTION("""COMPUTED_VALUE"""),0)</f>
        <v>0</v>
      </c>
      <c r="AI358" s="113">
        <f ca="1">IFERROR(__xludf.DUMMYFUNCTION("""COMPUTED_VALUE"""),3)</f>
        <v>3</v>
      </c>
      <c r="AJ358" s="113">
        <f ca="1">IFERROR(__xludf.DUMMYFUNCTION("""COMPUTED_VALUE"""),0)</f>
        <v>0</v>
      </c>
      <c r="AK358" s="113"/>
      <c r="AL358" s="116"/>
    </row>
    <row r="359" spans="1:38" ht="12.75">
      <c r="A359" s="112" t="str">
        <f ca="1">IFERROR(__xludf.DUMMYFUNCTION("""COMPUTED_VALUE"""),"17023939")</f>
        <v>17023939</v>
      </c>
      <c r="B359" s="113" t="str">
        <f ca="1">IFERROR(__xludf.DUMMYFUNCTION("""COMPUTED_VALUE"""),"Porto Nacional")</f>
        <v>Porto Nacional</v>
      </c>
      <c r="C359" s="113" t="str">
        <f ca="1">IFERROR(__xludf.DUMMYFUNCTION("""COMPUTED_VALUE"""),"Monte do Carmo")</f>
        <v>Monte do Carmo</v>
      </c>
      <c r="D359" s="114" t="str">
        <f ca="1">IFERROR(__xludf.DUMMYFUNCTION("""COMPUTED_VALUE"""),"A.A.  DO COLEGIO EST. PADRE GAMA")</f>
        <v>A.A.  DO COLEGIO EST. PADRE GAMA</v>
      </c>
      <c r="E359" s="113" t="str">
        <f ca="1">IFERROR(__xludf.DUMMYFUNCTION("""COMPUTED_VALUE"""),"Colégio Estadual Padre Gama")</f>
        <v>Colégio Estadual Padre Gama</v>
      </c>
      <c r="F359" s="115" t="str">
        <f ca="1">IFERROR(__xludf.DUMMYFUNCTION("""COMPUTED_VALUE"""),"17023939")</f>
        <v>17023939</v>
      </c>
      <c r="G359" s="113" t="str">
        <f ca="1">IFERROR(__xludf.DUMMYFUNCTION("""COMPUTED_VALUE"""),"01071443000136")</f>
        <v>01071443000136</v>
      </c>
      <c r="H359" s="115" t="str">
        <f ca="1">IFERROR(__xludf.DUMMYFUNCTION("""COMPUTED_VALUE"""),"001")</f>
        <v>001</v>
      </c>
      <c r="I359" s="115" t="str">
        <f ca="1">IFERROR(__xludf.DUMMYFUNCTION("""COMPUTED_VALUE"""),"1117")</f>
        <v>1117</v>
      </c>
      <c r="J359" s="115" t="str">
        <f ca="1">IFERROR(__xludf.DUMMYFUNCTION("""COMPUTED_VALUE"""),"0312878")</f>
        <v>0312878</v>
      </c>
      <c r="K359" s="113" t="e">
        <f ca="1"/>
        <v>#REF!</v>
      </c>
      <c r="L359" s="113" t="e">
        <f ca="1"/>
        <v>#REF!</v>
      </c>
      <c r="M359" s="113" t="e">
        <f ca="1"/>
        <v>#REF!</v>
      </c>
      <c r="N359" s="113" t="e">
        <f ca="1"/>
        <v>#REF!</v>
      </c>
      <c r="O359" s="113" t="e">
        <f ca="1"/>
        <v>#REF!</v>
      </c>
      <c r="P359" s="113" t="e">
        <f ca="1"/>
        <v>#REF!</v>
      </c>
      <c r="Q359" s="113" t="e">
        <f ca="1"/>
        <v>#REF!</v>
      </c>
      <c r="R359" s="113" t="e">
        <f ca="1"/>
        <v>#REF!</v>
      </c>
      <c r="S359" s="113" t="e">
        <f ca="1"/>
        <v>#REF!</v>
      </c>
      <c r="T359" s="113" t="e">
        <f ca="1"/>
        <v>#REF!</v>
      </c>
      <c r="U359" s="113" t="e">
        <f ca="1"/>
        <v>#REF!</v>
      </c>
      <c r="V359" s="113" t="e">
        <f ca="1"/>
        <v>#REF!</v>
      </c>
      <c r="W359" s="113" t="e">
        <f ca="1"/>
        <v>#REF!</v>
      </c>
      <c r="X359" s="113" t="e">
        <f ca="1"/>
        <v>#REF!</v>
      </c>
      <c r="Y359" s="113" t="e">
        <f ca="1"/>
        <v>#REF!</v>
      </c>
      <c r="Z359" s="113" t="e">
        <f ca="1"/>
        <v>#REF!</v>
      </c>
      <c r="AA359" s="113"/>
      <c r="AB359" s="113"/>
      <c r="AC359" s="113"/>
      <c r="AD359" s="113"/>
      <c r="AE359" s="113" t="str">
        <f ca="1">IFERROR(__xludf.DUMMYFUNCTION("""COMPUTED_VALUE"""),"Integral")</f>
        <v>Integral</v>
      </c>
      <c r="AF359" s="113" t="str">
        <f ca="1">IFERROR(__xludf.DUMMYFUNCTION("""COMPUTED_VALUE"""),"FE")</f>
        <v>FE</v>
      </c>
      <c r="AG359" s="113">
        <f ca="1">IFERROR(__xludf.DUMMYFUNCTION("""COMPUTED_VALUE"""),0)</f>
        <v>0</v>
      </c>
      <c r="AH359" s="113">
        <f ca="1">IFERROR(__xludf.DUMMYFUNCTION("""COMPUTED_VALUE"""),0)</f>
        <v>0</v>
      </c>
      <c r="AI359" s="113">
        <f ca="1">IFERROR(__xludf.DUMMYFUNCTION("""COMPUTED_VALUE"""),0)</f>
        <v>0</v>
      </c>
      <c r="AJ359" s="113">
        <f ca="1">IFERROR(__xludf.DUMMYFUNCTION("""COMPUTED_VALUE"""),0)</f>
        <v>0</v>
      </c>
      <c r="AK359" s="113"/>
      <c r="AL359" s="116"/>
    </row>
    <row r="360" spans="1:38" ht="12.75">
      <c r="A360" s="112" t="str">
        <f ca="1">IFERROR(__xludf.DUMMYFUNCTION("""COMPUTED_VALUE"""),"17023955")</f>
        <v>17023955</v>
      </c>
      <c r="B360" s="113" t="str">
        <f ca="1">IFERROR(__xludf.DUMMYFUNCTION("""COMPUTED_VALUE"""),"Porto Nacional")</f>
        <v>Porto Nacional</v>
      </c>
      <c r="C360" s="113" t="str">
        <f ca="1">IFERROR(__xludf.DUMMYFUNCTION("""COMPUTED_VALUE"""),"Monte do Carmo")</f>
        <v>Monte do Carmo</v>
      </c>
      <c r="D360" s="114" t="str">
        <f ca="1">IFERROR(__xludf.DUMMYFUNCTION("""COMPUTED_VALUE"""),"A.APOIO DA ESCOLA ESTADUAL MESTRA BELA")</f>
        <v>A.APOIO DA ESCOLA ESTADUAL MESTRA BELA</v>
      </c>
      <c r="E360" s="113" t="str">
        <f ca="1">IFERROR(__xludf.DUMMYFUNCTION("""COMPUTED_VALUE"""),"Escola Estadual Girassol de Tempo Integral Mestra Bela")</f>
        <v>Escola Estadual Girassol de Tempo Integral Mestra Bela</v>
      </c>
      <c r="F360" s="115" t="str">
        <f ca="1">IFERROR(__xludf.DUMMYFUNCTION("""COMPUTED_VALUE"""),"17023955")</f>
        <v>17023955</v>
      </c>
      <c r="G360" s="113" t="str">
        <f ca="1">IFERROR(__xludf.DUMMYFUNCTION("""COMPUTED_VALUE"""),"01071442000191")</f>
        <v>01071442000191</v>
      </c>
      <c r="H360" s="115" t="str">
        <f ca="1">IFERROR(__xludf.DUMMYFUNCTION("""COMPUTED_VALUE"""),"001")</f>
        <v>001</v>
      </c>
      <c r="I360" s="115" t="str">
        <f ca="1">IFERROR(__xludf.DUMMYFUNCTION("""COMPUTED_VALUE"""),"1117")</f>
        <v>1117</v>
      </c>
      <c r="J360" s="115" t="str">
        <f ca="1">IFERROR(__xludf.DUMMYFUNCTION("""COMPUTED_VALUE"""),"31286X")</f>
        <v>31286X</v>
      </c>
      <c r="K360" s="113" t="e">
        <f ca="1"/>
        <v>#REF!</v>
      </c>
      <c r="L360" s="113" t="e">
        <f ca="1"/>
        <v>#REF!</v>
      </c>
      <c r="M360" s="113" t="e">
        <f ca="1"/>
        <v>#REF!</v>
      </c>
      <c r="N360" s="113" t="e">
        <f ca="1"/>
        <v>#REF!</v>
      </c>
      <c r="O360" s="113" t="e">
        <f ca="1"/>
        <v>#REF!</v>
      </c>
      <c r="P360" s="113" t="e">
        <f ca="1"/>
        <v>#REF!</v>
      </c>
      <c r="Q360" s="113" t="e">
        <f ca="1"/>
        <v>#REF!</v>
      </c>
      <c r="R360" s="113" t="e">
        <f ca="1"/>
        <v>#REF!</v>
      </c>
      <c r="S360" s="113" t="e">
        <f ca="1"/>
        <v>#REF!</v>
      </c>
      <c r="T360" s="113" t="e">
        <f ca="1"/>
        <v>#REF!</v>
      </c>
      <c r="U360" s="113" t="e">
        <f ca="1"/>
        <v>#REF!</v>
      </c>
      <c r="V360" s="113" t="e">
        <f ca="1"/>
        <v>#REF!</v>
      </c>
      <c r="W360" s="113" t="e">
        <f ca="1"/>
        <v>#REF!</v>
      </c>
      <c r="X360" s="113" t="e">
        <f ca="1"/>
        <v>#REF!</v>
      </c>
      <c r="Y360" s="113" t="e">
        <f ca="1"/>
        <v>#REF!</v>
      </c>
      <c r="Z360" s="113" t="e">
        <f ca="1"/>
        <v>#REF!</v>
      </c>
      <c r="AA360" s="113"/>
      <c r="AB360" s="113"/>
      <c r="AC360" s="113"/>
      <c r="AD360" s="113"/>
      <c r="AE360" s="113" t="str">
        <f ca="1">IFERROR(__xludf.DUMMYFUNCTION("""COMPUTED_VALUE"""),"Integral")</f>
        <v>Integral</v>
      </c>
      <c r="AF360" s="113" t="str">
        <f ca="1">IFERROR(__xludf.DUMMYFUNCTION("""COMPUTED_VALUE"""),"FE")</f>
        <v>FE</v>
      </c>
      <c r="AG360" s="113">
        <f ca="1">IFERROR(__xludf.DUMMYFUNCTION("""COMPUTED_VALUE"""),0)</f>
        <v>0</v>
      </c>
      <c r="AH360" s="113">
        <f ca="1">IFERROR(__xludf.DUMMYFUNCTION("""COMPUTED_VALUE"""),0)</f>
        <v>0</v>
      </c>
      <c r="AI360" s="113">
        <f ca="1">IFERROR(__xludf.DUMMYFUNCTION("""COMPUTED_VALUE"""),0)</f>
        <v>0</v>
      </c>
      <c r="AJ360" s="113">
        <f ca="1">IFERROR(__xludf.DUMMYFUNCTION("""COMPUTED_VALUE"""),7)</f>
        <v>7</v>
      </c>
      <c r="AK360" s="113"/>
      <c r="AL360" s="116"/>
    </row>
    <row r="361" spans="1:38" ht="12.75">
      <c r="A361" s="112" t="str">
        <f ca="1">IFERROR(__xludf.DUMMYFUNCTION("""COMPUTED_VALUE"""),"17054435")</f>
        <v>17054435</v>
      </c>
      <c r="B361" s="113" t="str">
        <f ca="1">IFERROR(__xludf.DUMMYFUNCTION("""COMPUTED_VALUE"""),"Porto Nacional")</f>
        <v>Porto Nacional</v>
      </c>
      <c r="C361" s="113" t="str">
        <f ca="1">IFERROR(__xludf.DUMMYFUNCTION("""COMPUTED_VALUE"""),"Monte do Carmo")</f>
        <v>Monte do Carmo</v>
      </c>
      <c r="D361" s="114" t="str">
        <f ca="1">IFERROR(__xludf.DUMMYFUNCTION("""COMPUTED_VALUE"""),"ASSOC. APOIA A ESC. EST. PROF.DINA DE OLIVEIRA AMORIM")</f>
        <v>ASSOC. APOIA A ESC. EST. PROF.DINA DE OLIVEIRA AMORIM</v>
      </c>
      <c r="E361" s="113" t="str">
        <f ca="1">IFERROR(__xludf.DUMMYFUNCTION("""COMPUTED_VALUE"""),"Escola Estadual Professora Dina de Oliveira Amorim")</f>
        <v>Escola Estadual Professora Dina de Oliveira Amorim</v>
      </c>
      <c r="F361" s="115" t="str">
        <f ca="1">IFERROR(__xludf.DUMMYFUNCTION("""COMPUTED_VALUE"""),"17054435")</f>
        <v>17054435</v>
      </c>
      <c r="G361" s="113" t="str">
        <f ca="1">IFERROR(__xludf.DUMMYFUNCTION("""COMPUTED_VALUE"""),"16437349000125")</f>
        <v>16437349000125</v>
      </c>
      <c r="H361" s="115" t="str">
        <f ca="1">IFERROR(__xludf.DUMMYFUNCTION("""COMPUTED_VALUE"""),"001")</f>
        <v>001</v>
      </c>
      <c r="I361" s="115" t="str">
        <f ca="1">IFERROR(__xludf.DUMMYFUNCTION("""COMPUTED_VALUE"""),"1117")</f>
        <v>1117</v>
      </c>
      <c r="J361" s="115" t="str">
        <f ca="1">IFERROR(__xludf.DUMMYFUNCTION("""COMPUTED_VALUE"""),"339113")</f>
        <v>339113</v>
      </c>
      <c r="K361" s="113" t="e">
        <f ca="1"/>
        <v>#REF!</v>
      </c>
      <c r="L361" s="113" t="e">
        <f ca="1"/>
        <v>#REF!</v>
      </c>
      <c r="M361" s="113" t="e">
        <f ca="1"/>
        <v>#REF!</v>
      </c>
      <c r="N361" s="113" t="e">
        <f ca="1"/>
        <v>#REF!</v>
      </c>
      <c r="O361" s="113" t="e">
        <f ca="1"/>
        <v>#REF!</v>
      </c>
      <c r="P361" s="113" t="e">
        <f ca="1"/>
        <v>#REF!</v>
      </c>
      <c r="Q361" s="113" t="e">
        <f ca="1"/>
        <v>#REF!</v>
      </c>
      <c r="R361" s="113" t="e">
        <f ca="1"/>
        <v>#REF!</v>
      </c>
      <c r="S361" s="113" t="e">
        <f ca="1"/>
        <v>#REF!</v>
      </c>
      <c r="T361" s="113" t="e">
        <f ca="1"/>
        <v>#REF!</v>
      </c>
      <c r="U361" s="113" t="e">
        <f ca="1"/>
        <v>#REF!</v>
      </c>
      <c r="V361" s="113" t="e">
        <f ca="1"/>
        <v>#REF!</v>
      </c>
      <c r="W361" s="113" t="e">
        <f ca="1"/>
        <v>#REF!</v>
      </c>
      <c r="X361" s="113" t="e">
        <f ca="1"/>
        <v>#REF!</v>
      </c>
      <c r="Y361" s="113" t="e">
        <f ca="1"/>
        <v>#REF!</v>
      </c>
      <c r="Z361" s="113" t="e">
        <f ca="1"/>
        <v>#REF!</v>
      </c>
      <c r="AA361" s="113"/>
      <c r="AB361" s="113"/>
      <c r="AC361" s="113"/>
      <c r="AD361" s="113"/>
      <c r="AE361" s="113" t="str">
        <f ca="1">IFERROR(__xludf.DUMMYFUNCTION("""COMPUTED_VALUE"""),"Parcial")</f>
        <v>Parcial</v>
      </c>
      <c r="AF361" s="113" t="str">
        <f ca="1">IFERROR(__xludf.DUMMYFUNCTION("""COMPUTED_VALUE"""),"FE")</f>
        <v>FE</v>
      </c>
      <c r="AG361" s="113">
        <f ca="1">IFERROR(__xludf.DUMMYFUNCTION("""COMPUTED_VALUE"""),0)</f>
        <v>0</v>
      </c>
      <c r="AH361" s="113">
        <f ca="1">IFERROR(__xludf.DUMMYFUNCTION("""COMPUTED_VALUE"""),0)</f>
        <v>0</v>
      </c>
      <c r="AI361" s="113">
        <f ca="1">IFERROR(__xludf.DUMMYFUNCTION("""COMPUTED_VALUE"""),0)</f>
        <v>0</v>
      </c>
      <c r="AJ361" s="113">
        <f ca="1">IFERROR(__xludf.DUMMYFUNCTION("""COMPUTED_VALUE"""),0)</f>
        <v>0</v>
      </c>
      <c r="AK361" s="113"/>
      <c r="AL361" s="116"/>
    </row>
    <row r="362" spans="1:38" ht="12.75">
      <c r="A362" s="112" t="str">
        <f ca="1">IFERROR(__xludf.DUMMYFUNCTION("""COMPUTED_VALUE"""),"17034620")</f>
        <v>17034620</v>
      </c>
      <c r="B362" s="113" t="str">
        <f ca="1">IFERROR(__xludf.DUMMYFUNCTION("""COMPUTED_VALUE"""),"Porto Nacional")</f>
        <v>Porto Nacional</v>
      </c>
      <c r="C362" s="113" t="str">
        <f ca="1">IFERROR(__xludf.DUMMYFUNCTION("""COMPUTED_VALUE"""),"Natividade")</f>
        <v>Natividade</v>
      </c>
      <c r="D362" s="114" t="str">
        <f ca="1">IFERROR(__xludf.DUMMYFUNCTION("""COMPUTED_VALUE"""),"ASSOC. NOSSA SENHORA NATIVIDADE COL. AGRÍCOLA")</f>
        <v>ASSOC. NOSSA SENHORA NATIVIDADE COL. AGRÍCOLA</v>
      </c>
      <c r="E362" s="113" t="str">
        <f ca="1">IFERROR(__xludf.DUMMYFUNCTION("""COMPUTED_VALUE"""),"Colégio Agropecuário de Natividade")</f>
        <v>Colégio Agropecuário de Natividade</v>
      </c>
      <c r="F362" s="115" t="str">
        <f ca="1">IFERROR(__xludf.DUMMYFUNCTION("""COMPUTED_VALUE"""),"17034620")</f>
        <v>17034620</v>
      </c>
      <c r="G362" s="113" t="str">
        <f ca="1">IFERROR(__xludf.DUMMYFUNCTION("""COMPUTED_VALUE"""),"03758716000140")</f>
        <v>03758716000140</v>
      </c>
      <c r="H362" s="115" t="str">
        <f ca="1">IFERROR(__xludf.DUMMYFUNCTION("""COMPUTED_VALUE"""),"001")</f>
        <v>001</v>
      </c>
      <c r="I362" s="115" t="str">
        <f ca="1">IFERROR(__xludf.DUMMYFUNCTION("""COMPUTED_VALUE"""),"3980")</f>
        <v>3980</v>
      </c>
      <c r="J362" s="115" t="str">
        <f ca="1">IFERROR(__xludf.DUMMYFUNCTION("""COMPUTED_VALUE"""),"282782")</f>
        <v>282782</v>
      </c>
      <c r="K362" s="113" t="e">
        <f ca="1"/>
        <v>#REF!</v>
      </c>
      <c r="L362" s="113" t="e">
        <f ca="1"/>
        <v>#REF!</v>
      </c>
      <c r="M362" s="113" t="e">
        <f ca="1"/>
        <v>#REF!</v>
      </c>
      <c r="N362" s="113" t="e">
        <f ca="1"/>
        <v>#REF!</v>
      </c>
      <c r="O362" s="113" t="e">
        <f ca="1"/>
        <v>#REF!</v>
      </c>
      <c r="P362" s="113" t="e">
        <f ca="1"/>
        <v>#REF!</v>
      </c>
      <c r="Q362" s="113" t="e">
        <f ca="1"/>
        <v>#REF!</v>
      </c>
      <c r="R362" s="113" t="e">
        <f ca="1"/>
        <v>#REF!</v>
      </c>
      <c r="S362" s="113" t="e">
        <f ca="1"/>
        <v>#REF!</v>
      </c>
      <c r="T362" s="113" t="e">
        <f ca="1"/>
        <v>#REF!</v>
      </c>
      <c r="U362" s="113" t="e">
        <f ca="1"/>
        <v>#REF!</v>
      </c>
      <c r="V362" s="113" t="e">
        <f ca="1"/>
        <v>#REF!</v>
      </c>
      <c r="W362" s="113" t="e">
        <f ca="1"/>
        <v>#REF!</v>
      </c>
      <c r="X362" s="113" t="e">
        <f ca="1"/>
        <v>#REF!</v>
      </c>
      <c r="Y362" s="113" t="e">
        <f ca="1"/>
        <v>#REF!</v>
      </c>
      <c r="Z362" s="113" t="e">
        <f ca="1"/>
        <v>#REF!</v>
      </c>
      <c r="AA362" s="113"/>
      <c r="AB362" s="113"/>
      <c r="AC362" s="113"/>
      <c r="AD362" s="113" t="str">
        <f ca="1">IFERROR(__xludf.DUMMYFUNCTION("""COMPUTED_VALUE"""),"AGRÍCOLA")</f>
        <v>AGRÍCOLA</v>
      </c>
      <c r="AE362" s="113" t="str">
        <f ca="1">IFERROR(__xludf.DUMMYFUNCTION("""COMPUTED_VALUE"""),"Parcial")</f>
        <v>Parcial</v>
      </c>
      <c r="AF362" s="113" t="str">
        <f ca="1">IFERROR(__xludf.DUMMYFUNCTION("""COMPUTED_VALUE"""),"FE")</f>
        <v>FE</v>
      </c>
      <c r="AG362" s="113">
        <f ca="1">IFERROR(__xludf.DUMMYFUNCTION("""COMPUTED_VALUE"""),0)</f>
        <v>0</v>
      </c>
      <c r="AH362" s="113">
        <f ca="1">IFERROR(__xludf.DUMMYFUNCTION("""COMPUTED_VALUE"""),0)</f>
        <v>0</v>
      </c>
      <c r="AI362" s="113">
        <f ca="1">IFERROR(__xludf.DUMMYFUNCTION("""COMPUTED_VALUE"""),15)</f>
        <v>15</v>
      </c>
      <c r="AJ362" s="113">
        <f ca="1">IFERROR(__xludf.DUMMYFUNCTION("""COMPUTED_VALUE"""),0)</f>
        <v>0</v>
      </c>
      <c r="AK362" s="113"/>
      <c r="AL362" s="116"/>
    </row>
    <row r="363" spans="1:38" ht="12.75">
      <c r="A363" s="112" t="str">
        <f ca="1">IFERROR(__xludf.DUMMYFUNCTION("""COMPUTED_VALUE"""),"17034612")</f>
        <v>17034612</v>
      </c>
      <c r="B363" s="113" t="str">
        <f ca="1">IFERROR(__xludf.DUMMYFUNCTION("""COMPUTED_VALUE"""),"Porto Nacional")</f>
        <v>Porto Nacional</v>
      </c>
      <c r="C363" s="113" t="str">
        <f ca="1">IFERROR(__xludf.DUMMYFUNCTION("""COMPUTED_VALUE"""),"Natividade")</f>
        <v>Natividade</v>
      </c>
      <c r="D363" s="114" t="str">
        <f ca="1">IFERROR(__xludf.DUMMYFUNCTION("""COMPUTED_VALUE"""),"A.A. COL. EST. DR.QUINTILIANO DA SILVA")</f>
        <v>A.A. COL. EST. DR.QUINTILIANO DA SILVA</v>
      </c>
      <c r="E363" s="113" t="str">
        <f ca="1">IFERROR(__xludf.DUMMYFUNCTION("""COMPUTED_VALUE"""),"Colégio Estadual Doutor Quintiliano da Silva")</f>
        <v>Colégio Estadual Doutor Quintiliano da Silva</v>
      </c>
      <c r="F363" s="115" t="str">
        <f ca="1">IFERROR(__xludf.DUMMYFUNCTION("""COMPUTED_VALUE"""),"17034612")</f>
        <v>17034612</v>
      </c>
      <c r="G363" s="113" t="str">
        <f ca="1">IFERROR(__xludf.DUMMYFUNCTION("""COMPUTED_VALUE"""),"01133702000106")</f>
        <v>01133702000106</v>
      </c>
      <c r="H363" s="115" t="str">
        <f ca="1">IFERROR(__xludf.DUMMYFUNCTION("""COMPUTED_VALUE"""),"003")</f>
        <v>003</v>
      </c>
      <c r="I363" s="115" t="str">
        <f ca="1">IFERROR(__xludf.DUMMYFUNCTION("""COMPUTED_VALUE"""),"0037")</f>
        <v>0037</v>
      </c>
      <c r="J363" s="115" t="str">
        <f ca="1">IFERROR(__xludf.DUMMYFUNCTION("""COMPUTED_VALUE"""),"0702727")</f>
        <v>0702727</v>
      </c>
      <c r="K363" s="113" t="e">
        <f ca="1"/>
        <v>#REF!</v>
      </c>
      <c r="L363" s="113" t="e">
        <f ca="1"/>
        <v>#REF!</v>
      </c>
      <c r="M363" s="113" t="e">
        <f ca="1"/>
        <v>#REF!</v>
      </c>
      <c r="N363" s="113" t="e">
        <f ca="1"/>
        <v>#REF!</v>
      </c>
      <c r="O363" s="113" t="e">
        <f ca="1"/>
        <v>#REF!</v>
      </c>
      <c r="P363" s="113" t="e">
        <f ca="1"/>
        <v>#REF!</v>
      </c>
      <c r="Q363" s="113" t="e">
        <f ca="1"/>
        <v>#REF!</v>
      </c>
      <c r="R363" s="113" t="e">
        <f ca="1"/>
        <v>#REF!</v>
      </c>
      <c r="S363" s="113" t="e">
        <f ca="1"/>
        <v>#REF!</v>
      </c>
      <c r="T363" s="113" t="e">
        <f ca="1"/>
        <v>#REF!</v>
      </c>
      <c r="U363" s="113" t="e">
        <f ca="1"/>
        <v>#REF!</v>
      </c>
      <c r="V363" s="113" t="e">
        <f ca="1"/>
        <v>#REF!</v>
      </c>
      <c r="W363" s="113" t="e">
        <f ca="1"/>
        <v>#REF!</v>
      </c>
      <c r="X363" s="113" t="e">
        <f ca="1"/>
        <v>#REF!</v>
      </c>
      <c r="Y363" s="113" t="e">
        <f ca="1"/>
        <v>#REF!</v>
      </c>
      <c r="Z363" s="113" t="e">
        <f ca="1"/>
        <v>#REF!</v>
      </c>
      <c r="AA363" s="113"/>
      <c r="AB363" s="113"/>
      <c r="AC363" s="113"/>
      <c r="AD363" s="113"/>
      <c r="AE363" s="113" t="str">
        <f ca="1">IFERROR(__xludf.DUMMYFUNCTION("""COMPUTED_VALUE"""),"Parcial")</f>
        <v>Parcial</v>
      </c>
      <c r="AF363" s="113" t="str">
        <f ca="1">IFERROR(__xludf.DUMMYFUNCTION("""COMPUTED_VALUE"""),"FE")</f>
        <v>FE</v>
      </c>
      <c r="AG363" s="113">
        <f ca="1">IFERROR(__xludf.DUMMYFUNCTION("""COMPUTED_VALUE"""),0)</f>
        <v>0</v>
      </c>
      <c r="AH363" s="113">
        <f ca="1">IFERROR(__xludf.DUMMYFUNCTION("""COMPUTED_VALUE"""),0)</f>
        <v>0</v>
      </c>
      <c r="AI363" s="113">
        <f ca="1">IFERROR(__xludf.DUMMYFUNCTION("""COMPUTED_VALUE"""),0)</f>
        <v>0</v>
      </c>
      <c r="AJ363" s="113">
        <f ca="1">IFERROR(__xludf.DUMMYFUNCTION("""COMPUTED_VALUE"""),0)</f>
        <v>0</v>
      </c>
      <c r="AK363" s="113"/>
      <c r="AL363" s="116"/>
    </row>
    <row r="364" spans="1:38" ht="12.75">
      <c r="A364" s="112" t="str">
        <f ca="1">IFERROR(__xludf.DUMMYFUNCTION("""COMPUTED_VALUE"""),"17105803")</f>
        <v>17105803</v>
      </c>
      <c r="B364" s="113" t="str">
        <f ca="1">IFERROR(__xludf.DUMMYFUNCTION("""COMPUTED_VALUE"""),"Porto Nacional")</f>
        <v>Porto Nacional</v>
      </c>
      <c r="C364" s="113" t="str">
        <f ca="1">IFERROR(__xludf.DUMMYFUNCTION("""COMPUTED_VALUE"""),"Natividade")</f>
        <v>Natividade</v>
      </c>
      <c r="D364" s="114" t="str">
        <f ca="1">IFERROR(__xludf.DUMMYFUNCTION("""COMPUTED_VALUE"""),"ASSOC. DE APOIO A ESC. ESPECIAL TIA CORACI DE SENA FERNANDES")</f>
        <v>ASSOC. DE APOIO A ESC. ESPECIAL TIA CORACI DE SENA FERNANDES</v>
      </c>
      <c r="E364" s="113" t="str">
        <f ca="1">IFERROR(__xludf.DUMMYFUNCTION("""COMPUTED_VALUE"""),"Escola Especial Tia Coraci de Sena")</f>
        <v>Escola Especial Tia Coraci de Sena</v>
      </c>
      <c r="F364" s="115" t="str">
        <f ca="1">IFERROR(__xludf.DUMMYFUNCTION("""COMPUTED_VALUE"""),"17105803")</f>
        <v>17105803</v>
      </c>
      <c r="G364" s="113" t="str">
        <f ca="1">IFERROR(__xludf.DUMMYFUNCTION("""COMPUTED_VALUE"""),"17163914000176")</f>
        <v>17163914000176</v>
      </c>
      <c r="H364" s="115" t="str">
        <f ca="1">IFERROR(__xludf.DUMMYFUNCTION("""COMPUTED_VALUE"""),"001")</f>
        <v>001</v>
      </c>
      <c r="I364" s="115" t="str">
        <f ca="1">IFERROR(__xludf.DUMMYFUNCTION("""COMPUTED_VALUE"""),"2334")</f>
        <v>2334</v>
      </c>
      <c r="J364" s="115" t="str">
        <f ca="1">IFERROR(__xludf.DUMMYFUNCTION("""COMPUTED_VALUE"""),"19860")</f>
        <v>19860</v>
      </c>
      <c r="K364" s="113" t="e">
        <f ca="1"/>
        <v>#REF!</v>
      </c>
      <c r="L364" s="113" t="e">
        <f ca="1"/>
        <v>#REF!</v>
      </c>
      <c r="M364" s="113" t="e">
        <f ca="1"/>
        <v>#REF!</v>
      </c>
      <c r="N364" s="113" t="e">
        <f ca="1"/>
        <v>#REF!</v>
      </c>
      <c r="O364" s="113" t="e">
        <f ca="1"/>
        <v>#REF!</v>
      </c>
      <c r="P364" s="113" t="e">
        <f ca="1"/>
        <v>#REF!</v>
      </c>
      <c r="Q364" s="113" t="e">
        <f ca="1"/>
        <v>#REF!</v>
      </c>
      <c r="R364" s="113" t="e">
        <f ca="1"/>
        <v>#REF!</v>
      </c>
      <c r="S364" s="113" t="e">
        <f ca="1"/>
        <v>#REF!</v>
      </c>
      <c r="T364" s="113" t="e">
        <f ca="1"/>
        <v>#REF!</v>
      </c>
      <c r="U364" s="113" t="e">
        <f ca="1"/>
        <v>#REF!</v>
      </c>
      <c r="V364" s="113" t="e">
        <f ca="1"/>
        <v>#REF!</v>
      </c>
      <c r="W364" s="113" t="e">
        <f ca="1"/>
        <v>#REF!</v>
      </c>
      <c r="X364" s="113" t="e">
        <f ca="1"/>
        <v>#REF!</v>
      </c>
      <c r="Y364" s="113" t="e">
        <f ca="1"/>
        <v>#REF!</v>
      </c>
      <c r="Z364" s="113" t="e">
        <f ca="1"/>
        <v>#REF!</v>
      </c>
      <c r="AA364" s="113"/>
      <c r="AB364" s="113"/>
      <c r="AC364" s="113"/>
      <c r="AD364" s="113"/>
      <c r="AE364" s="113" t="str">
        <f ca="1">IFERROR(__xludf.DUMMYFUNCTION("""COMPUTED_VALUE"""),"Parcial")</f>
        <v>Parcial</v>
      </c>
      <c r="AF364" s="113" t="str">
        <f ca="1">IFERROR(__xludf.DUMMYFUNCTION("""COMPUTED_VALUE"""),"FE")</f>
        <v>FE</v>
      </c>
      <c r="AG364" s="113">
        <f ca="1">IFERROR(__xludf.DUMMYFUNCTION("""COMPUTED_VALUE"""),0)</f>
        <v>0</v>
      </c>
      <c r="AH364" s="113">
        <f ca="1">IFERROR(__xludf.DUMMYFUNCTION("""COMPUTED_VALUE"""),0)</f>
        <v>0</v>
      </c>
      <c r="AI364" s="113">
        <f ca="1">IFERROR(__xludf.DUMMYFUNCTION("""COMPUTED_VALUE"""),0)</f>
        <v>0</v>
      </c>
      <c r="AJ364" s="113">
        <f ca="1">IFERROR(__xludf.DUMMYFUNCTION("""COMPUTED_VALUE"""),0)</f>
        <v>0</v>
      </c>
      <c r="AK364" s="113"/>
      <c r="AL364" s="116"/>
    </row>
    <row r="365" spans="1:38" ht="12.75">
      <c r="A365" s="112" t="str">
        <f ca="1">IFERROR(__xludf.DUMMYFUNCTION("""COMPUTED_VALUE"""),"17034639")</f>
        <v>17034639</v>
      </c>
      <c r="B365" s="113" t="str">
        <f ca="1">IFERROR(__xludf.DUMMYFUNCTION("""COMPUTED_VALUE"""),"Porto Nacional")</f>
        <v>Porto Nacional</v>
      </c>
      <c r="C365" s="113" t="str">
        <f ca="1">IFERROR(__xludf.DUMMYFUNCTION("""COMPUTED_VALUE"""),"Natividade")</f>
        <v>Natividade</v>
      </c>
      <c r="D365" s="114" t="str">
        <f ca="1">IFERROR(__xludf.DUMMYFUNCTION("""COMPUTED_VALUE"""),"ASS. APOIO ESC. EST. JOAQUIM LINO SUARTE")</f>
        <v>ASS. APOIO ESC. EST. JOAQUIM LINO SUARTE</v>
      </c>
      <c r="E365" s="113" t="str">
        <f ca="1">IFERROR(__xludf.DUMMYFUNCTION("""COMPUTED_VALUE"""),"Escola Estadual Joaquim Lino Suarte")</f>
        <v>Escola Estadual Joaquim Lino Suarte</v>
      </c>
      <c r="F365" s="115" t="str">
        <f ca="1">IFERROR(__xludf.DUMMYFUNCTION("""COMPUTED_VALUE"""),"17034639")</f>
        <v>17034639</v>
      </c>
      <c r="G365" s="113" t="str">
        <f ca="1">IFERROR(__xludf.DUMMYFUNCTION("""COMPUTED_VALUE"""),"01133708000183")</f>
        <v>01133708000183</v>
      </c>
      <c r="H365" s="115" t="str">
        <f ca="1">IFERROR(__xludf.DUMMYFUNCTION("""COMPUTED_VALUE"""),"003")</f>
        <v>003</v>
      </c>
      <c r="I365" s="115" t="str">
        <f ca="1">IFERROR(__xludf.DUMMYFUNCTION("""COMPUTED_VALUE"""),"0037")</f>
        <v>0037</v>
      </c>
      <c r="J365" s="115" t="str">
        <f ca="1">IFERROR(__xludf.DUMMYFUNCTION("""COMPUTED_VALUE"""),"0702670")</f>
        <v>0702670</v>
      </c>
      <c r="K365" s="113" t="e">
        <f ca="1"/>
        <v>#REF!</v>
      </c>
      <c r="L365" s="113" t="e">
        <f ca="1"/>
        <v>#REF!</v>
      </c>
      <c r="M365" s="113" t="e">
        <f ca="1"/>
        <v>#REF!</v>
      </c>
      <c r="N365" s="113" t="e">
        <f ca="1"/>
        <v>#REF!</v>
      </c>
      <c r="O365" s="113" t="e">
        <f ca="1"/>
        <v>#REF!</v>
      </c>
      <c r="P365" s="113" t="e">
        <f ca="1"/>
        <v>#REF!</v>
      </c>
      <c r="Q365" s="113" t="e">
        <f ca="1"/>
        <v>#REF!</v>
      </c>
      <c r="R365" s="113" t="e">
        <f ca="1"/>
        <v>#REF!</v>
      </c>
      <c r="S365" s="113" t="e">
        <f ca="1"/>
        <v>#REF!</v>
      </c>
      <c r="T365" s="113" t="e">
        <f ca="1"/>
        <v>#REF!</v>
      </c>
      <c r="U365" s="113" t="e">
        <f ca="1"/>
        <v>#REF!</v>
      </c>
      <c r="V365" s="113" t="e">
        <f ca="1"/>
        <v>#REF!</v>
      </c>
      <c r="W365" s="113" t="e">
        <f ca="1"/>
        <v>#REF!</v>
      </c>
      <c r="X365" s="113" t="e">
        <f ca="1"/>
        <v>#REF!</v>
      </c>
      <c r="Y365" s="113" t="e">
        <f ca="1"/>
        <v>#REF!</v>
      </c>
      <c r="Z365" s="113" t="e">
        <f ca="1"/>
        <v>#REF!</v>
      </c>
      <c r="AA365" s="113"/>
      <c r="AB365" s="113"/>
      <c r="AC365" s="113"/>
      <c r="AD365" s="113"/>
      <c r="AE365" s="113" t="str">
        <f ca="1">IFERROR(__xludf.DUMMYFUNCTION("""COMPUTED_VALUE"""),"Parcial")</f>
        <v>Parcial</v>
      </c>
      <c r="AF365" s="113" t="str">
        <f ca="1">IFERROR(__xludf.DUMMYFUNCTION("""COMPUTED_VALUE"""),"FE")</f>
        <v>FE</v>
      </c>
      <c r="AG365" s="113">
        <f ca="1">IFERROR(__xludf.DUMMYFUNCTION("""COMPUTED_VALUE"""),0)</f>
        <v>0</v>
      </c>
      <c r="AH365" s="113">
        <f ca="1">IFERROR(__xludf.DUMMYFUNCTION("""COMPUTED_VALUE"""),0)</f>
        <v>0</v>
      </c>
      <c r="AI365" s="113">
        <f ca="1">IFERROR(__xludf.DUMMYFUNCTION("""COMPUTED_VALUE"""),0)</f>
        <v>0</v>
      </c>
      <c r="AJ365" s="113">
        <f ca="1">IFERROR(__xludf.DUMMYFUNCTION("""COMPUTED_VALUE"""),0)</f>
        <v>0</v>
      </c>
      <c r="AK365" s="113"/>
      <c r="AL365" s="116"/>
    </row>
    <row r="366" spans="1:38" ht="12.75">
      <c r="A366" s="112" t="str">
        <f ca="1">IFERROR(__xludf.DUMMYFUNCTION("""COMPUTED_VALUE"""),"17034663")</f>
        <v>17034663</v>
      </c>
      <c r="B366" s="113" t="str">
        <f ca="1">IFERROR(__xludf.DUMMYFUNCTION("""COMPUTED_VALUE"""),"Porto Nacional")</f>
        <v>Porto Nacional</v>
      </c>
      <c r="C366" s="113" t="str">
        <f ca="1">IFERROR(__xludf.DUMMYFUNCTION("""COMPUTED_VALUE"""),"Natividade")</f>
        <v>Natividade</v>
      </c>
      <c r="D366" s="114" t="str">
        <f ca="1">IFERROR(__xludf.DUMMYFUNCTION("""COMPUTED_VALUE"""),"A.A. E. EST.NOSSA SENHORA DE FATIMA")</f>
        <v>A.A. E. EST.NOSSA SENHORA DE FATIMA</v>
      </c>
      <c r="E366" s="113" t="str">
        <f ca="1">IFERROR(__xludf.DUMMYFUNCTION("""COMPUTED_VALUE"""),"Escola Estadual Nossa Senhora de Fátima")</f>
        <v>Escola Estadual Nossa Senhora de Fátima</v>
      </c>
      <c r="F366" s="115" t="str">
        <f ca="1">IFERROR(__xludf.DUMMYFUNCTION("""COMPUTED_VALUE"""),"17034663")</f>
        <v>17034663</v>
      </c>
      <c r="G366" s="113" t="str">
        <f ca="1">IFERROR(__xludf.DUMMYFUNCTION("""COMPUTED_VALUE"""),"01064860000151")</f>
        <v>01064860000151</v>
      </c>
      <c r="H366" s="115" t="str">
        <f ca="1">IFERROR(__xludf.DUMMYFUNCTION("""COMPUTED_VALUE"""),"003")</f>
        <v>003</v>
      </c>
      <c r="I366" s="115" t="str">
        <f ca="1">IFERROR(__xludf.DUMMYFUNCTION("""COMPUTED_VALUE"""),"0037")</f>
        <v>0037</v>
      </c>
      <c r="J366" s="115" t="str">
        <f ca="1">IFERROR(__xludf.DUMMYFUNCTION("""COMPUTED_VALUE"""),"0702646")</f>
        <v>0702646</v>
      </c>
      <c r="K366" s="113" t="e">
        <f ca="1"/>
        <v>#REF!</v>
      </c>
      <c r="L366" s="113" t="e">
        <f ca="1"/>
        <v>#REF!</v>
      </c>
      <c r="M366" s="113" t="e">
        <f ca="1"/>
        <v>#REF!</v>
      </c>
      <c r="N366" s="113" t="e">
        <f ca="1"/>
        <v>#REF!</v>
      </c>
      <c r="O366" s="113" t="e">
        <f ca="1"/>
        <v>#REF!</v>
      </c>
      <c r="P366" s="113" t="e">
        <f ca="1"/>
        <v>#REF!</v>
      </c>
      <c r="Q366" s="113" t="e">
        <f ca="1"/>
        <v>#REF!</v>
      </c>
      <c r="R366" s="113" t="e">
        <f ca="1"/>
        <v>#REF!</v>
      </c>
      <c r="S366" s="113" t="e">
        <f ca="1"/>
        <v>#REF!</v>
      </c>
      <c r="T366" s="113" t="e">
        <f ca="1"/>
        <v>#REF!</v>
      </c>
      <c r="U366" s="113" t="e">
        <f ca="1"/>
        <v>#REF!</v>
      </c>
      <c r="V366" s="113" t="e">
        <f ca="1"/>
        <v>#REF!</v>
      </c>
      <c r="W366" s="113" t="e">
        <f ca="1"/>
        <v>#REF!</v>
      </c>
      <c r="X366" s="113" t="e">
        <f ca="1"/>
        <v>#REF!</v>
      </c>
      <c r="Y366" s="113" t="e">
        <f ca="1"/>
        <v>#REF!</v>
      </c>
      <c r="Z366" s="113" t="e">
        <f ca="1"/>
        <v>#REF!</v>
      </c>
      <c r="AA366" s="113"/>
      <c r="AB366" s="113"/>
      <c r="AC366" s="113"/>
      <c r="AD366" s="113"/>
      <c r="AE366" s="113" t="str">
        <f ca="1">IFERROR(__xludf.DUMMYFUNCTION("""COMPUTED_VALUE"""),"Integral")</f>
        <v>Integral</v>
      </c>
      <c r="AF366" s="113" t="str">
        <f ca="1">IFERROR(__xludf.DUMMYFUNCTION("""COMPUTED_VALUE"""),"FE")</f>
        <v>FE</v>
      </c>
      <c r="AG366" s="113">
        <f ca="1">IFERROR(__xludf.DUMMYFUNCTION("""COMPUTED_VALUE"""),0)</f>
        <v>0</v>
      </c>
      <c r="AH366" s="113">
        <f ca="1">IFERROR(__xludf.DUMMYFUNCTION("""COMPUTED_VALUE"""),0)</f>
        <v>0</v>
      </c>
      <c r="AI366" s="113">
        <f ca="1">IFERROR(__xludf.DUMMYFUNCTION("""COMPUTED_VALUE"""),0)</f>
        <v>0</v>
      </c>
      <c r="AJ366" s="113">
        <f ca="1">IFERROR(__xludf.DUMMYFUNCTION("""COMPUTED_VALUE"""),0)</f>
        <v>0</v>
      </c>
      <c r="AK366" s="113"/>
      <c r="AL366" s="116"/>
    </row>
    <row r="367" spans="1:38" ht="12.75">
      <c r="A367" s="112" t="str">
        <f ca="1">IFERROR(__xludf.DUMMYFUNCTION("""COMPUTED_VALUE"""),"17018188")</f>
        <v>17018188</v>
      </c>
      <c r="B367" s="113" t="str">
        <f ca="1">IFERROR(__xludf.DUMMYFUNCTION("""COMPUTED_VALUE"""),"Porto Nacional")</f>
        <v>Porto Nacional</v>
      </c>
      <c r="C367" s="113" t="str">
        <f ca="1">IFERROR(__xludf.DUMMYFUNCTION("""COMPUTED_VALUE"""),"Oliveira de Fatima")</f>
        <v>Oliveira de Fatima</v>
      </c>
      <c r="D367" s="114" t="str">
        <f ca="1">IFERROR(__xludf.DUMMYFUNCTION("""COMPUTED_VALUE"""),"ASS. DE APOIO DA ESC. EST.RIACHUELO")</f>
        <v>ASS. DE APOIO DA ESC. EST.RIACHUELO</v>
      </c>
      <c r="E367" s="113" t="str">
        <f ca="1">IFERROR(__xludf.DUMMYFUNCTION("""COMPUTED_VALUE"""),"Escola Estadual Riachuelo")</f>
        <v>Escola Estadual Riachuelo</v>
      </c>
      <c r="F367" s="115" t="str">
        <f ca="1">IFERROR(__xludf.DUMMYFUNCTION("""COMPUTED_VALUE"""),"17018188")</f>
        <v>17018188</v>
      </c>
      <c r="G367" s="113" t="str">
        <f ca="1">IFERROR(__xludf.DUMMYFUNCTION("""COMPUTED_VALUE"""),"01696068000110")</f>
        <v>01696068000110</v>
      </c>
      <c r="H367" s="115" t="str">
        <f ca="1">IFERROR(__xludf.DUMMYFUNCTION("""COMPUTED_VALUE"""),"001")</f>
        <v>001</v>
      </c>
      <c r="I367" s="115" t="str">
        <f ca="1">IFERROR(__xludf.DUMMYFUNCTION("""COMPUTED_VALUE"""),"4107")</f>
        <v>4107</v>
      </c>
      <c r="J367" s="115" t="str">
        <f ca="1">IFERROR(__xludf.DUMMYFUNCTION("""COMPUTED_VALUE"""),"319511")</f>
        <v>319511</v>
      </c>
      <c r="K367" s="113" t="e">
        <f ca="1"/>
        <v>#REF!</v>
      </c>
      <c r="L367" s="113" t="e">
        <f ca="1"/>
        <v>#REF!</v>
      </c>
      <c r="M367" s="113" t="e">
        <f ca="1"/>
        <v>#REF!</v>
      </c>
      <c r="N367" s="113" t="e">
        <f ca="1"/>
        <v>#REF!</v>
      </c>
      <c r="O367" s="113" t="e">
        <f ca="1"/>
        <v>#REF!</v>
      </c>
      <c r="P367" s="113" t="e">
        <f ca="1"/>
        <v>#REF!</v>
      </c>
      <c r="Q367" s="113" t="e">
        <f ca="1"/>
        <v>#REF!</v>
      </c>
      <c r="R367" s="113" t="e">
        <f ca="1"/>
        <v>#REF!</v>
      </c>
      <c r="S367" s="113" t="e">
        <f ca="1"/>
        <v>#REF!</v>
      </c>
      <c r="T367" s="113" t="e">
        <f ca="1"/>
        <v>#REF!</v>
      </c>
      <c r="U367" s="113" t="e">
        <f ca="1"/>
        <v>#REF!</v>
      </c>
      <c r="V367" s="113" t="e">
        <f ca="1"/>
        <v>#REF!</v>
      </c>
      <c r="W367" s="113" t="e">
        <f ca="1"/>
        <v>#REF!</v>
      </c>
      <c r="X367" s="113" t="e">
        <f ca="1"/>
        <v>#REF!</v>
      </c>
      <c r="Y367" s="113" t="e">
        <f ca="1"/>
        <v>#REF!</v>
      </c>
      <c r="Z367" s="113" t="e">
        <f ca="1"/>
        <v>#REF!</v>
      </c>
      <c r="AA367" s="113"/>
      <c r="AB367" s="113"/>
      <c r="AC367" s="113"/>
      <c r="AD367" s="113"/>
      <c r="AE367" s="113" t="str">
        <f ca="1">IFERROR(__xludf.DUMMYFUNCTION("""COMPUTED_VALUE"""),"Parcial")</f>
        <v>Parcial</v>
      </c>
      <c r="AF367" s="113" t="str">
        <f ca="1">IFERROR(__xludf.DUMMYFUNCTION("""COMPUTED_VALUE"""),"FE")</f>
        <v>FE</v>
      </c>
      <c r="AG367" s="113">
        <f ca="1">IFERROR(__xludf.DUMMYFUNCTION("""COMPUTED_VALUE"""),0)</f>
        <v>0</v>
      </c>
      <c r="AH367" s="113">
        <f ca="1">IFERROR(__xludf.DUMMYFUNCTION("""COMPUTED_VALUE"""),0)</f>
        <v>0</v>
      </c>
      <c r="AI367" s="113">
        <f ca="1">IFERROR(__xludf.DUMMYFUNCTION("""COMPUTED_VALUE"""),0)</f>
        <v>0</v>
      </c>
      <c r="AJ367" s="113">
        <f ca="1">IFERROR(__xludf.DUMMYFUNCTION("""COMPUTED_VALUE"""),0)</f>
        <v>0</v>
      </c>
      <c r="AK367" s="113"/>
      <c r="AL367" s="116"/>
    </row>
    <row r="368" spans="1:38" ht="12.75">
      <c r="A368" s="112" t="str">
        <f ca="1">IFERROR(__xludf.DUMMYFUNCTION("""COMPUTED_VALUE"""),"17035848")</f>
        <v>17035848</v>
      </c>
      <c r="B368" s="113" t="str">
        <f ca="1">IFERROR(__xludf.DUMMYFUNCTION("""COMPUTED_VALUE"""),"Porto Nacional")</f>
        <v>Porto Nacional</v>
      </c>
      <c r="C368" s="113" t="str">
        <f ca="1">IFERROR(__xludf.DUMMYFUNCTION("""COMPUTED_VALUE"""),"Pindorama do Tocantins")</f>
        <v>Pindorama do Tocantins</v>
      </c>
      <c r="D368" s="114" t="str">
        <f ca="1">IFERROR(__xludf.DUMMYFUNCTION("""COMPUTED_VALUE"""),"A.A. DO COL. EST. MANOEL DOS SANTOS ROSAL")</f>
        <v>A.A. DO COL. EST. MANOEL DOS SANTOS ROSAL</v>
      </c>
      <c r="E368" s="113" t="str">
        <f ca="1">IFERROR(__xludf.DUMMYFUNCTION("""COMPUTED_VALUE"""),"Colégio Estadual Manoel dos Santos Rosal")</f>
        <v>Colégio Estadual Manoel dos Santos Rosal</v>
      </c>
      <c r="F368" s="115" t="str">
        <f ca="1">IFERROR(__xludf.DUMMYFUNCTION("""COMPUTED_VALUE"""),"17035848")</f>
        <v>17035848</v>
      </c>
      <c r="G368" s="113" t="str">
        <f ca="1">IFERROR(__xludf.DUMMYFUNCTION("""COMPUTED_VALUE"""),"01034136000185")</f>
        <v>01034136000185</v>
      </c>
      <c r="H368" s="115" t="str">
        <f ca="1">IFERROR(__xludf.DUMMYFUNCTION("""COMPUTED_VALUE"""),"001")</f>
        <v>001</v>
      </c>
      <c r="I368" s="115" t="str">
        <f ca="1">IFERROR(__xludf.DUMMYFUNCTION("""COMPUTED_VALUE"""),"1117")</f>
        <v>1117</v>
      </c>
      <c r="J368" s="115" t="str">
        <f ca="1">IFERROR(__xludf.DUMMYFUNCTION("""COMPUTED_VALUE"""),"312991")</f>
        <v>312991</v>
      </c>
      <c r="K368" s="113" t="e">
        <f ca="1"/>
        <v>#REF!</v>
      </c>
      <c r="L368" s="113" t="e">
        <f ca="1"/>
        <v>#REF!</v>
      </c>
      <c r="M368" s="113" t="e">
        <f ca="1"/>
        <v>#REF!</v>
      </c>
      <c r="N368" s="113" t="e">
        <f ca="1"/>
        <v>#REF!</v>
      </c>
      <c r="O368" s="113" t="e">
        <f ca="1"/>
        <v>#REF!</v>
      </c>
      <c r="P368" s="113" t="e">
        <f ca="1"/>
        <v>#REF!</v>
      </c>
      <c r="Q368" s="113" t="e">
        <f ca="1"/>
        <v>#REF!</v>
      </c>
      <c r="R368" s="113" t="e">
        <f ca="1"/>
        <v>#REF!</v>
      </c>
      <c r="S368" s="113" t="e">
        <f ca="1"/>
        <v>#REF!</v>
      </c>
      <c r="T368" s="113" t="e">
        <f ca="1"/>
        <v>#REF!</v>
      </c>
      <c r="U368" s="113" t="e">
        <f ca="1"/>
        <v>#REF!</v>
      </c>
      <c r="V368" s="113" t="e">
        <f ca="1"/>
        <v>#REF!</v>
      </c>
      <c r="W368" s="113" t="e">
        <f ca="1"/>
        <v>#REF!</v>
      </c>
      <c r="X368" s="113" t="e">
        <f ca="1"/>
        <v>#REF!</v>
      </c>
      <c r="Y368" s="113" t="e">
        <f ca="1"/>
        <v>#REF!</v>
      </c>
      <c r="Z368" s="113" t="e">
        <f ca="1"/>
        <v>#REF!</v>
      </c>
      <c r="AA368" s="113"/>
      <c r="AB368" s="113"/>
      <c r="AC368" s="113"/>
      <c r="AD368" s="113"/>
      <c r="AE368" s="113" t="str">
        <f ca="1">IFERROR(__xludf.DUMMYFUNCTION("""COMPUTED_VALUE"""),"Integral")</f>
        <v>Integral</v>
      </c>
      <c r="AF368" s="113" t="str">
        <f ca="1">IFERROR(__xludf.DUMMYFUNCTION("""COMPUTED_VALUE"""),"FE")</f>
        <v>FE</v>
      </c>
      <c r="AG368" s="113">
        <f ca="1">IFERROR(__xludf.DUMMYFUNCTION("""COMPUTED_VALUE"""),11)</f>
        <v>11</v>
      </c>
      <c r="AH368" s="113">
        <f ca="1">IFERROR(__xludf.DUMMYFUNCTION("""COMPUTED_VALUE"""),0)</f>
        <v>0</v>
      </c>
      <c r="AI368" s="113">
        <f ca="1">IFERROR(__xludf.DUMMYFUNCTION("""COMPUTED_VALUE"""),0)</f>
        <v>0</v>
      </c>
      <c r="AJ368" s="113">
        <f ca="1">IFERROR(__xludf.DUMMYFUNCTION("""COMPUTED_VALUE"""),7)</f>
        <v>7</v>
      </c>
      <c r="AK368" s="113"/>
      <c r="AL368" s="116"/>
    </row>
    <row r="369" spans="1:38" ht="12.75">
      <c r="A369" s="112" t="str">
        <f ca="1">IFERROR(__xludf.DUMMYFUNCTION("""COMPUTED_VALUE"""),"17035830")</f>
        <v>17035830</v>
      </c>
      <c r="B369" s="113" t="str">
        <f ca="1">IFERROR(__xludf.DUMMYFUNCTION("""COMPUTED_VALUE"""),"Porto Nacional")</f>
        <v>Porto Nacional</v>
      </c>
      <c r="C369" s="113" t="str">
        <f ca="1">IFERROR(__xludf.DUMMYFUNCTION("""COMPUTED_VALUE"""),"Pindorama do Tocantins")</f>
        <v>Pindorama do Tocantins</v>
      </c>
      <c r="D369" s="114" t="str">
        <f ca="1">IFERROR(__xludf.DUMMYFUNCTION("""COMPUTED_VALUE"""),"A.A. E. E. DEP.JOSE A. DE ASSIS")</f>
        <v>A.A. E. E. DEP.JOSE A. DE ASSIS</v>
      </c>
      <c r="E369" s="113" t="str">
        <f ca="1">IFERROR(__xludf.DUMMYFUNCTION("""COMPUTED_VALUE"""),"Escola Estadual José Alves de Assis")</f>
        <v>Escola Estadual José Alves de Assis</v>
      </c>
      <c r="F369" s="115" t="str">
        <f ca="1">IFERROR(__xludf.DUMMYFUNCTION("""COMPUTED_VALUE"""),"17035830")</f>
        <v>17035830</v>
      </c>
      <c r="G369" s="113" t="str">
        <f ca="1">IFERROR(__xludf.DUMMYFUNCTION("""COMPUTED_VALUE"""),"01066411000142")</f>
        <v>01066411000142</v>
      </c>
      <c r="H369" s="115" t="str">
        <f ca="1">IFERROR(__xludf.DUMMYFUNCTION("""COMPUTED_VALUE"""),"001")</f>
        <v>001</v>
      </c>
      <c r="I369" s="115" t="str">
        <f ca="1">IFERROR(__xludf.DUMMYFUNCTION("""COMPUTED_VALUE"""),"1117")</f>
        <v>1117</v>
      </c>
      <c r="J369" s="115" t="str">
        <f ca="1">IFERROR(__xludf.DUMMYFUNCTION("""COMPUTED_VALUE"""),"312770")</f>
        <v>312770</v>
      </c>
      <c r="K369" s="113" t="e">
        <f ca="1"/>
        <v>#REF!</v>
      </c>
      <c r="L369" s="113" t="e">
        <f ca="1"/>
        <v>#REF!</v>
      </c>
      <c r="M369" s="113" t="e">
        <f ca="1"/>
        <v>#REF!</v>
      </c>
      <c r="N369" s="113" t="e">
        <f ca="1"/>
        <v>#REF!</v>
      </c>
      <c r="O369" s="113" t="e">
        <f ca="1"/>
        <v>#REF!</v>
      </c>
      <c r="P369" s="113" t="e">
        <f ca="1"/>
        <v>#REF!</v>
      </c>
      <c r="Q369" s="113" t="e">
        <f ca="1"/>
        <v>#REF!</v>
      </c>
      <c r="R369" s="113" t="e">
        <f ca="1"/>
        <v>#REF!</v>
      </c>
      <c r="S369" s="113" t="e">
        <f ca="1"/>
        <v>#REF!</v>
      </c>
      <c r="T369" s="113" t="e">
        <f ca="1"/>
        <v>#REF!</v>
      </c>
      <c r="U369" s="113" t="e">
        <f ca="1"/>
        <v>#REF!</v>
      </c>
      <c r="V369" s="113" t="e">
        <f ca="1"/>
        <v>#REF!</v>
      </c>
      <c r="W369" s="113" t="e">
        <f ca="1"/>
        <v>#REF!</v>
      </c>
      <c r="X369" s="113" t="e">
        <f ca="1"/>
        <v>#REF!</v>
      </c>
      <c r="Y369" s="113" t="e">
        <f ca="1"/>
        <v>#REF!</v>
      </c>
      <c r="Z369" s="113" t="e">
        <f ca="1"/>
        <v>#REF!</v>
      </c>
      <c r="AA369" s="113"/>
      <c r="AB369" s="113"/>
      <c r="AC369" s="113"/>
      <c r="AD369" s="113"/>
      <c r="AE369" s="113" t="str">
        <f ca="1">IFERROR(__xludf.DUMMYFUNCTION("""COMPUTED_VALUE"""),"Parcial")</f>
        <v>Parcial</v>
      </c>
      <c r="AF369" s="113" t="str">
        <f ca="1">IFERROR(__xludf.DUMMYFUNCTION("""COMPUTED_VALUE"""),"FE")</f>
        <v>FE</v>
      </c>
      <c r="AG369" s="113">
        <f ca="1">IFERROR(__xludf.DUMMYFUNCTION("""COMPUTED_VALUE"""),0)</f>
        <v>0</v>
      </c>
      <c r="AH369" s="113">
        <f ca="1">IFERROR(__xludf.DUMMYFUNCTION("""COMPUTED_VALUE"""),0)</f>
        <v>0</v>
      </c>
      <c r="AI369" s="113">
        <f ca="1">IFERROR(__xludf.DUMMYFUNCTION("""COMPUTED_VALUE"""),0)</f>
        <v>0</v>
      </c>
      <c r="AJ369" s="113">
        <f ca="1">IFERROR(__xludf.DUMMYFUNCTION("""COMPUTED_VALUE"""),0)</f>
        <v>0</v>
      </c>
      <c r="AK369" s="113"/>
      <c r="AL369" s="116"/>
    </row>
    <row r="370" spans="1:38" ht="12.75">
      <c r="A370" s="112" t="str">
        <f ca="1">IFERROR(__xludf.DUMMYFUNCTION("""COMPUTED_VALUE"""),"17030811")</f>
        <v>17030811</v>
      </c>
      <c r="B370" s="113" t="str">
        <f ca="1">IFERROR(__xludf.DUMMYFUNCTION("""COMPUTED_VALUE"""),"Porto Nacional")</f>
        <v>Porto Nacional</v>
      </c>
      <c r="C370" s="113" t="str">
        <f ca="1">IFERROR(__xludf.DUMMYFUNCTION("""COMPUTED_VALUE"""),"Ponte Alta do Tocantins")</f>
        <v>Ponte Alta do Tocantins</v>
      </c>
      <c r="D370" s="114" t="str">
        <f ca="1">IFERROR(__xludf.DUMMYFUNCTION("""COMPUTED_VALUE"""),"ASS. A. AO COL. EST. ODOLFO SOARES")</f>
        <v>ASS. A. AO COL. EST. ODOLFO SOARES</v>
      </c>
      <c r="E370" s="113" t="str">
        <f ca="1">IFERROR(__xludf.DUMMYFUNCTION("""COMPUTED_VALUE"""),"Colégio Estadual Odolfo Soares")</f>
        <v>Colégio Estadual Odolfo Soares</v>
      </c>
      <c r="F370" s="115" t="str">
        <f ca="1">IFERROR(__xludf.DUMMYFUNCTION("""COMPUTED_VALUE"""),"17030811")</f>
        <v>17030811</v>
      </c>
      <c r="G370" s="113" t="str">
        <f ca="1">IFERROR(__xludf.DUMMYFUNCTION("""COMPUTED_VALUE"""),"01342866000143")</f>
        <v>01342866000143</v>
      </c>
      <c r="H370" s="115" t="str">
        <f ca="1">IFERROR(__xludf.DUMMYFUNCTION("""COMPUTED_VALUE"""),"001")</f>
        <v>001</v>
      </c>
      <c r="I370" s="115" t="str">
        <f ca="1">IFERROR(__xludf.DUMMYFUNCTION("""COMPUTED_VALUE"""),"1117")</f>
        <v>1117</v>
      </c>
      <c r="J370" s="115" t="str">
        <f ca="1">IFERROR(__xludf.DUMMYFUNCTION("""COMPUTED_VALUE"""),"333921")</f>
        <v>333921</v>
      </c>
      <c r="K370" s="113" t="e">
        <f ca="1"/>
        <v>#REF!</v>
      </c>
      <c r="L370" s="113" t="e">
        <f ca="1"/>
        <v>#REF!</v>
      </c>
      <c r="M370" s="113" t="e">
        <f ca="1"/>
        <v>#REF!</v>
      </c>
      <c r="N370" s="113" t="e">
        <f ca="1"/>
        <v>#REF!</v>
      </c>
      <c r="O370" s="113" t="e">
        <f ca="1"/>
        <v>#REF!</v>
      </c>
      <c r="P370" s="113" t="e">
        <f ca="1"/>
        <v>#REF!</v>
      </c>
      <c r="Q370" s="113" t="e">
        <f ca="1"/>
        <v>#REF!</v>
      </c>
      <c r="R370" s="113" t="e">
        <f ca="1"/>
        <v>#REF!</v>
      </c>
      <c r="S370" s="113" t="e">
        <f ca="1"/>
        <v>#REF!</v>
      </c>
      <c r="T370" s="113" t="e">
        <f ca="1"/>
        <v>#REF!</v>
      </c>
      <c r="U370" s="113" t="e">
        <f ca="1"/>
        <v>#REF!</v>
      </c>
      <c r="V370" s="113" t="e">
        <f ca="1"/>
        <v>#REF!</v>
      </c>
      <c r="W370" s="113" t="e">
        <f ca="1"/>
        <v>#REF!</v>
      </c>
      <c r="X370" s="113" t="e">
        <f ca="1"/>
        <v>#REF!</v>
      </c>
      <c r="Y370" s="113" t="e">
        <f ca="1"/>
        <v>#REF!</v>
      </c>
      <c r="Z370" s="113" t="e">
        <f ca="1"/>
        <v>#REF!</v>
      </c>
      <c r="AA370" s="113"/>
      <c r="AB370" s="113"/>
      <c r="AC370" s="113"/>
      <c r="AD370" s="113"/>
      <c r="AE370" s="113" t="str">
        <f ca="1">IFERROR(__xludf.DUMMYFUNCTION("""COMPUTED_VALUE"""),"Parcial")</f>
        <v>Parcial</v>
      </c>
      <c r="AF370" s="113" t="str">
        <f ca="1">IFERROR(__xludf.DUMMYFUNCTION("""COMPUTED_VALUE"""),"FE")</f>
        <v>FE</v>
      </c>
      <c r="AG370" s="113">
        <f ca="1">IFERROR(__xludf.DUMMYFUNCTION("""COMPUTED_VALUE"""),0)</f>
        <v>0</v>
      </c>
      <c r="AH370" s="113">
        <f ca="1">IFERROR(__xludf.DUMMYFUNCTION("""COMPUTED_VALUE"""),0)</f>
        <v>0</v>
      </c>
      <c r="AI370" s="113">
        <f ca="1">IFERROR(__xludf.DUMMYFUNCTION("""COMPUTED_VALUE"""),0)</f>
        <v>0</v>
      </c>
      <c r="AJ370" s="113">
        <f ca="1">IFERROR(__xludf.DUMMYFUNCTION("""COMPUTED_VALUE"""),0)</f>
        <v>0</v>
      </c>
      <c r="AK370" s="113"/>
      <c r="AL370" s="116"/>
    </row>
    <row r="371" spans="1:38" ht="12.75">
      <c r="A371" s="112" t="str">
        <f ca="1">IFERROR(__xludf.DUMMYFUNCTION("""COMPUTED_VALUE"""),"17030838")</f>
        <v>17030838</v>
      </c>
      <c r="B371" s="113" t="str">
        <f ca="1">IFERROR(__xludf.DUMMYFUNCTION("""COMPUTED_VALUE"""),"Porto Nacional")</f>
        <v>Porto Nacional</v>
      </c>
      <c r="C371" s="113" t="str">
        <f ca="1">IFERROR(__xludf.DUMMYFUNCTION("""COMPUTED_VALUE"""),"Ponte Alta do Tocantins")</f>
        <v>Ponte Alta do Tocantins</v>
      </c>
      <c r="D371" s="114" t="str">
        <f ca="1">IFERROR(__xludf.DUMMYFUNCTION("""COMPUTED_VALUE"""),"ASS. APOIO DA ESCOLA EST. ALCIDES RUFO")</f>
        <v>ASS. APOIO DA ESCOLA EST. ALCIDES RUFO</v>
      </c>
      <c r="E371" s="113" t="str">
        <f ca="1">IFERROR(__xludf.DUMMYFUNCTION("""COMPUTED_VALUE"""),"Escola Estadual Alcides Rufo")</f>
        <v>Escola Estadual Alcides Rufo</v>
      </c>
      <c r="F371" s="115" t="str">
        <f ca="1">IFERROR(__xludf.DUMMYFUNCTION("""COMPUTED_VALUE"""),"17030838")</f>
        <v>17030838</v>
      </c>
      <c r="G371" s="113" t="str">
        <f ca="1">IFERROR(__xludf.DUMMYFUNCTION("""COMPUTED_VALUE"""),"01192931000100")</f>
        <v>01192931000100</v>
      </c>
      <c r="H371" s="115" t="str">
        <f ca="1">IFERROR(__xludf.DUMMYFUNCTION("""COMPUTED_VALUE"""),"001")</f>
        <v>001</v>
      </c>
      <c r="I371" s="115" t="str">
        <f ca="1">IFERROR(__xludf.DUMMYFUNCTION("""COMPUTED_VALUE"""),"1117")</f>
        <v>1117</v>
      </c>
      <c r="J371" s="115" t="str">
        <f ca="1">IFERROR(__xludf.DUMMYFUNCTION("""COMPUTED_VALUE"""),"313785")</f>
        <v>313785</v>
      </c>
      <c r="K371" s="113" t="e">
        <f ca="1"/>
        <v>#REF!</v>
      </c>
      <c r="L371" s="113" t="e">
        <f ca="1"/>
        <v>#REF!</v>
      </c>
      <c r="M371" s="113" t="e">
        <f ca="1"/>
        <v>#REF!</v>
      </c>
      <c r="N371" s="113" t="e">
        <f ca="1"/>
        <v>#REF!</v>
      </c>
      <c r="O371" s="113" t="e">
        <f ca="1"/>
        <v>#REF!</v>
      </c>
      <c r="P371" s="113" t="e">
        <f ca="1"/>
        <v>#REF!</v>
      </c>
      <c r="Q371" s="113" t="e">
        <f ca="1"/>
        <v>#REF!</v>
      </c>
      <c r="R371" s="113" t="e">
        <f ca="1"/>
        <v>#REF!</v>
      </c>
      <c r="S371" s="113" t="e">
        <f ca="1"/>
        <v>#REF!</v>
      </c>
      <c r="T371" s="113" t="e">
        <f ca="1"/>
        <v>#REF!</v>
      </c>
      <c r="U371" s="113" t="e">
        <f ca="1"/>
        <v>#REF!</v>
      </c>
      <c r="V371" s="113" t="e">
        <f ca="1"/>
        <v>#REF!</v>
      </c>
      <c r="W371" s="113" t="e">
        <f ca="1"/>
        <v>#REF!</v>
      </c>
      <c r="X371" s="113" t="e">
        <f ca="1"/>
        <v>#REF!</v>
      </c>
      <c r="Y371" s="113" t="e">
        <f ca="1"/>
        <v>#REF!</v>
      </c>
      <c r="Z371" s="113" t="e">
        <f ca="1"/>
        <v>#REF!</v>
      </c>
      <c r="AA371" s="113"/>
      <c r="AB371" s="113"/>
      <c r="AC371" s="113"/>
      <c r="AD371" s="113"/>
      <c r="AE371" s="113" t="str">
        <f ca="1">IFERROR(__xludf.DUMMYFUNCTION("""COMPUTED_VALUE"""),"Parcial")</f>
        <v>Parcial</v>
      </c>
      <c r="AF371" s="113" t="str">
        <f ca="1">IFERROR(__xludf.DUMMYFUNCTION("""COMPUTED_VALUE"""),"FE")</f>
        <v>FE</v>
      </c>
      <c r="AG371" s="113">
        <f ca="1">IFERROR(__xludf.DUMMYFUNCTION("""COMPUTED_VALUE"""),0)</f>
        <v>0</v>
      </c>
      <c r="AH371" s="113">
        <f ca="1">IFERROR(__xludf.DUMMYFUNCTION("""COMPUTED_VALUE"""),0)</f>
        <v>0</v>
      </c>
      <c r="AI371" s="113">
        <f ca="1">IFERROR(__xludf.DUMMYFUNCTION("""COMPUTED_VALUE"""),0)</f>
        <v>0</v>
      </c>
      <c r="AJ371" s="113">
        <f ca="1">IFERROR(__xludf.DUMMYFUNCTION("""COMPUTED_VALUE"""),0)</f>
        <v>0</v>
      </c>
      <c r="AK371" s="113"/>
      <c r="AL371" s="116"/>
    </row>
    <row r="372" spans="1:38" ht="12.75">
      <c r="A372" s="112" t="str">
        <f ca="1">IFERROR(__xludf.DUMMYFUNCTION("""COMPUTED_VALUE"""),"17052483")</f>
        <v>17052483</v>
      </c>
      <c r="B372" s="113" t="str">
        <f ca="1">IFERROR(__xludf.DUMMYFUNCTION("""COMPUTED_VALUE"""),"Porto Nacional")</f>
        <v>Porto Nacional</v>
      </c>
      <c r="C372" s="113" t="str">
        <f ca="1">IFERROR(__xludf.DUMMYFUNCTION("""COMPUTED_VALUE"""),"Ponte Alta do Tocantins")</f>
        <v>Ponte Alta do Tocantins</v>
      </c>
      <c r="D372" s="114" t="str">
        <f ca="1">IFERROR(__xludf.DUMMYFUNCTION("""COMPUTED_VALUE"""),"ASS. DE APOIO A ESCOLA EST. ESPECIAL AMILSON FRAZÃO DOS REIS")</f>
        <v>ASS. DE APOIO A ESCOLA EST. ESPECIAL AMILSON FRAZÃO DOS REIS</v>
      </c>
      <c r="E372" s="113" t="str">
        <f ca="1">IFERROR(__xludf.DUMMYFUNCTION("""COMPUTED_VALUE"""),"A.A. Escola Est. Especial Amilson Frazão dos Reis - Apae")</f>
        <v>A.A. Escola Est. Especial Amilson Frazão dos Reis - Apae</v>
      </c>
      <c r="F372" s="115" t="str">
        <f ca="1">IFERROR(__xludf.DUMMYFUNCTION("""COMPUTED_VALUE"""),"17052483")</f>
        <v>17052483</v>
      </c>
      <c r="G372" s="113" t="str">
        <f ca="1">IFERROR(__xludf.DUMMYFUNCTION("""COMPUTED_VALUE"""),"20309905000155")</f>
        <v>20309905000155</v>
      </c>
      <c r="H372" s="115" t="str">
        <f ca="1">IFERROR(__xludf.DUMMYFUNCTION("""COMPUTED_VALUE"""),"001")</f>
        <v>001</v>
      </c>
      <c r="I372" s="115" t="str">
        <f ca="1">IFERROR(__xludf.DUMMYFUNCTION("""COMPUTED_VALUE"""),"1117")</f>
        <v>1117</v>
      </c>
      <c r="J372" s="115" t="str">
        <f ca="1">IFERROR(__xludf.DUMMYFUNCTION("""COMPUTED_VALUE"""),"567426")</f>
        <v>567426</v>
      </c>
      <c r="K372" s="113" t="e">
        <f ca="1"/>
        <v>#REF!</v>
      </c>
      <c r="L372" s="113" t="e">
        <f ca="1"/>
        <v>#REF!</v>
      </c>
      <c r="M372" s="113" t="e">
        <f ca="1"/>
        <v>#REF!</v>
      </c>
      <c r="N372" s="113" t="e">
        <f ca="1"/>
        <v>#REF!</v>
      </c>
      <c r="O372" s="113" t="e">
        <f ca="1"/>
        <v>#REF!</v>
      </c>
      <c r="P372" s="113" t="e">
        <f ca="1"/>
        <v>#REF!</v>
      </c>
      <c r="Q372" s="113" t="e">
        <f ca="1"/>
        <v>#REF!</v>
      </c>
      <c r="R372" s="113" t="e">
        <f ca="1"/>
        <v>#REF!</v>
      </c>
      <c r="S372" s="113" t="e">
        <f ca="1"/>
        <v>#REF!</v>
      </c>
      <c r="T372" s="113" t="e">
        <f ca="1"/>
        <v>#REF!</v>
      </c>
      <c r="U372" s="113" t="e">
        <f ca="1"/>
        <v>#REF!</v>
      </c>
      <c r="V372" s="113" t="e">
        <f ca="1"/>
        <v>#REF!</v>
      </c>
      <c r="W372" s="113" t="e">
        <f ca="1"/>
        <v>#REF!</v>
      </c>
      <c r="X372" s="113" t="e">
        <f ca="1"/>
        <v>#REF!</v>
      </c>
      <c r="Y372" s="113" t="e">
        <f ca="1"/>
        <v>#REF!</v>
      </c>
      <c r="Z372" s="113" t="e">
        <f ca="1"/>
        <v>#REF!</v>
      </c>
      <c r="AA372" s="113"/>
      <c r="AB372" s="113"/>
      <c r="AC372" s="113"/>
      <c r="AD372" s="113"/>
      <c r="AE372" s="113" t="str">
        <f ca="1">IFERROR(__xludf.DUMMYFUNCTION("""COMPUTED_VALUE"""),"Parcial")</f>
        <v>Parcial</v>
      </c>
      <c r="AF372" s="113" t="str">
        <f ca="1">IFERROR(__xludf.DUMMYFUNCTION("""COMPUTED_VALUE"""),"FE")</f>
        <v>FE</v>
      </c>
      <c r="AG372" s="113">
        <f ca="1">IFERROR(__xludf.DUMMYFUNCTION("""COMPUTED_VALUE"""),0)</f>
        <v>0</v>
      </c>
      <c r="AH372" s="113">
        <f ca="1">IFERROR(__xludf.DUMMYFUNCTION("""COMPUTED_VALUE"""),0)</f>
        <v>0</v>
      </c>
      <c r="AI372" s="113">
        <f ca="1">IFERROR(__xludf.DUMMYFUNCTION("""COMPUTED_VALUE"""),0)</f>
        <v>0</v>
      </c>
      <c r="AJ372" s="113">
        <f ca="1">IFERROR(__xludf.DUMMYFUNCTION("""COMPUTED_VALUE"""),0)</f>
        <v>0</v>
      </c>
      <c r="AK372" s="113"/>
      <c r="AL372" s="116"/>
    </row>
    <row r="373" spans="1:38" ht="12.75">
      <c r="A373" s="112" t="str">
        <f ca="1">IFERROR(__xludf.DUMMYFUNCTION("""COMPUTED_VALUE"""),"17025206")</f>
        <v>17025206</v>
      </c>
      <c r="B373" s="113" t="str">
        <f ca="1">IFERROR(__xludf.DUMMYFUNCTION("""COMPUTED_VALUE"""),"Porto Nacional")</f>
        <v>Porto Nacional</v>
      </c>
      <c r="C373" s="113" t="str">
        <f ca="1">IFERROR(__xludf.DUMMYFUNCTION("""COMPUTED_VALUE"""),"Porto Nacional")</f>
        <v>Porto Nacional</v>
      </c>
      <c r="D373" s="114" t="str">
        <f ca="1">IFERROR(__xludf.DUMMYFUNCTION("""COMPUTED_VALUE"""),"ASSOC. DE APOIO AO CEM FELIX CAMOA I")</f>
        <v>ASSOC. DE APOIO AO CEM FELIX CAMOA I</v>
      </c>
      <c r="E373" s="113" t="str">
        <f ca="1">IFERROR(__xludf.DUMMYFUNCTION("""COMPUTED_VALUE"""),"Centro de Ensino Medio Félix Camoa I")</f>
        <v>Centro de Ensino Medio Félix Camoa I</v>
      </c>
      <c r="F373" s="115" t="str">
        <f ca="1">IFERROR(__xludf.DUMMYFUNCTION("""COMPUTED_VALUE"""),"17025206")</f>
        <v>17025206</v>
      </c>
      <c r="G373" s="113" t="str">
        <f ca="1">IFERROR(__xludf.DUMMYFUNCTION("""COMPUTED_VALUE"""),"01112476000187")</f>
        <v>01112476000187</v>
      </c>
      <c r="H373" s="115" t="str">
        <f ca="1">IFERROR(__xludf.DUMMYFUNCTION("""COMPUTED_VALUE"""),"104")</f>
        <v>104</v>
      </c>
      <c r="I373" s="115" t="str">
        <f ca="1">IFERROR(__xludf.DUMMYFUNCTION("""COMPUTED_VALUE"""),"1829")</f>
        <v>1829</v>
      </c>
      <c r="J373" s="115" t="str">
        <f ca="1">IFERROR(__xludf.DUMMYFUNCTION("""COMPUTED_VALUE"""),"3050011")</f>
        <v>3050011</v>
      </c>
      <c r="K373" s="113" t="e">
        <f ca="1"/>
        <v>#REF!</v>
      </c>
      <c r="L373" s="113" t="e">
        <f ca="1"/>
        <v>#REF!</v>
      </c>
      <c r="M373" s="113" t="e">
        <f ca="1"/>
        <v>#REF!</v>
      </c>
      <c r="N373" s="113" t="e">
        <f ca="1"/>
        <v>#REF!</v>
      </c>
      <c r="O373" s="113" t="e">
        <f ca="1"/>
        <v>#REF!</v>
      </c>
      <c r="P373" s="113" t="e">
        <f ca="1"/>
        <v>#REF!</v>
      </c>
      <c r="Q373" s="113" t="e">
        <f ca="1"/>
        <v>#REF!</v>
      </c>
      <c r="R373" s="113" t="e">
        <f ca="1"/>
        <v>#REF!</v>
      </c>
      <c r="S373" s="113" t="e">
        <f ca="1"/>
        <v>#REF!</v>
      </c>
      <c r="T373" s="113" t="e">
        <f ca="1"/>
        <v>#REF!</v>
      </c>
      <c r="U373" s="113" t="e">
        <f ca="1"/>
        <v>#REF!</v>
      </c>
      <c r="V373" s="113" t="e">
        <f ca="1"/>
        <v>#REF!</v>
      </c>
      <c r="W373" s="113" t="e">
        <f ca="1"/>
        <v>#REF!</v>
      </c>
      <c r="X373" s="113" t="e">
        <f ca="1"/>
        <v>#REF!</v>
      </c>
      <c r="Y373" s="113" t="e">
        <f ca="1"/>
        <v>#REF!</v>
      </c>
      <c r="Z373" s="113" t="e">
        <f ca="1"/>
        <v>#REF!</v>
      </c>
      <c r="AA373" s="113"/>
      <c r="AB373" s="113"/>
      <c r="AC373" s="113"/>
      <c r="AD373" s="113"/>
      <c r="AE373" s="113" t="str">
        <f ca="1">IFERROR(__xludf.DUMMYFUNCTION("""COMPUTED_VALUE"""),"Parcial")</f>
        <v>Parcial</v>
      </c>
      <c r="AF373" s="113" t="str">
        <f ca="1">IFERROR(__xludf.DUMMYFUNCTION("""COMPUTED_VALUE"""),"FE")</f>
        <v>FE</v>
      </c>
      <c r="AG373" s="113">
        <f ca="1">IFERROR(__xludf.DUMMYFUNCTION("""COMPUTED_VALUE"""),18)</f>
        <v>18</v>
      </c>
      <c r="AH373" s="113">
        <f ca="1">IFERROR(__xludf.DUMMYFUNCTION("""COMPUTED_VALUE"""),0)</f>
        <v>0</v>
      </c>
      <c r="AI373" s="113">
        <f ca="1">IFERROR(__xludf.DUMMYFUNCTION("""COMPUTED_VALUE"""),0)</f>
        <v>0</v>
      </c>
      <c r="AJ373" s="113">
        <f ca="1">IFERROR(__xludf.DUMMYFUNCTION("""COMPUTED_VALUE"""),0)</f>
        <v>0</v>
      </c>
      <c r="AK373" s="113"/>
      <c r="AL373" s="116"/>
    </row>
    <row r="374" spans="1:38" ht="12.75">
      <c r="A374" s="112" t="str">
        <f ca="1">IFERROR(__xludf.DUMMYFUNCTION("""COMPUTED_VALUE"""),"17024790")</f>
        <v>17024790</v>
      </c>
      <c r="B374" s="113" t="str">
        <f ca="1">IFERROR(__xludf.DUMMYFUNCTION("""COMPUTED_VALUE"""),"Porto Nacional")</f>
        <v>Porto Nacional</v>
      </c>
      <c r="C374" s="113" t="str">
        <f ca="1">IFERROR(__xludf.DUMMYFUNCTION("""COMPUTED_VALUE"""),"Porto Nacional")</f>
        <v>Porto Nacional</v>
      </c>
      <c r="D374" s="114" t="str">
        <f ca="1">IFERROR(__xludf.DUMMYFUNCTION("""COMPUTED_VALUE"""),"ASSOC. DE A.DO CEM PROFº. FLORÊNCIO AIRES DA SILVA")</f>
        <v>ASSOC. DE A.DO CEM PROFº. FLORÊNCIO AIRES DA SILVA</v>
      </c>
      <c r="E374" s="113" t="str">
        <f ca="1">IFERROR(__xludf.DUMMYFUNCTION("""COMPUTED_VALUE"""),"Centro de Ensino Médio Professor Florêncio Aires")</f>
        <v>Centro de Ensino Médio Professor Florêncio Aires</v>
      </c>
      <c r="F374" s="115" t="str">
        <f ca="1">IFERROR(__xludf.DUMMYFUNCTION("""COMPUTED_VALUE"""),"17024790")</f>
        <v>17024790</v>
      </c>
      <c r="G374" s="113" t="str">
        <f ca="1">IFERROR(__xludf.DUMMYFUNCTION("""COMPUTED_VALUE"""),"01138326000142")</f>
        <v>01138326000142</v>
      </c>
      <c r="H374" s="115" t="str">
        <f ca="1">IFERROR(__xludf.DUMMYFUNCTION("""COMPUTED_VALUE"""),"001")</f>
        <v>001</v>
      </c>
      <c r="I374" s="115" t="str">
        <f ca="1">IFERROR(__xludf.DUMMYFUNCTION("""COMPUTED_VALUE"""),"1117")</f>
        <v>1117</v>
      </c>
      <c r="J374" s="115" t="str">
        <f ca="1">IFERROR(__xludf.DUMMYFUNCTION("""COMPUTED_VALUE"""),"5500X")</f>
        <v>5500X</v>
      </c>
      <c r="K374" s="113" t="e">
        <f ca="1"/>
        <v>#REF!</v>
      </c>
      <c r="L374" s="113" t="e">
        <f ca="1"/>
        <v>#REF!</v>
      </c>
      <c r="M374" s="113" t="e">
        <f ca="1"/>
        <v>#REF!</v>
      </c>
      <c r="N374" s="113" t="e">
        <f ca="1"/>
        <v>#REF!</v>
      </c>
      <c r="O374" s="113" t="e">
        <f ca="1"/>
        <v>#REF!</v>
      </c>
      <c r="P374" s="113" t="e">
        <f ca="1"/>
        <v>#REF!</v>
      </c>
      <c r="Q374" s="113" t="e">
        <f ca="1"/>
        <v>#REF!</v>
      </c>
      <c r="R374" s="113" t="e">
        <f ca="1"/>
        <v>#REF!</v>
      </c>
      <c r="S374" s="113" t="e">
        <f ca="1"/>
        <v>#REF!</v>
      </c>
      <c r="T374" s="113" t="e">
        <f ca="1"/>
        <v>#REF!</v>
      </c>
      <c r="U374" s="113" t="e">
        <f ca="1"/>
        <v>#REF!</v>
      </c>
      <c r="V374" s="113" t="e">
        <f ca="1"/>
        <v>#REF!</v>
      </c>
      <c r="W374" s="113" t="e">
        <f ca="1"/>
        <v>#REF!</v>
      </c>
      <c r="X374" s="113" t="e">
        <f ca="1"/>
        <v>#REF!</v>
      </c>
      <c r="Y374" s="113" t="e">
        <f ca="1"/>
        <v>#REF!</v>
      </c>
      <c r="Z374" s="113" t="e">
        <f ca="1"/>
        <v>#REF!</v>
      </c>
      <c r="AA374" s="113"/>
      <c r="AB374" s="113"/>
      <c r="AC374" s="113"/>
      <c r="AD374" s="113"/>
      <c r="AE374" s="113" t="str">
        <f ca="1">IFERROR(__xludf.DUMMYFUNCTION("""COMPUTED_VALUE"""),"Parcial")</f>
        <v>Parcial</v>
      </c>
      <c r="AF374" s="113" t="str">
        <f ca="1">IFERROR(__xludf.DUMMYFUNCTION("""COMPUTED_VALUE"""),"FE")</f>
        <v>FE</v>
      </c>
      <c r="AG374" s="113">
        <f ca="1">IFERROR(__xludf.DUMMYFUNCTION("""COMPUTED_VALUE"""),0)</f>
        <v>0</v>
      </c>
      <c r="AH374" s="113">
        <f ca="1">IFERROR(__xludf.DUMMYFUNCTION("""COMPUTED_VALUE"""),0)</f>
        <v>0</v>
      </c>
      <c r="AI374" s="113">
        <f ca="1">IFERROR(__xludf.DUMMYFUNCTION("""COMPUTED_VALUE"""),0)</f>
        <v>0</v>
      </c>
      <c r="AJ374" s="113">
        <f ca="1">IFERROR(__xludf.DUMMYFUNCTION("""COMPUTED_VALUE"""),0)</f>
        <v>0</v>
      </c>
      <c r="AK374" s="113"/>
      <c r="AL374" s="116"/>
    </row>
    <row r="375" spans="1:38" ht="12.75">
      <c r="A375" s="112" t="str">
        <f ca="1">IFERROR(__xludf.DUMMYFUNCTION("""COMPUTED_VALUE"""),"17025052")</f>
        <v>17025052</v>
      </c>
      <c r="B375" s="113" t="str">
        <f ca="1">IFERROR(__xludf.DUMMYFUNCTION("""COMPUTED_VALUE"""),"Porto Nacional")</f>
        <v>Porto Nacional</v>
      </c>
      <c r="C375" s="113" t="str">
        <f ca="1">IFERROR(__xludf.DUMMYFUNCTION("""COMPUTED_VALUE"""),"Porto Nacional")</f>
        <v>Porto Nacional</v>
      </c>
      <c r="D375" s="114" t="str">
        <f ca="1">IFERROR(__xludf.DUMMYFUNCTION("""COMPUTED_VALUE"""),"A. E. COM. ESC. CONV. ANGELICA R. ARANHA")</f>
        <v>A. E. COM. ESC. CONV. ANGELICA R. ARANHA</v>
      </c>
      <c r="E375" s="113" t="str">
        <f ca="1">IFERROR(__xludf.DUMMYFUNCTION("""COMPUTED_VALUE"""),"Colégio Estadual Angélica Ribeiro Aranha")</f>
        <v>Colégio Estadual Angélica Ribeiro Aranha</v>
      </c>
      <c r="F375" s="115" t="str">
        <f ca="1">IFERROR(__xludf.DUMMYFUNCTION("""COMPUTED_VALUE"""),"17025052")</f>
        <v>17025052</v>
      </c>
      <c r="G375" s="113" t="str">
        <f ca="1">IFERROR(__xludf.DUMMYFUNCTION("""COMPUTED_VALUE"""),"01075455000139")</f>
        <v>01075455000139</v>
      </c>
      <c r="H375" s="115" t="str">
        <f ca="1">IFERROR(__xludf.DUMMYFUNCTION("""COMPUTED_VALUE"""),"104")</f>
        <v>104</v>
      </c>
      <c r="I375" s="115" t="str">
        <f ca="1">IFERROR(__xludf.DUMMYFUNCTION("""COMPUTED_VALUE"""),"1829")</f>
        <v>1829</v>
      </c>
      <c r="J375" s="115" t="str">
        <f ca="1">IFERROR(__xludf.DUMMYFUNCTION("""COMPUTED_VALUE"""),"307313")</f>
        <v>307313</v>
      </c>
      <c r="K375" s="113" t="e">
        <f ca="1"/>
        <v>#REF!</v>
      </c>
      <c r="L375" s="113" t="e">
        <f ca="1"/>
        <v>#REF!</v>
      </c>
      <c r="M375" s="113" t="e">
        <f ca="1"/>
        <v>#REF!</v>
      </c>
      <c r="N375" s="113" t="e">
        <f ca="1"/>
        <v>#REF!</v>
      </c>
      <c r="O375" s="113" t="e">
        <f ca="1"/>
        <v>#REF!</v>
      </c>
      <c r="P375" s="113" t="e">
        <f ca="1"/>
        <v>#REF!</v>
      </c>
      <c r="Q375" s="113" t="e">
        <f ca="1"/>
        <v>#REF!</v>
      </c>
      <c r="R375" s="113" t="e">
        <f ca="1"/>
        <v>#REF!</v>
      </c>
      <c r="S375" s="113" t="e">
        <f ca="1"/>
        <v>#REF!</v>
      </c>
      <c r="T375" s="113" t="e">
        <f ca="1"/>
        <v>#REF!</v>
      </c>
      <c r="U375" s="113" t="e">
        <f ca="1"/>
        <v>#REF!</v>
      </c>
      <c r="V375" s="113" t="e">
        <f ca="1"/>
        <v>#REF!</v>
      </c>
      <c r="W375" s="113" t="e">
        <f ca="1"/>
        <v>#REF!</v>
      </c>
      <c r="X375" s="113" t="e">
        <f ca="1"/>
        <v>#REF!</v>
      </c>
      <c r="Y375" s="113" t="e">
        <f ca="1"/>
        <v>#REF!</v>
      </c>
      <c r="Z375" s="113" t="e">
        <f ca="1"/>
        <v>#REF!</v>
      </c>
      <c r="AA375" s="113"/>
      <c r="AB375" s="113"/>
      <c r="AC375" s="113"/>
      <c r="AD375" s="113"/>
      <c r="AE375" s="113" t="str">
        <f ca="1">IFERROR(__xludf.DUMMYFUNCTION("""COMPUTED_VALUE"""),"Parcial")</f>
        <v>Parcial</v>
      </c>
      <c r="AF375" s="113" t="str">
        <f ca="1">IFERROR(__xludf.DUMMYFUNCTION("""COMPUTED_VALUE"""),"FE")</f>
        <v>FE</v>
      </c>
      <c r="AG375" s="113">
        <f ca="1">IFERROR(__xludf.DUMMYFUNCTION("""COMPUTED_VALUE"""),0)</f>
        <v>0</v>
      </c>
      <c r="AH375" s="113">
        <f ca="1">IFERROR(__xludf.DUMMYFUNCTION("""COMPUTED_VALUE"""),0)</f>
        <v>0</v>
      </c>
      <c r="AI375" s="113">
        <f ca="1">IFERROR(__xludf.DUMMYFUNCTION("""COMPUTED_VALUE"""),0)</f>
        <v>0</v>
      </c>
      <c r="AJ375" s="113">
        <f ca="1">IFERROR(__xludf.DUMMYFUNCTION("""COMPUTED_VALUE"""),0)</f>
        <v>0</v>
      </c>
      <c r="AK375" s="113"/>
      <c r="AL375" s="116"/>
    </row>
    <row r="376" spans="1:38" ht="12.75">
      <c r="A376" s="112" t="str">
        <f ca="1">IFERROR(__xludf.DUMMYFUNCTION("""COMPUTED_VALUE"""),"17024919")</f>
        <v>17024919</v>
      </c>
      <c r="B376" s="113" t="str">
        <f ca="1">IFERROR(__xludf.DUMMYFUNCTION("""COMPUTED_VALUE"""),"Porto Nacional")</f>
        <v>Porto Nacional</v>
      </c>
      <c r="C376" s="113" t="str">
        <f ca="1">IFERROR(__xludf.DUMMYFUNCTION("""COMPUTED_VALUE"""),"Porto Nacional")</f>
        <v>Porto Nacional</v>
      </c>
      <c r="D376" s="114" t="str">
        <f ca="1">IFERROR(__xludf.DUMMYFUNCTION("""COMPUTED_VALUE"""),"A.A. ESC. EST. DR.PEDRO LUDOVICO TEIXEIRA")</f>
        <v>A.A. ESC. EST. DR.PEDRO LUDOVICO TEIXEIRA</v>
      </c>
      <c r="E376" s="113" t="str">
        <f ca="1">IFERROR(__xludf.DUMMYFUNCTION("""COMPUTED_VALUE"""),"Colégio Estadual Doutor Pedro Ludovico Teixeira")</f>
        <v>Colégio Estadual Doutor Pedro Ludovico Teixeira</v>
      </c>
      <c r="F376" s="115" t="str">
        <f ca="1">IFERROR(__xludf.DUMMYFUNCTION("""COMPUTED_VALUE"""),"17024919")</f>
        <v>17024919</v>
      </c>
      <c r="G376" s="113" t="str">
        <f ca="1">IFERROR(__xludf.DUMMYFUNCTION("""COMPUTED_VALUE"""),"01135997000150")</f>
        <v>01135997000150</v>
      </c>
      <c r="H376" s="115" t="str">
        <f ca="1">IFERROR(__xludf.DUMMYFUNCTION("""COMPUTED_VALUE"""),"104")</f>
        <v>104</v>
      </c>
      <c r="I376" s="115" t="str">
        <f ca="1">IFERROR(__xludf.DUMMYFUNCTION("""COMPUTED_VALUE"""),"1829")</f>
        <v>1829</v>
      </c>
      <c r="J376" s="115" t="str">
        <f ca="1">IFERROR(__xludf.DUMMYFUNCTION("""COMPUTED_VALUE"""),"305949")</f>
        <v>305949</v>
      </c>
      <c r="K376" s="113" t="e">
        <f ca="1"/>
        <v>#REF!</v>
      </c>
      <c r="L376" s="113" t="e">
        <f ca="1"/>
        <v>#REF!</v>
      </c>
      <c r="M376" s="113" t="e">
        <f ca="1"/>
        <v>#REF!</v>
      </c>
      <c r="N376" s="113" t="e">
        <f ca="1"/>
        <v>#REF!</v>
      </c>
      <c r="O376" s="113" t="e">
        <f ca="1"/>
        <v>#REF!</v>
      </c>
      <c r="P376" s="113" t="e">
        <f ca="1"/>
        <v>#REF!</v>
      </c>
      <c r="Q376" s="113" t="e">
        <f ca="1"/>
        <v>#REF!</v>
      </c>
      <c r="R376" s="113" t="e">
        <f ca="1"/>
        <v>#REF!</v>
      </c>
      <c r="S376" s="113" t="e">
        <f ca="1"/>
        <v>#REF!</v>
      </c>
      <c r="T376" s="113" t="e">
        <f ca="1"/>
        <v>#REF!</v>
      </c>
      <c r="U376" s="113" t="e">
        <f ca="1"/>
        <v>#REF!</v>
      </c>
      <c r="V376" s="113" t="e">
        <f ca="1"/>
        <v>#REF!</v>
      </c>
      <c r="W376" s="113" t="e">
        <f ca="1"/>
        <v>#REF!</v>
      </c>
      <c r="X376" s="113" t="e">
        <f ca="1"/>
        <v>#REF!</v>
      </c>
      <c r="Y376" s="113" t="e">
        <f ca="1"/>
        <v>#REF!</v>
      </c>
      <c r="Z376" s="113" t="e">
        <f ca="1"/>
        <v>#REF!</v>
      </c>
      <c r="AA376" s="113"/>
      <c r="AB376" s="113"/>
      <c r="AC376" s="113"/>
      <c r="AD376" s="113"/>
      <c r="AE376" s="113" t="str">
        <f ca="1">IFERROR(__xludf.DUMMYFUNCTION("""COMPUTED_VALUE"""),"Parcial")</f>
        <v>Parcial</v>
      </c>
      <c r="AF376" s="113" t="str">
        <f ca="1">IFERROR(__xludf.DUMMYFUNCTION("""COMPUTED_VALUE"""),"FE")</f>
        <v>FE</v>
      </c>
      <c r="AG376" s="113">
        <f ca="1">IFERROR(__xludf.DUMMYFUNCTION("""COMPUTED_VALUE"""),0)</f>
        <v>0</v>
      </c>
      <c r="AH376" s="113">
        <f ca="1">IFERROR(__xludf.DUMMYFUNCTION("""COMPUTED_VALUE"""),0)</f>
        <v>0</v>
      </c>
      <c r="AI376" s="113">
        <f ca="1">IFERROR(__xludf.DUMMYFUNCTION("""COMPUTED_VALUE"""),0)</f>
        <v>0</v>
      </c>
      <c r="AJ376" s="113">
        <f ca="1">IFERROR(__xludf.DUMMYFUNCTION("""COMPUTED_VALUE"""),0)</f>
        <v>0</v>
      </c>
      <c r="AK376" s="113"/>
      <c r="AL376" s="116"/>
    </row>
    <row r="377" spans="1:38" ht="12.75">
      <c r="A377" s="112" t="str">
        <f ca="1">IFERROR(__xludf.DUMMYFUNCTION("""COMPUTED_VALUE"""),"17024960")</f>
        <v>17024960</v>
      </c>
      <c r="B377" s="113" t="str">
        <f ca="1">IFERROR(__xludf.DUMMYFUNCTION("""COMPUTED_VALUE"""),"Porto Nacional")</f>
        <v>Porto Nacional</v>
      </c>
      <c r="C377" s="113" t="str">
        <f ca="1">IFERROR(__xludf.DUMMYFUNCTION("""COMPUTED_VALUE"""),"Porto Nacional")</f>
        <v>Porto Nacional</v>
      </c>
      <c r="D377" s="114" t="str">
        <f ca="1">IFERROR(__xludf.DUMMYFUNCTION("""COMPUTED_VALUE"""),"A. ESCOL.COM. ESC. EST. MAL.ARTUR C.E SILVA")</f>
        <v>A. ESCOL.COM. ESC. EST. MAL.ARTUR C.E SILVA</v>
      </c>
      <c r="E377" s="113" t="str">
        <f ca="1">IFERROR(__xludf.DUMMYFUNCTION("""COMPUTED_VALUE"""),"Colégio Estadual Marechal Artur da Costa E Silva")</f>
        <v>Colégio Estadual Marechal Artur da Costa E Silva</v>
      </c>
      <c r="F377" s="115" t="str">
        <f ca="1">IFERROR(__xludf.DUMMYFUNCTION("""COMPUTED_VALUE"""),"17024960")</f>
        <v>17024960</v>
      </c>
      <c r="G377" s="113" t="str">
        <f ca="1">IFERROR(__xludf.DUMMYFUNCTION("""COMPUTED_VALUE"""),"01112763000197")</f>
        <v>01112763000197</v>
      </c>
      <c r="H377" s="115" t="str">
        <f ca="1">IFERROR(__xludf.DUMMYFUNCTION("""COMPUTED_VALUE"""),"104")</f>
        <v>104</v>
      </c>
      <c r="I377" s="115" t="str">
        <f ca="1">IFERROR(__xludf.DUMMYFUNCTION("""COMPUTED_VALUE"""),"1829")</f>
        <v>1829</v>
      </c>
      <c r="J377" s="115" t="str">
        <f ca="1">IFERROR(__xludf.DUMMYFUNCTION("""COMPUTED_VALUE"""),"307364")</f>
        <v>307364</v>
      </c>
      <c r="K377" s="113" t="e">
        <f ca="1"/>
        <v>#REF!</v>
      </c>
      <c r="L377" s="113" t="e">
        <f ca="1"/>
        <v>#REF!</v>
      </c>
      <c r="M377" s="113" t="e">
        <f ca="1"/>
        <v>#REF!</v>
      </c>
      <c r="N377" s="113" t="e">
        <f ca="1"/>
        <v>#REF!</v>
      </c>
      <c r="O377" s="113" t="e">
        <f ca="1"/>
        <v>#REF!</v>
      </c>
      <c r="P377" s="113" t="e">
        <f ca="1"/>
        <v>#REF!</v>
      </c>
      <c r="Q377" s="113" t="e">
        <f ca="1"/>
        <v>#REF!</v>
      </c>
      <c r="R377" s="113" t="e">
        <f ca="1"/>
        <v>#REF!</v>
      </c>
      <c r="S377" s="113" t="e">
        <f ca="1"/>
        <v>#REF!</v>
      </c>
      <c r="T377" s="113" t="e">
        <f ca="1"/>
        <v>#REF!</v>
      </c>
      <c r="U377" s="113" t="e">
        <f ca="1"/>
        <v>#REF!</v>
      </c>
      <c r="V377" s="113" t="e">
        <f ca="1"/>
        <v>#REF!</v>
      </c>
      <c r="W377" s="113" t="e">
        <f ca="1"/>
        <v>#REF!</v>
      </c>
      <c r="X377" s="113" t="e">
        <f ca="1"/>
        <v>#REF!</v>
      </c>
      <c r="Y377" s="113" t="e">
        <f ca="1"/>
        <v>#REF!</v>
      </c>
      <c r="Z377" s="113" t="e">
        <f ca="1"/>
        <v>#REF!</v>
      </c>
      <c r="AA377" s="113"/>
      <c r="AB377" s="113"/>
      <c r="AC377" s="113"/>
      <c r="AD377" s="113"/>
      <c r="AE377" s="113" t="str">
        <f ca="1">IFERROR(__xludf.DUMMYFUNCTION("""COMPUTED_VALUE"""),"Integral")</f>
        <v>Integral</v>
      </c>
      <c r="AF377" s="113" t="str">
        <f ca="1">IFERROR(__xludf.DUMMYFUNCTION("""COMPUTED_VALUE"""),"FE")</f>
        <v>FE</v>
      </c>
      <c r="AG377" s="113">
        <f ca="1">IFERROR(__xludf.DUMMYFUNCTION("""COMPUTED_VALUE"""),0)</f>
        <v>0</v>
      </c>
      <c r="AH377" s="113">
        <f ca="1">IFERROR(__xludf.DUMMYFUNCTION("""COMPUTED_VALUE"""),0)</f>
        <v>0</v>
      </c>
      <c r="AI377" s="113">
        <f ca="1">IFERROR(__xludf.DUMMYFUNCTION("""COMPUTED_VALUE"""),0)</f>
        <v>0</v>
      </c>
      <c r="AJ377" s="113">
        <f ca="1">IFERROR(__xludf.DUMMYFUNCTION("""COMPUTED_VALUE"""),0)</f>
        <v>0</v>
      </c>
      <c r="AK377" s="113"/>
      <c r="AL377" s="116"/>
    </row>
    <row r="378" spans="1:38" ht="12.75">
      <c r="A378" s="112" t="str">
        <f ca="1">IFERROR(__xludf.DUMMYFUNCTION("""COMPUTED_VALUE"""),"17040124")</f>
        <v>17040124</v>
      </c>
      <c r="B378" s="113" t="str">
        <f ca="1">IFERROR(__xludf.DUMMYFUNCTION("""COMPUTED_VALUE"""),"Porto Nacional")</f>
        <v>Porto Nacional</v>
      </c>
      <c r="C378" s="113" t="str">
        <f ca="1">IFERROR(__xludf.DUMMYFUNCTION("""COMPUTED_VALUE"""),"Porto Nacional")</f>
        <v>Porto Nacional</v>
      </c>
      <c r="D378" s="114" t="str">
        <f ca="1">IFERROR(__xludf.DUMMYFUNCTION("""COMPUTED_VALUE"""),"ASSOCIAÇÃO DE APOIO DA ESCOLA FAMÍLIA AGRÍCOLA")</f>
        <v>ASSOCIAÇÃO DE APOIO DA ESCOLA FAMÍLIA AGRÍCOLA</v>
      </c>
      <c r="E378" s="113" t="str">
        <f ca="1">IFERROR(__xludf.DUMMYFUNCTION("""COMPUTED_VALUE"""),"Efa-Escola Família Agrícola")</f>
        <v>Efa-Escola Família Agrícola</v>
      </c>
      <c r="F378" s="115" t="str">
        <f ca="1">IFERROR(__xludf.DUMMYFUNCTION("""COMPUTED_VALUE"""),"17040124")</f>
        <v>17040124</v>
      </c>
      <c r="G378" s="113" t="str">
        <f ca="1">IFERROR(__xludf.DUMMYFUNCTION("""COMPUTED_VALUE"""),"01197155000122")</f>
        <v>01197155000122</v>
      </c>
      <c r="H378" s="115" t="str">
        <f ca="1">IFERROR(__xludf.DUMMYFUNCTION("""COMPUTED_VALUE"""),"001")</f>
        <v>001</v>
      </c>
      <c r="I378" s="115" t="str">
        <f ca="1">IFERROR(__xludf.DUMMYFUNCTION("""COMPUTED_VALUE"""),"1117")</f>
        <v>1117</v>
      </c>
      <c r="J378" s="115" t="str">
        <f ca="1">IFERROR(__xludf.DUMMYFUNCTION("""COMPUTED_VALUE"""),"313483")</f>
        <v>313483</v>
      </c>
      <c r="K378" s="113" t="e">
        <f ca="1"/>
        <v>#REF!</v>
      </c>
      <c r="L378" s="113" t="e">
        <f ca="1"/>
        <v>#REF!</v>
      </c>
      <c r="M378" s="113" t="e">
        <f ca="1"/>
        <v>#REF!</v>
      </c>
      <c r="N378" s="113" t="e">
        <f ca="1"/>
        <v>#REF!</v>
      </c>
      <c r="O378" s="113" t="e">
        <f ca="1"/>
        <v>#REF!</v>
      </c>
      <c r="P378" s="113" t="e">
        <f ca="1"/>
        <v>#REF!</v>
      </c>
      <c r="Q378" s="113" t="e">
        <f ca="1"/>
        <v>#REF!</v>
      </c>
      <c r="R378" s="113" t="e">
        <f ca="1"/>
        <v>#REF!</v>
      </c>
      <c r="S378" s="113" t="e">
        <f ca="1"/>
        <v>#REF!</v>
      </c>
      <c r="T378" s="113" t="e">
        <f ca="1"/>
        <v>#REF!</v>
      </c>
      <c r="U378" s="113" t="e">
        <f ca="1"/>
        <v>#REF!</v>
      </c>
      <c r="V378" s="113" t="e">
        <f ca="1"/>
        <v>#REF!</v>
      </c>
      <c r="W378" s="113" t="e">
        <f ca="1"/>
        <v>#REF!</v>
      </c>
      <c r="X378" s="113" t="e">
        <f ca="1"/>
        <v>#REF!</v>
      </c>
      <c r="Y378" s="113" t="e">
        <f ca="1"/>
        <v>#REF!</v>
      </c>
      <c r="Z378" s="113" t="e">
        <f ca="1"/>
        <v>#REF!</v>
      </c>
      <c r="AA378" s="113"/>
      <c r="AB378" s="113"/>
      <c r="AC378" s="113"/>
      <c r="AD378" s="113" t="str">
        <f ca="1">IFERROR(__xludf.DUMMYFUNCTION("""COMPUTED_VALUE"""),"AGRÍCOLA")</f>
        <v>AGRÍCOLA</v>
      </c>
      <c r="AE378" s="113" t="str">
        <f ca="1">IFERROR(__xludf.DUMMYFUNCTION("""COMPUTED_VALUE"""),"Parcial")</f>
        <v>Parcial</v>
      </c>
      <c r="AF378" s="113" t="str">
        <f ca="1">IFERROR(__xludf.DUMMYFUNCTION("""COMPUTED_VALUE"""),"FE")</f>
        <v>FE</v>
      </c>
      <c r="AG378" s="113">
        <f ca="1">IFERROR(__xludf.DUMMYFUNCTION("""COMPUTED_VALUE"""),0)</f>
        <v>0</v>
      </c>
      <c r="AH378" s="113">
        <f ca="1">IFERROR(__xludf.DUMMYFUNCTION("""COMPUTED_VALUE"""),0)</f>
        <v>0</v>
      </c>
      <c r="AI378" s="113">
        <f ca="1">IFERROR(__xludf.DUMMYFUNCTION("""COMPUTED_VALUE"""),14)</f>
        <v>14</v>
      </c>
      <c r="AJ378" s="113">
        <f ca="1">IFERROR(__xludf.DUMMYFUNCTION("""COMPUTED_VALUE"""),0)</f>
        <v>0</v>
      </c>
      <c r="AK378" s="113"/>
      <c r="AL378" s="116"/>
    </row>
    <row r="379" spans="1:38" ht="12.75">
      <c r="A379" s="112" t="str">
        <f ca="1">IFERROR(__xludf.DUMMYFUNCTION("""COMPUTED_VALUE"""),"17040078")</f>
        <v>17040078</v>
      </c>
      <c r="B379" s="113" t="str">
        <f ca="1">IFERROR(__xludf.DUMMYFUNCTION("""COMPUTED_VALUE"""),"Porto Nacional")</f>
        <v>Porto Nacional</v>
      </c>
      <c r="C379" s="113" t="str">
        <f ca="1">IFERROR(__xludf.DUMMYFUNCTION("""COMPUTED_VALUE"""),"Porto Nacional")</f>
        <v>Porto Nacional</v>
      </c>
      <c r="D379" s="114" t="str">
        <f ca="1">IFERROR(__xludf.DUMMYFUNCTION("""COMPUTED_VALUE"""),"ASSOC.P.A.DOS EXCEP. DE PORTO NACIONAL")</f>
        <v>ASSOC.P.A.DOS EXCEP. DE PORTO NACIONAL</v>
      </c>
      <c r="E379" s="113" t="str">
        <f ca="1">IFERROR(__xludf.DUMMYFUNCTION("""COMPUTED_VALUE"""),"Escola Especial Mãe Tia Eulina Braga")</f>
        <v>Escola Especial Mãe Tia Eulina Braga</v>
      </c>
      <c r="F379" s="115" t="str">
        <f ca="1">IFERROR(__xludf.DUMMYFUNCTION("""COMPUTED_VALUE"""),"17040078")</f>
        <v>17040078</v>
      </c>
      <c r="G379" s="113" t="str">
        <f ca="1">IFERROR(__xludf.DUMMYFUNCTION("""COMPUTED_VALUE"""),"26752113000137")</f>
        <v>26752113000137</v>
      </c>
      <c r="H379" s="115" t="str">
        <f ca="1">IFERROR(__xludf.DUMMYFUNCTION("""COMPUTED_VALUE"""),"001")</f>
        <v>001</v>
      </c>
      <c r="I379" s="115" t="str">
        <f ca="1">IFERROR(__xludf.DUMMYFUNCTION("""COMPUTED_VALUE"""),"1117")</f>
        <v>1117</v>
      </c>
      <c r="J379" s="115" t="str">
        <f ca="1">IFERROR(__xludf.DUMMYFUNCTION("""COMPUTED_VALUE"""),"86657")</f>
        <v>86657</v>
      </c>
      <c r="K379" s="113" t="e">
        <f ca="1"/>
        <v>#REF!</v>
      </c>
      <c r="L379" s="113" t="e">
        <f ca="1"/>
        <v>#REF!</v>
      </c>
      <c r="M379" s="113" t="e">
        <f ca="1"/>
        <v>#REF!</v>
      </c>
      <c r="N379" s="113" t="e">
        <f ca="1"/>
        <v>#REF!</v>
      </c>
      <c r="O379" s="113" t="e">
        <f ca="1"/>
        <v>#REF!</v>
      </c>
      <c r="P379" s="113" t="e">
        <f ca="1"/>
        <v>#REF!</v>
      </c>
      <c r="Q379" s="113" t="e">
        <f ca="1"/>
        <v>#REF!</v>
      </c>
      <c r="R379" s="113" t="e">
        <f ca="1"/>
        <v>#REF!</v>
      </c>
      <c r="S379" s="113" t="e">
        <f ca="1"/>
        <v>#REF!</v>
      </c>
      <c r="T379" s="113" t="e">
        <f ca="1"/>
        <v>#REF!</v>
      </c>
      <c r="U379" s="113" t="e">
        <f ca="1"/>
        <v>#REF!</v>
      </c>
      <c r="V379" s="113" t="e">
        <f ca="1"/>
        <v>#REF!</v>
      </c>
      <c r="W379" s="113" t="e">
        <f ca="1"/>
        <v>#REF!</v>
      </c>
      <c r="X379" s="113" t="e">
        <f ca="1"/>
        <v>#REF!</v>
      </c>
      <c r="Y379" s="113" t="e">
        <f ca="1"/>
        <v>#REF!</v>
      </c>
      <c r="Z379" s="113" t="e">
        <f ca="1"/>
        <v>#REF!</v>
      </c>
      <c r="AA379" s="113"/>
      <c r="AB379" s="113"/>
      <c r="AC379" s="113"/>
      <c r="AD379" s="113" t="str">
        <f ca="1">IFERROR(__xludf.DUMMYFUNCTION("""COMPUTED_VALUE"""),"ESTADO")</f>
        <v>ESTADO</v>
      </c>
      <c r="AE379" s="113" t="str">
        <f ca="1">IFERROR(__xludf.DUMMYFUNCTION("""COMPUTED_VALUE"""),"Parcial")</f>
        <v>Parcial</v>
      </c>
      <c r="AF379" s="113" t="str">
        <f ca="1">IFERROR(__xludf.DUMMYFUNCTION("""COMPUTED_VALUE"""),"FE")</f>
        <v>FE</v>
      </c>
      <c r="AG379" s="113">
        <f ca="1">IFERROR(__xludf.DUMMYFUNCTION("""COMPUTED_VALUE"""),0)</f>
        <v>0</v>
      </c>
      <c r="AH379" s="113">
        <f ca="1">IFERROR(__xludf.DUMMYFUNCTION("""COMPUTED_VALUE"""),0)</f>
        <v>0</v>
      </c>
      <c r="AI379" s="113">
        <f ca="1">IFERROR(__xludf.DUMMYFUNCTION("""COMPUTED_VALUE"""),0)</f>
        <v>0</v>
      </c>
      <c r="AJ379" s="113">
        <f ca="1">IFERROR(__xludf.DUMMYFUNCTION("""COMPUTED_VALUE"""),0)</f>
        <v>0</v>
      </c>
      <c r="AK379" s="113"/>
      <c r="AL379" s="116"/>
    </row>
    <row r="380" spans="1:38" ht="12.75">
      <c r="A380" s="112" t="str">
        <f ca="1">IFERROR(__xludf.DUMMYFUNCTION("""COMPUTED_VALUE"""),"17024854")</f>
        <v>17024854</v>
      </c>
      <c r="B380" s="113" t="str">
        <f ca="1">IFERROR(__xludf.DUMMYFUNCTION("""COMPUTED_VALUE"""),"Porto Nacional")</f>
        <v>Porto Nacional</v>
      </c>
      <c r="C380" s="113" t="str">
        <f ca="1">IFERROR(__xludf.DUMMYFUNCTION("""COMPUTED_VALUE"""),"Porto Nacional")</f>
        <v>Porto Nacional</v>
      </c>
      <c r="D380" s="114" t="str">
        <f ca="1">IFERROR(__xludf.DUMMYFUNCTION("""COMPUTED_VALUE"""),"A.A.  ESCOLA ESTADUAL ALFREDO NASSER")</f>
        <v>A.A.  ESCOLA ESTADUAL ALFREDO NASSER</v>
      </c>
      <c r="E380" s="113" t="str">
        <f ca="1">IFERROR(__xludf.DUMMYFUNCTION("""COMPUTED_VALUE"""),"Escola Estadual Alfredo Nasser")</f>
        <v>Escola Estadual Alfredo Nasser</v>
      </c>
      <c r="F380" s="115" t="str">
        <f ca="1">IFERROR(__xludf.DUMMYFUNCTION("""COMPUTED_VALUE"""),"17024854")</f>
        <v>17024854</v>
      </c>
      <c r="G380" s="113" t="str">
        <f ca="1">IFERROR(__xludf.DUMMYFUNCTION("""COMPUTED_VALUE"""),"01251862000150")</f>
        <v>01251862000150</v>
      </c>
      <c r="H380" s="115" t="str">
        <f ca="1">IFERROR(__xludf.DUMMYFUNCTION("""COMPUTED_VALUE"""),"104")</f>
        <v>104</v>
      </c>
      <c r="I380" s="115" t="str">
        <f ca="1">IFERROR(__xludf.DUMMYFUNCTION("""COMPUTED_VALUE"""),"1829")</f>
        <v>1829</v>
      </c>
      <c r="J380" s="115" t="str">
        <f ca="1">IFERROR(__xludf.DUMMYFUNCTION("""COMPUTED_VALUE"""),"307410")</f>
        <v>307410</v>
      </c>
      <c r="K380" s="113" t="e">
        <f ca="1"/>
        <v>#REF!</v>
      </c>
      <c r="L380" s="113" t="e">
        <f ca="1"/>
        <v>#REF!</v>
      </c>
      <c r="M380" s="113" t="e">
        <f ca="1"/>
        <v>#REF!</v>
      </c>
      <c r="N380" s="113" t="e">
        <f ca="1"/>
        <v>#REF!</v>
      </c>
      <c r="O380" s="113" t="e">
        <f ca="1"/>
        <v>#REF!</v>
      </c>
      <c r="P380" s="113" t="e">
        <f ca="1"/>
        <v>#REF!</v>
      </c>
      <c r="Q380" s="113" t="e">
        <f ca="1"/>
        <v>#REF!</v>
      </c>
      <c r="R380" s="113" t="e">
        <f ca="1"/>
        <v>#REF!</v>
      </c>
      <c r="S380" s="113" t="e">
        <f ca="1"/>
        <v>#REF!</v>
      </c>
      <c r="T380" s="113" t="e">
        <f ca="1"/>
        <v>#REF!</v>
      </c>
      <c r="U380" s="113" t="e">
        <f ca="1"/>
        <v>#REF!</v>
      </c>
      <c r="V380" s="113" t="e">
        <f ca="1"/>
        <v>#REF!</v>
      </c>
      <c r="W380" s="113" t="e">
        <f ca="1"/>
        <v>#REF!</v>
      </c>
      <c r="X380" s="113" t="e">
        <f ca="1"/>
        <v>#REF!</v>
      </c>
      <c r="Y380" s="113" t="e">
        <f ca="1"/>
        <v>#REF!</v>
      </c>
      <c r="Z380" s="113" t="e">
        <f ca="1"/>
        <v>#REF!</v>
      </c>
      <c r="AA380" s="113"/>
      <c r="AB380" s="113"/>
      <c r="AC380" s="113"/>
      <c r="AD380" s="113"/>
      <c r="AE380" s="113" t="str">
        <f ca="1">IFERROR(__xludf.DUMMYFUNCTION("""COMPUTED_VALUE"""),"Parcial")</f>
        <v>Parcial</v>
      </c>
      <c r="AF380" s="113" t="str">
        <f ca="1">IFERROR(__xludf.DUMMYFUNCTION("""COMPUTED_VALUE"""),"FE")</f>
        <v>FE</v>
      </c>
      <c r="AG380" s="113">
        <f ca="1">IFERROR(__xludf.DUMMYFUNCTION("""COMPUTED_VALUE"""),0)</f>
        <v>0</v>
      </c>
      <c r="AH380" s="113">
        <f ca="1">IFERROR(__xludf.DUMMYFUNCTION("""COMPUTED_VALUE"""),0)</f>
        <v>0</v>
      </c>
      <c r="AI380" s="113">
        <f ca="1">IFERROR(__xludf.DUMMYFUNCTION("""COMPUTED_VALUE"""),0)</f>
        <v>0</v>
      </c>
      <c r="AJ380" s="113">
        <f ca="1">IFERROR(__xludf.DUMMYFUNCTION("""COMPUTED_VALUE"""),0)</f>
        <v>0</v>
      </c>
      <c r="AK380" s="113"/>
      <c r="AL380" s="116"/>
    </row>
    <row r="381" spans="1:38" ht="12.75">
      <c r="A381" s="112" t="str">
        <f ca="1">IFERROR(__xludf.DUMMYFUNCTION("""COMPUTED_VALUE"""),"17024862")</f>
        <v>17024862</v>
      </c>
      <c r="B381" s="113" t="str">
        <f ca="1">IFERROR(__xludf.DUMMYFUNCTION("""COMPUTED_VALUE"""),"Porto Nacional")</f>
        <v>Porto Nacional</v>
      </c>
      <c r="C381" s="113" t="str">
        <f ca="1">IFERROR(__xludf.DUMMYFUNCTION("""COMPUTED_VALUE"""),"Porto Nacional")</f>
        <v>Porto Nacional</v>
      </c>
      <c r="D381" s="114" t="str">
        <f ca="1">IFERROR(__xludf.DUMMYFUNCTION("""COMPUTED_VALUE"""),"A.A. ESCOLA ESTADUAL ANA MACEDO MAIA")</f>
        <v>A.A. ESCOLA ESTADUAL ANA MACEDO MAIA</v>
      </c>
      <c r="E381" s="113" t="str">
        <f ca="1">IFERROR(__xludf.DUMMYFUNCTION("""COMPUTED_VALUE"""),"Escola Estadual Ana Macedo Maia")</f>
        <v>Escola Estadual Ana Macedo Maia</v>
      </c>
      <c r="F381" s="115" t="str">
        <f ca="1">IFERROR(__xludf.DUMMYFUNCTION("""COMPUTED_VALUE"""),"17024862")</f>
        <v>17024862</v>
      </c>
      <c r="G381" s="113" t="str">
        <f ca="1">IFERROR(__xludf.DUMMYFUNCTION("""COMPUTED_VALUE"""),"01243662000155")</f>
        <v>01243662000155</v>
      </c>
      <c r="H381" s="115" t="str">
        <f ca="1">IFERROR(__xludf.DUMMYFUNCTION("""COMPUTED_VALUE"""),"104")</f>
        <v>104</v>
      </c>
      <c r="I381" s="115" t="str">
        <f ca="1">IFERROR(__xludf.DUMMYFUNCTION("""COMPUTED_VALUE"""),"1829")</f>
        <v>1829</v>
      </c>
      <c r="J381" s="115" t="str">
        <f ca="1">IFERROR(__xludf.DUMMYFUNCTION("""COMPUTED_VALUE"""),"306015")</f>
        <v>306015</v>
      </c>
      <c r="K381" s="113" t="e">
        <f ca="1"/>
        <v>#REF!</v>
      </c>
      <c r="L381" s="113" t="e">
        <f ca="1"/>
        <v>#REF!</v>
      </c>
      <c r="M381" s="113" t="e">
        <f ca="1"/>
        <v>#REF!</v>
      </c>
      <c r="N381" s="113" t="e">
        <f ca="1"/>
        <v>#REF!</v>
      </c>
      <c r="O381" s="113" t="e">
        <f ca="1"/>
        <v>#REF!</v>
      </c>
      <c r="P381" s="113" t="e">
        <f ca="1"/>
        <v>#REF!</v>
      </c>
      <c r="Q381" s="113" t="e">
        <f ca="1"/>
        <v>#REF!</v>
      </c>
      <c r="R381" s="113" t="e">
        <f ca="1"/>
        <v>#REF!</v>
      </c>
      <c r="S381" s="113" t="e">
        <f ca="1"/>
        <v>#REF!</v>
      </c>
      <c r="T381" s="113" t="e">
        <f ca="1"/>
        <v>#REF!</v>
      </c>
      <c r="U381" s="113" t="e">
        <f ca="1"/>
        <v>#REF!</v>
      </c>
      <c r="V381" s="113" t="e">
        <f ca="1"/>
        <v>#REF!</v>
      </c>
      <c r="W381" s="113" t="e">
        <f ca="1"/>
        <v>#REF!</v>
      </c>
      <c r="X381" s="113" t="e">
        <f ca="1"/>
        <v>#REF!</v>
      </c>
      <c r="Y381" s="113" t="e">
        <f ca="1"/>
        <v>#REF!</v>
      </c>
      <c r="Z381" s="113" t="e">
        <f ca="1"/>
        <v>#REF!</v>
      </c>
      <c r="AA381" s="113"/>
      <c r="AB381" s="113"/>
      <c r="AC381" s="113"/>
      <c r="AD381" s="113"/>
      <c r="AE381" s="113" t="str">
        <f ca="1">IFERROR(__xludf.DUMMYFUNCTION("""COMPUTED_VALUE"""),"Parcial")</f>
        <v>Parcial</v>
      </c>
      <c r="AF381" s="113" t="str">
        <f ca="1">IFERROR(__xludf.DUMMYFUNCTION("""COMPUTED_VALUE"""),"FE")</f>
        <v>FE</v>
      </c>
      <c r="AG381" s="113">
        <f ca="1">IFERROR(__xludf.DUMMYFUNCTION("""COMPUTED_VALUE"""),0)</f>
        <v>0</v>
      </c>
      <c r="AH381" s="113">
        <f ca="1">IFERROR(__xludf.DUMMYFUNCTION("""COMPUTED_VALUE"""),0)</f>
        <v>0</v>
      </c>
      <c r="AI381" s="113">
        <f ca="1">IFERROR(__xludf.DUMMYFUNCTION("""COMPUTED_VALUE"""),0)</f>
        <v>0</v>
      </c>
      <c r="AJ381" s="113">
        <f ca="1">IFERROR(__xludf.DUMMYFUNCTION("""COMPUTED_VALUE"""),0)</f>
        <v>0</v>
      </c>
      <c r="AK381" s="113"/>
      <c r="AL381" s="116"/>
    </row>
    <row r="382" spans="1:38" ht="12.75">
      <c r="A382" s="112" t="str">
        <f ca="1">IFERROR(__xludf.DUMMYFUNCTION("""COMPUTED_VALUE"""),"17025117")</f>
        <v>17025117</v>
      </c>
      <c r="B382" s="113" t="str">
        <f ca="1">IFERROR(__xludf.DUMMYFUNCTION("""COMPUTED_VALUE"""),"Porto Nacional")</f>
        <v>Porto Nacional</v>
      </c>
      <c r="C382" s="113" t="str">
        <f ca="1">IFERROR(__xludf.DUMMYFUNCTION("""COMPUTED_VALUE"""),"Porto Nacional")</f>
        <v>Porto Nacional</v>
      </c>
      <c r="D382" s="114" t="str">
        <f ca="1">IFERROR(__xludf.DUMMYFUNCTION("""COMPUTED_VALUE"""),"A. ESCOLAR COMUN. DA ESC. CONV. BRASIL")</f>
        <v>A. ESCOLAR COMUN. DA ESC. CONV. BRASIL</v>
      </c>
      <c r="E382" s="113" t="str">
        <f ca="1">IFERROR(__xludf.DUMMYFUNCTION("""COMPUTED_VALUE"""),"Escola Estadual Brasil")</f>
        <v>Escola Estadual Brasil</v>
      </c>
      <c r="F382" s="115" t="str">
        <f ca="1">IFERROR(__xludf.DUMMYFUNCTION("""COMPUTED_VALUE"""),"17025117")</f>
        <v>17025117</v>
      </c>
      <c r="G382" s="113" t="str">
        <f ca="1">IFERROR(__xludf.DUMMYFUNCTION("""COMPUTED_VALUE"""),"01112471000154")</f>
        <v>01112471000154</v>
      </c>
      <c r="H382" s="115" t="str">
        <f ca="1">IFERROR(__xludf.DUMMYFUNCTION("""COMPUTED_VALUE"""),"104")</f>
        <v>104</v>
      </c>
      <c r="I382" s="115" t="str">
        <f ca="1">IFERROR(__xludf.DUMMYFUNCTION("""COMPUTED_VALUE"""),"1829")</f>
        <v>1829</v>
      </c>
      <c r="J382" s="115" t="str">
        <f ca="1">IFERROR(__xludf.DUMMYFUNCTION("""COMPUTED_VALUE"""),"307402")</f>
        <v>307402</v>
      </c>
      <c r="K382" s="113" t="e">
        <f ca="1"/>
        <v>#REF!</v>
      </c>
      <c r="L382" s="113" t="e">
        <f ca="1"/>
        <v>#REF!</v>
      </c>
      <c r="M382" s="113" t="e">
        <f ca="1"/>
        <v>#REF!</v>
      </c>
      <c r="N382" s="113" t="e">
        <f ca="1"/>
        <v>#REF!</v>
      </c>
      <c r="O382" s="113" t="e">
        <f ca="1"/>
        <v>#REF!</v>
      </c>
      <c r="P382" s="113" t="e">
        <f ca="1"/>
        <v>#REF!</v>
      </c>
      <c r="Q382" s="113" t="e">
        <f ca="1"/>
        <v>#REF!</v>
      </c>
      <c r="R382" s="113" t="e">
        <f ca="1"/>
        <v>#REF!</v>
      </c>
      <c r="S382" s="113" t="e">
        <f ca="1"/>
        <v>#REF!</v>
      </c>
      <c r="T382" s="113" t="e">
        <f ca="1"/>
        <v>#REF!</v>
      </c>
      <c r="U382" s="113" t="e">
        <f ca="1"/>
        <v>#REF!</v>
      </c>
      <c r="V382" s="113" t="e">
        <f ca="1"/>
        <v>#REF!</v>
      </c>
      <c r="W382" s="113" t="e">
        <f ca="1"/>
        <v>#REF!</v>
      </c>
      <c r="X382" s="113" t="e">
        <f ca="1"/>
        <v>#REF!</v>
      </c>
      <c r="Y382" s="113" t="e">
        <f ca="1"/>
        <v>#REF!</v>
      </c>
      <c r="Z382" s="113" t="e">
        <f ca="1"/>
        <v>#REF!</v>
      </c>
      <c r="AA382" s="113"/>
      <c r="AB382" s="113"/>
      <c r="AC382" s="113"/>
      <c r="AD382" s="113" t="str">
        <f ca="1">IFERROR(__xludf.DUMMYFUNCTION("""COMPUTED_VALUE"""),"E.M. INTEGRADO")</f>
        <v>E.M. INTEGRADO</v>
      </c>
      <c r="AE382" s="113" t="str">
        <f ca="1">IFERROR(__xludf.DUMMYFUNCTION("""COMPUTED_VALUE"""),"Parcial")</f>
        <v>Parcial</v>
      </c>
      <c r="AF382" s="113" t="str">
        <f ca="1">IFERROR(__xludf.DUMMYFUNCTION("""COMPUTED_VALUE"""),"FE")</f>
        <v>FE</v>
      </c>
      <c r="AG382" s="113">
        <f ca="1">IFERROR(__xludf.DUMMYFUNCTION("""COMPUTED_VALUE"""),0)</f>
        <v>0</v>
      </c>
      <c r="AH382" s="113">
        <f ca="1">IFERROR(__xludf.DUMMYFUNCTION("""COMPUTED_VALUE"""),0)</f>
        <v>0</v>
      </c>
      <c r="AI382" s="113">
        <f ca="1">IFERROR(__xludf.DUMMYFUNCTION("""COMPUTED_VALUE"""),0)</f>
        <v>0</v>
      </c>
      <c r="AJ382" s="113">
        <f ca="1">IFERROR(__xludf.DUMMYFUNCTION("""COMPUTED_VALUE"""),0)</f>
        <v>0</v>
      </c>
      <c r="AK382" s="113"/>
      <c r="AL382" s="116"/>
    </row>
    <row r="383" spans="1:38" ht="12.75">
      <c r="A383" s="112" t="str">
        <f ca="1">IFERROR(__xludf.DUMMYFUNCTION("""COMPUTED_VALUE"""),"17024889")</f>
        <v>17024889</v>
      </c>
      <c r="B383" s="113" t="str">
        <f ca="1">IFERROR(__xludf.DUMMYFUNCTION("""COMPUTED_VALUE"""),"Porto Nacional")</f>
        <v>Porto Nacional</v>
      </c>
      <c r="C383" s="113" t="str">
        <f ca="1">IFERROR(__xludf.DUMMYFUNCTION("""COMPUTED_VALUE"""),"Porto Nacional")</f>
        <v>Porto Nacional</v>
      </c>
      <c r="D383" s="114" t="str">
        <f ca="1">IFERROR(__xludf.DUMMYFUNCTION("""COMPUTED_VALUE"""),"A.A.  ESCOLA ESTADUAL CUSTÓDIA DA SILVA PEDREIRA")</f>
        <v>A.A.  ESCOLA ESTADUAL CUSTÓDIA DA SILVA PEDREIRA</v>
      </c>
      <c r="E383" s="113" t="str">
        <f ca="1">IFERROR(__xludf.DUMMYFUNCTION("""COMPUTED_VALUE"""),"Escola Estadual Custódia da Silva Pedreira")</f>
        <v>Escola Estadual Custódia da Silva Pedreira</v>
      </c>
      <c r="F383" s="115" t="str">
        <f ca="1">IFERROR(__xludf.DUMMYFUNCTION("""COMPUTED_VALUE"""),"17024889")</f>
        <v>17024889</v>
      </c>
      <c r="G383" s="113" t="str">
        <f ca="1">IFERROR(__xludf.DUMMYFUNCTION("""COMPUTED_VALUE"""),"01192932000146")</f>
        <v>01192932000146</v>
      </c>
      <c r="H383" s="115" t="str">
        <f ca="1">IFERROR(__xludf.DUMMYFUNCTION("""COMPUTED_VALUE"""),"001")</f>
        <v>001</v>
      </c>
      <c r="I383" s="115" t="str">
        <f ca="1">IFERROR(__xludf.DUMMYFUNCTION("""COMPUTED_VALUE"""),"1117")</f>
        <v>1117</v>
      </c>
      <c r="J383" s="115" t="str">
        <f ca="1">IFERROR(__xludf.DUMMYFUNCTION("""COMPUTED_VALUE"""),"314080")</f>
        <v>314080</v>
      </c>
      <c r="K383" s="113" t="e">
        <f ca="1"/>
        <v>#REF!</v>
      </c>
      <c r="L383" s="113" t="e">
        <f ca="1"/>
        <v>#REF!</v>
      </c>
      <c r="M383" s="113" t="e">
        <f ca="1"/>
        <v>#REF!</v>
      </c>
      <c r="N383" s="113" t="e">
        <f ca="1"/>
        <v>#REF!</v>
      </c>
      <c r="O383" s="113" t="e">
        <f ca="1"/>
        <v>#REF!</v>
      </c>
      <c r="P383" s="113" t="e">
        <f ca="1"/>
        <v>#REF!</v>
      </c>
      <c r="Q383" s="113" t="e">
        <f ca="1"/>
        <v>#REF!</v>
      </c>
      <c r="R383" s="113" t="e">
        <f ca="1"/>
        <v>#REF!</v>
      </c>
      <c r="S383" s="113" t="e">
        <f ca="1"/>
        <v>#REF!</v>
      </c>
      <c r="T383" s="113" t="e">
        <f ca="1"/>
        <v>#REF!</v>
      </c>
      <c r="U383" s="113" t="e">
        <f ca="1"/>
        <v>#REF!</v>
      </c>
      <c r="V383" s="113" t="e">
        <f ca="1"/>
        <v>#REF!</v>
      </c>
      <c r="W383" s="113" t="e">
        <f ca="1"/>
        <v>#REF!</v>
      </c>
      <c r="X383" s="113" t="e">
        <f ca="1"/>
        <v>#REF!</v>
      </c>
      <c r="Y383" s="113" t="e">
        <f ca="1"/>
        <v>#REF!</v>
      </c>
      <c r="Z383" s="113" t="e">
        <f ca="1"/>
        <v>#REF!</v>
      </c>
      <c r="AA383" s="113"/>
      <c r="AB383" s="113"/>
      <c r="AC383" s="113"/>
      <c r="AD383" s="113"/>
      <c r="AE383" s="113" t="str">
        <f ca="1">IFERROR(__xludf.DUMMYFUNCTION("""COMPUTED_VALUE"""),"Parcial")</f>
        <v>Parcial</v>
      </c>
      <c r="AF383" s="113" t="str">
        <f ca="1">IFERROR(__xludf.DUMMYFUNCTION("""COMPUTED_VALUE"""),"FE")</f>
        <v>FE</v>
      </c>
      <c r="AG383" s="113">
        <f ca="1">IFERROR(__xludf.DUMMYFUNCTION("""COMPUTED_VALUE"""),0)</f>
        <v>0</v>
      </c>
      <c r="AH383" s="113">
        <f ca="1">IFERROR(__xludf.DUMMYFUNCTION("""COMPUTED_VALUE"""),0)</f>
        <v>0</v>
      </c>
      <c r="AI383" s="113">
        <f ca="1">IFERROR(__xludf.DUMMYFUNCTION("""COMPUTED_VALUE"""),0)</f>
        <v>0</v>
      </c>
      <c r="AJ383" s="113">
        <f ca="1">IFERROR(__xludf.DUMMYFUNCTION("""COMPUTED_VALUE"""),0)</f>
        <v>0</v>
      </c>
      <c r="AK383" s="113"/>
      <c r="AL383" s="116"/>
    </row>
    <row r="384" spans="1:38" ht="12.75">
      <c r="A384" s="112" t="str">
        <f ca="1">IFERROR(__xludf.DUMMYFUNCTION("""COMPUTED_VALUE"""),"17024897")</f>
        <v>17024897</v>
      </c>
      <c r="B384" s="113" t="str">
        <f ca="1">IFERROR(__xludf.DUMMYFUNCTION("""COMPUTED_VALUE"""),"Porto Nacional")</f>
        <v>Porto Nacional</v>
      </c>
      <c r="C384" s="113" t="str">
        <f ca="1">IFERROR(__xludf.DUMMYFUNCTION("""COMPUTED_VALUE"""),"Porto Nacional")</f>
        <v>Porto Nacional</v>
      </c>
      <c r="D384" s="114" t="str">
        <f ca="1">IFERROR(__xludf.DUMMYFUNCTION("""COMPUTED_VALUE"""),"A. ESC. COM./ESC. EST. D.DOMINGOS CARREROT")</f>
        <v>A. ESC. COM./ESC. EST. D.DOMINGOS CARREROT</v>
      </c>
      <c r="E384" s="113" t="str">
        <f ca="1">IFERROR(__xludf.DUMMYFUNCTION("""COMPUTED_VALUE"""),"Escola Estadual dom domingos Carrerot")</f>
        <v>Escola Estadual dom domingos Carrerot</v>
      </c>
      <c r="F384" s="115" t="str">
        <f ca="1">IFERROR(__xludf.DUMMYFUNCTION("""COMPUTED_VALUE"""),"17024897")</f>
        <v>17024897</v>
      </c>
      <c r="G384" s="113" t="str">
        <f ca="1">IFERROR(__xludf.DUMMYFUNCTION("""COMPUTED_VALUE"""),"00900197000115")</f>
        <v>00900197000115</v>
      </c>
      <c r="H384" s="115" t="str">
        <f ca="1">IFERROR(__xludf.DUMMYFUNCTION("""COMPUTED_VALUE"""),"104")</f>
        <v>104</v>
      </c>
      <c r="I384" s="115" t="str">
        <f ca="1">IFERROR(__xludf.DUMMYFUNCTION("""COMPUTED_VALUE"""),"1829")</f>
        <v>1829</v>
      </c>
      <c r="J384" s="115" t="str">
        <f ca="1">IFERROR(__xludf.DUMMYFUNCTION("""COMPUTED_VALUE"""),"305914")</f>
        <v>305914</v>
      </c>
      <c r="K384" s="113" t="e">
        <f ca="1"/>
        <v>#REF!</v>
      </c>
      <c r="L384" s="113" t="e">
        <f ca="1"/>
        <v>#REF!</v>
      </c>
      <c r="M384" s="113" t="e">
        <f ca="1"/>
        <v>#REF!</v>
      </c>
      <c r="N384" s="113" t="e">
        <f ca="1"/>
        <v>#REF!</v>
      </c>
      <c r="O384" s="113" t="e">
        <f ca="1"/>
        <v>#REF!</v>
      </c>
      <c r="P384" s="113" t="e">
        <f ca="1"/>
        <v>#REF!</v>
      </c>
      <c r="Q384" s="113" t="e">
        <f ca="1"/>
        <v>#REF!</v>
      </c>
      <c r="R384" s="113" t="e">
        <f ca="1"/>
        <v>#REF!</v>
      </c>
      <c r="S384" s="113" t="e">
        <f ca="1"/>
        <v>#REF!</v>
      </c>
      <c r="T384" s="113" t="e">
        <f ca="1"/>
        <v>#REF!</v>
      </c>
      <c r="U384" s="113" t="e">
        <f ca="1"/>
        <v>#REF!</v>
      </c>
      <c r="V384" s="113" t="e">
        <f ca="1"/>
        <v>#REF!</v>
      </c>
      <c r="W384" s="113" t="e">
        <f ca="1"/>
        <v>#REF!</v>
      </c>
      <c r="X384" s="113" t="e">
        <f ca="1"/>
        <v>#REF!</v>
      </c>
      <c r="Y384" s="113" t="e">
        <f ca="1"/>
        <v>#REF!</v>
      </c>
      <c r="Z384" s="113" t="e">
        <f ca="1"/>
        <v>#REF!</v>
      </c>
      <c r="AA384" s="113"/>
      <c r="AB384" s="113"/>
      <c r="AC384" s="113"/>
      <c r="AD384" s="113"/>
      <c r="AE384" s="113" t="str">
        <f ca="1">IFERROR(__xludf.DUMMYFUNCTION("""COMPUTED_VALUE"""),"Parcial")</f>
        <v>Parcial</v>
      </c>
      <c r="AF384" s="113" t="str">
        <f ca="1">IFERROR(__xludf.DUMMYFUNCTION("""COMPUTED_VALUE"""),"FE")</f>
        <v>FE</v>
      </c>
      <c r="AG384" s="113">
        <f ca="1">IFERROR(__xludf.DUMMYFUNCTION("""COMPUTED_VALUE"""),0)</f>
        <v>0</v>
      </c>
      <c r="AH384" s="113">
        <f ca="1">IFERROR(__xludf.DUMMYFUNCTION("""COMPUTED_VALUE"""),0)</f>
        <v>0</v>
      </c>
      <c r="AI384" s="113">
        <f ca="1">IFERROR(__xludf.DUMMYFUNCTION("""COMPUTED_VALUE"""),0)</f>
        <v>0</v>
      </c>
      <c r="AJ384" s="113">
        <f ca="1">IFERROR(__xludf.DUMMYFUNCTION("""COMPUTED_VALUE"""),0)</f>
        <v>0</v>
      </c>
      <c r="AK384" s="113"/>
      <c r="AL384" s="116"/>
    </row>
    <row r="385" spans="1:38" ht="12.75">
      <c r="A385" s="112" t="str">
        <f ca="1">IFERROR(__xludf.DUMMYFUNCTION("""COMPUTED_VALUE"""),"17024900")</f>
        <v>17024900</v>
      </c>
      <c r="B385" s="113" t="str">
        <f ca="1">IFERROR(__xludf.DUMMYFUNCTION("""COMPUTED_VALUE"""),"Porto Nacional")</f>
        <v>Porto Nacional</v>
      </c>
      <c r="C385" s="113" t="str">
        <f ca="1">IFERROR(__xludf.DUMMYFUNCTION("""COMPUTED_VALUE"""),"Porto Nacional")</f>
        <v>Porto Nacional</v>
      </c>
      <c r="D385" s="114" t="str">
        <f ca="1">IFERROR(__xludf.DUMMYFUNCTION("""COMPUTED_VALUE"""),"A.A.  A ESCOLA D. PEDRO II")</f>
        <v>A.A.  A ESCOLA D. PEDRO II</v>
      </c>
      <c r="E385" s="113" t="str">
        <f ca="1">IFERROR(__xludf.DUMMYFUNCTION("""COMPUTED_VALUE"""),"Escola Estadual Girassol de Tempo Integral dom Pedro II")</f>
        <v>Escola Estadual Girassol de Tempo Integral dom Pedro II</v>
      </c>
      <c r="F385" s="115" t="str">
        <f ca="1">IFERROR(__xludf.DUMMYFUNCTION("""COMPUTED_VALUE"""),"17024900")</f>
        <v>17024900</v>
      </c>
      <c r="G385" s="113" t="str">
        <f ca="1">IFERROR(__xludf.DUMMYFUNCTION("""COMPUTED_VALUE"""),"01133697000131")</f>
        <v>01133697000131</v>
      </c>
      <c r="H385" s="115" t="str">
        <f ca="1">IFERROR(__xludf.DUMMYFUNCTION("""COMPUTED_VALUE"""),"001")</f>
        <v>001</v>
      </c>
      <c r="I385" s="115" t="str">
        <f ca="1">IFERROR(__xludf.DUMMYFUNCTION("""COMPUTED_VALUE"""),"1117")</f>
        <v>1117</v>
      </c>
      <c r="J385" s="115" t="str">
        <f ca="1">IFERROR(__xludf.DUMMYFUNCTION("""COMPUTED_VALUE"""),"0313092")</f>
        <v>0313092</v>
      </c>
      <c r="K385" s="113" t="e">
        <f ca="1"/>
        <v>#REF!</v>
      </c>
      <c r="L385" s="113" t="e">
        <f ca="1"/>
        <v>#REF!</v>
      </c>
      <c r="M385" s="113" t="e">
        <f ca="1"/>
        <v>#REF!</v>
      </c>
      <c r="N385" s="113" t="e">
        <f ca="1"/>
        <v>#REF!</v>
      </c>
      <c r="O385" s="113" t="e">
        <f ca="1"/>
        <v>#REF!</v>
      </c>
      <c r="P385" s="113" t="e">
        <f ca="1"/>
        <v>#REF!</v>
      </c>
      <c r="Q385" s="113" t="e">
        <f ca="1"/>
        <v>#REF!</v>
      </c>
      <c r="R385" s="113" t="e">
        <f ca="1"/>
        <v>#REF!</v>
      </c>
      <c r="S385" s="113" t="e">
        <f ca="1"/>
        <v>#REF!</v>
      </c>
      <c r="T385" s="113" t="e">
        <f ca="1"/>
        <v>#REF!</v>
      </c>
      <c r="U385" s="113" t="e">
        <f ca="1"/>
        <v>#REF!</v>
      </c>
      <c r="V385" s="113" t="e">
        <f ca="1"/>
        <v>#REF!</v>
      </c>
      <c r="W385" s="113" t="e">
        <f ca="1"/>
        <v>#REF!</v>
      </c>
      <c r="X385" s="113" t="e">
        <f ca="1"/>
        <v>#REF!</v>
      </c>
      <c r="Y385" s="113" t="e">
        <f ca="1"/>
        <v>#REF!</v>
      </c>
      <c r="Z385" s="113" t="e">
        <f ca="1"/>
        <v>#REF!</v>
      </c>
      <c r="AA385" s="113"/>
      <c r="AB385" s="113"/>
      <c r="AC385" s="113"/>
      <c r="AD385" s="113" t="str">
        <f ca="1">IFERROR(__xludf.DUMMYFUNCTION("""COMPUTED_VALUE"""),"E.M. INTEGRADO")</f>
        <v>E.M. INTEGRADO</v>
      </c>
      <c r="AE385" s="113" t="str">
        <f ca="1">IFERROR(__xludf.DUMMYFUNCTION("""COMPUTED_VALUE"""),"Parcial")</f>
        <v>Parcial</v>
      </c>
      <c r="AF385" s="113" t="str">
        <f ca="1">IFERROR(__xludf.DUMMYFUNCTION("""COMPUTED_VALUE"""),"FE")</f>
        <v>FE</v>
      </c>
      <c r="AG385" s="113">
        <f ca="1">IFERROR(__xludf.DUMMYFUNCTION("""COMPUTED_VALUE"""),0)</f>
        <v>0</v>
      </c>
      <c r="AH385" s="113">
        <f ca="1">IFERROR(__xludf.DUMMYFUNCTION("""COMPUTED_VALUE"""),0)</f>
        <v>0</v>
      </c>
      <c r="AI385" s="113">
        <f ca="1">IFERROR(__xludf.DUMMYFUNCTION("""COMPUTED_VALUE"""),0)</f>
        <v>0</v>
      </c>
      <c r="AJ385" s="113">
        <f ca="1">IFERROR(__xludf.DUMMYFUNCTION("""COMPUTED_VALUE"""),9)</f>
        <v>9</v>
      </c>
      <c r="AK385" s="113"/>
      <c r="AL385" s="116"/>
    </row>
    <row r="386" spans="1:38" ht="12.75">
      <c r="A386" s="112" t="str">
        <f ca="1">IFERROR(__xludf.DUMMYFUNCTION("""COMPUTED_VALUE"""),"17024951")</f>
        <v>17024951</v>
      </c>
      <c r="B386" s="113" t="str">
        <f ca="1">IFERROR(__xludf.DUMMYFUNCTION("""COMPUTED_VALUE"""),"Porto Nacional")</f>
        <v>Porto Nacional</v>
      </c>
      <c r="C386" s="113" t="str">
        <f ca="1">IFERROR(__xludf.DUMMYFUNCTION("""COMPUTED_VALUE"""),"Porto Nacional")</f>
        <v>Porto Nacional</v>
      </c>
      <c r="D386" s="114" t="str">
        <f ca="1">IFERROR(__xludf.DUMMYFUNCTION("""COMPUTED_VALUE"""),"A.A. ESCOLA ESTADUAL IRMA ASPASIA")</f>
        <v>A.A. ESCOLA ESTADUAL IRMA ASPASIA</v>
      </c>
      <c r="E386" s="113" t="str">
        <f ca="1">IFERROR(__xludf.DUMMYFUNCTION("""COMPUTED_VALUE"""),"Escola Estadual Irmã Aspásia")</f>
        <v>Escola Estadual Irmã Aspásia</v>
      </c>
      <c r="F386" s="115" t="str">
        <f ca="1">IFERROR(__xludf.DUMMYFUNCTION("""COMPUTED_VALUE"""),"17024951")</f>
        <v>17024951</v>
      </c>
      <c r="G386" s="113" t="str">
        <f ca="1">IFERROR(__xludf.DUMMYFUNCTION("""COMPUTED_VALUE"""),"01136022000146")</f>
        <v>01136022000146</v>
      </c>
      <c r="H386" s="115" t="str">
        <f ca="1">IFERROR(__xludf.DUMMYFUNCTION("""COMPUTED_VALUE"""),"104")</f>
        <v>104</v>
      </c>
      <c r="I386" s="115" t="str">
        <f ca="1">IFERROR(__xludf.DUMMYFUNCTION("""COMPUTED_VALUE"""),"1829")</f>
        <v>1829</v>
      </c>
      <c r="J386" s="115" t="str">
        <f ca="1">IFERROR(__xludf.DUMMYFUNCTION("""COMPUTED_VALUE"""),"307453")</f>
        <v>307453</v>
      </c>
      <c r="K386" s="113" t="e">
        <f ca="1"/>
        <v>#REF!</v>
      </c>
      <c r="L386" s="113" t="e">
        <f ca="1"/>
        <v>#REF!</v>
      </c>
      <c r="M386" s="113" t="e">
        <f ca="1"/>
        <v>#REF!</v>
      </c>
      <c r="N386" s="113" t="e">
        <f ca="1"/>
        <v>#REF!</v>
      </c>
      <c r="O386" s="113" t="e">
        <f ca="1"/>
        <v>#REF!</v>
      </c>
      <c r="P386" s="113" t="e">
        <f ca="1"/>
        <v>#REF!</v>
      </c>
      <c r="Q386" s="113" t="e">
        <f ca="1"/>
        <v>#REF!</v>
      </c>
      <c r="R386" s="113" t="e">
        <f ca="1"/>
        <v>#REF!</v>
      </c>
      <c r="S386" s="113" t="e">
        <f ca="1"/>
        <v>#REF!</v>
      </c>
      <c r="T386" s="113" t="e">
        <f ca="1"/>
        <v>#REF!</v>
      </c>
      <c r="U386" s="113" t="e">
        <f ca="1"/>
        <v>#REF!</v>
      </c>
      <c r="V386" s="113" t="e">
        <f ca="1"/>
        <v>#REF!</v>
      </c>
      <c r="W386" s="113" t="e">
        <f ca="1"/>
        <v>#REF!</v>
      </c>
      <c r="X386" s="113" t="e">
        <f ca="1"/>
        <v>#REF!</v>
      </c>
      <c r="Y386" s="113" t="e">
        <f ca="1"/>
        <v>#REF!</v>
      </c>
      <c r="Z386" s="113" t="e">
        <f ca="1"/>
        <v>#REF!</v>
      </c>
      <c r="AA386" s="113"/>
      <c r="AB386" s="113"/>
      <c r="AC386" s="113"/>
      <c r="AD386" s="113"/>
      <c r="AE386" s="113" t="str">
        <f ca="1">IFERROR(__xludf.DUMMYFUNCTION("""COMPUTED_VALUE"""),"Parcial")</f>
        <v>Parcial</v>
      </c>
      <c r="AF386" s="113" t="str">
        <f ca="1">IFERROR(__xludf.DUMMYFUNCTION("""COMPUTED_VALUE"""),"FE")</f>
        <v>FE</v>
      </c>
      <c r="AG386" s="113">
        <f ca="1">IFERROR(__xludf.DUMMYFUNCTION("""COMPUTED_VALUE"""),0)</f>
        <v>0</v>
      </c>
      <c r="AH386" s="113">
        <f ca="1">IFERROR(__xludf.DUMMYFUNCTION("""COMPUTED_VALUE"""),0)</f>
        <v>0</v>
      </c>
      <c r="AI386" s="113">
        <f ca="1">IFERROR(__xludf.DUMMYFUNCTION("""COMPUTED_VALUE"""),0)</f>
        <v>0</v>
      </c>
      <c r="AJ386" s="113">
        <f ca="1">IFERROR(__xludf.DUMMYFUNCTION("""COMPUTED_VALUE"""),0)</f>
        <v>0</v>
      </c>
      <c r="AK386" s="113"/>
      <c r="AL386" s="116"/>
    </row>
    <row r="387" spans="1:38" ht="12.75">
      <c r="A387" s="112" t="str">
        <f ca="1">IFERROR(__xludf.DUMMYFUNCTION("""COMPUTED_VALUE"""),"17025010")</f>
        <v>17025010</v>
      </c>
      <c r="B387" s="113" t="str">
        <f ca="1">IFERROR(__xludf.DUMMYFUNCTION("""COMPUTED_VALUE"""),"Porto Nacional")</f>
        <v>Porto Nacional</v>
      </c>
      <c r="C387" s="113" t="str">
        <f ca="1">IFERROR(__xludf.DUMMYFUNCTION("""COMPUTED_VALUE"""),"Porto Nacional")</f>
        <v>Porto Nacional</v>
      </c>
      <c r="D387" s="114" t="str">
        <f ca="1">IFERROR(__xludf.DUMMYFUNCTION("""COMPUTED_VALUE"""),"A.A. DA ESC. EST. ALCIDES RODRIGUES AIRES")</f>
        <v>A.A. DA ESC. EST. ALCIDES RODRIGUES AIRES</v>
      </c>
      <c r="E387" s="113" t="str">
        <f ca="1">IFERROR(__xludf.DUMMYFUNCTION("""COMPUTED_VALUE"""),"Escola Estadual Professora Alcides Rodrigues Aires")</f>
        <v>Escola Estadual Professora Alcides Rodrigues Aires</v>
      </c>
      <c r="F387" s="115" t="str">
        <f ca="1">IFERROR(__xludf.DUMMYFUNCTION("""COMPUTED_VALUE"""),"17025010")</f>
        <v>17025010</v>
      </c>
      <c r="G387" s="113" t="str">
        <f ca="1">IFERROR(__xludf.DUMMYFUNCTION("""COMPUTED_VALUE"""),"03495455000113")</f>
        <v>03495455000113</v>
      </c>
      <c r="H387" s="115" t="str">
        <f ca="1">IFERROR(__xludf.DUMMYFUNCTION("""COMPUTED_VALUE"""),"001")</f>
        <v>001</v>
      </c>
      <c r="I387" s="115" t="str">
        <f ca="1">IFERROR(__xludf.DUMMYFUNCTION("""COMPUTED_VALUE"""),"1117")</f>
        <v>1117</v>
      </c>
      <c r="J387" s="115" t="str">
        <f ca="1">IFERROR(__xludf.DUMMYFUNCTION("""COMPUTED_VALUE"""),"77143")</f>
        <v>77143</v>
      </c>
      <c r="K387" s="113" t="e">
        <f ca="1"/>
        <v>#REF!</v>
      </c>
      <c r="L387" s="113" t="e">
        <f ca="1"/>
        <v>#REF!</v>
      </c>
      <c r="M387" s="113" t="e">
        <f ca="1"/>
        <v>#REF!</v>
      </c>
      <c r="N387" s="113" t="e">
        <f ca="1"/>
        <v>#REF!</v>
      </c>
      <c r="O387" s="113" t="e">
        <f ca="1"/>
        <v>#REF!</v>
      </c>
      <c r="P387" s="113" t="e">
        <f ca="1"/>
        <v>#REF!</v>
      </c>
      <c r="Q387" s="113" t="e">
        <f ca="1"/>
        <v>#REF!</v>
      </c>
      <c r="R387" s="113" t="e">
        <f ca="1"/>
        <v>#REF!</v>
      </c>
      <c r="S387" s="113" t="e">
        <f ca="1"/>
        <v>#REF!</v>
      </c>
      <c r="T387" s="113" t="e">
        <f ca="1"/>
        <v>#REF!</v>
      </c>
      <c r="U387" s="113" t="e">
        <f ca="1"/>
        <v>#REF!</v>
      </c>
      <c r="V387" s="113" t="e">
        <f ca="1"/>
        <v>#REF!</v>
      </c>
      <c r="W387" s="113" t="e">
        <f ca="1"/>
        <v>#REF!</v>
      </c>
      <c r="X387" s="113" t="e">
        <f ca="1"/>
        <v>#REF!</v>
      </c>
      <c r="Y387" s="113" t="e">
        <f ca="1"/>
        <v>#REF!</v>
      </c>
      <c r="Z387" s="113" t="e">
        <f ca="1"/>
        <v>#REF!</v>
      </c>
      <c r="AA387" s="113"/>
      <c r="AB387" s="113"/>
      <c r="AC387" s="113"/>
      <c r="AD387" s="113" t="str">
        <f ca="1">IFERROR(__xludf.DUMMYFUNCTION("""COMPUTED_VALUE"""),"CRECHE")</f>
        <v>CRECHE</v>
      </c>
      <c r="AE387" s="113" t="str">
        <f ca="1">IFERROR(__xludf.DUMMYFUNCTION("""COMPUTED_VALUE"""),"Parcial")</f>
        <v>Parcial</v>
      </c>
      <c r="AF387" s="113" t="str">
        <f ca="1">IFERROR(__xludf.DUMMYFUNCTION("""COMPUTED_VALUE"""),"FE")</f>
        <v>FE</v>
      </c>
      <c r="AG387" s="113">
        <f ca="1">IFERROR(__xludf.DUMMYFUNCTION("""COMPUTED_VALUE"""),0)</f>
        <v>0</v>
      </c>
      <c r="AH387" s="113">
        <f ca="1">IFERROR(__xludf.DUMMYFUNCTION("""COMPUTED_VALUE"""),0)</f>
        <v>0</v>
      </c>
      <c r="AI387" s="113">
        <f ca="1">IFERROR(__xludf.DUMMYFUNCTION("""COMPUTED_VALUE"""),0)</f>
        <v>0</v>
      </c>
      <c r="AJ387" s="113">
        <f ca="1">IFERROR(__xludf.DUMMYFUNCTION("""COMPUTED_VALUE"""),0)</f>
        <v>0</v>
      </c>
      <c r="AK387" s="113"/>
      <c r="AL387" s="116"/>
    </row>
    <row r="388" spans="1:38" ht="12.75">
      <c r="A388" s="112" t="str">
        <f ca="1">IFERROR(__xludf.DUMMYFUNCTION("""COMPUTED_VALUE"""),"17024870")</f>
        <v>17024870</v>
      </c>
      <c r="B388" s="113" t="str">
        <f ca="1">IFERROR(__xludf.DUMMYFUNCTION("""COMPUTED_VALUE"""),"Porto Nacional")</f>
        <v>Porto Nacional</v>
      </c>
      <c r="C388" s="113" t="str">
        <f ca="1">IFERROR(__xludf.DUMMYFUNCTION("""COMPUTED_VALUE"""),"Porto Nacional")</f>
        <v>Porto Nacional</v>
      </c>
      <c r="D388" s="114" t="str">
        <f ca="1">IFERROR(__xludf.DUMMYFUNCTION("""COMPUTED_VALUE"""),"A.A. E. E. PROFA. CARMENIA MATOS MAIA")</f>
        <v>A.A. E. E. PROFA. CARMENIA MATOS MAIA</v>
      </c>
      <c r="E388" s="113" t="str">
        <f ca="1">IFERROR(__xludf.DUMMYFUNCTION("""COMPUTED_VALUE"""),"Escola Estadual Professora Carmênia Matos Maia")</f>
        <v>Escola Estadual Professora Carmênia Matos Maia</v>
      </c>
      <c r="F388" s="115" t="str">
        <f ca="1">IFERROR(__xludf.DUMMYFUNCTION("""COMPUTED_VALUE"""),"17024870")</f>
        <v>17024870</v>
      </c>
      <c r="G388" s="113" t="str">
        <f ca="1">IFERROR(__xludf.DUMMYFUNCTION("""COMPUTED_VALUE"""),"01118897000115")</f>
        <v>01118897000115</v>
      </c>
      <c r="H388" s="115" t="str">
        <f ca="1">IFERROR(__xludf.DUMMYFUNCTION("""COMPUTED_VALUE"""),"104")</f>
        <v>104</v>
      </c>
      <c r="I388" s="115" t="str">
        <f ca="1">IFERROR(__xludf.DUMMYFUNCTION("""COMPUTED_VALUE"""),"1829")</f>
        <v>1829</v>
      </c>
      <c r="J388" s="115" t="str">
        <f ca="1">IFERROR(__xludf.DUMMYFUNCTION("""COMPUTED_VALUE"""),"307399")</f>
        <v>307399</v>
      </c>
      <c r="K388" s="113" t="e">
        <f ca="1"/>
        <v>#REF!</v>
      </c>
      <c r="L388" s="113" t="e">
        <f ca="1"/>
        <v>#REF!</v>
      </c>
      <c r="M388" s="113" t="e">
        <f ca="1"/>
        <v>#REF!</v>
      </c>
      <c r="N388" s="113" t="e">
        <f ca="1"/>
        <v>#REF!</v>
      </c>
      <c r="O388" s="113" t="e">
        <f ca="1"/>
        <v>#REF!</v>
      </c>
      <c r="P388" s="113" t="e">
        <f ca="1"/>
        <v>#REF!</v>
      </c>
      <c r="Q388" s="113" t="e">
        <f ca="1"/>
        <v>#REF!</v>
      </c>
      <c r="R388" s="113" t="e">
        <f ca="1"/>
        <v>#REF!</v>
      </c>
      <c r="S388" s="113" t="e">
        <f ca="1"/>
        <v>#REF!</v>
      </c>
      <c r="T388" s="113" t="e">
        <f ca="1"/>
        <v>#REF!</v>
      </c>
      <c r="U388" s="113" t="e">
        <f ca="1"/>
        <v>#REF!</v>
      </c>
      <c r="V388" s="113" t="e">
        <f ca="1"/>
        <v>#REF!</v>
      </c>
      <c r="W388" s="113" t="e">
        <f ca="1"/>
        <v>#REF!</v>
      </c>
      <c r="X388" s="113" t="e">
        <f ca="1"/>
        <v>#REF!</v>
      </c>
      <c r="Y388" s="113" t="e">
        <f ca="1"/>
        <v>#REF!</v>
      </c>
      <c r="Z388" s="113" t="e">
        <f ca="1"/>
        <v>#REF!</v>
      </c>
      <c r="AA388" s="113"/>
      <c r="AB388" s="113"/>
      <c r="AC388" s="113"/>
      <c r="AD388" s="113"/>
      <c r="AE388" s="113" t="str">
        <f ca="1">IFERROR(__xludf.DUMMYFUNCTION("""COMPUTED_VALUE"""),"Integral")</f>
        <v>Integral</v>
      </c>
      <c r="AF388" s="113" t="str">
        <f ca="1">IFERROR(__xludf.DUMMYFUNCTION("""COMPUTED_VALUE"""),"FE")</f>
        <v>FE</v>
      </c>
      <c r="AG388" s="113">
        <f ca="1">IFERROR(__xludf.DUMMYFUNCTION("""COMPUTED_VALUE"""),0)</f>
        <v>0</v>
      </c>
      <c r="AH388" s="113">
        <f ca="1">IFERROR(__xludf.DUMMYFUNCTION("""COMPUTED_VALUE"""),0)</f>
        <v>0</v>
      </c>
      <c r="AI388" s="113">
        <f ca="1">IFERROR(__xludf.DUMMYFUNCTION("""COMPUTED_VALUE"""),0)</f>
        <v>0</v>
      </c>
      <c r="AJ388" s="113">
        <f ca="1">IFERROR(__xludf.DUMMYFUNCTION("""COMPUTED_VALUE"""),0)</f>
        <v>0</v>
      </c>
      <c r="AK388" s="113"/>
      <c r="AL388" s="116"/>
    </row>
    <row r="389" spans="1:38" ht="12.75">
      <c r="A389" s="112" t="str">
        <f ca="1">IFERROR(__xludf.DUMMYFUNCTION("""COMPUTED_VALUE"""),"17020875")</f>
        <v>17020875</v>
      </c>
      <c r="B389" s="113" t="str">
        <f ca="1">IFERROR(__xludf.DUMMYFUNCTION("""COMPUTED_VALUE"""),"Porto Nacional")</f>
        <v>Porto Nacional</v>
      </c>
      <c r="C389" s="113" t="str">
        <f ca="1">IFERROR(__xludf.DUMMYFUNCTION("""COMPUTED_VALUE"""),"Santa Rita do Tocantins")</f>
        <v>Santa Rita do Tocantins</v>
      </c>
      <c r="D389" s="114" t="str">
        <f ca="1">IFERROR(__xludf.DUMMYFUNCTION("""COMPUTED_VALUE"""),"ASS. COM.DE AP.ESC. EST. DE 1 GRAU BOA NOVA")</f>
        <v>ASS. COM.DE AP.ESC. EST. DE 1 GRAU BOA NOVA</v>
      </c>
      <c r="E389" s="113" t="str">
        <f ca="1">IFERROR(__xludf.DUMMYFUNCTION("""COMPUTED_VALUE"""),"Escola Estadual Boa Nova")</f>
        <v>Escola Estadual Boa Nova</v>
      </c>
      <c r="F389" s="115" t="str">
        <f ca="1">IFERROR(__xludf.DUMMYFUNCTION("""COMPUTED_VALUE"""),"17020875")</f>
        <v>17020875</v>
      </c>
      <c r="G389" s="113" t="str">
        <f ca="1">IFERROR(__xludf.DUMMYFUNCTION("""COMPUTED_VALUE"""),"01856561000150")</f>
        <v>01856561000150</v>
      </c>
      <c r="H389" s="115" t="str">
        <f ca="1">IFERROR(__xludf.DUMMYFUNCTION("""COMPUTED_VALUE"""),"001")</f>
        <v>001</v>
      </c>
      <c r="I389" s="115" t="str">
        <f ca="1">IFERROR(__xludf.DUMMYFUNCTION("""COMPUTED_VALUE"""),"4107")</f>
        <v>4107</v>
      </c>
      <c r="J389" s="115" t="str">
        <f ca="1">IFERROR(__xludf.DUMMYFUNCTION("""COMPUTED_VALUE"""),"320722")</f>
        <v>320722</v>
      </c>
      <c r="K389" s="113" t="e">
        <f ca="1"/>
        <v>#REF!</v>
      </c>
      <c r="L389" s="113" t="e">
        <f ca="1"/>
        <v>#REF!</v>
      </c>
      <c r="M389" s="113" t="e">
        <f ca="1"/>
        <v>#REF!</v>
      </c>
      <c r="N389" s="113" t="e">
        <f ca="1"/>
        <v>#REF!</v>
      </c>
      <c r="O389" s="113" t="e">
        <f ca="1"/>
        <v>#REF!</v>
      </c>
      <c r="P389" s="113" t="e">
        <f ca="1"/>
        <v>#REF!</v>
      </c>
      <c r="Q389" s="113" t="e">
        <f ca="1"/>
        <v>#REF!</v>
      </c>
      <c r="R389" s="113" t="e">
        <f ca="1"/>
        <v>#REF!</v>
      </c>
      <c r="S389" s="113" t="e">
        <f ca="1"/>
        <v>#REF!</v>
      </c>
      <c r="T389" s="113" t="e">
        <f ca="1"/>
        <v>#REF!</v>
      </c>
      <c r="U389" s="113" t="e">
        <f ca="1"/>
        <v>#REF!</v>
      </c>
      <c r="V389" s="113" t="e">
        <f ca="1"/>
        <v>#REF!</v>
      </c>
      <c r="W389" s="113" t="e">
        <f ca="1"/>
        <v>#REF!</v>
      </c>
      <c r="X389" s="113" t="e">
        <f ca="1"/>
        <v>#REF!</v>
      </c>
      <c r="Y389" s="113" t="e">
        <f ca="1"/>
        <v>#REF!</v>
      </c>
      <c r="Z389" s="113" t="e">
        <f ca="1"/>
        <v>#REF!</v>
      </c>
      <c r="AA389" s="113"/>
      <c r="AB389" s="113"/>
      <c r="AC389" s="113"/>
      <c r="AD389" s="113"/>
      <c r="AE389" s="113" t="str">
        <f ca="1">IFERROR(__xludf.DUMMYFUNCTION("""COMPUTED_VALUE"""),"Parcial")</f>
        <v>Parcial</v>
      </c>
      <c r="AF389" s="113" t="str">
        <f ca="1">IFERROR(__xludf.DUMMYFUNCTION("""COMPUTED_VALUE"""),"FE")</f>
        <v>FE</v>
      </c>
      <c r="AG389" s="113">
        <f ca="1">IFERROR(__xludf.DUMMYFUNCTION("""COMPUTED_VALUE"""),0)</f>
        <v>0</v>
      </c>
      <c r="AH389" s="113">
        <f ca="1">IFERROR(__xludf.DUMMYFUNCTION("""COMPUTED_VALUE"""),0)</f>
        <v>0</v>
      </c>
      <c r="AI389" s="113">
        <f ca="1">IFERROR(__xludf.DUMMYFUNCTION("""COMPUTED_VALUE"""),0)</f>
        <v>0</v>
      </c>
      <c r="AJ389" s="113">
        <f ca="1">IFERROR(__xludf.DUMMYFUNCTION("""COMPUTED_VALUE"""),0)</f>
        <v>0</v>
      </c>
      <c r="AK389" s="113"/>
      <c r="AL389" s="116"/>
    </row>
    <row r="390" spans="1:38" ht="12.75">
      <c r="A390" s="112" t="str">
        <f ca="1">IFERROR(__xludf.DUMMYFUNCTION("""COMPUTED_VALUE"""),"17036747")</f>
        <v>17036747</v>
      </c>
      <c r="B390" s="113" t="str">
        <f ca="1">IFERROR(__xludf.DUMMYFUNCTION("""COMPUTED_VALUE"""),"Porto Nacional")</f>
        <v>Porto Nacional</v>
      </c>
      <c r="C390" s="113" t="str">
        <f ca="1">IFERROR(__xludf.DUMMYFUNCTION("""COMPUTED_VALUE"""),"Santa Rosa do Tocantins")</f>
        <v>Santa Rosa do Tocantins</v>
      </c>
      <c r="D390" s="114" t="str">
        <f ca="1">IFERROR(__xludf.DUMMYFUNCTION("""COMPUTED_VALUE"""),"A.A. E. E.PROF.ZACHARIAS NUNES DA SILVEIRA")</f>
        <v>A.A. E. E.PROF.ZACHARIAS NUNES DA SILVEIRA</v>
      </c>
      <c r="E390" s="113" t="str">
        <f ca="1">IFERROR(__xludf.DUMMYFUNCTION("""COMPUTED_VALUE"""),"Escola Estadual Professor Zacharias Nunes da Silveira")</f>
        <v>Escola Estadual Professor Zacharias Nunes da Silveira</v>
      </c>
      <c r="F390" s="115" t="str">
        <f ca="1">IFERROR(__xludf.DUMMYFUNCTION("""COMPUTED_VALUE"""),"17036747")</f>
        <v>17036747</v>
      </c>
      <c r="G390" s="113" t="str">
        <f ca="1">IFERROR(__xludf.DUMMYFUNCTION("""COMPUTED_VALUE"""),"01066420000133")</f>
        <v>01066420000133</v>
      </c>
      <c r="H390" s="115" t="str">
        <f ca="1">IFERROR(__xludf.DUMMYFUNCTION("""COMPUTED_VALUE"""),"104")</f>
        <v>104</v>
      </c>
      <c r="I390" s="115" t="str">
        <f ca="1">IFERROR(__xludf.DUMMYFUNCTION("""COMPUTED_VALUE"""),"1829")</f>
        <v>1829</v>
      </c>
      <c r="J390" s="115" t="str">
        <f ca="1">IFERROR(__xludf.DUMMYFUNCTION("""COMPUTED_VALUE"""),"0307461")</f>
        <v>0307461</v>
      </c>
      <c r="K390" s="113" t="e">
        <f ca="1"/>
        <v>#REF!</v>
      </c>
      <c r="L390" s="113" t="e">
        <f ca="1"/>
        <v>#REF!</v>
      </c>
      <c r="M390" s="113" t="e">
        <f ca="1"/>
        <v>#REF!</v>
      </c>
      <c r="N390" s="113" t="e">
        <f ca="1"/>
        <v>#REF!</v>
      </c>
      <c r="O390" s="113" t="e">
        <f ca="1"/>
        <v>#REF!</v>
      </c>
      <c r="P390" s="113" t="e">
        <f ca="1"/>
        <v>#REF!</v>
      </c>
      <c r="Q390" s="113" t="e">
        <f ca="1"/>
        <v>#REF!</v>
      </c>
      <c r="R390" s="113" t="e">
        <f ca="1"/>
        <v>#REF!</v>
      </c>
      <c r="S390" s="113" t="e">
        <f ca="1"/>
        <v>#REF!</v>
      </c>
      <c r="T390" s="113" t="e">
        <f ca="1"/>
        <v>#REF!</v>
      </c>
      <c r="U390" s="113" t="e">
        <f ca="1"/>
        <v>#REF!</v>
      </c>
      <c r="V390" s="113" t="e">
        <f ca="1"/>
        <v>#REF!</v>
      </c>
      <c r="W390" s="113" t="e">
        <f ca="1"/>
        <v>#REF!</v>
      </c>
      <c r="X390" s="113" t="e">
        <f ca="1"/>
        <v>#REF!</v>
      </c>
      <c r="Y390" s="113" t="e">
        <f ca="1"/>
        <v>#REF!</v>
      </c>
      <c r="Z390" s="113" t="e">
        <f ca="1"/>
        <v>#REF!</v>
      </c>
      <c r="AA390" s="113"/>
      <c r="AB390" s="113"/>
      <c r="AC390" s="113"/>
      <c r="AD390" s="113"/>
      <c r="AE390" s="113" t="str">
        <f ca="1">IFERROR(__xludf.DUMMYFUNCTION("""COMPUTED_VALUE"""),"Parcial")</f>
        <v>Parcial</v>
      </c>
      <c r="AF390" s="113" t="str">
        <f ca="1">IFERROR(__xludf.DUMMYFUNCTION("""COMPUTED_VALUE"""),"FE")</f>
        <v>FE</v>
      </c>
      <c r="AG390" s="113">
        <f ca="1">IFERROR(__xludf.DUMMYFUNCTION("""COMPUTED_VALUE"""),0)</f>
        <v>0</v>
      </c>
      <c r="AH390" s="113">
        <f ca="1">IFERROR(__xludf.DUMMYFUNCTION("""COMPUTED_VALUE"""),0)</f>
        <v>0</v>
      </c>
      <c r="AI390" s="113">
        <f ca="1">IFERROR(__xludf.DUMMYFUNCTION("""COMPUTED_VALUE"""),0)</f>
        <v>0</v>
      </c>
      <c r="AJ390" s="113">
        <f ca="1">IFERROR(__xludf.DUMMYFUNCTION("""COMPUTED_VALUE"""),0)</f>
        <v>0</v>
      </c>
      <c r="AK390" s="113"/>
      <c r="AL390" s="116"/>
    </row>
    <row r="391" spans="1:38" ht="12.75">
      <c r="A391" s="112" t="str">
        <f ca="1">IFERROR(__xludf.DUMMYFUNCTION("""COMPUTED_VALUE"""),"17036755")</f>
        <v>17036755</v>
      </c>
      <c r="B391" s="113" t="str">
        <f ca="1">IFERROR(__xludf.DUMMYFUNCTION("""COMPUTED_VALUE"""),"Porto Nacional")</f>
        <v>Porto Nacional</v>
      </c>
      <c r="C391" s="113" t="str">
        <f ca="1">IFERROR(__xludf.DUMMYFUNCTION("""COMPUTED_VALUE"""),"Santa Rosa do Tocantins")</f>
        <v>Santa Rosa do Tocantins</v>
      </c>
      <c r="D391" s="114" t="str">
        <f ca="1">IFERROR(__xludf.DUMMYFUNCTION("""COMPUTED_VALUE"""),"A.A. E. E. TENENTE SALVADOR RIBEIRO")</f>
        <v>A.A. E. E. TENENTE SALVADOR RIBEIRO</v>
      </c>
      <c r="E391" s="113" t="str">
        <f ca="1">IFERROR(__xludf.DUMMYFUNCTION("""COMPUTED_VALUE"""),"Escola Estadual Tenente Salvador Ribeiro")</f>
        <v>Escola Estadual Tenente Salvador Ribeiro</v>
      </c>
      <c r="F391" s="115" t="str">
        <f ca="1">IFERROR(__xludf.DUMMYFUNCTION("""COMPUTED_VALUE"""),"17036755")</f>
        <v>17036755</v>
      </c>
      <c r="G391" s="113" t="str">
        <f ca="1">IFERROR(__xludf.DUMMYFUNCTION("""COMPUTED_VALUE"""),"01066424000111")</f>
        <v>01066424000111</v>
      </c>
      <c r="H391" s="115" t="str">
        <f ca="1">IFERROR(__xludf.DUMMYFUNCTION("""COMPUTED_VALUE"""),"001")</f>
        <v>001</v>
      </c>
      <c r="I391" s="115" t="str">
        <f ca="1">IFERROR(__xludf.DUMMYFUNCTION("""COMPUTED_VALUE"""),"1117")</f>
        <v>1117</v>
      </c>
      <c r="J391" s="115" t="str">
        <f ca="1">IFERROR(__xludf.DUMMYFUNCTION("""COMPUTED_VALUE"""),"332623")</f>
        <v>332623</v>
      </c>
      <c r="K391" s="113" t="e">
        <f ca="1"/>
        <v>#REF!</v>
      </c>
      <c r="L391" s="113" t="e">
        <f ca="1"/>
        <v>#REF!</v>
      </c>
      <c r="M391" s="113" t="e">
        <f ca="1"/>
        <v>#REF!</v>
      </c>
      <c r="N391" s="113" t="e">
        <f ca="1"/>
        <v>#REF!</v>
      </c>
      <c r="O391" s="113" t="e">
        <f ca="1"/>
        <v>#REF!</v>
      </c>
      <c r="P391" s="113" t="e">
        <f ca="1"/>
        <v>#REF!</v>
      </c>
      <c r="Q391" s="113" t="e">
        <f ca="1"/>
        <v>#REF!</v>
      </c>
      <c r="R391" s="113" t="e">
        <f ca="1"/>
        <v>#REF!</v>
      </c>
      <c r="S391" s="113" t="e">
        <f ca="1"/>
        <v>#REF!</v>
      </c>
      <c r="T391" s="113" t="e">
        <f ca="1"/>
        <v>#REF!</v>
      </c>
      <c r="U391" s="113" t="e">
        <f ca="1"/>
        <v>#REF!</v>
      </c>
      <c r="V391" s="113" t="e">
        <f ca="1"/>
        <v>#REF!</v>
      </c>
      <c r="W391" s="113" t="e">
        <f ca="1"/>
        <v>#REF!</v>
      </c>
      <c r="X391" s="113" t="e">
        <f ca="1"/>
        <v>#REF!</v>
      </c>
      <c r="Y391" s="113" t="e">
        <f ca="1"/>
        <v>#REF!</v>
      </c>
      <c r="Z391" s="113" t="e">
        <f ca="1"/>
        <v>#REF!</v>
      </c>
      <c r="AA391" s="113"/>
      <c r="AB391" s="113"/>
      <c r="AC391" s="113"/>
      <c r="AD391" s="113"/>
      <c r="AE391" s="113" t="str">
        <f ca="1">IFERROR(__xludf.DUMMYFUNCTION("""COMPUTED_VALUE"""),"Parcial")</f>
        <v>Parcial</v>
      </c>
      <c r="AF391" s="113" t="str">
        <f ca="1">IFERROR(__xludf.DUMMYFUNCTION("""COMPUTED_VALUE"""),"FE")</f>
        <v>FE</v>
      </c>
      <c r="AG391" s="113">
        <f ca="1">IFERROR(__xludf.DUMMYFUNCTION("""COMPUTED_VALUE"""),0)</f>
        <v>0</v>
      </c>
      <c r="AH391" s="113">
        <f ca="1">IFERROR(__xludf.DUMMYFUNCTION("""COMPUTED_VALUE"""),0)</f>
        <v>0</v>
      </c>
      <c r="AI391" s="113">
        <f ca="1">IFERROR(__xludf.DUMMYFUNCTION("""COMPUTED_VALUE"""),0)</f>
        <v>0</v>
      </c>
      <c r="AJ391" s="113">
        <f ca="1">IFERROR(__xludf.DUMMYFUNCTION("""COMPUTED_VALUE"""),0)</f>
        <v>0</v>
      </c>
      <c r="AK391" s="113"/>
      <c r="AL391" s="116"/>
    </row>
    <row r="392" spans="1:38" ht="12.75">
      <c r="A392" s="112" t="str">
        <f ca="1">IFERROR(__xludf.DUMMYFUNCTION("""COMPUTED_VALUE"""),"17025885")</f>
        <v>17025885</v>
      </c>
      <c r="B392" s="113" t="str">
        <f ca="1">IFERROR(__xludf.DUMMYFUNCTION("""COMPUTED_VALUE"""),"Porto Nacional")</f>
        <v>Porto Nacional</v>
      </c>
      <c r="C392" s="113" t="str">
        <f ca="1">IFERROR(__xludf.DUMMYFUNCTION("""COMPUTED_VALUE"""),"Silvanopolis")</f>
        <v>Silvanopolis</v>
      </c>
      <c r="D392" s="114" t="str">
        <f ca="1">IFERROR(__xludf.DUMMYFUNCTION("""COMPUTED_VALUE"""),"A.A. DA ESC. EST. JOAO DA SILVA GUIMARAES")</f>
        <v>A.A. DA ESC. EST. JOAO DA SILVA GUIMARAES</v>
      </c>
      <c r="E392" s="113" t="str">
        <f ca="1">IFERROR(__xludf.DUMMYFUNCTION("""COMPUTED_VALUE"""),"Colégio Estadual João da Silva Guimarães")</f>
        <v>Colégio Estadual João da Silva Guimarães</v>
      </c>
      <c r="F392" s="115" t="str">
        <f ca="1">IFERROR(__xludf.DUMMYFUNCTION("""COMPUTED_VALUE"""),"17025885")</f>
        <v>17025885</v>
      </c>
      <c r="G392" s="113" t="str">
        <f ca="1">IFERROR(__xludf.DUMMYFUNCTION("""COMPUTED_VALUE"""),"01557779000103")</f>
        <v>01557779000103</v>
      </c>
      <c r="H392" s="115" t="str">
        <f ca="1">IFERROR(__xludf.DUMMYFUNCTION("""COMPUTED_VALUE"""),"001")</f>
        <v>001</v>
      </c>
      <c r="I392" s="115" t="str">
        <f ca="1">IFERROR(__xludf.DUMMYFUNCTION("""COMPUTED_VALUE"""),"3980")</f>
        <v>3980</v>
      </c>
      <c r="J392" s="115" t="str">
        <f ca="1">IFERROR(__xludf.DUMMYFUNCTION("""COMPUTED_VALUE"""),"51292")</f>
        <v>51292</v>
      </c>
      <c r="K392" s="113" t="e">
        <f ca="1"/>
        <v>#REF!</v>
      </c>
      <c r="L392" s="113" t="e">
        <f ca="1"/>
        <v>#REF!</v>
      </c>
      <c r="M392" s="113" t="e">
        <f ca="1"/>
        <v>#REF!</v>
      </c>
      <c r="N392" s="113" t="e">
        <f ca="1"/>
        <v>#REF!</v>
      </c>
      <c r="O392" s="113" t="e">
        <f ca="1"/>
        <v>#REF!</v>
      </c>
      <c r="P392" s="113" t="e">
        <f ca="1"/>
        <v>#REF!</v>
      </c>
      <c r="Q392" s="113" t="e">
        <f ca="1"/>
        <v>#REF!</v>
      </c>
      <c r="R392" s="113" t="e">
        <f ca="1"/>
        <v>#REF!</v>
      </c>
      <c r="S392" s="113" t="e">
        <f ca="1"/>
        <v>#REF!</v>
      </c>
      <c r="T392" s="113" t="e">
        <f ca="1"/>
        <v>#REF!</v>
      </c>
      <c r="U392" s="113" t="e">
        <f ca="1"/>
        <v>#REF!</v>
      </c>
      <c r="V392" s="113" t="e">
        <f ca="1"/>
        <v>#REF!</v>
      </c>
      <c r="W392" s="113" t="e">
        <f ca="1"/>
        <v>#REF!</v>
      </c>
      <c r="X392" s="113" t="e">
        <f ca="1"/>
        <v>#REF!</v>
      </c>
      <c r="Y392" s="113" t="e">
        <f ca="1"/>
        <v>#REF!</v>
      </c>
      <c r="Z392" s="113" t="e">
        <f ca="1"/>
        <v>#REF!</v>
      </c>
      <c r="AA392" s="113"/>
      <c r="AB392" s="113"/>
      <c r="AC392" s="113"/>
      <c r="AD392" s="113"/>
      <c r="AE392" s="113" t="str">
        <f ca="1">IFERROR(__xludf.DUMMYFUNCTION("""COMPUTED_VALUE"""),"Integral")</f>
        <v>Integral</v>
      </c>
      <c r="AF392" s="113" t="str">
        <f ca="1">IFERROR(__xludf.DUMMYFUNCTION("""COMPUTED_VALUE"""),"FE")</f>
        <v>FE</v>
      </c>
      <c r="AG392" s="113">
        <f ca="1">IFERROR(__xludf.DUMMYFUNCTION("""COMPUTED_VALUE"""),0)</f>
        <v>0</v>
      </c>
      <c r="AH392" s="113">
        <f ca="1">IFERROR(__xludf.DUMMYFUNCTION("""COMPUTED_VALUE"""),0)</f>
        <v>0</v>
      </c>
      <c r="AI392" s="113">
        <f ca="1">IFERROR(__xludf.DUMMYFUNCTION("""COMPUTED_VALUE"""),0)</f>
        <v>0</v>
      </c>
      <c r="AJ392" s="113">
        <f ca="1">IFERROR(__xludf.DUMMYFUNCTION("""COMPUTED_VALUE"""),0)</f>
        <v>0</v>
      </c>
      <c r="AK392" s="113"/>
      <c r="AL392" s="116"/>
    </row>
    <row r="393" spans="1:38" ht="12.75">
      <c r="A393" s="112" t="str">
        <f ca="1">IFERROR(__xludf.DUMMYFUNCTION("""COMPUTED_VALUE"""),"17025923")</f>
        <v>17025923</v>
      </c>
      <c r="B393" s="113" t="str">
        <f ca="1">IFERROR(__xludf.DUMMYFUNCTION("""COMPUTED_VALUE"""),"Porto Nacional")</f>
        <v>Porto Nacional</v>
      </c>
      <c r="C393" s="113" t="str">
        <f ca="1">IFERROR(__xludf.DUMMYFUNCTION("""COMPUTED_VALUE"""),"Silvanopolis")</f>
        <v>Silvanopolis</v>
      </c>
      <c r="D393" s="114" t="str">
        <f ca="1">IFERROR(__xludf.DUMMYFUNCTION("""COMPUTED_VALUE"""),"A.A. A ESC. EST. JOAO PIRES QUERIDO")</f>
        <v>A.A. A ESC. EST. JOAO PIRES QUERIDO</v>
      </c>
      <c r="E393" s="113" t="str">
        <f ca="1">IFERROR(__xludf.DUMMYFUNCTION("""COMPUTED_VALUE"""),"Escola Estadual João Pires Querido")</f>
        <v>Escola Estadual João Pires Querido</v>
      </c>
      <c r="F393" s="115" t="str">
        <f ca="1">IFERROR(__xludf.DUMMYFUNCTION("""COMPUTED_VALUE"""),"17025923")</f>
        <v>17025923</v>
      </c>
      <c r="G393" s="113" t="str">
        <f ca="1">IFERROR(__xludf.DUMMYFUNCTION("""COMPUTED_VALUE"""),"01284632000197")</f>
        <v>01284632000197</v>
      </c>
      <c r="H393" s="115" t="str">
        <f ca="1">IFERROR(__xludf.DUMMYFUNCTION("""COMPUTED_VALUE"""),"001")</f>
        <v>001</v>
      </c>
      <c r="I393" s="115" t="str">
        <f ca="1">IFERROR(__xludf.DUMMYFUNCTION("""COMPUTED_VALUE"""),"3980")</f>
        <v>3980</v>
      </c>
      <c r="J393" s="115" t="str">
        <f ca="1">IFERROR(__xludf.DUMMYFUNCTION("""COMPUTED_VALUE"""),"051187")</f>
        <v>051187</v>
      </c>
      <c r="K393" s="113" t="e">
        <f ca="1"/>
        <v>#REF!</v>
      </c>
      <c r="L393" s="113" t="e">
        <f ca="1"/>
        <v>#REF!</v>
      </c>
      <c r="M393" s="113" t="e">
        <f ca="1"/>
        <v>#REF!</v>
      </c>
      <c r="N393" s="113" t="e">
        <f ca="1"/>
        <v>#REF!</v>
      </c>
      <c r="O393" s="113" t="e">
        <f ca="1"/>
        <v>#REF!</v>
      </c>
      <c r="P393" s="113" t="e">
        <f ca="1"/>
        <v>#REF!</v>
      </c>
      <c r="Q393" s="113" t="e">
        <f ca="1"/>
        <v>#REF!</v>
      </c>
      <c r="R393" s="113" t="e">
        <f ca="1"/>
        <v>#REF!</v>
      </c>
      <c r="S393" s="113" t="e">
        <f ca="1"/>
        <v>#REF!</v>
      </c>
      <c r="T393" s="113" t="e">
        <f ca="1"/>
        <v>#REF!</v>
      </c>
      <c r="U393" s="113" t="e">
        <f ca="1"/>
        <v>#REF!</v>
      </c>
      <c r="V393" s="113" t="e">
        <f ca="1"/>
        <v>#REF!</v>
      </c>
      <c r="W393" s="113" t="e">
        <f ca="1"/>
        <v>#REF!</v>
      </c>
      <c r="X393" s="113" t="e">
        <f ca="1"/>
        <v>#REF!</v>
      </c>
      <c r="Y393" s="113" t="e">
        <f ca="1"/>
        <v>#REF!</v>
      </c>
      <c r="Z393" s="113" t="e">
        <f ca="1"/>
        <v>#REF!</v>
      </c>
      <c r="AA393" s="113"/>
      <c r="AB393" s="113"/>
      <c r="AC393" s="113"/>
      <c r="AD393" s="113"/>
      <c r="AE393" s="113" t="str">
        <f ca="1">IFERROR(__xludf.DUMMYFUNCTION("""COMPUTED_VALUE"""),"Parcial")</f>
        <v>Parcial</v>
      </c>
      <c r="AF393" s="113" t="str">
        <f ca="1">IFERROR(__xludf.DUMMYFUNCTION("""COMPUTED_VALUE"""),"FE")</f>
        <v>FE</v>
      </c>
      <c r="AG393" s="113">
        <f ca="1">IFERROR(__xludf.DUMMYFUNCTION("""COMPUTED_VALUE"""),0)</f>
        <v>0</v>
      </c>
      <c r="AH393" s="113">
        <f ca="1">IFERROR(__xludf.DUMMYFUNCTION("""COMPUTED_VALUE"""),0)</f>
        <v>0</v>
      </c>
      <c r="AI393" s="113">
        <f ca="1">IFERROR(__xludf.DUMMYFUNCTION("""COMPUTED_VALUE"""),0)</f>
        <v>0</v>
      </c>
      <c r="AJ393" s="113">
        <f ca="1">IFERROR(__xludf.DUMMYFUNCTION("""COMPUTED_VALUE"""),10)</f>
        <v>10</v>
      </c>
      <c r="AK393" s="113"/>
      <c r="AL393" s="116"/>
    </row>
    <row r="394" spans="1:38" ht="12.75">
      <c r="A394" s="112" t="str">
        <f ca="1">IFERROR(__xludf.DUMMYFUNCTION("""COMPUTED_VALUE"""),"17004268")</f>
        <v>17004268</v>
      </c>
      <c r="B394" s="113" t="str">
        <f ca="1">IFERROR(__xludf.DUMMYFUNCTION("""COMPUTED_VALUE"""),"Tocantinópolis")</f>
        <v>Tocantinópolis</v>
      </c>
      <c r="C394" s="113" t="str">
        <f ca="1">IFERROR(__xludf.DUMMYFUNCTION("""COMPUTED_VALUE"""),"Aguiarnopolis")</f>
        <v>Aguiarnopolis</v>
      </c>
      <c r="D394" s="114" t="str">
        <f ca="1">IFERROR(__xludf.DUMMYFUNCTION("""COMPUTED_VALUE"""),"A.A. DA ESC. EST. NAZARÉ NUNES DA SILVA (AGUIARNOPOLIS)")</f>
        <v>A.A. DA ESC. EST. NAZARÉ NUNES DA SILVA (AGUIARNOPOLIS)</v>
      </c>
      <c r="E394" s="113" t="str">
        <f ca="1">IFERROR(__xludf.DUMMYFUNCTION("""COMPUTED_VALUE"""),"Colégio Estadual Nazaré Nunes da Silva")</f>
        <v>Colégio Estadual Nazaré Nunes da Silva</v>
      </c>
      <c r="F394" s="115" t="str">
        <f ca="1">IFERROR(__xludf.DUMMYFUNCTION("""COMPUTED_VALUE"""),"17004268")</f>
        <v>17004268</v>
      </c>
      <c r="G394" s="113" t="str">
        <f ca="1">IFERROR(__xludf.DUMMYFUNCTION("""COMPUTED_VALUE"""),"01213519000110")</f>
        <v>01213519000110</v>
      </c>
      <c r="H394" s="115" t="str">
        <f ca="1">IFERROR(__xludf.DUMMYFUNCTION("""COMPUTED_VALUE"""),"001")</f>
        <v>001</v>
      </c>
      <c r="I394" s="115" t="str">
        <f ca="1">IFERROR(__xludf.DUMMYFUNCTION("""COMPUTED_VALUE"""),"0810")</f>
        <v>0810</v>
      </c>
      <c r="J394" s="115" t="str">
        <f ca="1">IFERROR(__xludf.DUMMYFUNCTION("""COMPUTED_VALUE"""),"217727")</f>
        <v>217727</v>
      </c>
      <c r="K394" s="113" t="e">
        <f ca="1"/>
        <v>#REF!</v>
      </c>
      <c r="L394" s="113" t="e">
        <f ca="1"/>
        <v>#REF!</v>
      </c>
      <c r="M394" s="113" t="e">
        <f ca="1"/>
        <v>#REF!</v>
      </c>
      <c r="N394" s="113" t="e">
        <f ca="1"/>
        <v>#REF!</v>
      </c>
      <c r="O394" s="113" t="e">
        <f ca="1"/>
        <v>#REF!</v>
      </c>
      <c r="P394" s="113" t="e">
        <f ca="1"/>
        <v>#REF!</v>
      </c>
      <c r="Q394" s="113" t="e">
        <f ca="1"/>
        <v>#REF!</v>
      </c>
      <c r="R394" s="113" t="e">
        <f ca="1"/>
        <v>#REF!</v>
      </c>
      <c r="S394" s="113" t="e">
        <f ca="1"/>
        <v>#REF!</v>
      </c>
      <c r="T394" s="113" t="e">
        <f ca="1"/>
        <v>#REF!</v>
      </c>
      <c r="U394" s="113" t="e">
        <f ca="1"/>
        <v>#REF!</v>
      </c>
      <c r="V394" s="113" t="e">
        <f ca="1"/>
        <v>#REF!</v>
      </c>
      <c r="W394" s="113" t="e">
        <f ca="1"/>
        <v>#REF!</v>
      </c>
      <c r="X394" s="113" t="e">
        <f ca="1"/>
        <v>#REF!</v>
      </c>
      <c r="Y394" s="113" t="e">
        <f ca="1"/>
        <v>#REF!</v>
      </c>
      <c r="Z394" s="113" t="e">
        <f ca="1"/>
        <v>#REF!</v>
      </c>
      <c r="AA394" s="113"/>
      <c r="AB394" s="113"/>
      <c r="AC394" s="113"/>
      <c r="AD394" s="113" t="str">
        <f ca="1">IFERROR(__xludf.DUMMYFUNCTION("""COMPUTED_VALUE"""),"E.M. INTEGRADO")</f>
        <v>E.M. INTEGRADO</v>
      </c>
      <c r="AE394" s="113" t="str">
        <f ca="1">IFERROR(__xludf.DUMMYFUNCTION("""COMPUTED_VALUE"""),"Parcial")</f>
        <v>Parcial</v>
      </c>
      <c r="AF394" s="113" t="str">
        <f ca="1">IFERROR(__xludf.DUMMYFUNCTION("""COMPUTED_VALUE"""),"FE")</f>
        <v>FE</v>
      </c>
      <c r="AG394" s="113">
        <f ca="1">IFERROR(__xludf.DUMMYFUNCTION("""COMPUTED_VALUE"""),13)</f>
        <v>13</v>
      </c>
      <c r="AH394" s="113">
        <f ca="1">IFERROR(__xludf.DUMMYFUNCTION("""COMPUTED_VALUE"""),0)</f>
        <v>0</v>
      </c>
      <c r="AI394" s="113">
        <f ca="1">IFERROR(__xludf.DUMMYFUNCTION("""COMPUTED_VALUE"""),0)</f>
        <v>0</v>
      </c>
      <c r="AJ394" s="113">
        <f ca="1">IFERROR(__xludf.DUMMYFUNCTION("""COMPUTED_VALUE"""),6)</f>
        <v>6</v>
      </c>
      <c r="AK394" s="113"/>
      <c r="AL394" s="116"/>
    </row>
    <row r="395" spans="1:38" ht="12.75">
      <c r="A395" s="112" t="str">
        <f ca="1">IFERROR(__xludf.DUMMYFUNCTION("""COMPUTED_VALUE"""),"17093830")</f>
        <v>17093830</v>
      </c>
      <c r="B395" s="113" t="str">
        <f ca="1">IFERROR(__xludf.DUMMYFUNCTION("""COMPUTED_VALUE"""),"Tocantinópolis")</f>
        <v>Tocantinópolis</v>
      </c>
      <c r="C395" s="113" t="str">
        <f ca="1">IFERROR(__xludf.DUMMYFUNCTION("""COMPUTED_VALUE"""),"Angico")</f>
        <v>Angico</v>
      </c>
      <c r="D395" s="114" t="str">
        <f ca="1">IFERROR(__xludf.DUMMYFUNCTION("""COMPUTED_VALUE"""),"ASSOCIAÇÃO DE APOIO DO COL. EST. DULCE COELHO DE SOUSA")</f>
        <v>ASSOCIAÇÃO DE APOIO DO COL. EST. DULCE COELHO DE SOUSA</v>
      </c>
      <c r="E395" s="113" t="str">
        <f ca="1">IFERROR(__xludf.DUMMYFUNCTION("""COMPUTED_VALUE"""),"Colégio Estadual Dulce Coelho de Sousa")</f>
        <v>Colégio Estadual Dulce Coelho de Sousa</v>
      </c>
      <c r="F395" s="115" t="str">
        <f ca="1">IFERROR(__xludf.DUMMYFUNCTION("""COMPUTED_VALUE"""),"17093830")</f>
        <v>17093830</v>
      </c>
      <c r="G395" s="113" t="str">
        <f ca="1">IFERROR(__xludf.DUMMYFUNCTION("""COMPUTED_VALUE"""),"10800992000195")</f>
        <v>10800992000195</v>
      </c>
      <c r="H395" s="115" t="str">
        <f ca="1">IFERROR(__xludf.DUMMYFUNCTION("""COMPUTED_VALUE"""),"001")</f>
        <v>001</v>
      </c>
      <c r="I395" s="115" t="str">
        <f ca="1">IFERROR(__xludf.DUMMYFUNCTION("""COMPUTED_VALUE"""),"3973")</f>
        <v>3973</v>
      </c>
      <c r="J395" s="115" t="str">
        <f ca="1">IFERROR(__xludf.DUMMYFUNCTION("""COMPUTED_VALUE"""),"212792")</f>
        <v>212792</v>
      </c>
      <c r="K395" s="113" t="e">
        <f ca="1"/>
        <v>#REF!</v>
      </c>
      <c r="L395" s="113" t="e">
        <f ca="1"/>
        <v>#REF!</v>
      </c>
      <c r="M395" s="113" t="e">
        <f ca="1"/>
        <v>#REF!</v>
      </c>
      <c r="N395" s="113" t="e">
        <f ca="1"/>
        <v>#REF!</v>
      </c>
      <c r="O395" s="113" t="e">
        <f ca="1"/>
        <v>#REF!</v>
      </c>
      <c r="P395" s="113" t="e">
        <f ca="1"/>
        <v>#REF!</v>
      </c>
      <c r="Q395" s="113" t="e">
        <f ca="1"/>
        <v>#REF!</v>
      </c>
      <c r="R395" s="113" t="e">
        <f ca="1"/>
        <v>#REF!</v>
      </c>
      <c r="S395" s="113" t="e">
        <f ca="1"/>
        <v>#REF!</v>
      </c>
      <c r="T395" s="113" t="e">
        <f ca="1"/>
        <v>#REF!</v>
      </c>
      <c r="U395" s="113" t="e">
        <f ca="1"/>
        <v>#REF!</v>
      </c>
      <c r="V395" s="113" t="e">
        <f ca="1"/>
        <v>#REF!</v>
      </c>
      <c r="W395" s="113" t="e">
        <f ca="1"/>
        <v>#REF!</v>
      </c>
      <c r="X395" s="113" t="e">
        <f ca="1"/>
        <v>#REF!</v>
      </c>
      <c r="Y395" s="113" t="e">
        <f ca="1"/>
        <v>#REF!</v>
      </c>
      <c r="Z395" s="113" t="e">
        <f ca="1"/>
        <v>#REF!</v>
      </c>
      <c r="AA395" s="113"/>
      <c r="AB395" s="113"/>
      <c r="AC395" s="113"/>
      <c r="AD395" s="113"/>
      <c r="AE395" s="113" t="str">
        <f ca="1">IFERROR(__xludf.DUMMYFUNCTION("""COMPUTED_VALUE"""),"Parcial")</f>
        <v>Parcial</v>
      </c>
      <c r="AF395" s="113" t="str">
        <f ca="1">IFERROR(__xludf.DUMMYFUNCTION("""COMPUTED_VALUE"""),"FE")</f>
        <v>FE</v>
      </c>
      <c r="AG395" s="113">
        <f ca="1">IFERROR(__xludf.DUMMYFUNCTION("""COMPUTED_VALUE"""),0)</f>
        <v>0</v>
      </c>
      <c r="AH395" s="113">
        <f ca="1">IFERROR(__xludf.DUMMYFUNCTION("""COMPUTED_VALUE"""),0)</f>
        <v>0</v>
      </c>
      <c r="AI395" s="113">
        <f ca="1">IFERROR(__xludf.DUMMYFUNCTION("""COMPUTED_VALUE"""),0)</f>
        <v>0</v>
      </c>
      <c r="AJ395" s="113">
        <f ca="1">IFERROR(__xludf.DUMMYFUNCTION("""COMPUTED_VALUE"""),0)</f>
        <v>0</v>
      </c>
      <c r="AK395" s="113"/>
      <c r="AL395" s="116"/>
    </row>
    <row r="396" spans="1:38" ht="12.75">
      <c r="A396" s="112" t="str">
        <f ca="1">IFERROR(__xludf.DUMMYFUNCTION("""COMPUTED_VALUE"""),"17001595")</f>
        <v>17001595</v>
      </c>
      <c r="B396" s="113" t="str">
        <f ca="1">IFERROR(__xludf.DUMMYFUNCTION("""COMPUTED_VALUE"""),"Tocantinópolis")</f>
        <v>Tocantinópolis</v>
      </c>
      <c r="C396" s="113" t="str">
        <f ca="1">IFERROR(__xludf.DUMMYFUNCTION("""COMPUTED_VALUE"""),"Cachoeirinha")</f>
        <v>Cachoeirinha</v>
      </c>
      <c r="D396" s="114" t="str">
        <f ca="1">IFERROR(__xludf.DUMMYFUNCTION("""COMPUTED_VALUE"""),"A.A. E. EST. NOVA DA CACHOEIRINHA/RAIMUNDO NONATO TORRES")</f>
        <v>A.A. E. EST. NOVA DA CACHOEIRINHA/RAIMUNDO NONATO TORRES</v>
      </c>
      <c r="E396" s="113" t="str">
        <f ca="1">IFERROR(__xludf.DUMMYFUNCTION("""COMPUTED_VALUE"""),"Escola Estadual Raimundo Nonato Torres")</f>
        <v>Escola Estadual Raimundo Nonato Torres</v>
      </c>
      <c r="F396" s="115" t="str">
        <f ca="1">IFERROR(__xludf.DUMMYFUNCTION("""COMPUTED_VALUE"""),"17001595")</f>
        <v>17001595</v>
      </c>
      <c r="G396" s="113" t="str">
        <f ca="1">IFERROR(__xludf.DUMMYFUNCTION("""COMPUTED_VALUE"""),"01213535000103")</f>
        <v>01213535000103</v>
      </c>
      <c r="H396" s="115" t="str">
        <f ca="1">IFERROR(__xludf.DUMMYFUNCTION("""COMPUTED_VALUE"""),"001")</f>
        <v>001</v>
      </c>
      <c r="I396" s="115" t="str">
        <f ca="1">IFERROR(__xludf.DUMMYFUNCTION("""COMPUTED_VALUE"""),"0810")</f>
        <v>0810</v>
      </c>
      <c r="J396" s="115" t="str">
        <f ca="1">IFERROR(__xludf.DUMMYFUNCTION("""COMPUTED_VALUE"""),"0217689")</f>
        <v>0217689</v>
      </c>
      <c r="K396" s="113" t="e">
        <f ca="1"/>
        <v>#REF!</v>
      </c>
      <c r="L396" s="113" t="e">
        <f ca="1"/>
        <v>#REF!</v>
      </c>
      <c r="M396" s="113" t="e">
        <f ca="1"/>
        <v>#REF!</v>
      </c>
      <c r="N396" s="113" t="e">
        <f ca="1"/>
        <v>#REF!</v>
      </c>
      <c r="O396" s="113" t="e">
        <f ca="1"/>
        <v>#REF!</v>
      </c>
      <c r="P396" s="113" t="e">
        <f ca="1"/>
        <v>#REF!</v>
      </c>
      <c r="Q396" s="113" t="e">
        <f ca="1"/>
        <v>#REF!</v>
      </c>
      <c r="R396" s="113" t="e">
        <f ca="1"/>
        <v>#REF!</v>
      </c>
      <c r="S396" s="113" t="e">
        <f ca="1"/>
        <v>#REF!</v>
      </c>
      <c r="T396" s="113" t="e">
        <f ca="1"/>
        <v>#REF!</v>
      </c>
      <c r="U396" s="113" t="e">
        <f ca="1"/>
        <v>#REF!</v>
      </c>
      <c r="V396" s="113" t="e">
        <f ca="1"/>
        <v>#REF!</v>
      </c>
      <c r="W396" s="113" t="e">
        <f ca="1"/>
        <v>#REF!</v>
      </c>
      <c r="X396" s="113" t="e">
        <f ca="1"/>
        <v>#REF!</v>
      </c>
      <c r="Y396" s="113" t="e">
        <f ca="1"/>
        <v>#REF!</v>
      </c>
      <c r="Z396" s="113" t="e">
        <f ca="1"/>
        <v>#REF!</v>
      </c>
      <c r="AA396" s="113"/>
      <c r="AB396" s="113"/>
      <c r="AC396" s="113"/>
      <c r="AD396" s="113"/>
      <c r="AE396" s="113" t="str">
        <f ca="1">IFERROR(__xludf.DUMMYFUNCTION("""COMPUTED_VALUE"""),"Parcial")</f>
        <v>Parcial</v>
      </c>
      <c r="AF396" s="113" t="str">
        <f ca="1">IFERROR(__xludf.DUMMYFUNCTION("""COMPUTED_VALUE"""),"FE")</f>
        <v>FE</v>
      </c>
      <c r="AG396" s="113">
        <f ca="1">IFERROR(__xludf.DUMMYFUNCTION("""COMPUTED_VALUE"""),0)</f>
        <v>0</v>
      </c>
      <c r="AH396" s="113">
        <f ca="1">IFERROR(__xludf.DUMMYFUNCTION("""COMPUTED_VALUE"""),0)</f>
        <v>0</v>
      </c>
      <c r="AI396" s="113">
        <f ca="1">IFERROR(__xludf.DUMMYFUNCTION("""COMPUTED_VALUE"""),0)</f>
        <v>0</v>
      </c>
      <c r="AJ396" s="113">
        <f ca="1">IFERROR(__xludf.DUMMYFUNCTION("""COMPUTED_VALUE"""),0)</f>
        <v>0</v>
      </c>
      <c r="AK396" s="113"/>
      <c r="AL396" s="116"/>
    </row>
    <row r="397" spans="1:38" ht="12.75">
      <c r="A397" s="112" t="str">
        <f ca="1">IFERROR(__xludf.DUMMYFUNCTION("""COMPUTED_VALUE"""),"17001730")</f>
        <v>17001730</v>
      </c>
      <c r="B397" s="113" t="str">
        <f ca="1">IFERROR(__xludf.DUMMYFUNCTION("""COMPUTED_VALUE"""),"Tocantinópolis")</f>
        <v>Tocantinópolis</v>
      </c>
      <c r="C397" s="113" t="str">
        <f ca="1">IFERROR(__xludf.DUMMYFUNCTION("""COMPUTED_VALUE"""),"darcinopolis")</f>
        <v>darcinopolis</v>
      </c>
      <c r="D397" s="114" t="str">
        <f ca="1">IFERROR(__xludf.DUMMYFUNCTION("""COMPUTED_VALUE"""),"A. APOIO COL. EST. JOSE DE SOUZA PORTO")</f>
        <v>A. APOIO COL. EST. JOSE DE SOUZA PORTO</v>
      </c>
      <c r="E397" s="113" t="str">
        <f ca="1">IFERROR(__xludf.DUMMYFUNCTION("""COMPUTED_VALUE"""),"Colégio Estadual José de Souza Porto")</f>
        <v>Colégio Estadual José de Souza Porto</v>
      </c>
      <c r="F397" s="115" t="str">
        <f ca="1">IFERROR(__xludf.DUMMYFUNCTION("""COMPUTED_VALUE"""),"17001730")</f>
        <v>17001730</v>
      </c>
      <c r="G397" s="113" t="str">
        <f ca="1">IFERROR(__xludf.DUMMYFUNCTION("""COMPUTED_VALUE"""),"01213532000170")</f>
        <v>01213532000170</v>
      </c>
      <c r="H397" s="115" t="str">
        <f ca="1">IFERROR(__xludf.DUMMYFUNCTION("""COMPUTED_VALUE"""),"001")</f>
        <v>001</v>
      </c>
      <c r="I397" s="115" t="str">
        <f ca="1">IFERROR(__xludf.DUMMYFUNCTION("""COMPUTED_VALUE"""),"0810")</f>
        <v>0810</v>
      </c>
      <c r="J397" s="115" t="str">
        <f ca="1">IFERROR(__xludf.DUMMYFUNCTION("""COMPUTED_VALUE"""),"25739")</f>
        <v>25739</v>
      </c>
      <c r="K397" s="113" t="e">
        <f ca="1"/>
        <v>#REF!</v>
      </c>
      <c r="L397" s="113" t="e">
        <f ca="1"/>
        <v>#REF!</v>
      </c>
      <c r="M397" s="113" t="e">
        <f ca="1"/>
        <v>#REF!</v>
      </c>
      <c r="N397" s="113" t="e">
        <f ca="1"/>
        <v>#REF!</v>
      </c>
      <c r="O397" s="113" t="e">
        <f ca="1"/>
        <v>#REF!</v>
      </c>
      <c r="P397" s="113" t="e">
        <f ca="1"/>
        <v>#REF!</v>
      </c>
      <c r="Q397" s="113" t="e">
        <f ca="1"/>
        <v>#REF!</v>
      </c>
      <c r="R397" s="113" t="e">
        <f ca="1"/>
        <v>#REF!</v>
      </c>
      <c r="S397" s="113" t="e">
        <f ca="1"/>
        <v>#REF!</v>
      </c>
      <c r="T397" s="113" t="e">
        <f ca="1"/>
        <v>#REF!</v>
      </c>
      <c r="U397" s="113" t="e">
        <f ca="1"/>
        <v>#REF!</v>
      </c>
      <c r="V397" s="113" t="e">
        <f ca="1"/>
        <v>#REF!</v>
      </c>
      <c r="W397" s="113" t="e">
        <f ca="1"/>
        <v>#REF!</v>
      </c>
      <c r="X397" s="113" t="e">
        <f ca="1"/>
        <v>#REF!</v>
      </c>
      <c r="Y397" s="113" t="e">
        <f ca="1"/>
        <v>#REF!</v>
      </c>
      <c r="Z397" s="113" t="e">
        <f ca="1"/>
        <v>#REF!</v>
      </c>
      <c r="AA397" s="113"/>
      <c r="AB397" s="113"/>
      <c r="AC397" s="113"/>
      <c r="AD397" s="113"/>
      <c r="AE397" s="113" t="str">
        <f ca="1">IFERROR(__xludf.DUMMYFUNCTION("""COMPUTED_VALUE"""),"Parcial")</f>
        <v>Parcial</v>
      </c>
      <c r="AF397" s="113" t="str">
        <f ca="1">IFERROR(__xludf.DUMMYFUNCTION("""COMPUTED_VALUE"""),"FE")</f>
        <v>FE</v>
      </c>
      <c r="AG397" s="113">
        <f ca="1">IFERROR(__xludf.DUMMYFUNCTION("""COMPUTED_VALUE"""),0)</f>
        <v>0</v>
      </c>
      <c r="AH397" s="113">
        <f ca="1">IFERROR(__xludf.DUMMYFUNCTION("""COMPUTED_VALUE"""),0)</f>
        <v>0</v>
      </c>
      <c r="AI397" s="113">
        <f ca="1">IFERROR(__xludf.DUMMYFUNCTION("""COMPUTED_VALUE"""),0)</f>
        <v>0</v>
      </c>
      <c r="AJ397" s="113">
        <f ca="1">IFERROR(__xludf.DUMMYFUNCTION("""COMPUTED_VALUE"""),0)</f>
        <v>0</v>
      </c>
      <c r="AK397" s="113"/>
      <c r="AL397" s="116"/>
    </row>
    <row r="398" spans="1:38" ht="12.75">
      <c r="A398" s="112" t="str">
        <f ca="1">IFERROR(__xludf.DUMMYFUNCTION("""COMPUTED_VALUE"""),"17001943")</f>
        <v>17001943</v>
      </c>
      <c r="B398" s="113" t="str">
        <f ca="1">IFERROR(__xludf.DUMMYFUNCTION("""COMPUTED_VALUE"""),"Tocantinópolis")</f>
        <v>Tocantinópolis</v>
      </c>
      <c r="C398" s="113" t="str">
        <f ca="1">IFERROR(__xludf.DUMMYFUNCTION("""COMPUTED_VALUE"""),"Itaguatins")</f>
        <v>Itaguatins</v>
      </c>
      <c r="D398" s="114" t="str">
        <f ca="1">IFERROR(__xludf.DUMMYFUNCTION("""COMPUTED_VALUE"""),"ASS. DE APOIO ESC. EST. OLAVO BILAC")</f>
        <v>ASS. DE APOIO ESC. EST. OLAVO BILAC</v>
      </c>
      <c r="E398" s="113" t="str">
        <f ca="1">IFERROR(__xludf.DUMMYFUNCTION("""COMPUTED_VALUE"""),"Colegio Estadual Olavo Bilac")</f>
        <v>Colegio Estadual Olavo Bilac</v>
      </c>
      <c r="F398" s="115" t="str">
        <f ca="1">IFERROR(__xludf.DUMMYFUNCTION("""COMPUTED_VALUE"""),"17001943")</f>
        <v>17001943</v>
      </c>
      <c r="G398" s="113" t="str">
        <f ca="1">IFERROR(__xludf.DUMMYFUNCTION("""COMPUTED_VALUE"""),"01358337000138")</f>
        <v>01358337000138</v>
      </c>
      <c r="H398" s="115" t="str">
        <f ca="1">IFERROR(__xludf.DUMMYFUNCTION("""COMPUTED_VALUE"""),"001")</f>
        <v>001</v>
      </c>
      <c r="I398" s="115" t="str">
        <f ca="1">IFERROR(__xludf.DUMMYFUNCTION("""COMPUTED_VALUE"""),"0810")</f>
        <v>0810</v>
      </c>
      <c r="J398" s="115" t="str">
        <f ca="1">IFERROR(__xludf.DUMMYFUNCTION("""COMPUTED_VALUE"""),"218391")</f>
        <v>218391</v>
      </c>
      <c r="K398" s="113" t="e">
        <f ca="1"/>
        <v>#REF!</v>
      </c>
      <c r="L398" s="113" t="e">
        <f ca="1"/>
        <v>#REF!</v>
      </c>
      <c r="M398" s="113" t="e">
        <f ca="1"/>
        <v>#REF!</v>
      </c>
      <c r="N398" s="113" t="e">
        <f ca="1"/>
        <v>#REF!</v>
      </c>
      <c r="O398" s="113" t="e">
        <f ca="1"/>
        <v>#REF!</v>
      </c>
      <c r="P398" s="113" t="e">
        <f ca="1"/>
        <v>#REF!</v>
      </c>
      <c r="Q398" s="113" t="e">
        <f ca="1"/>
        <v>#REF!</v>
      </c>
      <c r="R398" s="113" t="e">
        <f ca="1"/>
        <v>#REF!</v>
      </c>
      <c r="S398" s="113" t="e">
        <f ca="1"/>
        <v>#REF!</v>
      </c>
      <c r="T398" s="113" t="e">
        <f ca="1"/>
        <v>#REF!</v>
      </c>
      <c r="U398" s="113" t="e">
        <f ca="1"/>
        <v>#REF!</v>
      </c>
      <c r="V398" s="113" t="e">
        <f ca="1"/>
        <v>#REF!</v>
      </c>
      <c r="W398" s="113" t="e">
        <f ca="1"/>
        <v>#REF!</v>
      </c>
      <c r="X398" s="113" t="e">
        <f ca="1"/>
        <v>#REF!</v>
      </c>
      <c r="Y398" s="113" t="e">
        <f ca="1"/>
        <v>#REF!</v>
      </c>
      <c r="Z398" s="113" t="e">
        <f ca="1"/>
        <v>#REF!</v>
      </c>
      <c r="AA398" s="113"/>
      <c r="AB398" s="113"/>
      <c r="AC398" s="113"/>
      <c r="AD398" s="113" t="str">
        <f ca="1">IFERROR(__xludf.DUMMYFUNCTION("""COMPUTED_VALUE"""),"E.M. INTEGRADO")</f>
        <v>E.M. INTEGRADO</v>
      </c>
      <c r="AE398" s="113" t="str">
        <f ca="1">IFERROR(__xludf.DUMMYFUNCTION("""COMPUTED_VALUE"""),"Parcial")</f>
        <v>Parcial</v>
      </c>
      <c r="AF398" s="113" t="str">
        <f ca="1">IFERROR(__xludf.DUMMYFUNCTION("""COMPUTED_VALUE"""),"FE")</f>
        <v>FE</v>
      </c>
      <c r="AG398" s="113">
        <f ca="1">IFERROR(__xludf.DUMMYFUNCTION("""COMPUTED_VALUE"""),0)</f>
        <v>0</v>
      </c>
      <c r="AH398" s="113">
        <f ca="1">IFERROR(__xludf.DUMMYFUNCTION("""COMPUTED_VALUE"""),0)</f>
        <v>0</v>
      </c>
      <c r="AI398" s="113">
        <f ca="1">IFERROR(__xludf.DUMMYFUNCTION("""COMPUTED_VALUE"""),0)</f>
        <v>0</v>
      </c>
      <c r="AJ398" s="113">
        <f ca="1">IFERROR(__xludf.DUMMYFUNCTION("""COMPUTED_VALUE"""),0)</f>
        <v>0</v>
      </c>
      <c r="AK398" s="113"/>
      <c r="AL398" s="116"/>
    </row>
    <row r="399" spans="1:38" ht="12.75">
      <c r="A399" s="112" t="str">
        <f ca="1">IFERROR(__xludf.DUMMYFUNCTION("""COMPUTED_VALUE"""),"17004284")</f>
        <v>17004284</v>
      </c>
      <c r="B399" s="113" t="str">
        <f ca="1">IFERROR(__xludf.DUMMYFUNCTION("""COMPUTED_VALUE"""),"Tocantinópolis")</f>
        <v>Tocantinópolis</v>
      </c>
      <c r="C399" s="113" t="str">
        <f ca="1">IFERROR(__xludf.DUMMYFUNCTION("""COMPUTED_VALUE"""),"Luzinopolis")</f>
        <v>Luzinopolis</v>
      </c>
      <c r="D399" s="114" t="str">
        <f ca="1">IFERROR(__xludf.DUMMYFUNCTION("""COMPUTED_VALUE"""),"ASS. AP.A ESC. EST. JUSCELINO K.DE OLIVEIRA")</f>
        <v>ASS. AP.A ESC. EST. JUSCELINO K.DE OLIVEIRA</v>
      </c>
      <c r="E399" s="113" t="str">
        <f ca="1">IFERROR(__xludf.DUMMYFUNCTION("""COMPUTED_VALUE"""),"Colegio Estadual Juscelino Kubitschek de Oliveira")</f>
        <v>Colegio Estadual Juscelino Kubitschek de Oliveira</v>
      </c>
      <c r="F399" s="115" t="str">
        <f ca="1">IFERROR(__xludf.DUMMYFUNCTION("""COMPUTED_VALUE"""),"17004284")</f>
        <v>17004284</v>
      </c>
      <c r="G399" s="113" t="str">
        <f ca="1">IFERROR(__xludf.DUMMYFUNCTION("""COMPUTED_VALUE"""),"01230232000107")</f>
        <v>01230232000107</v>
      </c>
      <c r="H399" s="115" t="str">
        <f ca="1">IFERROR(__xludf.DUMMYFUNCTION("""COMPUTED_VALUE"""),"001")</f>
        <v>001</v>
      </c>
      <c r="I399" s="115" t="str">
        <f ca="1">IFERROR(__xludf.DUMMYFUNCTION("""COMPUTED_VALUE"""),"0810")</f>
        <v>0810</v>
      </c>
      <c r="J399" s="115" t="str">
        <f ca="1">IFERROR(__xludf.DUMMYFUNCTION("""COMPUTED_VALUE"""),"022135X")</f>
        <v>022135X</v>
      </c>
      <c r="K399" s="113" t="e">
        <f ca="1"/>
        <v>#REF!</v>
      </c>
      <c r="L399" s="113" t="e">
        <f ca="1"/>
        <v>#REF!</v>
      </c>
      <c r="M399" s="113" t="e">
        <f ca="1"/>
        <v>#REF!</v>
      </c>
      <c r="N399" s="113" t="e">
        <f ca="1"/>
        <v>#REF!</v>
      </c>
      <c r="O399" s="113" t="e">
        <f ca="1"/>
        <v>#REF!</v>
      </c>
      <c r="P399" s="113" t="e">
        <f ca="1"/>
        <v>#REF!</v>
      </c>
      <c r="Q399" s="113" t="e">
        <f ca="1"/>
        <v>#REF!</v>
      </c>
      <c r="R399" s="113" t="e">
        <f ca="1"/>
        <v>#REF!</v>
      </c>
      <c r="S399" s="113" t="e">
        <f ca="1"/>
        <v>#REF!</v>
      </c>
      <c r="T399" s="113" t="e">
        <f ca="1"/>
        <v>#REF!</v>
      </c>
      <c r="U399" s="113" t="e">
        <f ca="1"/>
        <v>#REF!</v>
      </c>
      <c r="V399" s="113" t="e">
        <f ca="1"/>
        <v>#REF!</v>
      </c>
      <c r="W399" s="113" t="e">
        <f ca="1"/>
        <v>#REF!</v>
      </c>
      <c r="X399" s="113" t="e">
        <f ca="1"/>
        <v>#REF!</v>
      </c>
      <c r="Y399" s="113" t="e">
        <f ca="1"/>
        <v>#REF!</v>
      </c>
      <c r="Z399" s="113" t="e">
        <f ca="1"/>
        <v>#REF!</v>
      </c>
      <c r="AA399" s="113"/>
      <c r="AB399" s="113"/>
      <c r="AC399" s="113"/>
      <c r="AD399" s="113"/>
      <c r="AE399" s="113" t="str">
        <f ca="1">IFERROR(__xludf.DUMMYFUNCTION("""COMPUTED_VALUE"""),"Parcial")</f>
        <v>Parcial</v>
      </c>
      <c r="AF399" s="113" t="str">
        <f ca="1">IFERROR(__xludf.DUMMYFUNCTION("""COMPUTED_VALUE"""),"FE")</f>
        <v>FE</v>
      </c>
      <c r="AG399" s="113">
        <f ca="1">IFERROR(__xludf.DUMMYFUNCTION("""COMPUTED_VALUE"""),0)</f>
        <v>0</v>
      </c>
      <c r="AH399" s="113">
        <f ca="1">IFERROR(__xludf.DUMMYFUNCTION("""COMPUTED_VALUE"""),0)</f>
        <v>0</v>
      </c>
      <c r="AI399" s="113">
        <f ca="1">IFERROR(__xludf.DUMMYFUNCTION("""COMPUTED_VALUE"""),0)</f>
        <v>0</v>
      </c>
      <c r="AJ399" s="113">
        <f ca="1">IFERROR(__xludf.DUMMYFUNCTION("""COMPUTED_VALUE"""),0)</f>
        <v>0</v>
      </c>
      <c r="AK399" s="113"/>
      <c r="AL399" s="116"/>
    </row>
    <row r="400" spans="1:38" ht="12.75">
      <c r="A400" s="112" t="str">
        <f ca="1">IFERROR(__xludf.DUMMYFUNCTION("""COMPUTED_VALUE"""),"17002435")</f>
        <v>17002435</v>
      </c>
      <c r="B400" s="113" t="str">
        <f ca="1">IFERROR(__xludf.DUMMYFUNCTION("""COMPUTED_VALUE"""),"Tocantinópolis")</f>
        <v>Tocantinópolis</v>
      </c>
      <c r="C400" s="113" t="str">
        <f ca="1">IFERROR(__xludf.DUMMYFUNCTION("""COMPUTED_VALUE"""),"Maurilandia do Tocantins")</f>
        <v>Maurilandia do Tocantins</v>
      </c>
      <c r="D400" s="114" t="str">
        <f ca="1">IFERROR(__xludf.DUMMYFUNCTION("""COMPUTED_VALUE"""),"A.A.  DA ESC. EST.PEDRO LUDOVICO TEIXEIRA")</f>
        <v>A.A.  DA ESC. EST.PEDRO LUDOVICO TEIXEIRA</v>
      </c>
      <c r="E400" s="113" t="str">
        <f ca="1">IFERROR(__xludf.DUMMYFUNCTION("""COMPUTED_VALUE"""),"Escola Estadual Pedro Ludovico Teixeira")</f>
        <v>Escola Estadual Pedro Ludovico Teixeira</v>
      </c>
      <c r="F400" s="115" t="str">
        <f ca="1">IFERROR(__xludf.DUMMYFUNCTION("""COMPUTED_VALUE"""),"17002435")</f>
        <v>17002435</v>
      </c>
      <c r="G400" s="113" t="str">
        <f ca="1">IFERROR(__xludf.DUMMYFUNCTION("""COMPUTED_VALUE"""),"01213528000101")</f>
        <v>01213528000101</v>
      </c>
      <c r="H400" s="115" t="str">
        <f ca="1">IFERROR(__xludf.DUMMYFUNCTION("""COMPUTED_VALUE"""),"001")</f>
        <v>001</v>
      </c>
      <c r="I400" s="115" t="str">
        <f ca="1">IFERROR(__xludf.DUMMYFUNCTION("""COMPUTED_VALUE"""),"0810")</f>
        <v>0810</v>
      </c>
      <c r="J400" s="115" t="str">
        <f ca="1">IFERROR(__xludf.DUMMYFUNCTION("""COMPUTED_VALUE"""),"0217670")</f>
        <v>0217670</v>
      </c>
      <c r="K400" s="113" t="e">
        <f ca="1"/>
        <v>#REF!</v>
      </c>
      <c r="L400" s="113" t="e">
        <f ca="1"/>
        <v>#REF!</v>
      </c>
      <c r="M400" s="113" t="e">
        <f ca="1"/>
        <v>#REF!</v>
      </c>
      <c r="N400" s="113" t="e">
        <f ca="1"/>
        <v>#REF!</v>
      </c>
      <c r="O400" s="113" t="e">
        <f ca="1"/>
        <v>#REF!</v>
      </c>
      <c r="P400" s="113" t="e">
        <f ca="1"/>
        <v>#REF!</v>
      </c>
      <c r="Q400" s="113" t="e">
        <f ca="1"/>
        <v>#REF!</v>
      </c>
      <c r="R400" s="113" t="e">
        <f ca="1"/>
        <v>#REF!</v>
      </c>
      <c r="S400" s="113" t="e">
        <f ca="1"/>
        <v>#REF!</v>
      </c>
      <c r="T400" s="113" t="e">
        <f ca="1"/>
        <v>#REF!</v>
      </c>
      <c r="U400" s="113" t="e">
        <f ca="1"/>
        <v>#REF!</v>
      </c>
      <c r="V400" s="113" t="e">
        <f ca="1"/>
        <v>#REF!</v>
      </c>
      <c r="W400" s="113" t="e">
        <f ca="1"/>
        <v>#REF!</v>
      </c>
      <c r="X400" s="113" t="e">
        <f ca="1"/>
        <v>#REF!</v>
      </c>
      <c r="Y400" s="113" t="e">
        <f ca="1"/>
        <v>#REF!</v>
      </c>
      <c r="Z400" s="113" t="e">
        <f ca="1"/>
        <v>#REF!</v>
      </c>
      <c r="AA400" s="113"/>
      <c r="AB400" s="113"/>
      <c r="AC400" s="113"/>
      <c r="AD400" s="113"/>
      <c r="AE400" s="113" t="str">
        <f ca="1">IFERROR(__xludf.DUMMYFUNCTION("""COMPUTED_VALUE"""),"Parcial")</f>
        <v>Parcial</v>
      </c>
      <c r="AF400" s="113" t="str">
        <f ca="1">IFERROR(__xludf.DUMMYFUNCTION("""COMPUTED_VALUE"""),"FE")</f>
        <v>FE</v>
      </c>
      <c r="AG400" s="113">
        <f ca="1">IFERROR(__xludf.DUMMYFUNCTION("""COMPUTED_VALUE"""),0)</f>
        <v>0</v>
      </c>
      <c r="AH400" s="113">
        <f ca="1">IFERROR(__xludf.DUMMYFUNCTION("""COMPUTED_VALUE"""),0)</f>
        <v>0</v>
      </c>
      <c r="AI400" s="113">
        <f ca="1">IFERROR(__xludf.DUMMYFUNCTION("""COMPUTED_VALUE"""),0)</f>
        <v>0</v>
      </c>
      <c r="AJ400" s="113">
        <f ca="1">IFERROR(__xludf.DUMMYFUNCTION("""COMPUTED_VALUE"""),0)</f>
        <v>0</v>
      </c>
      <c r="AK400" s="113"/>
      <c r="AL400" s="116"/>
    </row>
    <row r="401" spans="1:38" ht="12.75">
      <c r="A401" s="112" t="str">
        <f ca="1">IFERROR(__xludf.DUMMYFUNCTION("""COMPUTED_VALUE"""),"17002737")</f>
        <v>17002737</v>
      </c>
      <c r="B401" s="113" t="str">
        <f ca="1">IFERROR(__xludf.DUMMYFUNCTION("""COMPUTED_VALUE"""),"Tocantinópolis")</f>
        <v>Tocantinópolis</v>
      </c>
      <c r="C401" s="113" t="str">
        <f ca="1">IFERROR(__xludf.DUMMYFUNCTION("""COMPUTED_VALUE"""),"Nazare")</f>
        <v>Nazare</v>
      </c>
      <c r="D401" s="114" t="str">
        <f ca="1">IFERROR(__xludf.DUMMYFUNCTION("""COMPUTED_VALUE"""),"A.DO COLEGIO EST.PRES.CASTELO BRANCO")</f>
        <v>A.DO COLEGIO EST.PRES.CASTELO BRANCO</v>
      </c>
      <c r="E401" s="113" t="str">
        <f ca="1">IFERROR(__xludf.DUMMYFUNCTION("""COMPUTED_VALUE"""),"Colégio Estadual Presidente Castelo Branco - Nazare")</f>
        <v>Colégio Estadual Presidente Castelo Branco - Nazare</v>
      </c>
      <c r="F401" s="115" t="str">
        <f ca="1">IFERROR(__xludf.DUMMYFUNCTION("""COMPUTED_VALUE"""),"17002737")</f>
        <v>17002737</v>
      </c>
      <c r="G401" s="113" t="str">
        <f ca="1">IFERROR(__xludf.DUMMYFUNCTION("""COMPUTED_VALUE"""),"01213522000134")</f>
        <v>01213522000134</v>
      </c>
      <c r="H401" s="115" t="str">
        <f ca="1">IFERROR(__xludf.DUMMYFUNCTION("""COMPUTED_VALUE"""),"001")</f>
        <v>001</v>
      </c>
      <c r="I401" s="115" t="str">
        <f ca="1">IFERROR(__xludf.DUMMYFUNCTION("""COMPUTED_VALUE"""),"0810")</f>
        <v>0810</v>
      </c>
      <c r="J401" s="115" t="str">
        <f ca="1">IFERROR(__xludf.DUMMYFUNCTION("""COMPUTED_VALUE"""),"217859")</f>
        <v>217859</v>
      </c>
      <c r="K401" s="113" t="e">
        <f ca="1"/>
        <v>#REF!</v>
      </c>
      <c r="L401" s="113" t="e">
        <f ca="1"/>
        <v>#REF!</v>
      </c>
      <c r="M401" s="113" t="e">
        <f ca="1"/>
        <v>#REF!</v>
      </c>
      <c r="N401" s="113" t="e">
        <f ca="1"/>
        <v>#REF!</v>
      </c>
      <c r="O401" s="113" t="e">
        <f ca="1"/>
        <v>#REF!</v>
      </c>
      <c r="P401" s="113" t="e">
        <f ca="1"/>
        <v>#REF!</v>
      </c>
      <c r="Q401" s="113" t="e">
        <f ca="1"/>
        <v>#REF!</v>
      </c>
      <c r="R401" s="113" t="e">
        <f ca="1"/>
        <v>#REF!</v>
      </c>
      <c r="S401" s="113" t="e">
        <f ca="1"/>
        <v>#REF!</v>
      </c>
      <c r="T401" s="113" t="e">
        <f ca="1"/>
        <v>#REF!</v>
      </c>
      <c r="U401" s="113" t="e">
        <f ca="1"/>
        <v>#REF!</v>
      </c>
      <c r="V401" s="113" t="e">
        <f ca="1"/>
        <v>#REF!</v>
      </c>
      <c r="W401" s="113" t="e">
        <f ca="1"/>
        <v>#REF!</v>
      </c>
      <c r="X401" s="113" t="e">
        <f ca="1"/>
        <v>#REF!</v>
      </c>
      <c r="Y401" s="113" t="e">
        <f ca="1"/>
        <v>#REF!</v>
      </c>
      <c r="Z401" s="113" t="e">
        <f ca="1"/>
        <v>#REF!</v>
      </c>
      <c r="AA401" s="113"/>
      <c r="AB401" s="113"/>
      <c r="AC401" s="113"/>
      <c r="AD401" s="113"/>
      <c r="AE401" s="113" t="str">
        <f ca="1">IFERROR(__xludf.DUMMYFUNCTION("""COMPUTED_VALUE"""),"Parcial")</f>
        <v>Parcial</v>
      </c>
      <c r="AF401" s="113" t="str">
        <f ca="1">IFERROR(__xludf.DUMMYFUNCTION("""COMPUTED_VALUE"""),"FE")</f>
        <v>FE</v>
      </c>
      <c r="AG401" s="113">
        <f ca="1">IFERROR(__xludf.DUMMYFUNCTION("""COMPUTED_VALUE"""),0)</f>
        <v>0</v>
      </c>
      <c r="AH401" s="113">
        <f ca="1">IFERROR(__xludf.DUMMYFUNCTION("""COMPUTED_VALUE"""),0)</f>
        <v>0</v>
      </c>
      <c r="AI401" s="113">
        <f ca="1">IFERROR(__xludf.DUMMYFUNCTION("""COMPUTED_VALUE"""),0)</f>
        <v>0</v>
      </c>
      <c r="AJ401" s="113">
        <f ca="1">IFERROR(__xludf.DUMMYFUNCTION("""COMPUTED_VALUE"""),0)</f>
        <v>0</v>
      </c>
      <c r="AK401" s="113"/>
      <c r="AL401" s="116"/>
    </row>
    <row r="402" spans="1:38" ht="12.75">
      <c r="A402" s="112" t="str">
        <f ca="1">IFERROR(__xludf.DUMMYFUNCTION("""COMPUTED_VALUE"""),"17052491")</f>
        <v>17052491</v>
      </c>
      <c r="B402" s="113" t="str">
        <f ca="1">IFERROR(__xludf.DUMMYFUNCTION("""COMPUTED_VALUE"""),"Tocantinópolis")</f>
        <v>Tocantinópolis</v>
      </c>
      <c r="C402" s="113" t="str">
        <f ca="1">IFERROR(__xludf.DUMMYFUNCTION("""COMPUTED_VALUE"""),"Nazare")</f>
        <v>Nazare</v>
      </c>
      <c r="D402" s="114" t="str">
        <f ca="1">IFERROR(__xludf.DUMMYFUNCTION("""COMPUTED_VALUE"""),"ASSOC. DE APOIO A ESC. EST.ESPECIAL BEM VIVER")</f>
        <v>ASSOC. DE APOIO A ESC. EST.ESPECIAL BEM VIVER</v>
      </c>
      <c r="E402" s="113" t="str">
        <f ca="1">IFERROR(__xludf.DUMMYFUNCTION("""COMPUTED_VALUE"""),"Escola Especial Bem Viver")</f>
        <v>Escola Especial Bem Viver</v>
      </c>
      <c r="F402" s="115" t="str">
        <f ca="1">IFERROR(__xludf.DUMMYFUNCTION("""COMPUTED_VALUE"""),"17052491")</f>
        <v>17052491</v>
      </c>
      <c r="G402" s="113" t="str">
        <f ca="1">IFERROR(__xludf.DUMMYFUNCTION("""COMPUTED_VALUE"""),"10520927000106")</f>
        <v>10520927000106</v>
      </c>
      <c r="H402" s="115" t="str">
        <f ca="1">IFERROR(__xludf.DUMMYFUNCTION("""COMPUTED_VALUE"""),"001")</f>
        <v>001</v>
      </c>
      <c r="I402" s="115" t="str">
        <f ca="1">IFERROR(__xludf.DUMMYFUNCTION("""COMPUTED_VALUE"""),"0810")</f>
        <v>0810</v>
      </c>
      <c r="J402" s="115" t="str">
        <f ca="1">IFERROR(__xludf.DUMMYFUNCTION("""COMPUTED_VALUE"""),"200336")</f>
        <v>200336</v>
      </c>
      <c r="K402" s="113" t="e">
        <f ca="1"/>
        <v>#REF!</v>
      </c>
      <c r="L402" s="113" t="e">
        <f ca="1"/>
        <v>#REF!</v>
      </c>
      <c r="M402" s="113" t="e">
        <f ca="1"/>
        <v>#REF!</v>
      </c>
      <c r="N402" s="113" t="e">
        <f ca="1"/>
        <v>#REF!</v>
      </c>
      <c r="O402" s="113" t="e">
        <f ca="1"/>
        <v>#REF!</v>
      </c>
      <c r="P402" s="113" t="e">
        <f ca="1"/>
        <v>#REF!</v>
      </c>
      <c r="Q402" s="113" t="e">
        <f ca="1"/>
        <v>#REF!</v>
      </c>
      <c r="R402" s="113" t="e">
        <f ca="1"/>
        <v>#REF!</v>
      </c>
      <c r="S402" s="113" t="e">
        <f ca="1"/>
        <v>#REF!</v>
      </c>
      <c r="T402" s="113" t="e">
        <f ca="1"/>
        <v>#REF!</v>
      </c>
      <c r="U402" s="113" t="e">
        <f ca="1"/>
        <v>#REF!</v>
      </c>
      <c r="V402" s="113" t="e">
        <f ca="1"/>
        <v>#REF!</v>
      </c>
      <c r="W402" s="113" t="e">
        <f ca="1"/>
        <v>#REF!</v>
      </c>
      <c r="X402" s="113" t="e">
        <f ca="1"/>
        <v>#REF!</v>
      </c>
      <c r="Y402" s="113" t="e">
        <f ca="1"/>
        <v>#REF!</v>
      </c>
      <c r="Z402" s="113" t="e">
        <f ca="1"/>
        <v>#REF!</v>
      </c>
      <c r="AA402" s="113"/>
      <c r="AB402" s="113"/>
      <c r="AC402" s="113"/>
      <c r="AD402" s="113"/>
      <c r="AE402" s="113" t="str">
        <f ca="1">IFERROR(__xludf.DUMMYFUNCTION("""COMPUTED_VALUE"""),"Parcial")</f>
        <v>Parcial</v>
      </c>
      <c r="AF402" s="113" t="str">
        <f ca="1">IFERROR(__xludf.DUMMYFUNCTION("""COMPUTED_VALUE"""),"FE")</f>
        <v>FE</v>
      </c>
      <c r="AG402" s="113">
        <f ca="1">IFERROR(__xludf.DUMMYFUNCTION("""COMPUTED_VALUE"""),0)</f>
        <v>0</v>
      </c>
      <c r="AH402" s="113">
        <f ca="1">IFERROR(__xludf.DUMMYFUNCTION("""COMPUTED_VALUE"""),0)</f>
        <v>0</v>
      </c>
      <c r="AI402" s="113">
        <f ca="1">IFERROR(__xludf.DUMMYFUNCTION("""COMPUTED_VALUE"""),0)</f>
        <v>0</v>
      </c>
      <c r="AJ402" s="113">
        <f ca="1">IFERROR(__xludf.DUMMYFUNCTION("""COMPUTED_VALUE"""),0)</f>
        <v>0</v>
      </c>
      <c r="AK402" s="113"/>
      <c r="AL402" s="116"/>
    </row>
    <row r="403" spans="1:38" ht="12.75">
      <c r="A403" s="112" t="str">
        <f ca="1">IFERROR(__xludf.DUMMYFUNCTION("""COMPUTED_VALUE"""),"17002745")</f>
        <v>17002745</v>
      </c>
      <c r="B403" s="113" t="str">
        <f ca="1">IFERROR(__xludf.DUMMYFUNCTION("""COMPUTED_VALUE"""),"Tocantinópolis")</f>
        <v>Tocantinópolis</v>
      </c>
      <c r="C403" s="113" t="str">
        <f ca="1">IFERROR(__xludf.DUMMYFUNCTION("""COMPUTED_VALUE"""),"Nazare")</f>
        <v>Nazare</v>
      </c>
      <c r="D403" s="114" t="str">
        <f ca="1">IFERROR(__xludf.DUMMYFUNCTION("""COMPUTED_VALUE"""),"A.A. ESC. EST. DOM CORNELIO CHIZZINI")</f>
        <v>A.A. ESC. EST. DOM CORNELIO CHIZZINI</v>
      </c>
      <c r="E403" s="113" t="str">
        <f ca="1">IFERROR(__xludf.DUMMYFUNCTION("""COMPUTED_VALUE"""),"Escola Estadual dom Cornélio Chizzini")</f>
        <v>Escola Estadual dom Cornélio Chizzini</v>
      </c>
      <c r="F403" s="115" t="str">
        <f ca="1">IFERROR(__xludf.DUMMYFUNCTION("""COMPUTED_VALUE"""),"17002745")</f>
        <v>17002745</v>
      </c>
      <c r="G403" s="113" t="str">
        <f ca="1">IFERROR(__xludf.DUMMYFUNCTION("""COMPUTED_VALUE"""),"01230233000143")</f>
        <v>01230233000143</v>
      </c>
      <c r="H403" s="115" t="str">
        <f ca="1">IFERROR(__xludf.DUMMYFUNCTION("""COMPUTED_VALUE"""),"001")</f>
        <v>001</v>
      </c>
      <c r="I403" s="115" t="str">
        <f ca="1">IFERROR(__xludf.DUMMYFUNCTION("""COMPUTED_VALUE"""),"0810")</f>
        <v>0810</v>
      </c>
      <c r="J403" s="115" t="str">
        <f ca="1">IFERROR(__xludf.DUMMYFUNCTION("""COMPUTED_VALUE"""),"21776X")</f>
        <v>21776X</v>
      </c>
      <c r="K403" s="113" t="e">
        <f ca="1"/>
        <v>#REF!</v>
      </c>
      <c r="L403" s="113" t="e">
        <f ca="1"/>
        <v>#REF!</v>
      </c>
      <c r="M403" s="113" t="e">
        <f ca="1"/>
        <v>#REF!</v>
      </c>
      <c r="N403" s="113" t="e">
        <f ca="1"/>
        <v>#REF!</v>
      </c>
      <c r="O403" s="113" t="e">
        <f ca="1"/>
        <v>#REF!</v>
      </c>
      <c r="P403" s="113" t="e">
        <f ca="1"/>
        <v>#REF!</v>
      </c>
      <c r="Q403" s="113" t="e">
        <f ca="1"/>
        <v>#REF!</v>
      </c>
      <c r="R403" s="113" t="e">
        <f ca="1"/>
        <v>#REF!</v>
      </c>
      <c r="S403" s="113" t="e">
        <f ca="1"/>
        <v>#REF!</v>
      </c>
      <c r="T403" s="113" t="e">
        <f ca="1"/>
        <v>#REF!</v>
      </c>
      <c r="U403" s="113" t="e">
        <f ca="1"/>
        <v>#REF!</v>
      </c>
      <c r="V403" s="113" t="e">
        <f ca="1"/>
        <v>#REF!</v>
      </c>
      <c r="W403" s="113" t="e">
        <f ca="1"/>
        <v>#REF!</v>
      </c>
      <c r="X403" s="113" t="e">
        <f ca="1"/>
        <v>#REF!</v>
      </c>
      <c r="Y403" s="113" t="e">
        <f ca="1"/>
        <v>#REF!</v>
      </c>
      <c r="Z403" s="113" t="e">
        <f ca="1"/>
        <v>#REF!</v>
      </c>
      <c r="AA403" s="113"/>
      <c r="AB403" s="113"/>
      <c r="AC403" s="113"/>
      <c r="AD403" s="113"/>
      <c r="AE403" s="113" t="str">
        <f ca="1">IFERROR(__xludf.DUMMYFUNCTION("""COMPUTED_VALUE"""),"Parcial")</f>
        <v>Parcial</v>
      </c>
      <c r="AF403" s="113" t="str">
        <f ca="1">IFERROR(__xludf.DUMMYFUNCTION("""COMPUTED_VALUE"""),"FE")</f>
        <v>FE</v>
      </c>
      <c r="AG403" s="113">
        <f ca="1">IFERROR(__xludf.DUMMYFUNCTION("""COMPUTED_VALUE"""),0)</f>
        <v>0</v>
      </c>
      <c r="AH403" s="113">
        <f ca="1">IFERROR(__xludf.DUMMYFUNCTION("""COMPUTED_VALUE"""),0)</f>
        <v>0</v>
      </c>
      <c r="AI403" s="113">
        <f ca="1">IFERROR(__xludf.DUMMYFUNCTION("""COMPUTED_VALUE"""),0)</f>
        <v>0</v>
      </c>
      <c r="AJ403" s="113">
        <f ca="1">IFERROR(__xludf.DUMMYFUNCTION("""COMPUTED_VALUE"""),0)</f>
        <v>0</v>
      </c>
      <c r="AK403" s="113"/>
      <c r="AL403" s="116"/>
    </row>
    <row r="404" spans="1:38" ht="12.75">
      <c r="A404" s="112" t="str">
        <f ca="1">IFERROR(__xludf.DUMMYFUNCTION("""COMPUTED_VALUE"""),"17002770")</f>
        <v>17002770</v>
      </c>
      <c r="B404" s="113" t="str">
        <f ca="1">IFERROR(__xludf.DUMMYFUNCTION("""COMPUTED_VALUE"""),"Tocantinópolis")</f>
        <v>Tocantinópolis</v>
      </c>
      <c r="C404" s="113" t="str">
        <f ca="1">IFERROR(__xludf.DUMMYFUNCTION("""COMPUTED_VALUE"""),"Nazare")</f>
        <v>Nazare</v>
      </c>
      <c r="D404" s="114" t="str">
        <f ca="1">IFERROR(__xludf.DUMMYFUNCTION("""COMPUTED_VALUE"""),"A.A.  DA ESCOLA ESTADUAL PIACAVA")</f>
        <v>A.A.  DA ESCOLA ESTADUAL PIACAVA</v>
      </c>
      <c r="E404" s="113" t="str">
        <f ca="1">IFERROR(__xludf.DUMMYFUNCTION("""COMPUTED_VALUE"""),"Escola Estadual Piaçava")</f>
        <v>Escola Estadual Piaçava</v>
      </c>
      <c r="F404" s="115" t="str">
        <f ca="1">IFERROR(__xludf.DUMMYFUNCTION("""COMPUTED_VALUE"""),"17002770")</f>
        <v>17002770</v>
      </c>
      <c r="G404" s="113" t="str">
        <f ca="1">IFERROR(__xludf.DUMMYFUNCTION("""COMPUTED_VALUE"""),"01230239000110")</f>
        <v>01230239000110</v>
      </c>
      <c r="H404" s="115" t="str">
        <f ca="1">IFERROR(__xludf.DUMMYFUNCTION("""COMPUTED_VALUE"""),"001")</f>
        <v>001</v>
      </c>
      <c r="I404" s="115" t="str">
        <f ca="1">IFERROR(__xludf.DUMMYFUNCTION("""COMPUTED_VALUE"""),"0810")</f>
        <v>0810</v>
      </c>
      <c r="J404" s="115" t="str">
        <f ca="1">IFERROR(__xludf.DUMMYFUNCTION("""COMPUTED_VALUE"""),"217883")</f>
        <v>217883</v>
      </c>
      <c r="K404" s="113" t="e">
        <f ca="1"/>
        <v>#REF!</v>
      </c>
      <c r="L404" s="113" t="e">
        <f ca="1"/>
        <v>#REF!</v>
      </c>
      <c r="M404" s="113" t="e">
        <f ca="1"/>
        <v>#REF!</v>
      </c>
      <c r="N404" s="113" t="e">
        <f ca="1"/>
        <v>#REF!</v>
      </c>
      <c r="O404" s="113" t="e">
        <f ca="1"/>
        <v>#REF!</v>
      </c>
      <c r="P404" s="113" t="e">
        <f ca="1"/>
        <v>#REF!</v>
      </c>
      <c r="Q404" s="113" t="e">
        <f ca="1"/>
        <v>#REF!</v>
      </c>
      <c r="R404" s="113" t="e">
        <f ca="1"/>
        <v>#REF!</v>
      </c>
      <c r="S404" s="113" t="e">
        <f ca="1"/>
        <v>#REF!</v>
      </c>
      <c r="T404" s="113" t="e">
        <f ca="1"/>
        <v>#REF!</v>
      </c>
      <c r="U404" s="113" t="e">
        <f ca="1"/>
        <v>#REF!</v>
      </c>
      <c r="V404" s="113" t="e">
        <f ca="1"/>
        <v>#REF!</v>
      </c>
      <c r="W404" s="113" t="e">
        <f ca="1"/>
        <v>#REF!</v>
      </c>
      <c r="X404" s="113" t="e">
        <f ca="1"/>
        <v>#REF!</v>
      </c>
      <c r="Y404" s="113" t="e">
        <f ca="1"/>
        <v>#REF!</v>
      </c>
      <c r="Z404" s="113" t="e">
        <f ca="1"/>
        <v>#REF!</v>
      </c>
      <c r="AA404" s="113"/>
      <c r="AB404" s="113"/>
      <c r="AC404" s="113"/>
      <c r="AD404" s="113" t="str">
        <f ca="1">IFERROR(__xludf.DUMMYFUNCTION("""COMPUTED_VALUE"""),"CRECHE")</f>
        <v>CRECHE</v>
      </c>
      <c r="AE404" s="113" t="str">
        <f ca="1">IFERROR(__xludf.DUMMYFUNCTION("""COMPUTED_VALUE"""),"Parcial")</f>
        <v>Parcial</v>
      </c>
      <c r="AF404" s="113" t="str">
        <f ca="1">IFERROR(__xludf.DUMMYFUNCTION("""COMPUTED_VALUE"""),"FE")</f>
        <v>FE</v>
      </c>
      <c r="AG404" s="113">
        <f ca="1">IFERROR(__xludf.DUMMYFUNCTION("""COMPUTED_VALUE"""),0)</f>
        <v>0</v>
      </c>
      <c r="AH404" s="113">
        <f ca="1">IFERROR(__xludf.DUMMYFUNCTION("""COMPUTED_VALUE"""),0)</f>
        <v>0</v>
      </c>
      <c r="AI404" s="113">
        <f ca="1">IFERROR(__xludf.DUMMYFUNCTION("""COMPUTED_VALUE"""),0)</f>
        <v>0</v>
      </c>
      <c r="AJ404" s="113">
        <f ca="1">IFERROR(__xludf.DUMMYFUNCTION("""COMPUTED_VALUE"""),0)</f>
        <v>0</v>
      </c>
      <c r="AK404" s="113"/>
      <c r="AL404" s="116"/>
    </row>
    <row r="405" spans="1:38" ht="12.75">
      <c r="A405" s="112" t="str">
        <f ca="1">IFERROR(__xludf.DUMMYFUNCTION("""COMPUTED_VALUE"""),"17002648")</f>
        <v>17002648</v>
      </c>
      <c r="B405" s="113" t="str">
        <f ca="1">IFERROR(__xludf.DUMMYFUNCTION("""COMPUTED_VALUE"""),"Tocantinópolis")</f>
        <v>Tocantinópolis</v>
      </c>
      <c r="C405" s="113" t="str">
        <f ca="1">IFERROR(__xludf.DUMMYFUNCTION("""COMPUTED_VALUE"""),"Palmeiras do Tocantins")</f>
        <v>Palmeiras do Tocantins</v>
      </c>
      <c r="D405" s="114" t="str">
        <f ca="1">IFERROR(__xludf.DUMMYFUNCTION("""COMPUTED_VALUE"""),"A.A. ESC. EST. RAIMUNDO NEIVA DE CARVALHO")</f>
        <v>A.A. ESC. EST. RAIMUNDO NEIVA DE CARVALHO</v>
      </c>
      <c r="E405" s="113" t="str">
        <f ca="1">IFERROR(__xludf.DUMMYFUNCTION("""COMPUTED_VALUE"""),"Colégio Estadual Raimundo Neiva de Carvalho")</f>
        <v>Colégio Estadual Raimundo Neiva de Carvalho</v>
      </c>
      <c r="F405" s="115" t="str">
        <f ca="1">IFERROR(__xludf.DUMMYFUNCTION("""COMPUTED_VALUE"""),"17002648")</f>
        <v>17002648</v>
      </c>
      <c r="G405" s="113" t="str">
        <f ca="1">IFERROR(__xludf.DUMMYFUNCTION("""COMPUTED_VALUE"""),"01213533000114")</f>
        <v>01213533000114</v>
      </c>
      <c r="H405" s="115" t="str">
        <f ca="1">IFERROR(__xludf.DUMMYFUNCTION("""COMPUTED_VALUE"""),"001")</f>
        <v>001</v>
      </c>
      <c r="I405" s="115" t="str">
        <f ca="1">IFERROR(__xludf.DUMMYFUNCTION("""COMPUTED_VALUE"""),"0810")</f>
        <v>0810</v>
      </c>
      <c r="J405" s="115" t="str">
        <f ca="1">IFERROR(__xludf.DUMMYFUNCTION("""COMPUTED_VALUE"""),"0027529")</f>
        <v>0027529</v>
      </c>
      <c r="K405" s="113" t="e">
        <f ca="1"/>
        <v>#REF!</v>
      </c>
      <c r="L405" s="113" t="e">
        <f ca="1"/>
        <v>#REF!</v>
      </c>
      <c r="M405" s="113" t="e">
        <f ca="1"/>
        <v>#REF!</v>
      </c>
      <c r="N405" s="113" t="e">
        <f ca="1"/>
        <v>#REF!</v>
      </c>
      <c r="O405" s="113" t="e">
        <f ca="1"/>
        <v>#REF!</v>
      </c>
      <c r="P405" s="113" t="e">
        <f ca="1"/>
        <v>#REF!</v>
      </c>
      <c r="Q405" s="113" t="e">
        <f ca="1"/>
        <v>#REF!</v>
      </c>
      <c r="R405" s="113" t="e">
        <f ca="1"/>
        <v>#REF!</v>
      </c>
      <c r="S405" s="113" t="e">
        <f ca="1"/>
        <v>#REF!</v>
      </c>
      <c r="T405" s="113" t="e">
        <f ca="1"/>
        <v>#REF!</v>
      </c>
      <c r="U405" s="113" t="e">
        <f ca="1"/>
        <v>#REF!</v>
      </c>
      <c r="V405" s="113" t="e">
        <f ca="1"/>
        <v>#REF!</v>
      </c>
      <c r="W405" s="113" t="e">
        <f ca="1"/>
        <v>#REF!</v>
      </c>
      <c r="X405" s="113" t="e">
        <f ca="1"/>
        <v>#REF!</v>
      </c>
      <c r="Y405" s="113" t="e">
        <f ca="1"/>
        <v>#REF!</v>
      </c>
      <c r="Z405" s="113" t="e">
        <f ca="1"/>
        <v>#REF!</v>
      </c>
      <c r="AA405" s="113"/>
      <c r="AB405" s="113"/>
      <c r="AC405" s="113"/>
      <c r="AD405" s="113"/>
      <c r="AE405" s="113" t="str">
        <f ca="1">IFERROR(__xludf.DUMMYFUNCTION("""COMPUTED_VALUE"""),"Parcial")</f>
        <v>Parcial</v>
      </c>
      <c r="AF405" s="113" t="str">
        <f ca="1">IFERROR(__xludf.DUMMYFUNCTION("""COMPUTED_VALUE"""),"FE")</f>
        <v>FE</v>
      </c>
      <c r="AG405" s="113">
        <f ca="1">IFERROR(__xludf.DUMMYFUNCTION("""COMPUTED_VALUE"""),0)</f>
        <v>0</v>
      </c>
      <c r="AH405" s="113">
        <f ca="1">IFERROR(__xludf.DUMMYFUNCTION("""COMPUTED_VALUE"""),0)</f>
        <v>0</v>
      </c>
      <c r="AI405" s="113">
        <f ca="1">IFERROR(__xludf.DUMMYFUNCTION("""COMPUTED_VALUE"""),0)</f>
        <v>0</v>
      </c>
      <c r="AJ405" s="113">
        <f ca="1">IFERROR(__xludf.DUMMYFUNCTION("""COMPUTED_VALUE"""),0)</f>
        <v>0</v>
      </c>
      <c r="AK405" s="113"/>
      <c r="AL405" s="116"/>
    </row>
    <row r="406" spans="1:38" ht="12.75">
      <c r="A406" s="112" t="str">
        <f ca="1">IFERROR(__xludf.DUMMYFUNCTION("""COMPUTED_VALUE"""),"17045584")</f>
        <v>17045584</v>
      </c>
      <c r="B406" s="113" t="str">
        <f ca="1">IFERROR(__xludf.DUMMYFUNCTION("""COMPUTED_VALUE"""),"Tocantinópolis")</f>
        <v>Tocantinópolis</v>
      </c>
      <c r="C406" s="113" t="str">
        <f ca="1">IFERROR(__xludf.DUMMYFUNCTION("""COMPUTED_VALUE"""),"Palmeiras do Tocantins")</f>
        <v>Palmeiras do Tocantins</v>
      </c>
      <c r="D406" s="114" t="str">
        <f ca="1">IFERROR(__xludf.DUMMYFUNCTION("""COMPUTED_VALUE"""),"A. DE APOIO DA E. E. PE. CESARE LELLI")</f>
        <v>A. DE APOIO DA E. E. PE. CESARE LELLI</v>
      </c>
      <c r="E406" s="113" t="str">
        <f ca="1">IFERROR(__xludf.DUMMYFUNCTION("""COMPUTED_VALUE"""),"Escola Estadual Padre Césare Lelli")</f>
        <v>Escola Estadual Padre Césare Lelli</v>
      </c>
      <c r="F406" s="115" t="str">
        <f ca="1">IFERROR(__xludf.DUMMYFUNCTION("""COMPUTED_VALUE"""),"17045584")</f>
        <v>17045584</v>
      </c>
      <c r="G406" s="113" t="str">
        <f ca="1">IFERROR(__xludf.DUMMYFUNCTION("""COMPUTED_VALUE"""),"03778873000118")</f>
        <v>03778873000118</v>
      </c>
      <c r="H406" s="115" t="str">
        <f ca="1">IFERROR(__xludf.DUMMYFUNCTION("""COMPUTED_VALUE"""),"001")</f>
        <v>001</v>
      </c>
      <c r="I406" s="115" t="str">
        <f ca="1">IFERROR(__xludf.DUMMYFUNCTION("""COMPUTED_VALUE"""),"0810")</f>
        <v>0810</v>
      </c>
      <c r="J406" s="115" t="str">
        <f ca="1">IFERROR(__xludf.DUMMYFUNCTION("""COMPUTED_VALUE"""),"82007")</f>
        <v>82007</v>
      </c>
      <c r="K406" s="113" t="e">
        <f ca="1"/>
        <v>#REF!</v>
      </c>
      <c r="L406" s="113" t="e">
        <f ca="1"/>
        <v>#REF!</v>
      </c>
      <c r="M406" s="113" t="e">
        <f ca="1"/>
        <v>#REF!</v>
      </c>
      <c r="N406" s="113" t="e">
        <f ca="1"/>
        <v>#REF!</v>
      </c>
      <c r="O406" s="113" t="e">
        <f ca="1"/>
        <v>#REF!</v>
      </c>
      <c r="P406" s="113" t="e">
        <f ca="1"/>
        <v>#REF!</v>
      </c>
      <c r="Q406" s="113" t="e">
        <f ca="1"/>
        <v>#REF!</v>
      </c>
      <c r="R406" s="113" t="e">
        <f ca="1"/>
        <v>#REF!</v>
      </c>
      <c r="S406" s="113" t="e">
        <f ca="1"/>
        <v>#REF!</v>
      </c>
      <c r="T406" s="113" t="e">
        <f ca="1"/>
        <v>#REF!</v>
      </c>
      <c r="U406" s="113" t="e">
        <f ca="1"/>
        <v>#REF!</v>
      </c>
      <c r="V406" s="113" t="e">
        <f ca="1"/>
        <v>#REF!</v>
      </c>
      <c r="W406" s="113" t="e">
        <f ca="1"/>
        <v>#REF!</v>
      </c>
      <c r="X406" s="113" t="e">
        <f ca="1"/>
        <v>#REF!</v>
      </c>
      <c r="Y406" s="113" t="e">
        <f ca="1"/>
        <v>#REF!</v>
      </c>
      <c r="Z406" s="113" t="e">
        <f ca="1"/>
        <v>#REF!</v>
      </c>
      <c r="AA406" s="113"/>
      <c r="AB406" s="113"/>
      <c r="AC406" s="113"/>
      <c r="AD406" s="113"/>
      <c r="AE406" s="113" t="str">
        <f ca="1">IFERROR(__xludf.DUMMYFUNCTION("""COMPUTED_VALUE"""),"Parcial")</f>
        <v>Parcial</v>
      </c>
      <c r="AF406" s="113" t="str">
        <f ca="1">IFERROR(__xludf.DUMMYFUNCTION("""COMPUTED_VALUE"""),"FE")</f>
        <v>FE</v>
      </c>
      <c r="AG406" s="113">
        <f ca="1">IFERROR(__xludf.DUMMYFUNCTION("""COMPUTED_VALUE"""),0)</f>
        <v>0</v>
      </c>
      <c r="AH406" s="113">
        <f ca="1">IFERROR(__xludf.DUMMYFUNCTION("""COMPUTED_VALUE"""),0)</f>
        <v>0</v>
      </c>
      <c r="AI406" s="113">
        <f ca="1">IFERROR(__xludf.DUMMYFUNCTION("""COMPUTED_VALUE"""),0)</f>
        <v>0</v>
      </c>
      <c r="AJ406" s="113">
        <f ca="1">IFERROR(__xludf.DUMMYFUNCTION("""COMPUTED_VALUE"""),0)</f>
        <v>0</v>
      </c>
      <c r="AK406" s="113"/>
      <c r="AL406" s="116"/>
    </row>
    <row r="407" spans="1:38" ht="12.75">
      <c r="A407" s="112" t="str">
        <f ca="1">IFERROR(__xludf.DUMMYFUNCTION("""COMPUTED_VALUE"""),"17002753")</f>
        <v>17002753</v>
      </c>
      <c r="B407" s="113" t="str">
        <f ca="1">IFERROR(__xludf.DUMMYFUNCTION("""COMPUTED_VALUE"""),"Tocantinópolis")</f>
        <v>Tocantinópolis</v>
      </c>
      <c r="C407" s="113" t="str">
        <f ca="1">IFERROR(__xludf.DUMMYFUNCTION("""COMPUTED_VALUE"""),"Santa Terezinha do Tocantins")</f>
        <v>Santa Terezinha do Tocantins</v>
      </c>
      <c r="D407" s="114" t="str">
        <f ca="1">IFERROR(__xludf.DUMMYFUNCTION("""COMPUTED_VALUE"""),"ASS. A. ESC. EST. DR JOSE FELICIANO FERREIRA")</f>
        <v>ASS. A. ESC. EST. DR JOSE FELICIANO FERREIRA</v>
      </c>
      <c r="E407" s="113" t="str">
        <f ca="1">IFERROR(__xludf.DUMMYFUNCTION("""COMPUTED_VALUE"""),"Colégio Estadual Dr José Feliciano Ferreira")</f>
        <v>Colégio Estadual Dr José Feliciano Ferreira</v>
      </c>
      <c r="F407" s="115" t="str">
        <f ca="1">IFERROR(__xludf.DUMMYFUNCTION("""COMPUTED_VALUE"""),"17002753")</f>
        <v>17002753</v>
      </c>
      <c r="G407" s="113" t="str">
        <f ca="1">IFERROR(__xludf.DUMMYFUNCTION("""COMPUTED_VALUE"""),"01077441000154")</f>
        <v>01077441000154</v>
      </c>
      <c r="H407" s="115" t="str">
        <f ca="1">IFERROR(__xludf.DUMMYFUNCTION("""COMPUTED_VALUE"""),"001")</f>
        <v>001</v>
      </c>
      <c r="I407" s="115" t="str">
        <f ca="1">IFERROR(__xludf.DUMMYFUNCTION("""COMPUTED_VALUE"""),"0810")</f>
        <v>0810</v>
      </c>
      <c r="J407" s="115" t="str">
        <f ca="1">IFERROR(__xludf.DUMMYFUNCTION("""COMPUTED_VALUE"""),"0026085")</f>
        <v>0026085</v>
      </c>
      <c r="K407" s="113" t="e">
        <f ca="1"/>
        <v>#REF!</v>
      </c>
      <c r="L407" s="113" t="e">
        <f ca="1"/>
        <v>#REF!</v>
      </c>
      <c r="M407" s="113" t="e">
        <f ca="1"/>
        <v>#REF!</v>
      </c>
      <c r="N407" s="113" t="e">
        <f ca="1"/>
        <v>#REF!</v>
      </c>
      <c r="O407" s="113" t="e">
        <f ca="1"/>
        <v>#REF!</v>
      </c>
      <c r="P407" s="113" t="e">
        <f ca="1"/>
        <v>#REF!</v>
      </c>
      <c r="Q407" s="113" t="e">
        <f ca="1"/>
        <v>#REF!</v>
      </c>
      <c r="R407" s="113" t="e">
        <f ca="1"/>
        <v>#REF!</v>
      </c>
      <c r="S407" s="113" t="e">
        <f ca="1"/>
        <v>#REF!</v>
      </c>
      <c r="T407" s="113" t="e">
        <f ca="1"/>
        <v>#REF!</v>
      </c>
      <c r="U407" s="113" t="e">
        <f ca="1"/>
        <v>#REF!</v>
      </c>
      <c r="V407" s="113" t="e">
        <f ca="1"/>
        <v>#REF!</v>
      </c>
      <c r="W407" s="113" t="e">
        <f ca="1"/>
        <v>#REF!</v>
      </c>
      <c r="X407" s="113" t="e">
        <f ca="1"/>
        <v>#REF!</v>
      </c>
      <c r="Y407" s="113" t="e">
        <f ca="1"/>
        <v>#REF!</v>
      </c>
      <c r="Z407" s="113" t="e">
        <f ca="1"/>
        <v>#REF!</v>
      </c>
      <c r="AA407" s="113"/>
      <c r="AB407" s="113"/>
      <c r="AC407" s="113"/>
      <c r="AD407" s="113"/>
      <c r="AE407" s="113" t="str">
        <f ca="1">IFERROR(__xludf.DUMMYFUNCTION("""COMPUTED_VALUE"""),"Parcial")</f>
        <v>Parcial</v>
      </c>
      <c r="AF407" s="113" t="str">
        <f ca="1">IFERROR(__xludf.DUMMYFUNCTION("""COMPUTED_VALUE"""),"FE")</f>
        <v>FE</v>
      </c>
      <c r="AG407" s="113">
        <f ca="1">IFERROR(__xludf.DUMMYFUNCTION("""COMPUTED_VALUE"""),0)</f>
        <v>0</v>
      </c>
      <c r="AH407" s="113">
        <f ca="1">IFERROR(__xludf.DUMMYFUNCTION("""COMPUTED_VALUE"""),0)</f>
        <v>0</v>
      </c>
      <c r="AI407" s="113">
        <f ca="1">IFERROR(__xludf.DUMMYFUNCTION("""COMPUTED_VALUE"""),0)</f>
        <v>0</v>
      </c>
      <c r="AJ407" s="113">
        <f ca="1">IFERROR(__xludf.DUMMYFUNCTION("""COMPUTED_VALUE"""),0)</f>
        <v>0</v>
      </c>
      <c r="AK407" s="113"/>
      <c r="AL407" s="116"/>
    </row>
    <row r="408" spans="1:38" ht="12.75">
      <c r="A408" s="112" t="str">
        <f ca="1">IFERROR(__xludf.DUMMYFUNCTION("""COMPUTED_VALUE"""),"17054346")</f>
        <v>17054346</v>
      </c>
      <c r="B408" s="113" t="str">
        <f ca="1">IFERROR(__xludf.DUMMYFUNCTION("""COMPUTED_VALUE"""),"Tocantinópolis")</f>
        <v>Tocantinópolis</v>
      </c>
      <c r="C408" s="113" t="str">
        <f ca="1">IFERROR(__xludf.DUMMYFUNCTION("""COMPUTED_VALUE"""),"Tocantinopolis")</f>
        <v>Tocantinopolis</v>
      </c>
      <c r="D408" s="114" t="str">
        <f ca="1">IFERROR(__xludf.DUMMYFUNCTION("""COMPUTED_VALUE"""),"A.A ESC. EST.INDIGENAS NRE TOCANTINOPOLIS")</f>
        <v>A.A ESC. EST.INDIGENAS NRE TOCANTINOPOLIS</v>
      </c>
      <c r="E408" s="113" t="str">
        <f ca="1">IFERROR(__xludf.DUMMYFUNCTION("""COMPUTED_VALUE"""),"A.A Esc. Est.Indigenas Nre Tocantinopolis")</f>
        <v>A.A Esc. Est.Indigenas Nre Tocantinopolis</v>
      </c>
      <c r="F408" s="115" t="str">
        <f ca="1">IFERROR(__xludf.DUMMYFUNCTION("""COMPUTED_VALUE"""),"17054346")</f>
        <v>17054346</v>
      </c>
      <c r="G408" s="113" t="str">
        <f ca="1">IFERROR(__xludf.DUMMYFUNCTION("""COMPUTED_VALUE"""),"06171083000168")</f>
        <v>06171083000168</v>
      </c>
      <c r="H408" s="115" t="str">
        <f ca="1">IFERROR(__xludf.DUMMYFUNCTION("""COMPUTED_VALUE"""),"001")</f>
        <v>001</v>
      </c>
      <c r="I408" s="115" t="str">
        <f ca="1">IFERROR(__xludf.DUMMYFUNCTION("""COMPUTED_VALUE"""),"0810")</f>
        <v>0810</v>
      </c>
      <c r="J408" s="115" t="str">
        <f ca="1">IFERROR(__xludf.DUMMYFUNCTION("""COMPUTED_VALUE"""),"140538")</f>
        <v>140538</v>
      </c>
      <c r="K408" s="113" t="e">
        <f ca="1"/>
        <v>#REF!</v>
      </c>
      <c r="L408" s="113" t="e">
        <f ca="1"/>
        <v>#REF!</v>
      </c>
      <c r="M408" s="113" t="e">
        <f ca="1"/>
        <v>#REF!</v>
      </c>
      <c r="N408" s="113" t="e">
        <f ca="1"/>
        <v>#REF!</v>
      </c>
      <c r="O408" s="113" t="e">
        <f ca="1"/>
        <v>#REF!</v>
      </c>
      <c r="P408" s="113" t="e">
        <f ca="1"/>
        <v>#REF!</v>
      </c>
      <c r="Q408" s="113" t="e">
        <f ca="1"/>
        <v>#REF!</v>
      </c>
      <c r="R408" s="113" t="e">
        <f ca="1"/>
        <v>#REF!</v>
      </c>
      <c r="S408" s="113" t="e">
        <f ca="1"/>
        <v>#REF!</v>
      </c>
      <c r="T408" s="113" t="e">
        <f ca="1"/>
        <v>#REF!</v>
      </c>
      <c r="U408" s="113" t="e">
        <f ca="1"/>
        <v>#REF!</v>
      </c>
      <c r="V408" s="113" t="e">
        <f ca="1"/>
        <v>#REF!</v>
      </c>
      <c r="W408" s="113" t="e">
        <f ca="1"/>
        <v>#REF!</v>
      </c>
      <c r="X408" s="113" t="e">
        <f ca="1"/>
        <v>#REF!</v>
      </c>
      <c r="Y408" s="113" t="e">
        <f ca="1"/>
        <v>#REF!</v>
      </c>
      <c r="Z408" s="113" t="e">
        <f ca="1"/>
        <v>#REF!</v>
      </c>
      <c r="AA408" s="113"/>
      <c r="AB408" s="113"/>
      <c r="AC408" s="113"/>
      <c r="AD408" s="113"/>
      <c r="AE408" s="113" t="str">
        <f ca="1">IFERROR(__xludf.DUMMYFUNCTION("""COMPUTED_VALUE"""),"Parcial")</f>
        <v>Parcial</v>
      </c>
      <c r="AF408" s="113" t="str">
        <f ca="1">IFERROR(__xludf.DUMMYFUNCTION("""COMPUTED_VALUE"""),"FE")</f>
        <v>FE</v>
      </c>
      <c r="AG408" s="113">
        <f ca="1">IFERROR(__xludf.DUMMYFUNCTION("""COMPUTED_VALUE"""),0)</f>
        <v>0</v>
      </c>
      <c r="AH408" s="113">
        <f ca="1">IFERROR(__xludf.DUMMYFUNCTION("""COMPUTED_VALUE"""),0)</f>
        <v>0</v>
      </c>
      <c r="AI408" s="113">
        <f ca="1">IFERROR(__xludf.DUMMYFUNCTION("""COMPUTED_VALUE"""),0)</f>
        <v>0</v>
      </c>
      <c r="AJ408" s="113">
        <f ca="1">IFERROR(__xludf.DUMMYFUNCTION("""COMPUTED_VALUE"""),0)</f>
        <v>0</v>
      </c>
      <c r="AK408" s="113"/>
      <c r="AL408" s="116"/>
    </row>
    <row r="409" spans="1:38" ht="12.75">
      <c r="A409" s="112" t="str">
        <f ca="1">IFERROR(__xludf.DUMMYFUNCTION("""COMPUTED_VALUE"""),"17004829")</f>
        <v>17004829</v>
      </c>
      <c r="B409" s="113" t="str">
        <f ca="1">IFERROR(__xludf.DUMMYFUNCTION("""COMPUTED_VALUE"""),"Tocantinópolis")</f>
        <v>Tocantinópolis</v>
      </c>
      <c r="C409" s="113" t="str">
        <f ca="1">IFERROR(__xludf.DUMMYFUNCTION("""COMPUTED_VALUE"""),"Tocantinopolis")</f>
        <v>Tocantinopolis</v>
      </c>
      <c r="D409" s="114" t="str">
        <f ca="1">IFERROR(__xludf.DUMMYFUNCTION("""COMPUTED_VALUE"""),"A.A. AS ESC. EST.INDIGENAS MATYK E APORO")</f>
        <v>A.A. AS ESC. EST.INDIGENAS MATYK E APORO</v>
      </c>
      <c r="E409" s="113" t="str">
        <f ca="1">IFERROR(__xludf.DUMMYFUNCTION("""COMPUTED_VALUE"""),"A.A. As Esc.Est.Indigenas Matyk E Aporo")</f>
        <v>A.A. As Esc.Est.Indigenas Matyk E Aporo</v>
      </c>
      <c r="F409" s="115" t="str">
        <f ca="1">IFERROR(__xludf.DUMMYFUNCTION("""COMPUTED_VALUE"""),"17004829")</f>
        <v>17004829</v>
      </c>
      <c r="G409" s="113" t="str">
        <f ca="1">IFERROR(__xludf.DUMMYFUNCTION("""COMPUTED_VALUE"""),"03544096000147")</f>
        <v>03544096000147</v>
      </c>
      <c r="H409" s="115" t="str">
        <f ca="1">IFERROR(__xludf.DUMMYFUNCTION("""COMPUTED_VALUE"""),"001")</f>
        <v>001</v>
      </c>
      <c r="I409" s="115" t="str">
        <f ca="1">IFERROR(__xludf.DUMMYFUNCTION("""COMPUTED_VALUE"""),"0810")</f>
        <v>0810</v>
      </c>
      <c r="J409" s="115" t="str">
        <f ca="1">IFERROR(__xludf.DUMMYFUNCTION("""COMPUTED_VALUE"""),"67423")</f>
        <v>67423</v>
      </c>
      <c r="K409" s="113" t="e">
        <f ca="1"/>
        <v>#REF!</v>
      </c>
      <c r="L409" s="113" t="e">
        <f ca="1"/>
        <v>#REF!</v>
      </c>
      <c r="M409" s="113" t="e">
        <f ca="1"/>
        <v>#REF!</v>
      </c>
      <c r="N409" s="113" t="e">
        <f ca="1"/>
        <v>#REF!</v>
      </c>
      <c r="O409" s="113" t="e">
        <f ca="1"/>
        <v>#REF!</v>
      </c>
      <c r="P409" s="113" t="e">
        <f ca="1"/>
        <v>#REF!</v>
      </c>
      <c r="Q409" s="113" t="e">
        <f ca="1"/>
        <v>#REF!</v>
      </c>
      <c r="R409" s="113" t="e">
        <f ca="1"/>
        <v>#REF!</v>
      </c>
      <c r="S409" s="113" t="e">
        <f ca="1"/>
        <v>#REF!</v>
      </c>
      <c r="T409" s="113" t="e">
        <f ca="1"/>
        <v>#REF!</v>
      </c>
      <c r="U409" s="113" t="e">
        <f ca="1"/>
        <v>#REF!</v>
      </c>
      <c r="V409" s="113" t="e">
        <f ca="1"/>
        <v>#REF!</v>
      </c>
      <c r="W409" s="113" t="e">
        <f ca="1"/>
        <v>#REF!</v>
      </c>
      <c r="X409" s="113" t="e">
        <f ca="1"/>
        <v>#REF!</v>
      </c>
      <c r="Y409" s="113" t="e">
        <f ca="1"/>
        <v>#REF!</v>
      </c>
      <c r="Z409" s="113" t="e">
        <f ca="1"/>
        <v>#REF!</v>
      </c>
      <c r="AA409" s="113"/>
      <c r="AB409" s="113"/>
      <c r="AC409" s="113"/>
      <c r="AD409" s="113"/>
      <c r="AE409" s="113" t="str">
        <f ca="1">IFERROR(__xludf.DUMMYFUNCTION("""COMPUTED_VALUE"""),"Parcial")</f>
        <v>Parcial</v>
      </c>
      <c r="AF409" s="113" t="str">
        <f ca="1">IFERROR(__xludf.DUMMYFUNCTION("""COMPUTED_VALUE"""),"FE")</f>
        <v>FE</v>
      </c>
      <c r="AG409" s="113">
        <f ca="1">IFERROR(__xludf.DUMMYFUNCTION("""COMPUTED_VALUE"""),0)</f>
        <v>0</v>
      </c>
      <c r="AH409" s="113">
        <f ca="1">IFERROR(__xludf.DUMMYFUNCTION("""COMPUTED_VALUE"""),0)</f>
        <v>0</v>
      </c>
      <c r="AI409" s="113">
        <f ca="1">IFERROR(__xludf.DUMMYFUNCTION("""COMPUTED_VALUE"""),0)</f>
        <v>0</v>
      </c>
      <c r="AJ409" s="113">
        <f ca="1">IFERROR(__xludf.DUMMYFUNCTION("""COMPUTED_VALUE"""),0)</f>
        <v>0</v>
      </c>
      <c r="AK409" s="113"/>
      <c r="AL409" s="116"/>
    </row>
    <row r="410" spans="1:38" ht="12.75">
      <c r="A410" s="112" t="str">
        <f ca="1">IFERROR(__xludf.DUMMYFUNCTION("""COMPUTED_VALUE"""),"17004217")</f>
        <v>17004217</v>
      </c>
      <c r="B410" s="113" t="str">
        <f ca="1">IFERROR(__xludf.DUMMYFUNCTION("""COMPUTED_VALUE"""),"Tocantinópolis")</f>
        <v>Tocantinópolis</v>
      </c>
      <c r="C410" s="113" t="str">
        <f ca="1">IFERROR(__xludf.DUMMYFUNCTION("""COMPUTED_VALUE"""),"Tocantinopolis")</f>
        <v>Tocantinopolis</v>
      </c>
      <c r="D410" s="114" t="str">
        <f ca="1">IFERROR(__xludf.DUMMYFUNCTION("""COMPUTED_VALUE"""),"ASSOC.PAIS E MESTRES COL. EST. DEP.DARCY MARINHO")</f>
        <v>ASSOC.PAIS E MESTRES COL. EST. DEP.DARCY MARINHO</v>
      </c>
      <c r="E410" s="113" t="str">
        <f ca="1">IFERROR(__xludf.DUMMYFUNCTION("""COMPUTED_VALUE"""),"Centro de Ensino Medio Girassol de Tempo Integral darcy Marinho")</f>
        <v>Centro de Ensino Medio Girassol de Tempo Integral darcy Marinho</v>
      </c>
      <c r="F410" s="115" t="str">
        <f ca="1">IFERROR(__xludf.DUMMYFUNCTION("""COMPUTED_VALUE"""),"17004217")</f>
        <v>17004217</v>
      </c>
      <c r="G410" s="113" t="str">
        <f ca="1">IFERROR(__xludf.DUMMYFUNCTION("""COMPUTED_VALUE"""),"01230236000187")</f>
        <v>01230236000187</v>
      </c>
      <c r="H410" s="115" t="str">
        <f ca="1">IFERROR(__xludf.DUMMYFUNCTION("""COMPUTED_VALUE"""),"001")</f>
        <v>001</v>
      </c>
      <c r="I410" s="115" t="str">
        <f ca="1">IFERROR(__xludf.DUMMYFUNCTION("""COMPUTED_VALUE"""),"0810")</f>
        <v>0810</v>
      </c>
      <c r="J410" s="115" t="str">
        <f ca="1">IFERROR(__xludf.DUMMYFUNCTION("""COMPUTED_VALUE"""),"297410")</f>
        <v>297410</v>
      </c>
      <c r="K410" s="113" t="e">
        <f ca="1"/>
        <v>#REF!</v>
      </c>
      <c r="L410" s="113" t="e">
        <f ca="1"/>
        <v>#REF!</v>
      </c>
      <c r="M410" s="113" t="e">
        <f ca="1"/>
        <v>#REF!</v>
      </c>
      <c r="N410" s="113" t="e">
        <f ca="1"/>
        <v>#REF!</v>
      </c>
      <c r="O410" s="113" t="e">
        <f ca="1"/>
        <v>#REF!</v>
      </c>
      <c r="P410" s="113" t="e">
        <f ca="1"/>
        <v>#REF!</v>
      </c>
      <c r="Q410" s="113" t="e">
        <f ca="1"/>
        <v>#REF!</v>
      </c>
      <c r="R410" s="113" t="e">
        <f ca="1"/>
        <v>#REF!</v>
      </c>
      <c r="S410" s="113" t="e">
        <f ca="1"/>
        <v>#REF!</v>
      </c>
      <c r="T410" s="113" t="e">
        <f ca="1"/>
        <v>#REF!</v>
      </c>
      <c r="U410" s="113" t="e">
        <f ca="1"/>
        <v>#REF!</v>
      </c>
      <c r="V410" s="113" t="e">
        <f ca="1"/>
        <v>#REF!</v>
      </c>
      <c r="W410" s="113" t="e">
        <f ca="1"/>
        <v>#REF!</v>
      </c>
      <c r="X410" s="113" t="e">
        <f ca="1"/>
        <v>#REF!</v>
      </c>
      <c r="Y410" s="113" t="e">
        <f ca="1"/>
        <v>#REF!</v>
      </c>
      <c r="Z410" s="113" t="e">
        <f ca="1"/>
        <v>#REF!</v>
      </c>
      <c r="AA410" s="113"/>
      <c r="AB410" s="113"/>
      <c r="AC410" s="113"/>
      <c r="AD410" s="113"/>
      <c r="AE410" s="113" t="str">
        <f ca="1">IFERROR(__xludf.DUMMYFUNCTION("""COMPUTED_VALUE"""),"Integral")</f>
        <v>Integral</v>
      </c>
      <c r="AF410" s="113" t="str">
        <f ca="1">IFERROR(__xludf.DUMMYFUNCTION("""COMPUTED_VALUE"""),"FE")</f>
        <v>FE</v>
      </c>
      <c r="AG410" s="113">
        <f ca="1">IFERROR(__xludf.DUMMYFUNCTION("""COMPUTED_VALUE"""),12)</f>
        <v>12</v>
      </c>
      <c r="AH410" s="113">
        <f ca="1">IFERROR(__xludf.DUMMYFUNCTION("""COMPUTED_VALUE"""),0)</f>
        <v>0</v>
      </c>
      <c r="AI410" s="113">
        <f ca="1">IFERROR(__xludf.DUMMYFUNCTION("""COMPUTED_VALUE"""),0)</f>
        <v>0</v>
      </c>
      <c r="AJ410" s="113">
        <f ca="1">IFERROR(__xludf.DUMMYFUNCTION("""COMPUTED_VALUE"""),0)</f>
        <v>0</v>
      </c>
      <c r="AK410" s="113"/>
      <c r="AL410" s="116"/>
    </row>
    <row r="411" spans="1:38" ht="12.75">
      <c r="A411" s="112" t="str">
        <f ca="1">IFERROR(__xludf.DUMMYFUNCTION("""COMPUTED_VALUE"""),"17004209")</f>
        <v>17004209</v>
      </c>
      <c r="B411" s="113" t="str">
        <f ca="1">IFERROR(__xludf.DUMMYFUNCTION("""COMPUTED_VALUE"""),"Tocantinópolis")</f>
        <v>Tocantinópolis</v>
      </c>
      <c r="C411" s="113" t="str">
        <f ca="1">IFERROR(__xludf.DUMMYFUNCTION("""COMPUTED_VALUE"""),"Tocantinopolis")</f>
        <v>Tocantinopolis</v>
      </c>
      <c r="D411" s="114" t="str">
        <f ca="1">IFERROR(__xludf.DUMMYFUNCTION("""COMPUTED_VALUE"""),"ASSOC. APOIO AO COLÉGIODOM ORIONE")</f>
        <v>ASSOC. APOIO AO COLÉGIODOM ORIONE</v>
      </c>
      <c r="E411" s="113" t="str">
        <f ca="1">IFERROR(__xludf.DUMMYFUNCTION("""COMPUTED_VALUE"""),"Colégio dom Orione")</f>
        <v>Colégio dom Orione</v>
      </c>
      <c r="F411" s="115" t="str">
        <f ca="1">IFERROR(__xludf.DUMMYFUNCTION("""COMPUTED_VALUE"""),"17004209")</f>
        <v>17004209</v>
      </c>
      <c r="G411" s="113" t="str">
        <f ca="1">IFERROR(__xludf.DUMMYFUNCTION("""COMPUTED_VALUE"""),"13033002000129")</f>
        <v>13033002000129</v>
      </c>
      <c r="H411" s="115" t="str">
        <f ca="1">IFERROR(__xludf.DUMMYFUNCTION("""COMPUTED_VALUE"""),"001")</f>
        <v>001</v>
      </c>
      <c r="I411" s="115" t="str">
        <f ca="1">IFERROR(__xludf.DUMMYFUNCTION("""COMPUTED_VALUE"""),"0810")</f>
        <v>0810</v>
      </c>
      <c r="J411" s="115" t="str">
        <f ca="1">IFERROR(__xludf.DUMMYFUNCTION("""COMPUTED_VALUE"""),"254193")</f>
        <v>254193</v>
      </c>
      <c r="K411" s="113" t="e">
        <f ca="1"/>
        <v>#REF!</v>
      </c>
      <c r="L411" s="113" t="e">
        <f ca="1"/>
        <v>#REF!</v>
      </c>
      <c r="M411" s="113" t="e">
        <f ca="1"/>
        <v>#REF!</v>
      </c>
      <c r="N411" s="113" t="e">
        <f ca="1"/>
        <v>#REF!</v>
      </c>
      <c r="O411" s="113" t="e">
        <f ca="1"/>
        <v>#REF!</v>
      </c>
      <c r="P411" s="113" t="e">
        <f ca="1"/>
        <v>#REF!</v>
      </c>
      <c r="Q411" s="113" t="e">
        <f ca="1"/>
        <v>#REF!</v>
      </c>
      <c r="R411" s="113" t="e">
        <f ca="1"/>
        <v>#REF!</v>
      </c>
      <c r="S411" s="113" t="e">
        <f ca="1"/>
        <v>#REF!</v>
      </c>
      <c r="T411" s="113" t="e">
        <f ca="1"/>
        <v>#REF!</v>
      </c>
      <c r="U411" s="113" t="e">
        <f ca="1"/>
        <v>#REF!</v>
      </c>
      <c r="V411" s="113" t="e">
        <f ca="1"/>
        <v>#REF!</v>
      </c>
      <c r="W411" s="113" t="e">
        <f ca="1"/>
        <v>#REF!</v>
      </c>
      <c r="X411" s="113" t="e">
        <f ca="1"/>
        <v>#REF!</v>
      </c>
      <c r="Y411" s="113" t="e">
        <f ca="1"/>
        <v>#REF!</v>
      </c>
      <c r="Z411" s="113" t="e">
        <f ca="1"/>
        <v>#REF!</v>
      </c>
      <c r="AA411" s="113"/>
      <c r="AB411" s="113"/>
      <c r="AC411" s="113"/>
      <c r="AD411" s="113" t="str">
        <f ca="1">IFERROR(__xludf.DUMMYFUNCTION("""COMPUTED_VALUE"""),"INDIGENA /QUILOMBOLA PARCIAL")</f>
        <v>INDIGENA /QUILOMBOLA PARCIAL</v>
      </c>
      <c r="AE411" s="113" t="str">
        <f ca="1">IFERROR(__xludf.DUMMYFUNCTION("""COMPUTED_VALUE"""),"Parcial")</f>
        <v>Parcial</v>
      </c>
      <c r="AF411" s="113" t="str">
        <f ca="1">IFERROR(__xludf.DUMMYFUNCTION("""COMPUTED_VALUE"""),"FE")</f>
        <v>FE</v>
      </c>
      <c r="AG411" s="113">
        <f ca="1">IFERROR(__xludf.DUMMYFUNCTION("""COMPUTED_VALUE"""),0)</f>
        <v>0</v>
      </c>
      <c r="AH411" s="113">
        <f ca="1">IFERROR(__xludf.DUMMYFUNCTION("""COMPUTED_VALUE"""),0)</f>
        <v>0</v>
      </c>
      <c r="AI411" s="113">
        <f ca="1">IFERROR(__xludf.DUMMYFUNCTION("""COMPUTED_VALUE"""),0)</f>
        <v>0</v>
      </c>
      <c r="AJ411" s="113">
        <f ca="1">IFERROR(__xludf.DUMMYFUNCTION("""COMPUTED_VALUE"""),0)</f>
        <v>0</v>
      </c>
      <c r="AK411" s="113"/>
      <c r="AL411" s="116"/>
    </row>
    <row r="412" spans="1:38" ht="12.75">
      <c r="A412" s="112" t="str">
        <f ca="1">IFERROR(__xludf.DUMMYFUNCTION("""COMPUTED_VALUE"""),"17047790")</f>
        <v>17047790</v>
      </c>
      <c r="B412" s="113" t="str">
        <f ca="1">IFERROR(__xludf.DUMMYFUNCTION("""COMPUTED_VALUE"""),"Tocantinópolis")</f>
        <v>Tocantinópolis</v>
      </c>
      <c r="C412" s="113" t="str">
        <f ca="1">IFERROR(__xludf.DUMMYFUNCTION("""COMPUTED_VALUE"""),"Tocantinopolis")</f>
        <v>Tocantinopolis</v>
      </c>
      <c r="D412" s="114" t="str">
        <f ca="1">IFERROR(__xludf.DUMMYFUNCTION("""COMPUTED_VALUE"""),"A.A. DO COL.PADRAO/JOSÉ CARNEIRO DE BRITO")</f>
        <v>A.A. DO COL.PADRAO/JOSÉ CARNEIRO DE BRITO</v>
      </c>
      <c r="E412" s="113" t="str">
        <f ca="1">IFERROR(__xludf.DUMMYFUNCTION("""COMPUTED_VALUE"""),"Colégio Estadual Professor José Carneiro de Brito")</f>
        <v>Colégio Estadual Professor José Carneiro de Brito</v>
      </c>
      <c r="F412" s="115" t="str">
        <f ca="1">IFERROR(__xludf.DUMMYFUNCTION("""COMPUTED_VALUE"""),"17047790")</f>
        <v>17047790</v>
      </c>
      <c r="G412" s="113" t="str">
        <f ca="1">IFERROR(__xludf.DUMMYFUNCTION("""COMPUTED_VALUE"""),"03880040000163")</f>
        <v>03880040000163</v>
      </c>
      <c r="H412" s="115" t="str">
        <f ca="1">IFERROR(__xludf.DUMMYFUNCTION("""COMPUTED_VALUE"""),"001")</f>
        <v>001</v>
      </c>
      <c r="I412" s="115" t="str">
        <f ca="1">IFERROR(__xludf.DUMMYFUNCTION("""COMPUTED_VALUE"""),"0810")</f>
        <v>0810</v>
      </c>
      <c r="J412" s="115" t="str">
        <f ca="1">IFERROR(__xludf.DUMMYFUNCTION("""COMPUTED_VALUE"""),"81884")</f>
        <v>81884</v>
      </c>
      <c r="K412" s="113" t="e">
        <f ca="1"/>
        <v>#REF!</v>
      </c>
      <c r="L412" s="113" t="e">
        <f ca="1"/>
        <v>#REF!</v>
      </c>
      <c r="M412" s="113" t="e">
        <f ca="1"/>
        <v>#REF!</v>
      </c>
      <c r="N412" s="113" t="e">
        <f ca="1"/>
        <v>#REF!</v>
      </c>
      <c r="O412" s="113" t="e">
        <f ca="1"/>
        <v>#REF!</v>
      </c>
      <c r="P412" s="113" t="e">
        <f ca="1"/>
        <v>#REF!</v>
      </c>
      <c r="Q412" s="113" t="e">
        <f ca="1"/>
        <v>#REF!</v>
      </c>
      <c r="R412" s="113" t="e">
        <f ca="1"/>
        <v>#REF!</v>
      </c>
      <c r="S412" s="113" t="e">
        <f ca="1"/>
        <v>#REF!</v>
      </c>
      <c r="T412" s="113" t="e">
        <f ca="1"/>
        <v>#REF!</v>
      </c>
      <c r="U412" s="113" t="e">
        <f ca="1"/>
        <v>#REF!</v>
      </c>
      <c r="V412" s="113" t="e">
        <f ca="1"/>
        <v>#REF!</v>
      </c>
      <c r="W412" s="113" t="e">
        <f ca="1"/>
        <v>#REF!</v>
      </c>
      <c r="X412" s="113" t="e">
        <f ca="1"/>
        <v>#REF!</v>
      </c>
      <c r="Y412" s="113" t="e">
        <f ca="1"/>
        <v>#REF!</v>
      </c>
      <c r="Z412" s="113" t="e">
        <f ca="1"/>
        <v>#REF!</v>
      </c>
      <c r="AA412" s="113"/>
      <c r="AB412" s="113"/>
      <c r="AC412" s="113"/>
      <c r="AD412" s="113" t="str">
        <f ca="1">IFERROR(__xludf.DUMMYFUNCTION("""COMPUTED_VALUE"""),"INDIGENA /QUILOMBOLA PARCIAL")</f>
        <v>INDIGENA /QUILOMBOLA PARCIAL</v>
      </c>
      <c r="AE412" s="113" t="str">
        <f ca="1">IFERROR(__xludf.DUMMYFUNCTION("""COMPUTED_VALUE"""),"Parcial")</f>
        <v>Parcial</v>
      </c>
      <c r="AF412" s="113" t="str">
        <f ca="1">IFERROR(__xludf.DUMMYFUNCTION("""COMPUTED_VALUE"""),"FE")</f>
        <v>FE</v>
      </c>
      <c r="AG412" s="113">
        <f ca="1">IFERROR(__xludf.DUMMYFUNCTION("""COMPUTED_VALUE"""),0)</f>
        <v>0</v>
      </c>
      <c r="AH412" s="113">
        <f ca="1">IFERROR(__xludf.DUMMYFUNCTION("""COMPUTED_VALUE"""),0)</f>
        <v>0</v>
      </c>
      <c r="AI412" s="113">
        <f ca="1">IFERROR(__xludf.DUMMYFUNCTION("""COMPUTED_VALUE"""),0)</f>
        <v>0</v>
      </c>
      <c r="AJ412" s="113">
        <f ca="1">IFERROR(__xludf.DUMMYFUNCTION("""COMPUTED_VALUE"""),0)</f>
        <v>0</v>
      </c>
      <c r="AK412" s="113"/>
      <c r="AL412" s="116"/>
    </row>
    <row r="413" spans="1:38" ht="12.75">
      <c r="A413" s="112" t="str">
        <f ca="1">IFERROR(__xludf.DUMMYFUNCTION("""COMPUTED_VALUE"""),"17051290")</f>
        <v>17051290</v>
      </c>
      <c r="B413" s="113" t="str">
        <f ca="1">IFERROR(__xludf.DUMMYFUNCTION("""COMPUTED_VALUE"""),"Tocantinópolis")</f>
        <v>Tocantinópolis</v>
      </c>
      <c r="C413" s="113" t="str">
        <f ca="1">IFERROR(__xludf.DUMMYFUNCTION("""COMPUTED_VALUE"""),"Tocantinopolis")</f>
        <v>Tocantinopolis</v>
      </c>
      <c r="D413" s="114" t="str">
        <f ca="1">IFERROR(__xludf.DUMMYFUNCTION("""COMPUTED_VALUE"""),"ASSOCIAÇÃO DE APOIO A ESCOLA ESPECIAL UM PASSO DIFERENTE -APAE")</f>
        <v>ASSOCIAÇÃO DE APOIO A ESCOLA ESPECIAL UM PASSO DIFERENTE -APAE</v>
      </c>
      <c r="E413" s="116" t="str">
        <f ca="1">IFERROR(__xludf.DUMMYFUNCTION("""COMPUTED_VALUE"""),"Escola Especial Um Passo Diferente")</f>
        <v>Escola Especial Um Passo Diferente</v>
      </c>
      <c r="F413" s="119" t="str">
        <f ca="1">IFERROR(__xludf.DUMMYFUNCTION("""COMPUTED_VALUE"""),"17051290")</f>
        <v>17051290</v>
      </c>
      <c r="G413" s="120" t="str">
        <f ca="1">IFERROR(__xludf.DUMMYFUNCTION("""COMPUTED_VALUE"""),"08012610000117")</f>
        <v>08012610000117</v>
      </c>
      <c r="H413" s="119" t="str">
        <f ca="1">IFERROR(__xludf.DUMMYFUNCTION("""COMPUTED_VALUE"""),"001")</f>
        <v>001</v>
      </c>
      <c r="I413" s="118" t="str">
        <f ca="1">IFERROR(__xludf.DUMMYFUNCTION("""COMPUTED_VALUE"""),"0810")</f>
        <v>0810</v>
      </c>
      <c r="J413" s="115" t="str">
        <f ca="1">IFERROR(__xludf.DUMMYFUNCTION("""COMPUTED_VALUE"""),"204250")</f>
        <v>204250</v>
      </c>
      <c r="K413" s="113" t="e">
        <f ca="1"/>
        <v>#REF!</v>
      </c>
      <c r="L413" s="113" t="e">
        <f ca="1"/>
        <v>#REF!</v>
      </c>
      <c r="M413" s="113" t="e">
        <f ca="1"/>
        <v>#REF!</v>
      </c>
      <c r="N413" s="116" t="e">
        <f ca="1"/>
        <v>#REF!</v>
      </c>
      <c r="O413" s="121" t="e">
        <f ca="1"/>
        <v>#REF!</v>
      </c>
      <c r="P413" s="120" t="e">
        <f ca="1"/>
        <v>#REF!</v>
      </c>
      <c r="Q413" s="121" t="e">
        <f ca="1"/>
        <v>#REF!</v>
      </c>
      <c r="R413" s="120" t="e">
        <f ca="1"/>
        <v>#REF!</v>
      </c>
      <c r="S413" s="121" t="e">
        <f ca="1"/>
        <v>#REF!</v>
      </c>
      <c r="T413" s="112" t="e">
        <f ca="1"/>
        <v>#REF!</v>
      </c>
      <c r="U413" s="113" t="e">
        <f ca="1"/>
        <v>#REF!</v>
      </c>
      <c r="V413" s="113" t="e">
        <f ca="1"/>
        <v>#REF!</v>
      </c>
      <c r="W413" s="113" t="e">
        <f ca="1"/>
        <v>#REF!</v>
      </c>
      <c r="X413" s="116" t="e">
        <f ca="1"/>
        <v>#REF!</v>
      </c>
      <c r="Y413" s="121" t="e">
        <f ca="1"/>
        <v>#REF!</v>
      </c>
      <c r="Z413" s="112" t="e">
        <f ca="1"/>
        <v>#REF!</v>
      </c>
      <c r="AA413" s="113"/>
      <c r="AB413" s="113"/>
      <c r="AC413" s="113"/>
      <c r="AD413" s="113" t="str">
        <f ca="1">IFERROR(__xludf.DUMMYFUNCTION("""COMPUTED_VALUE"""),"E.M. INTEGRADO")</f>
        <v>E.M. INTEGRADO</v>
      </c>
      <c r="AE413" s="113" t="str">
        <f ca="1">IFERROR(__xludf.DUMMYFUNCTION("""COMPUTED_VALUE"""),"Parcial")</f>
        <v>Parcial</v>
      </c>
      <c r="AF413" s="113" t="str">
        <f ca="1">IFERROR(__xludf.DUMMYFUNCTION("""COMPUTED_VALUE"""),"FE")</f>
        <v>FE</v>
      </c>
      <c r="AG413" s="113">
        <f ca="1">IFERROR(__xludf.DUMMYFUNCTION("""COMPUTED_VALUE"""),0)</f>
        <v>0</v>
      </c>
      <c r="AH413" s="113">
        <f ca="1">IFERROR(__xludf.DUMMYFUNCTION("""COMPUTED_VALUE"""),0)</f>
        <v>0</v>
      </c>
      <c r="AI413" s="113">
        <f ca="1">IFERROR(__xludf.DUMMYFUNCTION("""COMPUTED_VALUE"""),0)</f>
        <v>0</v>
      </c>
      <c r="AJ413" s="113">
        <f ca="1">IFERROR(__xludf.DUMMYFUNCTION("""COMPUTED_VALUE"""),0)</f>
        <v>0</v>
      </c>
      <c r="AK413" s="113"/>
      <c r="AL413" s="116"/>
    </row>
    <row r="414" spans="1:38" ht="12.75">
      <c r="A414" s="120" t="str">
        <f ca="1">IFERROR(__xludf.DUMMYFUNCTION("""COMPUTED_VALUE"""),"17004314")</f>
        <v>17004314</v>
      </c>
      <c r="B414" s="121" t="str">
        <f ca="1">IFERROR(__xludf.DUMMYFUNCTION("""COMPUTED_VALUE"""),"Tocantinópolis")</f>
        <v>Tocantinópolis</v>
      </c>
      <c r="C414" s="120" t="str">
        <f ca="1">IFERROR(__xludf.DUMMYFUNCTION("""COMPUTED_VALUE"""),"Tocantinopolis")</f>
        <v>Tocantinopolis</v>
      </c>
      <c r="D414" s="122" t="str">
        <f ca="1">IFERROR(__xludf.DUMMYFUNCTION("""COMPUTED_VALUE"""),"A.A. ESC. E. E.PROF.ALDENORA A.CORREIA")</f>
        <v>A.A. ESC. E. E.PROF.ALDENORA A.CORREIA</v>
      </c>
      <c r="E414" s="121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4" s="119" t="str">
        <f ca="1">IFERROR(__xludf.DUMMYFUNCTION("""COMPUTED_VALUE"""),"17004314")</f>
        <v>17004314</v>
      </c>
      <c r="G414" s="121" t="str">
        <f ca="1">IFERROR(__xludf.DUMMYFUNCTION("""COMPUTED_VALUE"""),"01213527000167")</f>
        <v>01213527000167</v>
      </c>
      <c r="H414" s="119" t="str">
        <f ca="1">IFERROR(__xludf.DUMMYFUNCTION("""COMPUTED_VALUE"""),"001")</f>
        <v>001</v>
      </c>
      <c r="I414" s="119" t="str">
        <f ca="1">IFERROR(__xludf.DUMMYFUNCTION("""COMPUTED_VALUE"""),"0810")</f>
        <v>0810</v>
      </c>
      <c r="J414" s="123" t="str">
        <f ca="1">IFERROR(__xludf.DUMMYFUNCTION("""COMPUTED_VALUE"""),"58319")</f>
        <v>58319</v>
      </c>
      <c r="K414" s="121" t="e">
        <f ca="1"/>
        <v>#REF!</v>
      </c>
      <c r="L414" s="120" t="e">
        <f ca="1"/>
        <v>#REF!</v>
      </c>
      <c r="M414" s="121" t="e">
        <f ca="1"/>
        <v>#REF!</v>
      </c>
      <c r="N414" s="120" t="e">
        <f ca="1"/>
        <v>#REF!</v>
      </c>
      <c r="O414" s="121" t="e">
        <f ca="1"/>
        <v>#REF!</v>
      </c>
      <c r="P414" s="120" t="e">
        <f ca="1"/>
        <v>#REF!</v>
      </c>
      <c r="Q414" s="121" t="e">
        <f ca="1"/>
        <v>#REF!</v>
      </c>
      <c r="R414" s="120" t="e">
        <f ca="1"/>
        <v>#REF!</v>
      </c>
      <c r="S414" s="121" t="e">
        <f ca="1"/>
        <v>#REF!</v>
      </c>
      <c r="T414" s="120" t="e">
        <f ca="1"/>
        <v>#REF!</v>
      </c>
      <c r="U414" s="121" t="e">
        <f ca="1"/>
        <v>#REF!</v>
      </c>
      <c r="V414" s="120" t="e">
        <f ca="1"/>
        <v>#REF!</v>
      </c>
      <c r="W414" s="121" t="e">
        <f ca="1"/>
        <v>#REF!</v>
      </c>
      <c r="X414" s="120" t="e">
        <f ca="1"/>
        <v>#REF!</v>
      </c>
      <c r="Y414" s="121" t="e">
        <f ca="1"/>
        <v>#REF!</v>
      </c>
      <c r="Z414" s="120" t="e">
        <f ca="1"/>
        <v>#REF!</v>
      </c>
      <c r="AA414" s="116"/>
      <c r="AB414" s="121"/>
      <c r="AC414" s="120"/>
      <c r="AD414" s="121"/>
      <c r="AE414" s="120" t="str">
        <f ca="1">IFERROR(__xludf.DUMMYFUNCTION("""COMPUTED_VALUE"""),"Integral")</f>
        <v>Integral</v>
      </c>
      <c r="AF414" s="121" t="str">
        <f ca="1">IFERROR(__xludf.DUMMYFUNCTION("""COMPUTED_VALUE"""),"FE")</f>
        <v>FE</v>
      </c>
      <c r="AG414" s="120">
        <f ca="1">IFERROR(__xludf.DUMMYFUNCTION("""COMPUTED_VALUE"""),0)</f>
        <v>0</v>
      </c>
      <c r="AH414" s="121">
        <f ca="1">IFERROR(__xludf.DUMMYFUNCTION("""COMPUTED_VALUE"""),0)</f>
        <v>0</v>
      </c>
      <c r="AI414" s="124">
        <f ca="1">IFERROR(__xludf.DUMMYFUNCTION("""COMPUTED_VALUE"""),0)</f>
        <v>0</v>
      </c>
      <c r="AJ414" s="120">
        <f ca="1">IFERROR(__xludf.DUMMYFUNCTION("""COMPUTED_VALUE"""),8)</f>
        <v>8</v>
      </c>
      <c r="AK414" s="125"/>
      <c r="AL414" s="120"/>
    </row>
    <row r="415" spans="1:38" ht="12.75">
      <c r="A415" s="121" t="str">
        <f ca="1">IFERROR(__xludf.DUMMYFUNCTION("""COMPUTED_VALUE"""),"17004322")</f>
        <v>17004322</v>
      </c>
      <c r="B415" s="120" t="str">
        <f ca="1">IFERROR(__xludf.DUMMYFUNCTION("""COMPUTED_VALUE"""),"Tocantinópolis")</f>
        <v>Tocantinópolis</v>
      </c>
      <c r="C415" s="121" t="str">
        <f ca="1">IFERROR(__xludf.DUMMYFUNCTION("""COMPUTED_VALUE"""),"Tocantinopolis")</f>
        <v>Tocantinopolis</v>
      </c>
      <c r="D415" s="126" t="str">
        <f ca="1">IFERROR(__xludf.DUMMYFUNCTION("""COMPUTED_VALUE"""),"A. PAIS DA ESC. EST. XV DE NOVEMBRO")</f>
        <v>A. PAIS DA ESC. EST. XV DE NOVEMBRO</v>
      </c>
      <c r="E415" s="121" t="str">
        <f ca="1">IFERROR(__xludf.DUMMYFUNCTION("""COMPUTED_VALUE"""),"Escola Estadual Girassol de Tempo Integral XV de Novembro")</f>
        <v>Escola Estadual Girassol de Tempo Integral XV de Novembro</v>
      </c>
      <c r="F415" s="123" t="str">
        <f ca="1">IFERROR(__xludf.DUMMYFUNCTION("""COMPUTED_VALUE"""),"17004322")</f>
        <v>17004322</v>
      </c>
      <c r="G415" s="121" t="str">
        <f ca="1">IFERROR(__xludf.DUMMYFUNCTION("""COMPUTED_VALUE"""),"01213520000145")</f>
        <v>01213520000145</v>
      </c>
      <c r="H415" s="123" t="str">
        <f ca="1">IFERROR(__xludf.DUMMYFUNCTION("""COMPUTED_VALUE"""),"001")</f>
        <v>001</v>
      </c>
      <c r="I415" s="119" t="str">
        <f ca="1">IFERROR(__xludf.DUMMYFUNCTION("""COMPUTED_VALUE"""),"0810")</f>
        <v>0810</v>
      </c>
      <c r="J415" s="123" t="str">
        <f ca="1">IFERROR(__xludf.DUMMYFUNCTION("""COMPUTED_VALUE"""),"58238")</f>
        <v>58238</v>
      </c>
      <c r="K415" s="121" t="e">
        <f ca="1"/>
        <v>#REF!</v>
      </c>
      <c r="L415" s="120" t="e">
        <f ca="1"/>
        <v>#REF!</v>
      </c>
      <c r="M415" s="121" t="e">
        <f ca="1"/>
        <v>#REF!</v>
      </c>
      <c r="N415" s="120" t="e">
        <f ca="1"/>
        <v>#REF!</v>
      </c>
      <c r="O415" s="121" t="e">
        <f ca="1"/>
        <v>#REF!</v>
      </c>
      <c r="P415" s="120" t="e">
        <f ca="1"/>
        <v>#REF!</v>
      </c>
      <c r="Q415" s="121" t="e">
        <f ca="1"/>
        <v>#REF!</v>
      </c>
      <c r="R415" s="120" t="e">
        <f ca="1"/>
        <v>#REF!</v>
      </c>
      <c r="S415" s="121" t="e">
        <f ca="1"/>
        <v>#REF!</v>
      </c>
      <c r="T415" s="120" t="e">
        <f ca="1"/>
        <v>#REF!</v>
      </c>
      <c r="U415" s="121" t="e">
        <f ca="1"/>
        <v>#REF!</v>
      </c>
      <c r="V415" s="120" t="e">
        <f ca="1"/>
        <v>#REF!</v>
      </c>
      <c r="W415" s="121" t="e">
        <f ca="1"/>
        <v>#REF!</v>
      </c>
      <c r="X415" s="120" t="e">
        <f ca="1"/>
        <v>#REF!</v>
      </c>
      <c r="Y415" s="121" t="e">
        <f ca="1"/>
        <v>#REF!</v>
      </c>
      <c r="Z415" s="127" t="e">
        <f ca="1"/>
        <v>#REF!</v>
      </c>
      <c r="AA415" s="120"/>
      <c r="AB415" s="121"/>
      <c r="AC415" s="120"/>
      <c r="AD415" s="121"/>
      <c r="AE415" s="120" t="str">
        <f ca="1">IFERROR(__xludf.DUMMYFUNCTION("""COMPUTED_VALUE"""),"Parcial")</f>
        <v>Parcial</v>
      </c>
      <c r="AF415" s="121" t="str">
        <f ca="1">IFERROR(__xludf.DUMMYFUNCTION("""COMPUTED_VALUE"""),"FE")</f>
        <v>FE</v>
      </c>
      <c r="AG415" s="120">
        <f ca="1">IFERROR(__xludf.DUMMYFUNCTION("""COMPUTED_VALUE"""),0)</f>
        <v>0</v>
      </c>
      <c r="AH415" s="121">
        <f ca="1">IFERROR(__xludf.DUMMYFUNCTION("""COMPUTED_VALUE"""),0)</f>
        <v>0</v>
      </c>
      <c r="AI415" s="124">
        <f ca="1">IFERROR(__xludf.DUMMYFUNCTION("""COMPUTED_VALUE"""),0)</f>
        <v>0</v>
      </c>
      <c r="AJ415" s="120">
        <f ca="1">IFERROR(__xludf.DUMMYFUNCTION("""COMPUTED_VALUE"""),11)</f>
        <v>11</v>
      </c>
      <c r="AK415" s="125"/>
      <c r="AL415" s="120"/>
    </row>
    <row r="416" spans="1:38" ht="12.75">
      <c r="A416" s="121" t="str">
        <f ca="1">IFERROR(__xludf.DUMMYFUNCTION("""COMPUTED_VALUE"""),"17004292")</f>
        <v>17004292</v>
      </c>
      <c r="B416" s="120" t="str">
        <f ca="1">IFERROR(__xludf.DUMMYFUNCTION("""COMPUTED_VALUE"""),"Tocantinópolis")</f>
        <v>Tocantinópolis</v>
      </c>
      <c r="C416" s="121" t="str">
        <f ca="1">IFERROR(__xludf.DUMMYFUNCTION("""COMPUTED_VALUE"""),"Tocantinopolis")</f>
        <v>Tocantinopolis</v>
      </c>
      <c r="D416" s="126" t="str">
        <f ca="1">IFERROR(__xludf.DUMMYFUNCTION("""COMPUTED_VALUE"""),"A. ESCOLAR COM. PE. GIULIANO MORETTI")</f>
        <v>A. ESCOLAR COM. PE. GIULIANO MORETTI</v>
      </c>
      <c r="E416" s="121" t="str">
        <f ca="1">IFERROR(__xludf.DUMMYFUNCTION("""COMPUTED_VALUE"""),"Escola Estadual Padre Giuliano Moretti")</f>
        <v>Escola Estadual Padre Giuliano Moretti</v>
      </c>
      <c r="F416" s="123" t="str">
        <f ca="1">IFERROR(__xludf.DUMMYFUNCTION("""COMPUTED_VALUE"""),"17004292")</f>
        <v>17004292</v>
      </c>
      <c r="G416" s="121" t="str">
        <f ca="1">IFERROR(__xludf.DUMMYFUNCTION("""COMPUTED_VALUE"""),"00900202000190")</f>
        <v>00900202000190</v>
      </c>
      <c r="H416" s="123" t="str">
        <f ca="1">IFERROR(__xludf.DUMMYFUNCTION("""COMPUTED_VALUE"""),"001")</f>
        <v>001</v>
      </c>
      <c r="I416" s="119" t="str">
        <f ca="1">IFERROR(__xludf.DUMMYFUNCTION("""COMPUTED_VALUE"""),"0810")</f>
        <v>0810</v>
      </c>
      <c r="J416" s="123" t="str">
        <f ca="1">IFERROR(__xludf.DUMMYFUNCTION("""COMPUTED_VALUE"""),"217484")</f>
        <v>217484</v>
      </c>
      <c r="K416" s="121" t="e">
        <f ca="1"/>
        <v>#REF!</v>
      </c>
      <c r="L416" s="120" t="e">
        <f ca="1"/>
        <v>#REF!</v>
      </c>
      <c r="M416" s="121" t="e">
        <f ca="1"/>
        <v>#REF!</v>
      </c>
      <c r="N416" s="120" t="e">
        <f ca="1"/>
        <v>#REF!</v>
      </c>
      <c r="O416" s="121" t="e">
        <f ca="1"/>
        <v>#REF!</v>
      </c>
      <c r="P416" s="120" t="e">
        <f ca="1"/>
        <v>#REF!</v>
      </c>
      <c r="Q416" s="121" t="e">
        <f ca="1"/>
        <v>#REF!</v>
      </c>
      <c r="R416" s="120" t="e">
        <f ca="1"/>
        <v>#REF!</v>
      </c>
      <c r="S416" s="121" t="e">
        <f ca="1"/>
        <v>#REF!</v>
      </c>
      <c r="T416" s="120" t="e">
        <f ca="1"/>
        <v>#REF!</v>
      </c>
      <c r="U416" s="121" t="e">
        <f ca="1"/>
        <v>#REF!</v>
      </c>
      <c r="V416" s="120" t="e">
        <f ca="1"/>
        <v>#REF!</v>
      </c>
      <c r="W416" s="121" t="e">
        <f ca="1"/>
        <v>#REF!</v>
      </c>
      <c r="X416" s="120" t="e">
        <f ca="1"/>
        <v>#REF!</v>
      </c>
      <c r="Y416" s="121" t="e">
        <f ca="1"/>
        <v>#REF!</v>
      </c>
      <c r="Z416" s="127" t="e">
        <f ca="1"/>
        <v>#REF!</v>
      </c>
      <c r="AA416" s="120"/>
      <c r="AB416" s="121"/>
      <c r="AC416" s="120"/>
      <c r="AD416" s="121"/>
      <c r="AE416" s="120" t="str">
        <f ca="1">IFERROR(__xludf.DUMMYFUNCTION("""COMPUTED_VALUE"""),"Integral")</f>
        <v>Integral</v>
      </c>
      <c r="AF416" s="121" t="str">
        <f ca="1">IFERROR(__xludf.DUMMYFUNCTION("""COMPUTED_VALUE"""),"FE")</f>
        <v>FE</v>
      </c>
      <c r="AG416" s="120">
        <f ca="1">IFERROR(__xludf.DUMMYFUNCTION("""COMPUTED_VALUE"""),0)</f>
        <v>0</v>
      </c>
      <c r="AH416" s="121">
        <f ca="1">IFERROR(__xludf.DUMMYFUNCTION("""COMPUTED_VALUE"""),0)</f>
        <v>0</v>
      </c>
      <c r="AI416" s="124">
        <f ca="1">IFERROR(__xludf.DUMMYFUNCTION("""COMPUTED_VALUE"""),0)</f>
        <v>0</v>
      </c>
      <c r="AJ416" s="120">
        <f ca="1">IFERROR(__xludf.DUMMYFUNCTION("""COMPUTED_VALUE"""),0)</f>
        <v>0</v>
      </c>
      <c r="AK416" s="125"/>
      <c r="AL416" s="120"/>
    </row>
    <row r="417" spans="1:37" ht="12.75">
      <c r="A417" s="128" t="str">
        <f ca="1">IFERROR(__xludf.DUMMYFUNCTION("""COMPUTED_VALUE"""),"17004799")</f>
        <v>17004799</v>
      </c>
      <c r="B417" s="128" t="str">
        <f ca="1">IFERROR(__xludf.DUMMYFUNCTION("""COMPUTED_VALUE"""),"Tocantinópolis")</f>
        <v>Tocantinópolis</v>
      </c>
      <c r="C417" s="128" t="str">
        <f ca="1">IFERROR(__xludf.DUMMYFUNCTION("""COMPUTED_VALUE"""),"Tocantinopolis")</f>
        <v>Tocantinopolis</v>
      </c>
      <c r="D417" s="129" t="str">
        <f ca="1">IFERROR(__xludf.DUMMYFUNCTION("""COMPUTED_VALUE"""),"A. DA ESCOLA PAROQUIAL CRISTO REI")</f>
        <v>A. DA ESCOLA PAROQUIAL CRISTO REI</v>
      </c>
      <c r="E417" s="128" t="str">
        <f ca="1">IFERROR(__xludf.DUMMYFUNCTION("""COMPUTED_VALUE"""),"Escola Paroquial Cristo Rei")</f>
        <v>Escola Paroquial Cristo Rei</v>
      </c>
      <c r="F417" s="130" t="str">
        <f ca="1">IFERROR(__xludf.DUMMYFUNCTION("""COMPUTED_VALUE"""),"17004799")</f>
        <v>17004799</v>
      </c>
      <c r="G417" s="128" t="str">
        <f ca="1">IFERROR(__xludf.DUMMYFUNCTION("""COMPUTED_VALUE"""),"02026329000157")</f>
        <v>02026329000157</v>
      </c>
      <c r="H417" s="130" t="str">
        <f ca="1">IFERROR(__xludf.DUMMYFUNCTION("""COMPUTED_VALUE"""),"001")</f>
        <v>001</v>
      </c>
      <c r="I417" s="130" t="str">
        <f ca="1">IFERROR(__xludf.DUMMYFUNCTION("""COMPUTED_VALUE"""),"0810")</f>
        <v>0810</v>
      </c>
      <c r="J417" s="130" t="str">
        <f ca="1">IFERROR(__xludf.DUMMYFUNCTION("""COMPUTED_VALUE"""),"58149")</f>
        <v>58149</v>
      </c>
      <c r="K417" s="128" t="e">
        <f ca="1"/>
        <v>#REF!</v>
      </c>
      <c r="L417" s="128" t="e">
        <f ca="1"/>
        <v>#REF!</v>
      </c>
      <c r="M417" s="128" t="e">
        <f ca="1"/>
        <v>#REF!</v>
      </c>
      <c r="N417" s="128" t="e">
        <f ca="1"/>
        <v>#REF!</v>
      </c>
      <c r="O417" s="128" t="e">
        <f ca="1"/>
        <v>#REF!</v>
      </c>
      <c r="P417" s="128" t="e">
        <f ca="1"/>
        <v>#REF!</v>
      </c>
      <c r="Q417" s="128" t="e">
        <f ca="1"/>
        <v>#REF!</v>
      </c>
      <c r="R417" s="128" t="e">
        <f ca="1"/>
        <v>#REF!</v>
      </c>
      <c r="S417" s="128" t="e">
        <f ca="1"/>
        <v>#REF!</v>
      </c>
      <c r="T417" s="128" t="e">
        <f ca="1"/>
        <v>#REF!</v>
      </c>
      <c r="U417" s="128" t="e">
        <f ca="1"/>
        <v>#REF!</v>
      </c>
      <c r="V417" s="128" t="e">
        <f ca="1"/>
        <v>#REF!</v>
      </c>
      <c r="W417" s="128" t="e">
        <f ca="1"/>
        <v>#REF!</v>
      </c>
      <c r="X417" s="128" t="e">
        <f ca="1"/>
        <v>#REF!</v>
      </c>
      <c r="Y417" s="128" t="e">
        <f ca="1"/>
        <v>#REF!</v>
      </c>
      <c r="Z417" s="128" t="e">
        <f ca="1"/>
        <v>#REF!</v>
      </c>
      <c r="AA417" s="128"/>
      <c r="AB417" s="128"/>
      <c r="AC417" s="128"/>
      <c r="AD417" s="128" t="str">
        <f ca="1">IFERROR(__xludf.DUMMYFUNCTION("""COMPUTED_VALUE"""),"CRECHE")</f>
        <v>CRECHE</v>
      </c>
      <c r="AE417" s="128" t="str">
        <f ca="1">IFERROR(__xludf.DUMMYFUNCTION("""COMPUTED_VALUE"""),"Parcial")</f>
        <v>Parcial</v>
      </c>
      <c r="AF417" s="128" t="str">
        <f ca="1">IFERROR(__xludf.DUMMYFUNCTION("""COMPUTED_VALUE"""),"FE")</f>
        <v>FE</v>
      </c>
      <c r="AG417" s="128">
        <f ca="1">IFERROR(__xludf.DUMMYFUNCTION("""COMPUTED_VALUE"""),0)</f>
        <v>0</v>
      </c>
      <c r="AH417" s="128">
        <f ca="1">IFERROR(__xludf.DUMMYFUNCTION("""COMPUTED_VALUE"""),0)</f>
        <v>0</v>
      </c>
      <c r="AI417" s="128">
        <f ca="1">IFERROR(__xludf.DUMMYFUNCTION("""COMPUTED_VALUE"""),0)</f>
        <v>0</v>
      </c>
      <c r="AJ417" s="128">
        <f ca="1">IFERROR(__xludf.DUMMYFUNCTION("""COMPUTED_VALUE"""),0)</f>
        <v>0</v>
      </c>
      <c r="AK417" s="128"/>
    </row>
    <row r="418" spans="1:37" ht="12.75">
      <c r="D418" s="60"/>
      <c r="F418" s="2"/>
      <c r="H418" s="2"/>
      <c r="I418" s="2"/>
      <c r="J418" s="2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2"/>
      <c r="H419" s="2"/>
      <c r="I419" s="2"/>
      <c r="J419" s="2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1"/>
    </row>
    <row r="420" spans="1:37" ht="12.75">
      <c r="F420" s="2"/>
      <c r="H420" s="2"/>
      <c r="I420" s="2"/>
      <c r="J420" s="2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1"/>
    </row>
    <row r="421" spans="1:37" ht="12.75">
      <c r="F421" s="2"/>
      <c r="H421" s="2"/>
      <c r="I421" s="2"/>
      <c r="J421" s="2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1"/>
    </row>
    <row r="422" spans="1:37" ht="12.75">
      <c r="F422" s="2"/>
      <c r="H422" s="2"/>
      <c r="I422" s="2"/>
      <c r="J422" s="2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1"/>
    </row>
    <row r="423" spans="1:37" ht="12.75">
      <c r="F423" s="2"/>
      <c r="H423" s="2"/>
      <c r="I423" s="2"/>
      <c r="J423" s="2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1"/>
    </row>
    <row r="424" spans="1:37" ht="12.75">
      <c r="F424" s="2"/>
      <c r="H424" s="2"/>
      <c r="I424" s="2"/>
      <c r="J424" s="2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1"/>
    </row>
    <row r="425" spans="1:37" ht="12.75">
      <c r="F425" s="2"/>
      <c r="H425" s="2"/>
      <c r="I425" s="2"/>
      <c r="J425" s="2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1"/>
    </row>
    <row r="426" spans="1:37" ht="12.75">
      <c r="F426" s="2"/>
      <c r="H426" s="2"/>
      <c r="I426" s="2"/>
      <c r="J426" s="2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1"/>
    </row>
    <row r="427" spans="1:37" ht="12.75">
      <c r="F427" s="2"/>
      <c r="H427" s="2"/>
      <c r="I427" s="2"/>
      <c r="J427" s="2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1"/>
    </row>
    <row r="428" spans="1:37" ht="12.75">
      <c r="F428" s="2"/>
      <c r="H428" s="2"/>
      <c r="I428" s="2"/>
      <c r="J428" s="2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1"/>
    </row>
    <row r="429" spans="1:37" ht="12.75">
      <c r="F429" s="2"/>
      <c r="H429" s="2"/>
      <c r="I429" s="2"/>
      <c r="J429" s="2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1"/>
    </row>
    <row r="430" spans="1:37" ht="12.75">
      <c r="F430" s="2"/>
      <c r="H430" s="2"/>
      <c r="I430" s="2"/>
      <c r="J430" s="2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1"/>
    </row>
    <row r="431" spans="1:37" ht="12.75">
      <c r="F431" s="2"/>
      <c r="H431" s="2"/>
      <c r="I431" s="2"/>
      <c r="J431" s="2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1"/>
    </row>
    <row r="432" spans="1:37" ht="12.75">
      <c r="F432" s="2"/>
      <c r="H432" s="2"/>
      <c r="I432" s="2"/>
      <c r="J432" s="2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1"/>
    </row>
    <row r="433" spans="6:27" ht="12.75">
      <c r="F433" s="2"/>
      <c r="H433" s="2"/>
      <c r="I433" s="2"/>
      <c r="J433" s="2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1"/>
    </row>
    <row r="434" spans="6:27" ht="12.75">
      <c r="F434" s="2"/>
      <c r="H434" s="2"/>
      <c r="I434" s="2"/>
      <c r="J434" s="2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1"/>
    </row>
    <row r="435" spans="6:27" ht="12.75">
      <c r="F435" s="2"/>
      <c r="H435" s="2"/>
      <c r="I435" s="2"/>
      <c r="J435" s="2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1"/>
    </row>
    <row r="436" spans="6:27" ht="12.75">
      <c r="F436" s="2"/>
      <c r="H436" s="2"/>
      <c r="I436" s="2"/>
      <c r="J436" s="2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1"/>
    </row>
    <row r="437" spans="6:27" ht="12.75">
      <c r="F437" s="2"/>
      <c r="H437" s="2"/>
      <c r="I437" s="2"/>
      <c r="J437" s="2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1"/>
    </row>
    <row r="438" spans="6:27" ht="12.75">
      <c r="F438" s="2"/>
      <c r="H438" s="2"/>
      <c r="I438" s="2"/>
      <c r="J438" s="2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1"/>
    </row>
    <row r="439" spans="6:27" ht="12.75">
      <c r="F439" s="2"/>
      <c r="H439" s="2"/>
      <c r="I439" s="2"/>
      <c r="J439" s="2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1"/>
    </row>
    <row r="440" spans="6:27" ht="12.75">
      <c r="F440" s="2"/>
      <c r="H440" s="2"/>
      <c r="I440" s="2"/>
      <c r="J440" s="2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1"/>
    </row>
    <row r="441" spans="6:27" ht="12.75">
      <c r="F441" s="2"/>
      <c r="H441" s="2"/>
      <c r="I441" s="2"/>
      <c r="J441" s="2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1"/>
    </row>
    <row r="442" spans="6:27" ht="12.75">
      <c r="F442" s="2"/>
      <c r="H442" s="2"/>
      <c r="I442" s="2"/>
      <c r="J442" s="2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1"/>
    </row>
    <row r="443" spans="6:27" ht="12.75">
      <c r="F443" s="2"/>
      <c r="H443" s="2"/>
      <c r="I443" s="2"/>
      <c r="J443" s="2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1"/>
    </row>
    <row r="444" spans="6:27" ht="12.75">
      <c r="F444" s="2"/>
      <c r="H444" s="2"/>
      <c r="I444" s="2"/>
      <c r="J444" s="2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1"/>
    </row>
    <row r="445" spans="6:27" ht="12.75">
      <c r="F445" s="2"/>
      <c r="H445" s="2"/>
      <c r="I445" s="2"/>
      <c r="J445" s="2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1"/>
    </row>
    <row r="446" spans="6:27" ht="12.75">
      <c r="F446" s="2"/>
      <c r="H446" s="2"/>
      <c r="I446" s="2"/>
      <c r="J446" s="2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1"/>
    </row>
    <row r="447" spans="6:27" ht="12.75">
      <c r="F447" s="2"/>
      <c r="H447" s="2"/>
      <c r="I447" s="2"/>
      <c r="J447" s="2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1"/>
    </row>
    <row r="448" spans="6:27" ht="12.75">
      <c r="F448" s="2"/>
      <c r="H448" s="2"/>
      <c r="I448" s="2"/>
      <c r="J448" s="2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1"/>
    </row>
    <row r="449" spans="6:27" ht="12.75">
      <c r="F449" s="2"/>
      <c r="H449" s="2"/>
      <c r="I449" s="2"/>
      <c r="J449" s="2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1"/>
    </row>
    <row r="450" spans="6:27" ht="12.75">
      <c r="F450" s="2"/>
      <c r="H450" s="2"/>
      <c r="I450" s="2"/>
      <c r="J450" s="2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1"/>
    </row>
    <row r="451" spans="6:27" ht="12.75">
      <c r="F451" s="2"/>
      <c r="H451" s="2"/>
      <c r="I451" s="2"/>
      <c r="J451" s="2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1"/>
    </row>
    <row r="452" spans="6:27" ht="12.75">
      <c r="F452" s="2"/>
      <c r="H452" s="2"/>
      <c r="I452" s="2"/>
      <c r="J452" s="2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1"/>
    </row>
    <row r="453" spans="6:27" ht="12.75">
      <c r="F453" s="2"/>
      <c r="H453" s="2"/>
      <c r="I453" s="2"/>
      <c r="J453" s="2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1"/>
    </row>
    <row r="454" spans="6:27" ht="12.75">
      <c r="F454" s="2"/>
      <c r="H454" s="2"/>
      <c r="I454" s="2"/>
      <c r="J454" s="2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1"/>
    </row>
    <row r="455" spans="6:27" ht="12.75">
      <c r="F455" s="2"/>
      <c r="H455" s="2"/>
      <c r="I455" s="2"/>
      <c r="J455" s="2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1"/>
    </row>
    <row r="456" spans="6:27" ht="12.75">
      <c r="F456" s="2"/>
      <c r="H456" s="2"/>
      <c r="I456" s="2"/>
      <c r="J456" s="2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1"/>
    </row>
    <row r="457" spans="6:27" ht="12.75">
      <c r="F457" s="2"/>
      <c r="H457" s="2"/>
      <c r="I457" s="2"/>
      <c r="J457" s="2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1"/>
    </row>
    <row r="458" spans="6:27" ht="12.75">
      <c r="F458" s="2"/>
      <c r="H458" s="2"/>
      <c r="I458" s="2"/>
      <c r="J458" s="2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1"/>
    </row>
    <row r="459" spans="6:27" ht="12.75">
      <c r="F459" s="2"/>
      <c r="H459" s="2"/>
      <c r="I459" s="2"/>
      <c r="J459" s="2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1"/>
    </row>
    <row r="460" spans="6:27" ht="12.75">
      <c r="F460" s="2"/>
      <c r="H460" s="2"/>
      <c r="I460" s="2"/>
      <c r="J460" s="2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1"/>
    </row>
    <row r="461" spans="6:27" ht="12.75">
      <c r="F461" s="2"/>
      <c r="H461" s="2"/>
      <c r="I461" s="2"/>
      <c r="J461" s="2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1"/>
    </row>
    <row r="462" spans="6:27" ht="12.75">
      <c r="F462" s="2"/>
      <c r="H462" s="2"/>
      <c r="I462" s="2"/>
      <c r="J462" s="2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1"/>
    </row>
    <row r="463" spans="6:27" ht="12.75">
      <c r="F463" s="2"/>
      <c r="H463" s="2"/>
      <c r="I463" s="2"/>
      <c r="J463" s="2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1"/>
    </row>
    <row r="464" spans="6:27" ht="12.75">
      <c r="F464" s="2"/>
      <c r="H464" s="2"/>
      <c r="I464" s="2"/>
      <c r="J464" s="2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1"/>
    </row>
    <row r="465" spans="6:27" ht="12.75">
      <c r="F465" s="2"/>
      <c r="H465" s="2"/>
      <c r="I465" s="2"/>
      <c r="J465" s="2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1"/>
    </row>
    <row r="466" spans="6:27" ht="12.75">
      <c r="F466" s="2"/>
      <c r="H466" s="2"/>
      <c r="I466" s="2"/>
      <c r="J466" s="2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1"/>
    </row>
    <row r="467" spans="6:27" ht="12.75">
      <c r="F467" s="2"/>
      <c r="H467" s="2"/>
      <c r="I467" s="2"/>
      <c r="J467" s="2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1"/>
    </row>
    <row r="468" spans="6:27" ht="12.75">
      <c r="F468" s="2"/>
      <c r="H468" s="2"/>
      <c r="I468" s="2"/>
      <c r="J468" s="2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1"/>
    </row>
    <row r="469" spans="6:27" ht="12.75">
      <c r="F469" s="2"/>
      <c r="H469" s="2"/>
      <c r="I469" s="2"/>
      <c r="J469" s="2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1"/>
    </row>
    <row r="470" spans="6:27" ht="12.75">
      <c r="F470" s="2"/>
      <c r="H470" s="2"/>
      <c r="I470" s="2"/>
      <c r="J470" s="2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1"/>
    </row>
    <row r="471" spans="6:27" ht="12.75">
      <c r="F471" s="2"/>
      <c r="H471" s="2"/>
      <c r="I471" s="2"/>
      <c r="J471" s="2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1"/>
    </row>
    <row r="472" spans="6:27" ht="12.75">
      <c r="F472" s="2"/>
      <c r="H472" s="2"/>
      <c r="I472" s="2"/>
      <c r="J472" s="2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1"/>
    </row>
    <row r="473" spans="6:27" ht="12.75">
      <c r="F473" s="2"/>
      <c r="H473" s="2"/>
      <c r="I473" s="2"/>
      <c r="J473" s="2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1"/>
    </row>
    <row r="474" spans="6:27" ht="12.75">
      <c r="F474" s="2"/>
      <c r="H474" s="2"/>
      <c r="I474" s="2"/>
      <c r="J474" s="2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1"/>
    </row>
    <row r="475" spans="6:27" ht="12.75">
      <c r="F475" s="2"/>
      <c r="H475" s="2"/>
      <c r="I475" s="2"/>
      <c r="J475" s="2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1"/>
    </row>
    <row r="476" spans="6:27" ht="12.75">
      <c r="F476" s="2"/>
      <c r="H476" s="2"/>
      <c r="I476" s="2"/>
      <c r="J476" s="2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1"/>
    </row>
    <row r="477" spans="6:27" ht="12.75">
      <c r="F477" s="2"/>
      <c r="H477" s="2"/>
      <c r="I477" s="2"/>
      <c r="J477" s="2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1"/>
    </row>
    <row r="478" spans="6:27" ht="12.75">
      <c r="F478" s="2"/>
      <c r="H478" s="2"/>
      <c r="I478" s="2"/>
      <c r="J478" s="2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1"/>
    </row>
    <row r="479" spans="6:27" ht="12.75">
      <c r="F479" s="2"/>
      <c r="H479" s="2"/>
      <c r="I479" s="2"/>
      <c r="J479" s="2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1"/>
    </row>
    <row r="480" spans="6:27" ht="12.75">
      <c r="F480" s="2"/>
      <c r="H480" s="2"/>
      <c r="I480" s="2"/>
      <c r="J480" s="2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1"/>
    </row>
    <row r="481" spans="6:27" ht="12.75">
      <c r="F481" s="2"/>
      <c r="H481" s="2"/>
      <c r="I481" s="2"/>
      <c r="J481" s="2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1"/>
    </row>
    <row r="482" spans="6:27" ht="12.75">
      <c r="F482" s="2"/>
      <c r="H482" s="2"/>
      <c r="I482" s="2"/>
      <c r="J482" s="2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1"/>
    </row>
    <row r="483" spans="6:27" ht="12.75">
      <c r="F483" s="2"/>
      <c r="H483" s="2"/>
      <c r="I483" s="2"/>
      <c r="J483" s="2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1"/>
    </row>
    <row r="484" spans="6:27" ht="12.75">
      <c r="F484" s="2"/>
      <c r="H484" s="2"/>
      <c r="I484" s="2"/>
      <c r="J484" s="2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1"/>
    </row>
    <row r="485" spans="6:27" ht="12.75">
      <c r="F485" s="2"/>
      <c r="H485" s="2"/>
      <c r="I485" s="2"/>
      <c r="J485" s="2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1"/>
    </row>
    <row r="486" spans="6:27" ht="12.75">
      <c r="F486" s="2"/>
      <c r="H486" s="2"/>
      <c r="I486" s="2"/>
      <c r="J486" s="2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1"/>
    </row>
    <row r="487" spans="6:27" ht="12.75">
      <c r="F487" s="2"/>
      <c r="H487" s="2"/>
      <c r="I487" s="2"/>
      <c r="J487" s="2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1"/>
    </row>
    <row r="488" spans="6:27" ht="12.75">
      <c r="F488" s="2"/>
      <c r="H488" s="2"/>
      <c r="I488" s="2"/>
      <c r="J488" s="2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1"/>
    </row>
    <row r="489" spans="6:27" ht="12.75">
      <c r="F489" s="2"/>
      <c r="H489" s="2"/>
      <c r="I489" s="2"/>
      <c r="J489" s="2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1"/>
    </row>
    <row r="490" spans="6:27" ht="12.75">
      <c r="F490" s="2"/>
      <c r="H490" s="2"/>
      <c r="I490" s="2"/>
      <c r="J490" s="2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1"/>
    </row>
    <row r="491" spans="6:27" ht="12.75">
      <c r="F491" s="2"/>
      <c r="H491" s="2"/>
      <c r="I491" s="2"/>
      <c r="J491" s="2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1"/>
    </row>
    <row r="492" spans="6:27" ht="12.75">
      <c r="F492" s="2"/>
      <c r="H492" s="2"/>
      <c r="I492" s="2"/>
      <c r="J492" s="2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1"/>
    </row>
    <row r="493" spans="6:27" ht="12.75">
      <c r="F493" s="2"/>
      <c r="H493" s="2"/>
      <c r="I493" s="2"/>
      <c r="J493" s="2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1"/>
    </row>
    <row r="494" spans="6:27" ht="12.75">
      <c r="F494" s="2"/>
      <c r="H494" s="2"/>
      <c r="I494" s="2"/>
      <c r="J494" s="2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1"/>
    </row>
    <row r="495" spans="6:27" ht="12.75">
      <c r="F495" s="2"/>
      <c r="H495" s="2"/>
      <c r="I495" s="2"/>
      <c r="J495" s="2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1"/>
    </row>
    <row r="496" spans="6:27" ht="12.75">
      <c r="F496" s="2"/>
      <c r="H496" s="2"/>
      <c r="I496" s="2"/>
      <c r="J496" s="2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1"/>
    </row>
    <row r="497" spans="6:27" ht="12.75">
      <c r="F497" s="2"/>
      <c r="H497" s="2"/>
      <c r="I497" s="2"/>
      <c r="J497" s="2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1"/>
    </row>
    <row r="498" spans="6:27" ht="12.75">
      <c r="F498" s="2"/>
      <c r="H498" s="2"/>
      <c r="I498" s="2"/>
      <c r="J498" s="2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1"/>
    </row>
    <row r="499" spans="6:27" ht="12.75">
      <c r="F499" s="2"/>
      <c r="H499" s="2"/>
      <c r="I499" s="2"/>
      <c r="J499" s="2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1"/>
    </row>
    <row r="500" spans="6:27" ht="12.75">
      <c r="F500" s="2"/>
      <c r="H500" s="2"/>
      <c r="I500" s="2"/>
      <c r="J500" s="2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1"/>
    </row>
    <row r="501" spans="6:27" ht="12.75">
      <c r="F501" s="2"/>
      <c r="H501" s="2"/>
      <c r="I501" s="2"/>
      <c r="J501" s="2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1"/>
    </row>
    <row r="502" spans="6:27" ht="12.75">
      <c r="F502" s="2"/>
      <c r="H502" s="2"/>
      <c r="I502" s="2"/>
      <c r="J502" s="2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1"/>
    </row>
    <row r="503" spans="6:27" ht="12.75">
      <c r="F503" s="2"/>
      <c r="H503" s="2"/>
      <c r="I503" s="2"/>
      <c r="J503" s="2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1"/>
    </row>
    <row r="504" spans="6:27" ht="12.75">
      <c r="F504" s="2"/>
      <c r="H504" s="2"/>
      <c r="I504" s="2"/>
      <c r="J504" s="2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1"/>
    </row>
    <row r="505" spans="6:27" ht="12.75">
      <c r="F505" s="2"/>
      <c r="H505" s="2"/>
      <c r="I505" s="2"/>
      <c r="J505" s="2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1"/>
    </row>
    <row r="506" spans="6:27" ht="12.75">
      <c r="F506" s="2"/>
      <c r="H506" s="2"/>
      <c r="I506" s="2"/>
      <c r="J506" s="2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1"/>
    </row>
    <row r="507" spans="6:27" ht="12.75">
      <c r="F507" s="2"/>
      <c r="H507" s="2"/>
      <c r="I507" s="2"/>
      <c r="J507" s="2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1"/>
    </row>
    <row r="508" spans="6:27" ht="12.75">
      <c r="F508" s="2"/>
      <c r="H508" s="2"/>
      <c r="I508" s="2"/>
      <c r="J508" s="2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1"/>
    </row>
    <row r="509" spans="6:27" ht="12.75">
      <c r="F509" s="2"/>
      <c r="H509" s="2"/>
      <c r="I509" s="2"/>
      <c r="J509" s="2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1"/>
    </row>
    <row r="510" spans="6:27" ht="12.75">
      <c r="F510" s="2"/>
      <c r="H510" s="2"/>
      <c r="I510" s="2"/>
      <c r="J510" s="2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1"/>
    </row>
    <row r="511" spans="6:27" ht="12.75">
      <c r="F511" s="2"/>
      <c r="H511" s="2"/>
      <c r="I511" s="2"/>
      <c r="J511" s="2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1"/>
    </row>
    <row r="512" spans="6:27" ht="12.75">
      <c r="F512" s="2"/>
      <c r="H512" s="2"/>
      <c r="I512" s="2"/>
      <c r="J512" s="2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1"/>
    </row>
    <row r="513" spans="6:27" ht="12.75">
      <c r="F513" s="2"/>
      <c r="H513" s="2"/>
      <c r="I513" s="2"/>
      <c r="J513" s="2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1"/>
    </row>
    <row r="514" spans="6:27" ht="12.75">
      <c r="F514" s="2"/>
      <c r="H514" s="2"/>
      <c r="I514" s="2"/>
      <c r="J514" s="2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1"/>
    </row>
    <row r="515" spans="6:27" ht="12.75">
      <c r="F515" s="2"/>
      <c r="H515" s="2"/>
      <c r="I515" s="2"/>
      <c r="J515" s="2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1"/>
    </row>
    <row r="516" spans="6:27" ht="12.75">
      <c r="F516" s="2"/>
      <c r="H516" s="2"/>
      <c r="I516" s="2"/>
      <c r="J516" s="2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1"/>
    </row>
    <row r="517" spans="6:27" ht="12.75">
      <c r="F517" s="2"/>
      <c r="H517" s="2"/>
      <c r="I517" s="2"/>
      <c r="J517" s="2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1"/>
    </row>
    <row r="518" spans="6:27" ht="12.75">
      <c r="F518" s="2"/>
      <c r="H518" s="2"/>
      <c r="I518" s="2"/>
      <c r="J518" s="2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1"/>
    </row>
    <row r="519" spans="6:27" ht="12.75">
      <c r="F519" s="2"/>
      <c r="H519" s="2"/>
      <c r="I519" s="2"/>
      <c r="J519" s="2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1"/>
    </row>
    <row r="520" spans="6:27" ht="12.75">
      <c r="F520" s="2"/>
      <c r="H520" s="2"/>
      <c r="I520" s="2"/>
      <c r="J520" s="2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1"/>
    </row>
    <row r="521" spans="6:27" ht="12.75">
      <c r="F521" s="2"/>
      <c r="H521" s="2"/>
      <c r="I521" s="2"/>
      <c r="J521" s="2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1"/>
    </row>
    <row r="522" spans="6:27" ht="12.75">
      <c r="F522" s="2"/>
      <c r="H522" s="2"/>
      <c r="I522" s="2"/>
      <c r="J522" s="2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1"/>
    </row>
    <row r="523" spans="6:27" ht="12.75">
      <c r="F523" s="2"/>
      <c r="H523" s="2"/>
      <c r="I523" s="2"/>
      <c r="J523" s="2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1"/>
    </row>
    <row r="524" spans="6:27" ht="12.75">
      <c r="F524" s="2"/>
      <c r="H524" s="2"/>
      <c r="I524" s="2"/>
      <c r="J524" s="2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1"/>
    </row>
    <row r="525" spans="6:27" ht="12.75">
      <c r="F525" s="2"/>
      <c r="H525" s="2"/>
      <c r="I525" s="2"/>
      <c r="J525" s="2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1"/>
    </row>
    <row r="526" spans="6:27" ht="12.75">
      <c r="F526" s="2"/>
      <c r="H526" s="2"/>
      <c r="I526" s="2"/>
      <c r="J526" s="2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1"/>
    </row>
    <row r="527" spans="6:27" ht="12.75">
      <c r="F527" s="2"/>
      <c r="H527" s="2"/>
      <c r="I527" s="2"/>
      <c r="J527" s="2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1"/>
    </row>
    <row r="528" spans="6:27" ht="12.75">
      <c r="F528" s="2"/>
      <c r="H528" s="2"/>
      <c r="I528" s="2"/>
      <c r="J528" s="2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1"/>
    </row>
    <row r="529" spans="6:27" ht="12.75">
      <c r="F529" s="2"/>
      <c r="H529" s="2"/>
      <c r="I529" s="2"/>
      <c r="J529" s="2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1"/>
    </row>
    <row r="530" spans="6:27" ht="12.75">
      <c r="F530" s="2"/>
      <c r="H530" s="2"/>
      <c r="I530" s="2"/>
      <c r="J530" s="2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1"/>
    </row>
    <row r="531" spans="6:27" ht="12.75">
      <c r="F531" s="2"/>
      <c r="H531" s="2"/>
      <c r="I531" s="2"/>
      <c r="J531" s="2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1"/>
    </row>
    <row r="532" spans="6:27" ht="12.75">
      <c r="F532" s="2"/>
      <c r="H532" s="2"/>
      <c r="I532" s="2"/>
      <c r="J532" s="2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1"/>
    </row>
    <row r="533" spans="6:27" ht="12.75">
      <c r="F533" s="2"/>
      <c r="H533" s="2"/>
      <c r="I533" s="2"/>
      <c r="J533" s="2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1"/>
    </row>
    <row r="534" spans="6:27" ht="12.75">
      <c r="F534" s="2"/>
      <c r="H534" s="2"/>
      <c r="I534" s="2"/>
      <c r="J534" s="2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1"/>
    </row>
    <row r="535" spans="6:27" ht="12.75">
      <c r="F535" s="2"/>
      <c r="H535" s="2"/>
      <c r="I535" s="2"/>
      <c r="J535" s="2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1"/>
    </row>
    <row r="536" spans="6:27" ht="12.75">
      <c r="F536" s="2"/>
      <c r="H536" s="2"/>
      <c r="I536" s="2"/>
      <c r="J536" s="2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1"/>
    </row>
    <row r="537" spans="6:27" ht="12.75">
      <c r="F537" s="2"/>
      <c r="H537" s="2"/>
      <c r="I537" s="2"/>
      <c r="J537" s="2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1"/>
    </row>
    <row r="538" spans="6:27" ht="12.75">
      <c r="F538" s="2"/>
      <c r="H538" s="2"/>
      <c r="I538" s="2"/>
      <c r="J538" s="2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1"/>
    </row>
    <row r="539" spans="6:27" ht="12.75">
      <c r="F539" s="2"/>
      <c r="H539" s="2"/>
      <c r="I539" s="2"/>
      <c r="J539" s="2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1"/>
    </row>
    <row r="540" spans="6:27" ht="12.75">
      <c r="F540" s="2"/>
      <c r="H540" s="2"/>
      <c r="I540" s="2"/>
      <c r="J540" s="2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1"/>
    </row>
    <row r="541" spans="6:27" ht="12.75">
      <c r="F541" s="2"/>
      <c r="H541" s="2"/>
      <c r="I541" s="2"/>
      <c r="J541" s="2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1"/>
    </row>
    <row r="542" spans="6:27" ht="12.75">
      <c r="F542" s="2"/>
      <c r="H542" s="2"/>
      <c r="I542" s="2"/>
      <c r="J542" s="2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1"/>
    </row>
    <row r="543" spans="6:27" ht="12.75">
      <c r="F543" s="2"/>
      <c r="H543" s="2"/>
      <c r="I543" s="2"/>
      <c r="J543" s="2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1"/>
    </row>
    <row r="544" spans="6:27" ht="12.75">
      <c r="F544" s="2"/>
      <c r="H544" s="2"/>
      <c r="I544" s="2"/>
      <c r="J544" s="2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1"/>
    </row>
    <row r="545" spans="6:27" ht="12.75">
      <c r="F545" s="2"/>
      <c r="H545" s="2"/>
      <c r="I545" s="2"/>
      <c r="J545" s="2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1"/>
    </row>
    <row r="546" spans="6:27" ht="12.75">
      <c r="F546" s="2"/>
      <c r="H546" s="2"/>
      <c r="I546" s="2"/>
      <c r="J546" s="2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1"/>
    </row>
    <row r="547" spans="6:27" ht="12.75">
      <c r="F547" s="2"/>
      <c r="H547" s="2"/>
      <c r="I547" s="2"/>
      <c r="J547" s="2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1"/>
    </row>
    <row r="548" spans="6:27" ht="12.75">
      <c r="F548" s="2"/>
      <c r="H548" s="2"/>
      <c r="I548" s="2"/>
      <c r="J548" s="2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1"/>
    </row>
    <row r="549" spans="6:27" ht="12.75">
      <c r="F549" s="2"/>
      <c r="H549" s="2"/>
      <c r="I549" s="2"/>
      <c r="J549" s="2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1"/>
    </row>
    <row r="550" spans="6:27" ht="12.75">
      <c r="F550" s="2"/>
      <c r="H550" s="2"/>
      <c r="I550" s="2"/>
      <c r="J550" s="2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1"/>
    </row>
    <row r="551" spans="6:27" ht="12.75">
      <c r="F551" s="2"/>
      <c r="H551" s="2"/>
      <c r="I551" s="2"/>
      <c r="J551" s="2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1"/>
    </row>
    <row r="552" spans="6:27" ht="12.75">
      <c r="F552" s="2"/>
      <c r="H552" s="2"/>
      <c r="I552" s="2"/>
      <c r="J552" s="2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1"/>
    </row>
    <row r="553" spans="6:27" ht="12.75">
      <c r="F553" s="2"/>
      <c r="H553" s="2"/>
      <c r="I553" s="2"/>
      <c r="J553" s="2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1"/>
    </row>
    <row r="554" spans="6:27" ht="12.75">
      <c r="F554" s="2"/>
      <c r="H554" s="2"/>
      <c r="I554" s="2"/>
      <c r="J554" s="2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1"/>
    </row>
    <row r="555" spans="6:27" ht="12.75">
      <c r="F555" s="2"/>
      <c r="H555" s="2"/>
      <c r="I555" s="2"/>
      <c r="J555" s="2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1"/>
    </row>
    <row r="556" spans="6:27" ht="12.75">
      <c r="F556" s="2"/>
      <c r="H556" s="2"/>
      <c r="I556" s="2"/>
      <c r="J556" s="2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1"/>
    </row>
    <row r="557" spans="6:27" ht="12.75">
      <c r="F557" s="2"/>
      <c r="H557" s="2"/>
      <c r="I557" s="2"/>
      <c r="J557" s="2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1"/>
    </row>
    <row r="558" spans="6:27" ht="12.75">
      <c r="F558" s="2"/>
      <c r="H558" s="2"/>
      <c r="I558" s="2"/>
      <c r="J558" s="2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1"/>
    </row>
    <row r="559" spans="6:27" ht="12.75">
      <c r="F559" s="2"/>
      <c r="H559" s="2"/>
      <c r="I559" s="2"/>
      <c r="J559" s="2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1"/>
    </row>
    <row r="560" spans="6:27" ht="12.75">
      <c r="F560" s="2"/>
      <c r="H560" s="2"/>
      <c r="I560" s="2"/>
      <c r="J560" s="2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1"/>
    </row>
    <row r="561" spans="6:27" ht="12.75">
      <c r="F561" s="2"/>
      <c r="H561" s="2"/>
      <c r="I561" s="2"/>
      <c r="J561" s="2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1"/>
    </row>
    <row r="562" spans="6:27" ht="12.75">
      <c r="F562" s="2"/>
      <c r="H562" s="2"/>
      <c r="I562" s="2"/>
      <c r="J562" s="2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1"/>
    </row>
    <row r="563" spans="6:27" ht="12.75">
      <c r="F563" s="2"/>
      <c r="H563" s="2"/>
      <c r="I563" s="2"/>
      <c r="J563" s="2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1"/>
    </row>
    <row r="564" spans="6:27" ht="12.75">
      <c r="F564" s="2"/>
      <c r="H564" s="2"/>
      <c r="I564" s="2"/>
      <c r="J564" s="2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1"/>
    </row>
    <row r="565" spans="6:27" ht="12.75">
      <c r="F565" s="2"/>
      <c r="H565" s="2"/>
      <c r="I565" s="2"/>
      <c r="J565" s="2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1"/>
    </row>
    <row r="566" spans="6:27" ht="12.75">
      <c r="F566" s="2"/>
      <c r="H566" s="2"/>
      <c r="I566" s="2"/>
      <c r="J566" s="2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1"/>
    </row>
    <row r="567" spans="6:27" ht="12.75">
      <c r="F567" s="2"/>
      <c r="H567" s="2"/>
      <c r="I567" s="2"/>
      <c r="J567" s="2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1"/>
    </row>
    <row r="568" spans="6:27" ht="12.75">
      <c r="F568" s="2"/>
      <c r="H568" s="2"/>
      <c r="I568" s="2"/>
      <c r="J568" s="2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1"/>
    </row>
    <row r="569" spans="6:27" ht="12.75">
      <c r="F569" s="2"/>
      <c r="H569" s="2"/>
      <c r="I569" s="2"/>
      <c r="J569" s="2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1"/>
    </row>
    <row r="570" spans="6:27" ht="12.75">
      <c r="F570" s="2"/>
      <c r="H570" s="2"/>
      <c r="I570" s="2"/>
      <c r="J570" s="2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1"/>
    </row>
    <row r="571" spans="6:27" ht="12.75">
      <c r="F571" s="2"/>
      <c r="H571" s="2"/>
      <c r="I571" s="2"/>
      <c r="J571" s="2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1"/>
    </row>
    <row r="572" spans="6:27" ht="12.75">
      <c r="F572" s="2"/>
      <c r="H572" s="2"/>
      <c r="I572" s="2"/>
      <c r="J572" s="2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1"/>
    </row>
    <row r="573" spans="6:27" ht="12.75">
      <c r="F573" s="2"/>
      <c r="H573" s="2"/>
      <c r="I573" s="2"/>
      <c r="J573" s="2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1"/>
    </row>
    <row r="574" spans="6:27" ht="12.75">
      <c r="F574" s="2"/>
      <c r="H574" s="2"/>
      <c r="I574" s="2"/>
      <c r="J574" s="2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1"/>
    </row>
    <row r="575" spans="6:27" ht="12.75">
      <c r="F575" s="2"/>
      <c r="H575" s="2"/>
      <c r="I575" s="2"/>
      <c r="J575" s="2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1"/>
    </row>
    <row r="576" spans="6:27" ht="12.75">
      <c r="F576" s="2"/>
      <c r="H576" s="2"/>
      <c r="I576" s="2"/>
      <c r="J576" s="2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1"/>
    </row>
    <row r="577" spans="6:27" ht="12.75">
      <c r="F577" s="2"/>
      <c r="H577" s="2"/>
      <c r="I577" s="2"/>
      <c r="J577" s="2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1"/>
    </row>
    <row r="578" spans="6:27" ht="12.75">
      <c r="F578" s="2"/>
      <c r="H578" s="2"/>
      <c r="I578" s="2"/>
      <c r="J578" s="2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1"/>
    </row>
    <row r="579" spans="6:27" ht="12.75">
      <c r="F579" s="2"/>
      <c r="H579" s="2"/>
      <c r="I579" s="2"/>
      <c r="J579" s="2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1"/>
    </row>
    <row r="580" spans="6:27" ht="12.75">
      <c r="F580" s="2"/>
      <c r="H580" s="2"/>
      <c r="I580" s="2"/>
      <c r="J580" s="2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1"/>
    </row>
    <row r="581" spans="6:27" ht="12.75">
      <c r="F581" s="2"/>
      <c r="H581" s="2"/>
      <c r="I581" s="2"/>
      <c r="J581" s="2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1"/>
    </row>
    <row r="582" spans="6:27" ht="12.75">
      <c r="F582" s="2"/>
      <c r="H582" s="2"/>
      <c r="I582" s="2"/>
      <c r="J582" s="2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1"/>
    </row>
    <row r="583" spans="6:27" ht="12.75">
      <c r="F583" s="2"/>
      <c r="H583" s="2"/>
      <c r="I583" s="2"/>
      <c r="J583" s="2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1"/>
    </row>
    <row r="584" spans="6:27" ht="12.75">
      <c r="F584" s="2"/>
      <c r="H584" s="2"/>
      <c r="I584" s="2"/>
      <c r="J584" s="2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1"/>
    </row>
    <row r="585" spans="6:27" ht="12.75">
      <c r="F585" s="2"/>
      <c r="H585" s="2"/>
      <c r="I585" s="2"/>
      <c r="J585" s="2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1"/>
    </row>
    <row r="586" spans="6:27" ht="12.75">
      <c r="F586" s="2"/>
      <c r="H586" s="2"/>
      <c r="I586" s="2"/>
      <c r="J586" s="2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1"/>
    </row>
    <row r="587" spans="6:27" ht="12.75">
      <c r="F587" s="2"/>
      <c r="H587" s="2"/>
      <c r="I587" s="2"/>
      <c r="J587" s="2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1"/>
    </row>
    <row r="588" spans="6:27" ht="12.75">
      <c r="F588" s="2"/>
      <c r="H588" s="2"/>
      <c r="I588" s="2"/>
      <c r="J588" s="2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1"/>
    </row>
    <row r="589" spans="6:27" ht="12.75">
      <c r="F589" s="2"/>
      <c r="H589" s="2"/>
      <c r="I589" s="2"/>
      <c r="J589" s="2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1"/>
    </row>
    <row r="590" spans="6:27" ht="12.75">
      <c r="F590" s="2"/>
      <c r="H590" s="2"/>
      <c r="I590" s="2"/>
      <c r="J590" s="2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1"/>
    </row>
    <row r="591" spans="6:27" ht="12.75">
      <c r="F591" s="2"/>
      <c r="H591" s="2"/>
      <c r="I591" s="2"/>
      <c r="J591" s="2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1"/>
    </row>
    <row r="592" spans="6:27" ht="12.75">
      <c r="F592" s="2"/>
      <c r="H592" s="2"/>
      <c r="I592" s="2"/>
      <c r="J592" s="2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1"/>
    </row>
    <row r="593" spans="6:27" ht="12.75">
      <c r="F593" s="2"/>
      <c r="H593" s="2"/>
      <c r="I593" s="2"/>
      <c r="J593" s="2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1"/>
    </row>
    <row r="594" spans="6:27" ht="12.75">
      <c r="F594" s="2"/>
      <c r="H594" s="2"/>
      <c r="I594" s="2"/>
      <c r="J594" s="2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1"/>
    </row>
    <row r="595" spans="6:27" ht="12.75">
      <c r="F595" s="2"/>
      <c r="H595" s="2"/>
      <c r="I595" s="2"/>
      <c r="J595" s="2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1"/>
    </row>
    <row r="596" spans="6:27" ht="12.75">
      <c r="F596" s="2"/>
      <c r="H596" s="2"/>
      <c r="I596" s="2"/>
      <c r="J596" s="2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1"/>
    </row>
    <row r="597" spans="6:27" ht="12.75">
      <c r="F597" s="2"/>
      <c r="H597" s="2"/>
      <c r="I597" s="2"/>
      <c r="J597" s="2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1"/>
    </row>
    <row r="598" spans="6:27" ht="12.75">
      <c r="F598" s="2"/>
      <c r="H598" s="2"/>
      <c r="I598" s="2"/>
      <c r="J598" s="2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1"/>
    </row>
    <row r="599" spans="6:27" ht="12.75">
      <c r="F599" s="2"/>
      <c r="H599" s="2"/>
      <c r="I599" s="2"/>
      <c r="J599" s="2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1"/>
    </row>
    <row r="600" spans="6:27" ht="12.75">
      <c r="F600" s="2"/>
      <c r="H600" s="2"/>
      <c r="I600" s="2"/>
      <c r="J600" s="2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1"/>
    </row>
    <row r="601" spans="6:27" ht="12.75">
      <c r="F601" s="2"/>
      <c r="H601" s="2"/>
      <c r="I601" s="2"/>
      <c r="J601" s="2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1"/>
    </row>
    <row r="602" spans="6:27" ht="12.75">
      <c r="F602" s="2"/>
      <c r="H602" s="2"/>
      <c r="I602" s="2"/>
      <c r="J602" s="2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1"/>
    </row>
    <row r="603" spans="6:27" ht="12.75">
      <c r="F603" s="2"/>
      <c r="H603" s="2"/>
      <c r="I603" s="2"/>
      <c r="J603" s="2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1"/>
    </row>
    <row r="604" spans="6:27" ht="12.75">
      <c r="F604" s="2"/>
      <c r="H604" s="2"/>
      <c r="I604" s="2"/>
      <c r="J604" s="2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1"/>
    </row>
    <row r="605" spans="6:27" ht="12.75">
      <c r="F605" s="2"/>
      <c r="H605" s="2"/>
      <c r="I605" s="2"/>
      <c r="J605" s="2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1"/>
    </row>
    <row r="606" spans="6:27" ht="12.75">
      <c r="F606" s="2"/>
      <c r="H606" s="2"/>
      <c r="I606" s="2"/>
      <c r="J606" s="2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1"/>
    </row>
    <row r="607" spans="6:27" ht="12.75">
      <c r="F607" s="2"/>
      <c r="H607" s="2"/>
      <c r="I607" s="2"/>
      <c r="J607" s="2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1"/>
    </row>
    <row r="608" spans="6:27" ht="12.75">
      <c r="F608" s="2"/>
      <c r="H608" s="2"/>
      <c r="I608" s="2"/>
      <c r="J608" s="2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1"/>
    </row>
    <row r="609" spans="6:27" ht="12.75">
      <c r="F609" s="2"/>
      <c r="H609" s="2"/>
      <c r="I609" s="2"/>
      <c r="J609" s="2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1"/>
    </row>
    <row r="610" spans="6:27" ht="12.75">
      <c r="F610" s="2"/>
      <c r="H610" s="2"/>
      <c r="I610" s="2"/>
      <c r="J610" s="2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1"/>
    </row>
    <row r="611" spans="6:27" ht="12.75">
      <c r="F611" s="2"/>
      <c r="H611" s="2"/>
      <c r="I611" s="2"/>
      <c r="J611" s="2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1"/>
    </row>
    <row r="612" spans="6:27" ht="12.75">
      <c r="F612" s="2"/>
      <c r="H612" s="2"/>
      <c r="I612" s="2"/>
      <c r="J612" s="2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1"/>
    </row>
    <row r="613" spans="6:27" ht="12.75">
      <c r="F613" s="2"/>
      <c r="H613" s="2"/>
      <c r="I613" s="2"/>
      <c r="J613" s="2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1"/>
    </row>
    <row r="614" spans="6:27" ht="12.75">
      <c r="F614" s="2"/>
      <c r="H614" s="2"/>
      <c r="I614" s="2"/>
      <c r="J614" s="2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1"/>
    </row>
    <row r="615" spans="6:27" ht="12.75">
      <c r="F615" s="2"/>
      <c r="H615" s="2"/>
      <c r="I615" s="2"/>
      <c r="J615" s="2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1"/>
    </row>
    <row r="616" spans="6:27" ht="12.75">
      <c r="F616" s="2"/>
      <c r="H616" s="2"/>
      <c r="I616" s="2"/>
      <c r="J616" s="2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1"/>
    </row>
    <row r="617" spans="6:27" ht="12.75">
      <c r="F617" s="2"/>
      <c r="H617" s="2"/>
      <c r="I617" s="2"/>
      <c r="J617" s="2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1"/>
    </row>
    <row r="618" spans="6:27" ht="12.75">
      <c r="F618" s="2"/>
      <c r="H618" s="2"/>
      <c r="I618" s="2"/>
      <c r="J618" s="2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1"/>
    </row>
    <row r="619" spans="6:27" ht="12.75">
      <c r="F619" s="2"/>
      <c r="H619" s="2"/>
      <c r="I619" s="2"/>
      <c r="J619" s="2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1"/>
    </row>
    <row r="620" spans="6:27" ht="12.75">
      <c r="F620" s="2"/>
      <c r="H620" s="2"/>
      <c r="I620" s="2"/>
      <c r="J620" s="2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1"/>
    </row>
    <row r="621" spans="6:27" ht="12.75">
      <c r="F621" s="2"/>
      <c r="H621" s="2"/>
      <c r="I621" s="2"/>
      <c r="J621" s="2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1"/>
    </row>
    <row r="622" spans="6:27" ht="12.75">
      <c r="F622" s="2"/>
      <c r="H622" s="2"/>
      <c r="I622" s="2"/>
      <c r="J622" s="2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1"/>
    </row>
    <row r="623" spans="6:27" ht="12.75">
      <c r="F623" s="2"/>
      <c r="H623" s="2"/>
      <c r="I623" s="2"/>
      <c r="J623" s="2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1"/>
    </row>
    <row r="624" spans="6:27" ht="12.75">
      <c r="F624" s="2"/>
      <c r="H624" s="2"/>
      <c r="I624" s="2"/>
      <c r="J624" s="2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1"/>
    </row>
    <row r="625" spans="6:27" ht="12.75">
      <c r="F625" s="2"/>
      <c r="H625" s="2"/>
      <c r="I625" s="2"/>
      <c r="J625" s="2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1"/>
    </row>
    <row r="626" spans="6:27" ht="12.75">
      <c r="F626" s="2"/>
      <c r="H626" s="2"/>
      <c r="I626" s="2"/>
      <c r="J626" s="2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1"/>
    </row>
    <row r="627" spans="6:27" ht="12.75">
      <c r="F627" s="2"/>
      <c r="H627" s="2"/>
      <c r="I627" s="2"/>
      <c r="J627" s="2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1"/>
    </row>
    <row r="628" spans="6:27" ht="12.75">
      <c r="F628" s="2"/>
      <c r="H628" s="2"/>
      <c r="I628" s="2"/>
      <c r="J628" s="2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1"/>
    </row>
    <row r="629" spans="6:27" ht="12.75">
      <c r="F629" s="2"/>
      <c r="H629" s="2"/>
      <c r="I629" s="2"/>
      <c r="J629" s="2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1"/>
    </row>
    <row r="630" spans="6:27" ht="12.75">
      <c r="F630" s="2"/>
      <c r="H630" s="2"/>
      <c r="I630" s="2"/>
      <c r="J630" s="2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1"/>
    </row>
    <row r="631" spans="6:27" ht="12.75">
      <c r="F631" s="2"/>
      <c r="H631" s="2"/>
      <c r="I631" s="2"/>
      <c r="J631" s="2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1"/>
    </row>
    <row r="632" spans="6:27" ht="12.75">
      <c r="F632" s="2"/>
      <c r="H632" s="2"/>
      <c r="I632" s="2"/>
      <c r="J632" s="2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1"/>
    </row>
    <row r="633" spans="6:27" ht="12.75">
      <c r="F633" s="2"/>
      <c r="H633" s="2"/>
      <c r="I633" s="2"/>
      <c r="J633" s="2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1"/>
    </row>
    <row r="634" spans="6:27" ht="12.75">
      <c r="F634" s="2"/>
      <c r="H634" s="2"/>
      <c r="I634" s="2"/>
      <c r="J634" s="2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1"/>
    </row>
    <row r="635" spans="6:27" ht="12.75">
      <c r="F635" s="2"/>
      <c r="H635" s="2"/>
      <c r="I635" s="2"/>
      <c r="J635" s="2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1"/>
    </row>
    <row r="636" spans="6:27" ht="12.75">
      <c r="F636" s="2"/>
      <c r="H636" s="2"/>
      <c r="I636" s="2"/>
      <c r="J636" s="2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1"/>
    </row>
    <row r="637" spans="6:27" ht="12.75">
      <c r="F637" s="2"/>
      <c r="H637" s="2"/>
      <c r="I637" s="2"/>
      <c r="J637" s="2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1"/>
    </row>
    <row r="638" spans="6:27" ht="12.75">
      <c r="F638" s="2"/>
      <c r="H638" s="2"/>
      <c r="I638" s="2"/>
      <c r="J638" s="2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1"/>
    </row>
    <row r="639" spans="6:27" ht="12.75">
      <c r="F639" s="2"/>
      <c r="H639" s="2"/>
      <c r="I639" s="2"/>
      <c r="J639" s="2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1"/>
    </row>
    <row r="640" spans="6:27" ht="12.75">
      <c r="F640" s="2"/>
      <c r="H640" s="2"/>
      <c r="I640" s="2"/>
      <c r="J640" s="2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1"/>
    </row>
    <row r="641" spans="6:27" ht="12.75">
      <c r="F641" s="2"/>
      <c r="H641" s="2"/>
      <c r="I641" s="2"/>
      <c r="J641" s="2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1"/>
    </row>
    <row r="642" spans="6:27" ht="12.75">
      <c r="F642" s="2"/>
      <c r="H642" s="2"/>
      <c r="I642" s="2"/>
      <c r="J642" s="2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1"/>
    </row>
    <row r="643" spans="6:27" ht="12.75">
      <c r="F643" s="2"/>
      <c r="H643" s="2"/>
      <c r="I643" s="2"/>
      <c r="J643" s="2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1"/>
    </row>
    <row r="644" spans="6:27" ht="12.75">
      <c r="F644" s="2"/>
      <c r="H644" s="2"/>
      <c r="I644" s="2"/>
      <c r="J644" s="2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1"/>
    </row>
    <row r="645" spans="6:27" ht="12.75">
      <c r="F645" s="2"/>
      <c r="H645" s="2"/>
      <c r="I645" s="2"/>
      <c r="J645" s="2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1"/>
    </row>
    <row r="646" spans="6:27" ht="12.75">
      <c r="F646" s="2"/>
      <c r="H646" s="2"/>
      <c r="I646" s="2"/>
      <c r="J646" s="2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1"/>
    </row>
    <row r="647" spans="6:27" ht="12.75">
      <c r="F647" s="2"/>
      <c r="H647" s="2"/>
      <c r="I647" s="2"/>
      <c r="J647" s="2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1"/>
    </row>
    <row r="648" spans="6:27" ht="12.75">
      <c r="F648" s="2"/>
      <c r="H648" s="2"/>
      <c r="I648" s="2"/>
      <c r="J648" s="2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1"/>
    </row>
    <row r="649" spans="6:27" ht="12.75">
      <c r="F649" s="2"/>
      <c r="H649" s="2"/>
      <c r="I649" s="2"/>
      <c r="J649" s="2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1"/>
    </row>
    <row r="650" spans="6:27" ht="12.75">
      <c r="F650" s="2"/>
      <c r="H650" s="2"/>
      <c r="I650" s="2"/>
      <c r="J650" s="2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1"/>
    </row>
    <row r="651" spans="6:27" ht="12.75">
      <c r="F651" s="2"/>
      <c r="H651" s="2"/>
      <c r="I651" s="2"/>
      <c r="J651" s="2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1"/>
    </row>
    <row r="652" spans="6:27" ht="12.75">
      <c r="F652" s="2"/>
      <c r="H652" s="2"/>
      <c r="I652" s="2"/>
      <c r="J652" s="2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1"/>
    </row>
    <row r="653" spans="6:27" ht="12.75">
      <c r="F653" s="2"/>
      <c r="H653" s="2"/>
      <c r="I653" s="2"/>
      <c r="J653" s="2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1"/>
    </row>
    <row r="654" spans="6:27" ht="12.75">
      <c r="F654" s="2"/>
      <c r="H654" s="2"/>
      <c r="I654" s="2"/>
      <c r="J654" s="2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1"/>
    </row>
    <row r="655" spans="6:27" ht="12.75">
      <c r="F655" s="2"/>
      <c r="H655" s="2"/>
      <c r="I655" s="2"/>
      <c r="J655" s="2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1"/>
    </row>
    <row r="656" spans="6:27" ht="12.75">
      <c r="F656" s="2"/>
      <c r="H656" s="2"/>
      <c r="I656" s="2"/>
      <c r="J656" s="2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1"/>
    </row>
    <row r="657" spans="6:27" ht="12.75">
      <c r="F657" s="2"/>
      <c r="H657" s="2"/>
      <c r="I657" s="2"/>
      <c r="J657" s="2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1"/>
    </row>
    <row r="658" spans="6:27" ht="12.75">
      <c r="F658" s="2"/>
      <c r="H658" s="2"/>
      <c r="I658" s="2"/>
      <c r="J658" s="2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1"/>
    </row>
    <row r="659" spans="6:27" ht="12.75">
      <c r="F659" s="2"/>
      <c r="H659" s="2"/>
      <c r="I659" s="2"/>
      <c r="J659" s="2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1"/>
    </row>
    <row r="660" spans="6:27" ht="12.75">
      <c r="F660" s="2"/>
      <c r="H660" s="2"/>
      <c r="I660" s="2"/>
      <c r="J660" s="2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1"/>
    </row>
    <row r="661" spans="6:27" ht="12.75">
      <c r="F661" s="2"/>
      <c r="H661" s="2"/>
      <c r="I661" s="2"/>
      <c r="J661" s="2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1"/>
    </row>
    <row r="662" spans="6:27" ht="12.75">
      <c r="F662" s="2"/>
      <c r="H662" s="2"/>
      <c r="I662" s="2"/>
      <c r="J662" s="2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1"/>
    </row>
    <row r="663" spans="6:27" ht="12.75">
      <c r="F663" s="2"/>
      <c r="H663" s="2"/>
      <c r="I663" s="2"/>
      <c r="J663" s="2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1"/>
    </row>
    <row r="664" spans="6:27" ht="12.75">
      <c r="F664" s="2"/>
      <c r="H664" s="2"/>
      <c r="I664" s="2"/>
      <c r="J664" s="2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1"/>
    </row>
    <row r="665" spans="6:27" ht="12.75">
      <c r="F665" s="2"/>
      <c r="H665" s="2"/>
      <c r="I665" s="2"/>
      <c r="J665" s="2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1"/>
    </row>
    <row r="666" spans="6:27" ht="12.75">
      <c r="F666" s="2"/>
      <c r="H666" s="2"/>
      <c r="I666" s="2"/>
      <c r="J666" s="2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1"/>
    </row>
    <row r="667" spans="6:27" ht="12.75">
      <c r="F667" s="2"/>
      <c r="H667" s="2"/>
      <c r="I667" s="2"/>
      <c r="J667" s="2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1"/>
    </row>
    <row r="668" spans="6:27" ht="12.75">
      <c r="F668" s="2"/>
      <c r="H668" s="2"/>
      <c r="I668" s="2"/>
      <c r="J668" s="2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1"/>
    </row>
    <row r="669" spans="6:27" ht="12.75">
      <c r="F669" s="2"/>
      <c r="H669" s="2"/>
      <c r="I669" s="2"/>
      <c r="J669" s="2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1"/>
    </row>
    <row r="670" spans="6:27" ht="12.75">
      <c r="F670" s="2"/>
      <c r="H670" s="2"/>
      <c r="I670" s="2"/>
      <c r="J670" s="2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1"/>
    </row>
    <row r="671" spans="6:27" ht="12.75">
      <c r="F671" s="2"/>
      <c r="H671" s="2"/>
      <c r="I671" s="2"/>
      <c r="J671" s="2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1"/>
    </row>
    <row r="672" spans="6:27" ht="12.75">
      <c r="F672" s="2"/>
      <c r="H672" s="2"/>
      <c r="I672" s="2"/>
      <c r="J672" s="2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1"/>
    </row>
    <row r="673" spans="6:27" ht="12.75">
      <c r="F673" s="2"/>
      <c r="H673" s="2"/>
      <c r="I673" s="2"/>
      <c r="J673" s="2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1"/>
    </row>
    <row r="674" spans="6:27" ht="12.75">
      <c r="F674" s="2"/>
      <c r="H674" s="2"/>
      <c r="I674" s="2"/>
      <c r="J674" s="2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1"/>
    </row>
    <row r="675" spans="6:27" ht="12.75">
      <c r="F675" s="2"/>
      <c r="H675" s="2"/>
      <c r="I675" s="2"/>
      <c r="J675" s="2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1"/>
    </row>
    <row r="676" spans="6:27" ht="12.75">
      <c r="F676" s="2"/>
      <c r="H676" s="2"/>
      <c r="I676" s="2"/>
      <c r="J676" s="2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1"/>
    </row>
    <row r="677" spans="6:27" ht="12.75">
      <c r="F677" s="2"/>
      <c r="H677" s="2"/>
      <c r="I677" s="2"/>
      <c r="J677" s="2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1"/>
    </row>
    <row r="678" spans="6:27" ht="12.75">
      <c r="F678" s="2"/>
      <c r="H678" s="2"/>
      <c r="I678" s="2"/>
      <c r="J678" s="2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1"/>
    </row>
    <row r="679" spans="6:27" ht="12.75">
      <c r="F679" s="2"/>
      <c r="H679" s="2"/>
      <c r="I679" s="2"/>
      <c r="J679" s="2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1"/>
    </row>
    <row r="680" spans="6:27" ht="12.75">
      <c r="F680" s="2"/>
      <c r="H680" s="2"/>
      <c r="I680" s="2"/>
      <c r="J680" s="2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1"/>
    </row>
    <row r="681" spans="6:27" ht="12.75">
      <c r="F681" s="2"/>
      <c r="H681" s="2"/>
      <c r="I681" s="2"/>
      <c r="J681" s="2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1"/>
    </row>
    <row r="682" spans="6:27" ht="12.75">
      <c r="F682" s="2"/>
      <c r="H682" s="2"/>
      <c r="I682" s="2"/>
      <c r="J682" s="2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1"/>
    </row>
    <row r="683" spans="6:27" ht="12.75">
      <c r="F683" s="2"/>
      <c r="H683" s="2"/>
      <c r="I683" s="2"/>
      <c r="J683" s="2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1"/>
    </row>
    <row r="684" spans="6:27" ht="12.75">
      <c r="F684" s="2"/>
      <c r="H684" s="2"/>
      <c r="I684" s="2"/>
      <c r="J684" s="2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1"/>
    </row>
    <row r="685" spans="6:27" ht="12.75">
      <c r="F685" s="2"/>
      <c r="H685" s="2"/>
      <c r="I685" s="2"/>
      <c r="J685" s="2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1"/>
    </row>
    <row r="686" spans="6:27" ht="12.75">
      <c r="F686" s="2"/>
      <c r="H686" s="2"/>
      <c r="I686" s="2"/>
      <c r="J686" s="2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1"/>
    </row>
    <row r="687" spans="6:27" ht="12.75">
      <c r="F687" s="2"/>
      <c r="H687" s="2"/>
      <c r="I687" s="2"/>
      <c r="J687" s="2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1"/>
    </row>
    <row r="688" spans="6:27" ht="12.75">
      <c r="F688" s="2"/>
      <c r="H688" s="2"/>
      <c r="I688" s="2"/>
      <c r="J688" s="2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1"/>
    </row>
    <row r="689" spans="6:27" ht="12.75">
      <c r="F689" s="2"/>
      <c r="H689" s="2"/>
      <c r="I689" s="2"/>
      <c r="J689" s="2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1"/>
    </row>
    <row r="690" spans="6:27" ht="12.75">
      <c r="F690" s="2"/>
      <c r="H690" s="2"/>
      <c r="I690" s="2"/>
      <c r="J690" s="2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1"/>
    </row>
    <row r="691" spans="6:27" ht="12.75">
      <c r="F691" s="2"/>
      <c r="H691" s="2"/>
      <c r="I691" s="2"/>
      <c r="J691" s="2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1"/>
    </row>
    <row r="692" spans="6:27" ht="12.75">
      <c r="F692" s="2"/>
      <c r="H692" s="2"/>
      <c r="I692" s="2"/>
      <c r="J692" s="2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1"/>
    </row>
    <row r="693" spans="6:27" ht="12.75">
      <c r="F693" s="2"/>
      <c r="H693" s="2"/>
      <c r="I693" s="2"/>
      <c r="J693" s="2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1"/>
    </row>
    <row r="694" spans="6:27" ht="12.75">
      <c r="F694" s="2"/>
      <c r="H694" s="2"/>
      <c r="I694" s="2"/>
      <c r="J694" s="2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1"/>
    </row>
    <row r="695" spans="6:27" ht="12.75">
      <c r="F695" s="2"/>
      <c r="H695" s="2"/>
      <c r="I695" s="2"/>
      <c r="J695" s="2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1"/>
    </row>
    <row r="696" spans="6:27" ht="12.75">
      <c r="F696" s="2"/>
      <c r="H696" s="2"/>
      <c r="I696" s="2"/>
      <c r="J696" s="2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1"/>
    </row>
    <row r="697" spans="6:27" ht="12.75">
      <c r="F697" s="2"/>
      <c r="H697" s="2"/>
      <c r="I697" s="2"/>
      <c r="J697" s="2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1"/>
    </row>
    <row r="698" spans="6:27" ht="12.75">
      <c r="F698" s="2"/>
      <c r="H698" s="2"/>
      <c r="I698" s="2"/>
      <c r="J698" s="2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1"/>
    </row>
    <row r="699" spans="6:27" ht="12.75">
      <c r="F699" s="2"/>
      <c r="H699" s="2"/>
      <c r="I699" s="2"/>
      <c r="J699" s="2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1"/>
    </row>
    <row r="700" spans="6:27" ht="12.75">
      <c r="F700" s="2"/>
      <c r="H700" s="2"/>
      <c r="I700" s="2"/>
      <c r="J700" s="2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1"/>
    </row>
    <row r="701" spans="6:27" ht="12.75">
      <c r="F701" s="2"/>
      <c r="H701" s="2"/>
      <c r="I701" s="2"/>
      <c r="J701" s="2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1"/>
    </row>
    <row r="702" spans="6:27" ht="12.75">
      <c r="F702" s="2"/>
      <c r="H702" s="2"/>
      <c r="I702" s="2"/>
      <c r="J702" s="2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1"/>
    </row>
    <row r="703" spans="6:27" ht="12.75">
      <c r="F703" s="2"/>
      <c r="H703" s="2"/>
      <c r="I703" s="2"/>
      <c r="J703" s="2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1"/>
    </row>
    <row r="704" spans="6:27" ht="12.75">
      <c r="F704" s="2"/>
      <c r="H704" s="2"/>
      <c r="I704" s="2"/>
      <c r="J704" s="2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1"/>
    </row>
    <row r="705" spans="6:27" ht="12.75">
      <c r="F705" s="2"/>
      <c r="H705" s="2"/>
      <c r="I705" s="2"/>
      <c r="J705" s="2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1"/>
    </row>
    <row r="706" spans="6:27" ht="12.75">
      <c r="F706" s="2"/>
      <c r="H706" s="2"/>
      <c r="I706" s="2"/>
      <c r="J706" s="2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1"/>
    </row>
    <row r="707" spans="6:27" ht="12.75">
      <c r="F707" s="2"/>
      <c r="H707" s="2"/>
      <c r="I707" s="2"/>
      <c r="J707" s="2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1"/>
    </row>
    <row r="708" spans="6:27" ht="12.75">
      <c r="F708" s="2"/>
      <c r="H708" s="2"/>
      <c r="I708" s="2"/>
      <c r="J708" s="2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1"/>
    </row>
    <row r="709" spans="6:27" ht="12.75">
      <c r="F709" s="2"/>
      <c r="H709" s="2"/>
      <c r="I709" s="2"/>
      <c r="J709" s="2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1"/>
    </row>
    <row r="710" spans="6:27" ht="12.75">
      <c r="F710" s="2"/>
      <c r="H710" s="2"/>
      <c r="I710" s="2"/>
      <c r="J710" s="2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1"/>
    </row>
    <row r="711" spans="6:27" ht="12.75">
      <c r="F711" s="2"/>
      <c r="H711" s="2"/>
      <c r="I711" s="2"/>
      <c r="J711" s="2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1"/>
    </row>
    <row r="712" spans="6:27" ht="12.75">
      <c r="F712" s="2"/>
      <c r="H712" s="2"/>
      <c r="I712" s="2"/>
      <c r="J712" s="2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1"/>
    </row>
    <row r="713" spans="6:27" ht="12.75">
      <c r="F713" s="2"/>
      <c r="H713" s="2"/>
      <c r="I713" s="2"/>
      <c r="J713" s="2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1"/>
    </row>
    <row r="714" spans="6:27" ht="12.75">
      <c r="F714" s="2"/>
      <c r="H714" s="2"/>
      <c r="I714" s="2"/>
      <c r="J714" s="2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1"/>
    </row>
    <row r="715" spans="6:27" ht="12.75">
      <c r="F715" s="2"/>
      <c r="H715" s="2"/>
      <c r="I715" s="2"/>
      <c r="J715" s="2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1"/>
    </row>
    <row r="716" spans="6:27" ht="12.75">
      <c r="F716" s="2"/>
      <c r="H716" s="2"/>
      <c r="I716" s="2"/>
      <c r="J716" s="2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1"/>
    </row>
    <row r="717" spans="6:27" ht="12.75">
      <c r="F717" s="2"/>
      <c r="H717" s="2"/>
      <c r="I717" s="2"/>
      <c r="J717" s="2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1"/>
    </row>
    <row r="718" spans="6:27" ht="12.75">
      <c r="F718" s="2"/>
      <c r="H718" s="2"/>
      <c r="I718" s="2"/>
      <c r="J718" s="2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1"/>
    </row>
    <row r="719" spans="6:27" ht="12.75">
      <c r="F719" s="2"/>
      <c r="H719" s="2"/>
      <c r="I719" s="2"/>
      <c r="J719" s="2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1"/>
    </row>
    <row r="720" spans="6:27" ht="12.75">
      <c r="F720" s="2"/>
      <c r="H720" s="2"/>
      <c r="I720" s="2"/>
      <c r="J720" s="2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1"/>
    </row>
    <row r="721" spans="6:27" ht="12.75">
      <c r="F721" s="2"/>
      <c r="H721" s="2"/>
      <c r="I721" s="2"/>
      <c r="J721" s="2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1"/>
    </row>
    <row r="722" spans="6:27" ht="12.75">
      <c r="F722" s="2"/>
      <c r="H722" s="2"/>
      <c r="I722" s="2"/>
      <c r="J722" s="2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1"/>
    </row>
    <row r="723" spans="6:27" ht="12.75">
      <c r="F723" s="2"/>
      <c r="H723" s="2"/>
      <c r="I723" s="2"/>
      <c r="J723" s="2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1"/>
    </row>
    <row r="724" spans="6:27" ht="12.75">
      <c r="F724" s="2"/>
      <c r="H724" s="2"/>
      <c r="I724" s="2"/>
      <c r="J724" s="2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1"/>
    </row>
    <row r="725" spans="6:27" ht="12.75">
      <c r="F725" s="2"/>
      <c r="H725" s="2"/>
      <c r="I725" s="2"/>
      <c r="J725" s="2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1"/>
    </row>
    <row r="726" spans="6:27" ht="12.75">
      <c r="F726" s="2"/>
      <c r="H726" s="2"/>
      <c r="I726" s="2"/>
      <c r="J726" s="2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1"/>
    </row>
    <row r="727" spans="6:27" ht="12.75">
      <c r="F727" s="2"/>
      <c r="H727" s="2"/>
      <c r="I727" s="2"/>
      <c r="J727" s="2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1"/>
    </row>
    <row r="728" spans="6:27" ht="12.75">
      <c r="F728" s="2"/>
      <c r="H728" s="2"/>
      <c r="I728" s="2"/>
      <c r="J728" s="2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1"/>
    </row>
    <row r="729" spans="6:27" ht="12.75">
      <c r="F729" s="2"/>
      <c r="H729" s="2"/>
      <c r="I729" s="2"/>
      <c r="J729" s="2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1"/>
    </row>
    <row r="730" spans="6:27" ht="12.75">
      <c r="F730" s="2"/>
      <c r="H730" s="2"/>
      <c r="I730" s="2"/>
      <c r="J730" s="2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1"/>
    </row>
    <row r="731" spans="6:27" ht="12.75">
      <c r="F731" s="2"/>
      <c r="H731" s="2"/>
      <c r="I731" s="2"/>
      <c r="J731" s="2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1"/>
    </row>
    <row r="732" spans="6:27" ht="12.75">
      <c r="F732" s="2"/>
      <c r="H732" s="2"/>
      <c r="I732" s="2"/>
      <c r="J732" s="2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1"/>
    </row>
    <row r="733" spans="6:27" ht="12.75">
      <c r="F733" s="2"/>
      <c r="H733" s="2"/>
      <c r="I733" s="2"/>
      <c r="J733" s="2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1"/>
    </row>
    <row r="734" spans="6:27" ht="12.75">
      <c r="F734" s="2"/>
      <c r="H734" s="2"/>
      <c r="I734" s="2"/>
      <c r="J734" s="2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1"/>
    </row>
    <row r="735" spans="6:27" ht="12.75">
      <c r="F735" s="2"/>
      <c r="H735" s="2"/>
      <c r="I735" s="2"/>
      <c r="J735" s="2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1"/>
    </row>
    <row r="736" spans="6:27" ht="12.75">
      <c r="F736" s="2"/>
      <c r="H736" s="2"/>
      <c r="I736" s="2"/>
      <c r="J736" s="2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1"/>
    </row>
    <row r="737" spans="6:27" ht="12.75">
      <c r="F737" s="2"/>
      <c r="H737" s="2"/>
      <c r="I737" s="2"/>
      <c r="J737" s="2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1"/>
    </row>
    <row r="738" spans="6:27" ht="12.75">
      <c r="F738" s="2"/>
      <c r="H738" s="2"/>
      <c r="I738" s="2"/>
      <c r="J738" s="2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1"/>
    </row>
    <row r="739" spans="6:27" ht="12.75">
      <c r="F739" s="2"/>
      <c r="H739" s="2"/>
      <c r="I739" s="2"/>
      <c r="J739" s="2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1"/>
    </row>
    <row r="740" spans="6:27" ht="12.75">
      <c r="F740" s="2"/>
      <c r="H740" s="2"/>
      <c r="I740" s="2"/>
      <c r="J740" s="2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1"/>
    </row>
    <row r="741" spans="6:27" ht="12.75">
      <c r="F741" s="2"/>
      <c r="H741" s="2"/>
      <c r="I741" s="2"/>
      <c r="J741" s="2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1"/>
    </row>
    <row r="742" spans="6:27" ht="12.75">
      <c r="F742" s="2"/>
      <c r="H742" s="2"/>
      <c r="I742" s="2"/>
      <c r="J742" s="2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1"/>
    </row>
    <row r="743" spans="6:27" ht="12.75">
      <c r="F743" s="2"/>
      <c r="H743" s="2"/>
      <c r="I743" s="2"/>
      <c r="J743" s="2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1"/>
    </row>
    <row r="744" spans="6:27" ht="12.75">
      <c r="F744" s="2"/>
      <c r="H744" s="2"/>
      <c r="I744" s="2"/>
      <c r="J744" s="2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1"/>
    </row>
    <row r="745" spans="6:27" ht="12.75">
      <c r="F745" s="2"/>
      <c r="H745" s="2"/>
      <c r="I745" s="2"/>
      <c r="J745" s="2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1"/>
    </row>
    <row r="746" spans="6:27" ht="12.75">
      <c r="F746" s="2"/>
      <c r="H746" s="2"/>
      <c r="I746" s="2"/>
      <c r="J746" s="2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1"/>
    </row>
    <row r="747" spans="6:27" ht="12.75">
      <c r="F747" s="2"/>
      <c r="H747" s="2"/>
      <c r="I747" s="2"/>
      <c r="J747" s="2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1"/>
    </row>
    <row r="748" spans="6:27" ht="12.75">
      <c r="F748" s="2"/>
      <c r="H748" s="2"/>
      <c r="I748" s="2"/>
      <c r="J748" s="2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1"/>
    </row>
    <row r="749" spans="6:27" ht="12.75">
      <c r="F749" s="2"/>
      <c r="H749" s="2"/>
      <c r="I749" s="2"/>
      <c r="J749" s="2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1"/>
    </row>
    <row r="750" spans="6:27" ht="12.75">
      <c r="F750" s="2"/>
      <c r="H750" s="2"/>
      <c r="I750" s="2"/>
      <c r="J750" s="2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1"/>
    </row>
    <row r="751" spans="6:27" ht="12.75">
      <c r="F751" s="2"/>
      <c r="H751" s="2"/>
      <c r="I751" s="2"/>
      <c r="J751" s="2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1"/>
    </row>
    <row r="752" spans="6:27" ht="12.75">
      <c r="F752" s="2"/>
      <c r="H752" s="2"/>
      <c r="I752" s="2"/>
      <c r="J752" s="2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1"/>
    </row>
    <row r="753" spans="6:27" ht="12.75">
      <c r="F753" s="2"/>
      <c r="H753" s="2"/>
      <c r="I753" s="2"/>
      <c r="J753" s="2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1"/>
    </row>
    <row r="754" spans="6:27" ht="12.75">
      <c r="F754" s="2"/>
      <c r="H754" s="2"/>
      <c r="I754" s="2"/>
      <c r="J754" s="2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1"/>
    </row>
    <row r="755" spans="6:27" ht="12.75">
      <c r="F755" s="2"/>
      <c r="H755" s="2"/>
      <c r="I755" s="2"/>
      <c r="J755" s="2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1"/>
    </row>
    <row r="756" spans="6:27" ht="12.75">
      <c r="F756" s="2"/>
      <c r="H756" s="2"/>
      <c r="I756" s="2"/>
      <c r="J756" s="2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1"/>
    </row>
    <row r="757" spans="6:27" ht="12.75">
      <c r="F757" s="2"/>
      <c r="H757" s="2"/>
      <c r="I757" s="2"/>
      <c r="J757" s="2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1"/>
    </row>
    <row r="758" spans="6:27" ht="12.75">
      <c r="F758" s="2"/>
      <c r="H758" s="2"/>
      <c r="I758" s="2"/>
      <c r="J758" s="2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1"/>
    </row>
    <row r="759" spans="6:27" ht="12.75">
      <c r="F759" s="2"/>
      <c r="H759" s="2"/>
      <c r="I759" s="2"/>
      <c r="J759" s="2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1"/>
    </row>
    <row r="760" spans="6:27" ht="12.75">
      <c r="F760" s="2"/>
      <c r="H760" s="2"/>
      <c r="I760" s="2"/>
      <c r="J760" s="2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1"/>
    </row>
    <row r="761" spans="6:27" ht="12.75">
      <c r="F761" s="2"/>
      <c r="H761" s="2"/>
      <c r="I761" s="2"/>
      <c r="J761" s="2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1"/>
    </row>
    <row r="762" spans="6:27" ht="12.75">
      <c r="F762" s="2"/>
      <c r="H762" s="2"/>
      <c r="I762" s="2"/>
      <c r="J762" s="2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1"/>
    </row>
    <row r="763" spans="6:27" ht="12.75">
      <c r="F763" s="2"/>
      <c r="H763" s="2"/>
      <c r="I763" s="2"/>
      <c r="J763" s="2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1"/>
    </row>
    <row r="764" spans="6:27" ht="12.75">
      <c r="F764" s="2"/>
      <c r="H764" s="2"/>
      <c r="I764" s="2"/>
      <c r="J764" s="2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1"/>
    </row>
    <row r="765" spans="6:27" ht="12.75">
      <c r="F765" s="2"/>
      <c r="H765" s="2"/>
      <c r="I765" s="2"/>
      <c r="J765" s="2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1"/>
    </row>
    <row r="766" spans="6:27" ht="12.75">
      <c r="F766" s="2"/>
      <c r="H766" s="2"/>
      <c r="I766" s="2"/>
      <c r="J766" s="2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1"/>
    </row>
    <row r="767" spans="6:27" ht="12.75">
      <c r="F767" s="2"/>
      <c r="H767" s="2"/>
      <c r="I767" s="2"/>
      <c r="J767" s="2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1"/>
    </row>
    <row r="768" spans="6:27" ht="12.75">
      <c r="F768" s="2"/>
      <c r="H768" s="2"/>
      <c r="I768" s="2"/>
      <c r="J768" s="2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1"/>
    </row>
    <row r="769" spans="6:27" ht="12.75">
      <c r="F769" s="2"/>
      <c r="H769" s="2"/>
      <c r="I769" s="2"/>
      <c r="J769" s="2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1"/>
    </row>
    <row r="770" spans="6:27" ht="12.75">
      <c r="F770" s="2"/>
      <c r="H770" s="2"/>
      <c r="I770" s="2"/>
      <c r="J770" s="2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1"/>
    </row>
    <row r="771" spans="6:27" ht="12.75">
      <c r="F771" s="2"/>
      <c r="H771" s="2"/>
      <c r="I771" s="2"/>
      <c r="J771" s="2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1"/>
    </row>
    <row r="772" spans="6:27" ht="12.75">
      <c r="F772" s="2"/>
      <c r="H772" s="2"/>
      <c r="I772" s="2"/>
      <c r="J772" s="2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1"/>
    </row>
    <row r="773" spans="6:27" ht="12.75">
      <c r="F773" s="2"/>
      <c r="H773" s="2"/>
      <c r="I773" s="2"/>
      <c r="J773" s="2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1"/>
    </row>
    <row r="774" spans="6:27" ht="12.75">
      <c r="F774" s="2"/>
      <c r="H774" s="2"/>
      <c r="I774" s="2"/>
      <c r="J774" s="2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1"/>
    </row>
    <row r="775" spans="6:27" ht="12.75">
      <c r="F775" s="2"/>
      <c r="H775" s="2"/>
      <c r="I775" s="2"/>
      <c r="J775" s="2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1"/>
    </row>
    <row r="776" spans="6:27" ht="12.75">
      <c r="F776" s="2"/>
      <c r="H776" s="2"/>
      <c r="I776" s="2"/>
      <c r="J776" s="2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1"/>
    </row>
    <row r="777" spans="6:27" ht="12.75">
      <c r="F777" s="2"/>
      <c r="H777" s="2"/>
      <c r="I777" s="2"/>
      <c r="J777" s="2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1"/>
    </row>
    <row r="778" spans="6:27" ht="12.75">
      <c r="F778" s="2"/>
      <c r="H778" s="2"/>
      <c r="I778" s="2"/>
      <c r="J778" s="2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1"/>
    </row>
    <row r="779" spans="6:27" ht="12.75">
      <c r="F779" s="2"/>
      <c r="H779" s="2"/>
      <c r="I779" s="2"/>
      <c r="J779" s="2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1"/>
    </row>
    <row r="780" spans="6:27" ht="12.75">
      <c r="F780" s="2"/>
      <c r="H780" s="2"/>
      <c r="I780" s="2"/>
      <c r="J780" s="2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1"/>
    </row>
    <row r="781" spans="6:27" ht="12.75">
      <c r="F781" s="2"/>
      <c r="H781" s="2"/>
      <c r="I781" s="2"/>
      <c r="J781" s="2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1"/>
    </row>
    <row r="782" spans="6:27" ht="12.75">
      <c r="F782" s="2"/>
      <c r="H782" s="2"/>
      <c r="I782" s="2"/>
      <c r="J782" s="2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1"/>
    </row>
    <row r="783" spans="6:27" ht="12.75">
      <c r="F783" s="2"/>
      <c r="H783" s="2"/>
      <c r="I783" s="2"/>
      <c r="J783" s="2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1"/>
    </row>
    <row r="784" spans="6:27" ht="12.75">
      <c r="F784" s="2"/>
      <c r="H784" s="2"/>
      <c r="I784" s="2"/>
      <c r="J784" s="2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1"/>
    </row>
    <row r="785" spans="6:27" ht="12.75">
      <c r="F785" s="2"/>
      <c r="H785" s="2"/>
      <c r="I785" s="2"/>
      <c r="J785" s="2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1"/>
    </row>
    <row r="786" spans="6:27" ht="12.75">
      <c r="F786" s="2"/>
      <c r="H786" s="2"/>
      <c r="I786" s="2"/>
      <c r="J786" s="2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1"/>
    </row>
    <row r="787" spans="6:27" ht="12.75">
      <c r="F787" s="2"/>
      <c r="H787" s="2"/>
      <c r="I787" s="2"/>
      <c r="J787" s="2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1"/>
    </row>
    <row r="788" spans="6:27" ht="12.75">
      <c r="F788" s="2"/>
      <c r="H788" s="2"/>
      <c r="I788" s="2"/>
      <c r="J788" s="2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1"/>
    </row>
    <row r="789" spans="6:27" ht="12.75">
      <c r="F789" s="2"/>
      <c r="H789" s="2"/>
      <c r="I789" s="2"/>
      <c r="J789" s="2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1"/>
    </row>
    <row r="790" spans="6:27" ht="12.75">
      <c r="F790" s="2"/>
      <c r="H790" s="2"/>
      <c r="I790" s="2"/>
      <c r="J790" s="2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1"/>
    </row>
    <row r="791" spans="6:27" ht="12.75">
      <c r="F791" s="2"/>
      <c r="H791" s="2"/>
      <c r="I791" s="2"/>
      <c r="J791" s="2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1"/>
    </row>
    <row r="792" spans="6:27" ht="12.75">
      <c r="F792" s="2"/>
      <c r="H792" s="2"/>
      <c r="I792" s="2"/>
      <c r="J792" s="2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1"/>
    </row>
    <row r="793" spans="6:27" ht="12.75">
      <c r="F793" s="2"/>
      <c r="H793" s="2"/>
      <c r="I793" s="2"/>
      <c r="J793" s="2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1"/>
    </row>
    <row r="794" spans="6:27" ht="12.75">
      <c r="F794" s="2"/>
      <c r="H794" s="2"/>
      <c r="I794" s="2"/>
      <c r="J794" s="2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1"/>
    </row>
    <row r="795" spans="6:27" ht="12.75">
      <c r="F795" s="2"/>
      <c r="H795" s="2"/>
      <c r="I795" s="2"/>
      <c r="J795" s="2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1"/>
    </row>
    <row r="796" spans="6:27" ht="12.75">
      <c r="F796" s="2"/>
      <c r="H796" s="2"/>
      <c r="I796" s="2"/>
      <c r="J796" s="2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1"/>
    </row>
    <row r="797" spans="6:27" ht="12.75">
      <c r="F797" s="2"/>
      <c r="H797" s="2"/>
      <c r="I797" s="2"/>
      <c r="J797" s="2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1"/>
    </row>
    <row r="798" spans="6:27" ht="12.75">
      <c r="F798" s="2"/>
      <c r="H798" s="2"/>
      <c r="I798" s="2"/>
      <c r="J798" s="2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1"/>
    </row>
    <row r="799" spans="6:27" ht="12.75">
      <c r="F799" s="2"/>
      <c r="H799" s="2"/>
      <c r="I799" s="2"/>
      <c r="J799" s="2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1"/>
    </row>
    <row r="800" spans="6:27" ht="12.75">
      <c r="F800" s="2"/>
      <c r="H800" s="2"/>
      <c r="I800" s="2"/>
      <c r="J800" s="2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1"/>
    </row>
    <row r="801" spans="6:27" ht="12.75">
      <c r="F801" s="2"/>
      <c r="H801" s="2"/>
      <c r="I801" s="2"/>
      <c r="J801" s="2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1"/>
    </row>
    <row r="802" spans="6:27" ht="12.75">
      <c r="F802" s="2"/>
      <c r="H802" s="2"/>
      <c r="I802" s="2"/>
      <c r="J802" s="2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1"/>
    </row>
    <row r="803" spans="6:27" ht="12.75">
      <c r="F803" s="2"/>
      <c r="H803" s="2"/>
      <c r="I803" s="2"/>
      <c r="J803" s="2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1"/>
    </row>
    <row r="804" spans="6:27" ht="12.75">
      <c r="F804" s="2"/>
      <c r="H804" s="2"/>
      <c r="I804" s="2"/>
      <c r="J804" s="2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1"/>
    </row>
    <row r="805" spans="6:27" ht="12.75">
      <c r="F805" s="2"/>
      <c r="H805" s="2"/>
      <c r="I805" s="2"/>
      <c r="J805" s="2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1"/>
    </row>
    <row r="806" spans="6:27" ht="12.75">
      <c r="F806" s="2"/>
      <c r="H806" s="2"/>
      <c r="I806" s="2"/>
      <c r="J806" s="2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1"/>
    </row>
    <row r="807" spans="6:27" ht="12.75">
      <c r="F807" s="2"/>
      <c r="H807" s="2"/>
      <c r="I807" s="2"/>
      <c r="J807" s="2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1"/>
    </row>
    <row r="808" spans="6:27" ht="12.75">
      <c r="F808" s="2"/>
      <c r="H808" s="2"/>
      <c r="I808" s="2"/>
      <c r="J808" s="2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1"/>
    </row>
    <row r="809" spans="6:27" ht="12.75">
      <c r="F809" s="2"/>
      <c r="H809" s="2"/>
      <c r="I809" s="2"/>
      <c r="J809" s="2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1"/>
    </row>
    <row r="810" spans="6:27" ht="12.75">
      <c r="F810" s="2"/>
      <c r="H810" s="2"/>
      <c r="I810" s="2"/>
      <c r="J810" s="2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1"/>
    </row>
    <row r="811" spans="6:27" ht="12.75">
      <c r="F811" s="2"/>
      <c r="H811" s="2"/>
      <c r="I811" s="2"/>
      <c r="J811" s="2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1"/>
    </row>
    <row r="812" spans="6:27" ht="12.75">
      <c r="F812" s="2"/>
      <c r="H812" s="2"/>
      <c r="I812" s="2"/>
      <c r="J812" s="2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1"/>
    </row>
    <row r="813" spans="6:27" ht="12.75">
      <c r="F813" s="2"/>
      <c r="H813" s="2"/>
      <c r="I813" s="2"/>
      <c r="J813" s="2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1"/>
    </row>
    <row r="814" spans="6:27" ht="12.75">
      <c r="F814" s="2"/>
      <c r="H814" s="2"/>
      <c r="I814" s="2"/>
      <c r="J814" s="2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1"/>
    </row>
    <row r="815" spans="6:27" ht="12.75">
      <c r="F815" s="2"/>
      <c r="H815" s="2"/>
      <c r="I815" s="2"/>
      <c r="J815" s="2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1"/>
    </row>
    <row r="816" spans="6:27" ht="12.75">
      <c r="F816" s="2"/>
      <c r="H816" s="2"/>
      <c r="I816" s="2"/>
      <c r="J816" s="2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1"/>
    </row>
    <row r="817" spans="6:27" ht="12.75">
      <c r="F817" s="2"/>
      <c r="H817" s="2"/>
      <c r="I817" s="2"/>
      <c r="J817" s="2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1"/>
    </row>
    <row r="818" spans="6:27" ht="12.75">
      <c r="F818" s="2"/>
      <c r="H818" s="2"/>
      <c r="I818" s="2"/>
      <c r="J818" s="2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1"/>
    </row>
    <row r="819" spans="6:27" ht="12.75">
      <c r="F819" s="2"/>
      <c r="H819" s="2"/>
      <c r="I819" s="2"/>
      <c r="J819" s="2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1"/>
    </row>
    <row r="820" spans="6:27" ht="12.75">
      <c r="F820" s="2"/>
      <c r="H820" s="2"/>
      <c r="I820" s="2"/>
      <c r="J820" s="2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1"/>
    </row>
    <row r="821" spans="6:27" ht="12.75">
      <c r="F821" s="2"/>
      <c r="H821" s="2"/>
      <c r="I821" s="2"/>
      <c r="J821" s="2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1"/>
    </row>
    <row r="822" spans="6:27" ht="12.75">
      <c r="F822" s="2"/>
      <c r="H822" s="2"/>
      <c r="I822" s="2"/>
      <c r="J822" s="2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1"/>
    </row>
    <row r="823" spans="6:27" ht="12.75">
      <c r="F823" s="2"/>
      <c r="H823" s="2"/>
      <c r="I823" s="2"/>
      <c r="J823" s="2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1"/>
    </row>
    <row r="824" spans="6:27" ht="12.75">
      <c r="F824" s="2"/>
      <c r="H824" s="2"/>
      <c r="I824" s="2"/>
      <c r="J824" s="2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1"/>
    </row>
    <row r="825" spans="6:27" ht="12.75">
      <c r="F825" s="2"/>
      <c r="H825" s="2"/>
      <c r="I825" s="2"/>
      <c r="J825" s="2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1"/>
    </row>
    <row r="826" spans="6:27" ht="12.75">
      <c r="F826" s="2"/>
      <c r="H826" s="2"/>
      <c r="I826" s="2"/>
      <c r="J826" s="2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1"/>
    </row>
    <row r="827" spans="6:27" ht="12.75">
      <c r="F827" s="2"/>
      <c r="H827" s="2"/>
      <c r="I827" s="2"/>
      <c r="J827" s="2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1"/>
    </row>
    <row r="828" spans="6:27" ht="12.75">
      <c r="F828" s="2"/>
      <c r="H828" s="2"/>
      <c r="I828" s="2"/>
      <c r="J828" s="2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1"/>
    </row>
    <row r="829" spans="6:27" ht="12.75">
      <c r="F829" s="2"/>
      <c r="H829" s="2"/>
      <c r="I829" s="2"/>
      <c r="J829" s="2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1"/>
    </row>
    <row r="830" spans="6:27" ht="12.75">
      <c r="F830" s="2"/>
      <c r="H830" s="2"/>
      <c r="I830" s="2"/>
      <c r="J830" s="2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1"/>
    </row>
    <row r="831" spans="6:27" ht="12.75">
      <c r="F831" s="2"/>
      <c r="H831" s="2"/>
      <c r="I831" s="2"/>
      <c r="J831" s="2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1"/>
    </row>
    <row r="832" spans="6:27" ht="12.75">
      <c r="F832" s="2"/>
      <c r="H832" s="2"/>
      <c r="I832" s="2"/>
      <c r="J832" s="2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1"/>
    </row>
    <row r="833" spans="6:27" ht="12.75">
      <c r="F833" s="2"/>
      <c r="H833" s="2"/>
      <c r="I833" s="2"/>
      <c r="J833" s="2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1"/>
    </row>
    <row r="834" spans="6:27" ht="12.75">
      <c r="F834" s="2"/>
      <c r="H834" s="2"/>
      <c r="I834" s="2"/>
      <c r="J834" s="2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1"/>
    </row>
    <row r="835" spans="6:27" ht="12.75">
      <c r="F835" s="2"/>
      <c r="H835" s="2"/>
      <c r="I835" s="2"/>
      <c r="J835" s="2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1"/>
    </row>
    <row r="836" spans="6:27" ht="12.75">
      <c r="F836" s="2"/>
      <c r="H836" s="2"/>
      <c r="I836" s="2"/>
      <c r="J836" s="2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1"/>
    </row>
    <row r="837" spans="6:27" ht="12.75">
      <c r="F837" s="2"/>
      <c r="H837" s="2"/>
      <c r="I837" s="2"/>
      <c r="J837" s="2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1"/>
    </row>
    <row r="838" spans="6:27" ht="12.75">
      <c r="F838" s="2"/>
      <c r="H838" s="2"/>
      <c r="I838" s="2"/>
      <c r="J838" s="2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1"/>
    </row>
    <row r="839" spans="6:27" ht="12.75">
      <c r="F839" s="2"/>
      <c r="H839" s="2"/>
      <c r="I839" s="2"/>
      <c r="J839" s="2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1"/>
    </row>
    <row r="840" spans="6:27" ht="12.75">
      <c r="F840" s="2"/>
      <c r="H840" s="2"/>
      <c r="I840" s="2"/>
      <c r="J840" s="2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1"/>
    </row>
    <row r="841" spans="6:27" ht="12.75">
      <c r="F841" s="2"/>
      <c r="H841" s="2"/>
      <c r="I841" s="2"/>
      <c r="J841" s="2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1"/>
    </row>
    <row r="842" spans="6:27" ht="12.75">
      <c r="F842" s="2"/>
      <c r="H842" s="2"/>
      <c r="I842" s="2"/>
      <c r="J842" s="2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1"/>
    </row>
    <row r="843" spans="6:27" ht="12.75">
      <c r="F843" s="2"/>
      <c r="H843" s="2"/>
      <c r="I843" s="2"/>
      <c r="J843" s="2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1"/>
    </row>
    <row r="844" spans="6:27" ht="12.75">
      <c r="F844" s="2"/>
      <c r="H844" s="2"/>
      <c r="I844" s="2"/>
      <c r="J844" s="2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1"/>
    </row>
    <row r="845" spans="6:27" ht="12.75">
      <c r="F845" s="2"/>
      <c r="H845" s="2"/>
      <c r="I845" s="2"/>
      <c r="J845" s="2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1"/>
    </row>
    <row r="846" spans="6:27" ht="12.75">
      <c r="F846" s="2"/>
      <c r="H846" s="2"/>
      <c r="I846" s="2"/>
      <c r="J846" s="2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1"/>
    </row>
    <row r="847" spans="6:27" ht="12.75">
      <c r="F847" s="2"/>
      <c r="H847" s="2"/>
      <c r="I847" s="2"/>
      <c r="J847" s="2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1"/>
    </row>
    <row r="848" spans="6:27" ht="12.75">
      <c r="F848" s="2"/>
      <c r="H848" s="2"/>
      <c r="I848" s="2"/>
      <c r="J848" s="2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1"/>
    </row>
    <row r="849" spans="6:27" ht="12.75">
      <c r="F849" s="2"/>
      <c r="H849" s="2"/>
      <c r="I849" s="2"/>
      <c r="J849" s="2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1"/>
    </row>
    <row r="850" spans="6:27" ht="12.75">
      <c r="F850" s="2"/>
      <c r="H850" s="2"/>
      <c r="I850" s="2"/>
      <c r="J850" s="2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1"/>
    </row>
    <row r="851" spans="6:27" ht="12.75">
      <c r="F851" s="2"/>
      <c r="H851" s="2"/>
      <c r="I851" s="2"/>
      <c r="J851" s="2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1"/>
    </row>
    <row r="852" spans="6:27" ht="12.75">
      <c r="F852" s="2"/>
      <c r="H852" s="2"/>
      <c r="I852" s="2"/>
      <c r="J852" s="2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1"/>
    </row>
    <row r="853" spans="6:27" ht="12.75">
      <c r="F853" s="2"/>
      <c r="H853" s="2"/>
      <c r="I853" s="2"/>
      <c r="J853" s="2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1"/>
    </row>
    <row r="854" spans="6:27" ht="12.75">
      <c r="F854" s="2"/>
      <c r="H854" s="2"/>
      <c r="I854" s="2"/>
      <c r="J854" s="2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1"/>
    </row>
    <row r="855" spans="6:27" ht="12.75">
      <c r="F855" s="2"/>
      <c r="H855" s="2"/>
      <c r="I855" s="2"/>
      <c r="J855" s="2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1"/>
    </row>
    <row r="856" spans="6:27" ht="12.75">
      <c r="F856" s="2"/>
      <c r="H856" s="2"/>
      <c r="I856" s="2"/>
      <c r="J856" s="2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1"/>
    </row>
    <row r="857" spans="6:27" ht="12.75">
      <c r="F857" s="2"/>
      <c r="H857" s="2"/>
      <c r="I857" s="2"/>
      <c r="J857" s="2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1"/>
    </row>
    <row r="858" spans="6:27" ht="12.75">
      <c r="F858" s="2"/>
      <c r="H858" s="2"/>
      <c r="I858" s="2"/>
      <c r="J858" s="2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1"/>
    </row>
    <row r="859" spans="6:27" ht="12.75">
      <c r="F859" s="2"/>
      <c r="H859" s="2"/>
      <c r="I859" s="2"/>
      <c r="J859" s="2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1"/>
    </row>
    <row r="860" spans="6:27" ht="12.75">
      <c r="F860" s="2"/>
      <c r="H860" s="2"/>
      <c r="I860" s="2"/>
      <c r="J860" s="2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1"/>
    </row>
    <row r="861" spans="6:27" ht="12.75">
      <c r="F861" s="2"/>
      <c r="H861" s="2"/>
      <c r="I861" s="2"/>
      <c r="J861" s="2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1"/>
    </row>
    <row r="862" spans="6:27" ht="12.75">
      <c r="F862" s="2"/>
      <c r="H862" s="2"/>
      <c r="I862" s="2"/>
      <c r="J862" s="2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1"/>
    </row>
    <row r="863" spans="6:27" ht="12.75">
      <c r="F863" s="2"/>
      <c r="H863" s="2"/>
      <c r="I863" s="2"/>
      <c r="J863" s="2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1"/>
    </row>
    <row r="864" spans="6:27" ht="12.75">
      <c r="F864" s="2"/>
      <c r="H864" s="2"/>
      <c r="I864" s="2"/>
      <c r="J864" s="2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1"/>
    </row>
    <row r="865" spans="6:27" ht="12.75">
      <c r="F865" s="2"/>
      <c r="H865" s="2"/>
      <c r="I865" s="2"/>
      <c r="J865" s="2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1"/>
    </row>
    <row r="866" spans="6:27" ht="12.75">
      <c r="F866" s="2"/>
      <c r="H866" s="2"/>
      <c r="I866" s="2"/>
      <c r="J866" s="2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1"/>
    </row>
    <row r="867" spans="6:27" ht="12.75">
      <c r="F867" s="2"/>
      <c r="H867" s="2"/>
      <c r="I867" s="2"/>
      <c r="J867" s="2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1"/>
    </row>
    <row r="868" spans="6:27" ht="12.75">
      <c r="F868" s="2"/>
      <c r="H868" s="2"/>
      <c r="I868" s="2"/>
      <c r="J868" s="2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1"/>
    </row>
    <row r="869" spans="6:27" ht="12.75">
      <c r="F869" s="2"/>
      <c r="H869" s="2"/>
      <c r="I869" s="2"/>
      <c r="J869" s="2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1"/>
    </row>
    <row r="870" spans="6:27" ht="12.75">
      <c r="F870" s="2"/>
      <c r="H870" s="2"/>
      <c r="I870" s="2"/>
      <c r="J870" s="2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1"/>
    </row>
    <row r="871" spans="6:27" ht="12.75">
      <c r="F871" s="2"/>
      <c r="H871" s="2"/>
      <c r="I871" s="2"/>
      <c r="J871" s="2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1"/>
    </row>
    <row r="872" spans="6:27" ht="12.75">
      <c r="F872" s="2"/>
      <c r="H872" s="2"/>
      <c r="I872" s="2"/>
      <c r="J872" s="2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1"/>
    </row>
    <row r="873" spans="6:27" ht="12.75">
      <c r="F873" s="2"/>
      <c r="H873" s="2"/>
      <c r="I873" s="2"/>
      <c r="J873" s="2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1"/>
    </row>
    <row r="874" spans="6:27" ht="12.75">
      <c r="F874" s="2"/>
      <c r="H874" s="2"/>
      <c r="I874" s="2"/>
      <c r="J874" s="2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1"/>
    </row>
    <row r="875" spans="6:27" ht="12.75">
      <c r="F875" s="2"/>
      <c r="H875" s="2"/>
      <c r="I875" s="2"/>
      <c r="J875" s="2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1"/>
    </row>
    <row r="876" spans="6:27" ht="12.75">
      <c r="F876" s="2"/>
      <c r="H876" s="2"/>
      <c r="I876" s="2"/>
      <c r="J876" s="2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1"/>
    </row>
    <row r="877" spans="6:27" ht="12.75">
      <c r="F877" s="2"/>
      <c r="H877" s="2"/>
      <c r="I877" s="2"/>
      <c r="J877" s="2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1"/>
    </row>
    <row r="878" spans="6:27" ht="12.75">
      <c r="F878" s="2"/>
      <c r="H878" s="2"/>
      <c r="I878" s="2"/>
      <c r="J878" s="2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1"/>
    </row>
    <row r="879" spans="6:27" ht="12.75">
      <c r="F879" s="2"/>
      <c r="H879" s="2"/>
      <c r="I879" s="2"/>
      <c r="J879" s="2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1"/>
    </row>
    <row r="880" spans="6:27" ht="12.75">
      <c r="F880" s="2"/>
      <c r="H880" s="2"/>
      <c r="I880" s="2"/>
      <c r="J880" s="2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1"/>
    </row>
    <row r="881" spans="6:27" ht="12.75">
      <c r="F881" s="2"/>
      <c r="H881" s="2"/>
      <c r="I881" s="2"/>
      <c r="J881" s="2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1"/>
    </row>
    <row r="882" spans="6:27" ht="12.75">
      <c r="F882" s="2"/>
      <c r="H882" s="2"/>
      <c r="I882" s="2"/>
      <c r="J882" s="2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1"/>
    </row>
    <row r="883" spans="6:27" ht="12.75">
      <c r="F883" s="2"/>
      <c r="H883" s="2"/>
      <c r="I883" s="2"/>
      <c r="J883" s="2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1"/>
    </row>
    <row r="884" spans="6:27" ht="12.75">
      <c r="F884" s="2"/>
      <c r="H884" s="2"/>
      <c r="I884" s="2"/>
      <c r="J884" s="2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1"/>
    </row>
    <row r="885" spans="6:27" ht="12.75">
      <c r="F885" s="2"/>
      <c r="H885" s="2"/>
      <c r="I885" s="2"/>
      <c r="J885" s="2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1"/>
    </row>
    <row r="886" spans="6:27" ht="12.75">
      <c r="F886" s="2"/>
      <c r="H886" s="2"/>
      <c r="I886" s="2"/>
      <c r="J886" s="2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1"/>
    </row>
    <row r="887" spans="6:27" ht="12.75">
      <c r="F887" s="2"/>
      <c r="H887" s="2"/>
      <c r="I887" s="2"/>
      <c r="J887" s="2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1"/>
    </row>
    <row r="888" spans="6:27" ht="12.75">
      <c r="F888" s="2"/>
      <c r="H888" s="2"/>
      <c r="I888" s="2"/>
      <c r="J888" s="2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1"/>
    </row>
    <row r="889" spans="6:27" ht="12.75">
      <c r="F889" s="2"/>
      <c r="H889" s="2"/>
      <c r="I889" s="2"/>
      <c r="J889" s="2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1"/>
    </row>
    <row r="890" spans="6:27" ht="12.75">
      <c r="F890" s="2"/>
      <c r="H890" s="2"/>
      <c r="I890" s="2"/>
      <c r="J890" s="2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1"/>
    </row>
    <row r="891" spans="6:27" ht="12.75">
      <c r="F891" s="2"/>
      <c r="H891" s="2"/>
      <c r="I891" s="2"/>
      <c r="J891" s="2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1"/>
    </row>
    <row r="892" spans="6:27" ht="12.75">
      <c r="F892" s="2"/>
      <c r="H892" s="2"/>
      <c r="I892" s="2"/>
      <c r="J892" s="2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1"/>
    </row>
    <row r="893" spans="6:27" ht="12.75">
      <c r="F893" s="2"/>
      <c r="H893" s="2"/>
      <c r="I893" s="2"/>
      <c r="J893" s="2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1"/>
    </row>
    <row r="894" spans="6:27" ht="12.75">
      <c r="F894" s="2"/>
      <c r="H894" s="2"/>
      <c r="I894" s="2"/>
      <c r="J894" s="2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1"/>
    </row>
    <row r="895" spans="6:27" ht="12.75">
      <c r="F895" s="2"/>
      <c r="H895" s="2"/>
      <c r="I895" s="2"/>
      <c r="J895" s="2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1"/>
    </row>
    <row r="896" spans="6:27" ht="12.75">
      <c r="F896" s="2"/>
      <c r="H896" s="2"/>
      <c r="I896" s="2"/>
      <c r="J896" s="2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1"/>
    </row>
    <row r="897" spans="6:27" ht="12.75">
      <c r="F897" s="2"/>
      <c r="H897" s="2"/>
      <c r="I897" s="2"/>
      <c r="J897" s="2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1"/>
    </row>
    <row r="898" spans="6:27" ht="12.75">
      <c r="F898" s="2"/>
      <c r="H898" s="2"/>
      <c r="I898" s="2"/>
      <c r="J898" s="2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1"/>
    </row>
    <row r="899" spans="6:27" ht="12.75">
      <c r="F899" s="2"/>
      <c r="H899" s="2"/>
      <c r="I899" s="2"/>
      <c r="J899" s="2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1"/>
    </row>
    <row r="900" spans="6:27" ht="12.75">
      <c r="F900" s="2"/>
      <c r="H900" s="2"/>
      <c r="I900" s="2"/>
      <c r="J900" s="2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1"/>
    </row>
    <row r="901" spans="6:27" ht="12.75">
      <c r="F901" s="2"/>
      <c r="H901" s="2"/>
      <c r="I901" s="2"/>
      <c r="J901" s="2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1"/>
    </row>
    <row r="902" spans="6:27" ht="12.75">
      <c r="F902" s="2"/>
      <c r="H902" s="2"/>
      <c r="I902" s="2"/>
      <c r="J902" s="2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1"/>
    </row>
    <row r="903" spans="6:27" ht="12.75">
      <c r="F903" s="2"/>
      <c r="H903" s="2"/>
      <c r="I903" s="2"/>
      <c r="J903" s="2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1"/>
    </row>
    <row r="904" spans="6:27" ht="12.75">
      <c r="F904" s="2"/>
      <c r="H904" s="2"/>
      <c r="I904" s="2"/>
      <c r="J904" s="2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1"/>
    </row>
    <row r="905" spans="6:27" ht="12.75">
      <c r="F905" s="2"/>
      <c r="H905" s="2"/>
      <c r="I905" s="2"/>
      <c r="J905" s="2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1"/>
    </row>
    <row r="906" spans="6:27" ht="12.75">
      <c r="F906" s="2"/>
      <c r="H906" s="2"/>
      <c r="I906" s="2"/>
      <c r="J906" s="2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1"/>
    </row>
    <row r="907" spans="6:27" ht="12.75">
      <c r="F907" s="2"/>
      <c r="H907" s="2"/>
      <c r="I907" s="2"/>
      <c r="J907" s="2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1"/>
    </row>
    <row r="908" spans="6:27" ht="12.75">
      <c r="F908" s="2"/>
      <c r="H908" s="2"/>
      <c r="I908" s="2"/>
      <c r="J908" s="2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1"/>
    </row>
    <row r="909" spans="6:27" ht="12.75">
      <c r="F909" s="2"/>
      <c r="H909" s="2"/>
      <c r="I909" s="2"/>
      <c r="J909" s="2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1"/>
    </row>
    <row r="910" spans="6:27" ht="12.75">
      <c r="F910" s="2"/>
      <c r="H910" s="2"/>
      <c r="I910" s="2"/>
      <c r="J910" s="2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1"/>
    </row>
    <row r="911" spans="6:27" ht="12.75">
      <c r="F911" s="2"/>
      <c r="H911" s="2"/>
      <c r="I911" s="2"/>
      <c r="J911" s="2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1"/>
    </row>
    <row r="912" spans="6:27" ht="12.75">
      <c r="F912" s="2"/>
      <c r="H912" s="2"/>
      <c r="I912" s="2"/>
      <c r="J912" s="2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1"/>
    </row>
    <row r="913" spans="6:27" ht="12.75">
      <c r="F913" s="2"/>
      <c r="H913" s="2"/>
      <c r="I913" s="2"/>
      <c r="J913" s="2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1"/>
    </row>
    <row r="914" spans="6:27" ht="12.75">
      <c r="F914" s="2"/>
      <c r="H914" s="2"/>
      <c r="I914" s="2"/>
      <c r="J914" s="2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1"/>
    </row>
    <row r="915" spans="6:27" ht="12.75">
      <c r="F915" s="2"/>
      <c r="H915" s="2"/>
      <c r="I915" s="2"/>
      <c r="J915" s="2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1"/>
    </row>
    <row r="916" spans="6:27" ht="12.75">
      <c r="F916" s="2"/>
      <c r="H916" s="2"/>
      <c r="I916" s="2"/>
      <c r="J916" s="2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1"/>
    </row>
    <row r="917" spans="6:27" ht="12.75">
      <c r="F917" s="2"/>
      <c r="H917" s="2"/>
      <c r="I917" s="2"/>
      <c r="J917" s="2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1"/>
    </row>
    <row r="918" spans="6:27" ht="12.75">
      <c r="F918" s="2"/>
      <c r="H918" s="2"/>
      <c r="I918" s="2"/>
      <c r="J918" s="2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1"/>
    </row>
    <row r="919" spans="6:27" ht="12.75">
      <c r="F919" s="2"/>
      <c r="H919" s="2"/>
      <c r="I919" s="2"/>
      <c r="J919" s="2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1"/>
    </row>
    <row r="920" spans="6:27" ht="12.75">
      <c r="F920" s="2"/>
      <c r="H920" s="2"/>
      <c r="I920" s="2"/>
      <c r="J920" s="2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1"/>
    </row>
    <row r="921" spans="6:27" ht="12.75">
      <c r="F921" s="2"/>
      <c r="H921" s="2"/>
      <c r="I921" s="2"/>
      <c r="J921" s="2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1"/>
    </row>
    <row r="922" spans="6:27" ht="12.75">
      <c r="F922" s="2"/>
      <c r="H922" s="2"/>
      <c r="I922" s="2"/>
      <c r="J922" s="2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1"/>
    </row>
    <row r="923" spans="6:27" ht="12.75">
      <c r="F923" s="2"/>
      <c r="H923" s="2"/>
      <c r="I923" s="2"/>
      <c r="J923" s="2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1"/>
    </row>
    <row r="924" spans="6:27" ht="12.75">
      <c r="F924" s="2"/>
      <c r="H924" s="2"/>
      <c r="I924" s="2"/>
      <c r="J924" s="2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1"/>
    </row>
    <row r="925" spans="6:27" ht="12.75">
      <c r="F925" s="2"/>
      <c r="H925" s="2"/>
      <c r="I925" s="2"/>
      <c r="J925" s="2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1"/>
    </row>
    <row r="926" spans="6:27" ht="12.75">
      <c r="F926" s="2"/>
      <c r="H926" s="2"/>
      <c r="I926" s="2"/>
      <c r="J926" s="2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1"/>
    </row>
    <row r="927" spans="6:27" ht="12.75">
      <c r="F927" s="2"/>
      <c r="H927" s="2"/>
      <c r="I927" s="2"/>
      <c r="J927" s="2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1"/>
    </row>
    <row r="928" spans="6:27" ht="12.75">
      <c r="F928" s="2"/>
      <c r="H928" s="2"/>
      <c r="I928" s="2"/>
      <c r="J928" s="2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1"/>
    </row>
    <row r="929" spans="6:27" ht="12.75">
      <c r="F929" s="2"/>
      <c r="H929" s="2"/>
      <c r="I929" s="2"/>
      <c r="J929" s="2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1"/>
    </row>
    <row r="930" spans="6:27" ht="12.75">
      <c r="F930" s="2"/>
      <c r="H930" s="2"/>
      <c r="I930" s="2"/>
      <c r="J930" s="2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1"/>
    </row>
    <row r="931" spans="6:27" ht="12.75">
      <c r="F931" s="2"/>
      <c r="H931" s="2"/>
      <c r="I931" s="2"/>
      <c r="J931" s="2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1"/>
    </row>
    <row r="932" spans="6:27" ht="12.75">
      <c r="F932" s="2"/>
      <c r="H932" s="2"/>
      <c r="I932" s="2"/>
      <c r="J932" s="2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1"/>
    </row>
    <row r="933" spans="6:27" ht="12.75">
      <c r="F933" s="2"/>
      <c r="H933" s="2"/>
      <c r="I933" s="2"/>
      <c r="J933" s="2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1"/>
    </row>
    <row r="934" spans="6:27" ht="12.75">
      <c r="F934" s="2"/>
      <c r="H934" s="2"/>
      <c r="I934" s="2"/>
      <c r="J934" s="2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1"/>
    </row>
    <row r="935" spans="6:27" ht="12.75">
      <c r="F935" s="2"/>
      <c r="H935" s="2"/>
      <c r="I935" s="2"/>
      <c r="J935" s="2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1"/>
    </row>
    <row r="936" spans="6:27" ht="12.75">
      <c r="F936" s="2"/>
      <c r="H936" s="2"/>
      <c r="I936" s="2"/>
      <c r="J936" s="2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1"/>
    </row>
    <row r="937" spans="6:27" ht="12.75">
      <c r="F937" s="2"/>
      <c r="H937" s="2"/>
      <c r="I937" s="2"/>
      <c r="J937" s="2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1"/>
    </row>
    <row r="938" spans="6:27" ht="12.75">
      <c r="F938" s="2"/>
      <c r="H938" s="2"/>
      <c r="I938" s="2"/>
      <c r="J938" s="2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1"/>
    </row>
    <row r="939" spans="6:27" ht="12.75">
      <c r="F939" s="2"/>
      <c r="H939" s="2"/>
      <c r="I939" s="2"/>
      <c r="J939" s="2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1"/>
    </row>
    <row r="940" spans="6:27" ht="12.75">
      <c r="F940" s="2"/>
      <c r="H940" s="2"/>
      <c r="I940" s="2"/>
      <c r="J940" s="2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1"/>
    </row>
    <row r="941" spans="6:27" ht="12.75">
      <c r="F941" s="2"/>
      <c r="H941" s="2"/>
      <c r="I941" s="2"/>
      <c r="J941" s="2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1"/>
    </row>
    <row r="942" spans="6:27" ht="12.75">
      <c r="F942" s="2"/>
      <c r="H942" s="2"/>
      <c r="I942" s="2"/>
      <c r="J942" s="2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1"/>
    </row>
    <row r="943" spans="6:27" ht="12.75">
      <c r="F943" s="2"/>
      <c r="H943" s="2"/>
      <c r="I943" s="2"/>
      <c r="J943" s="2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1"/>
    </row>
    <row r="944" spans="6:27" ht="12.75">
      <c r="F944" s="2"/>
      <c r="H944" s="2"/>
      <c r="I944" s="2"/>
      <c r="J944" s="2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1"/>
    </row>
    <row r="945" spans="6:27" ht="12.75">
      <c r="F945" s="2"/>
      <c r="H945" s="2"/>
      <c r="I945" s="2"/>
      <c r="J945" s="2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1"/>
    </row>
    <row r="946" spans="6:27" ht="12.75">
      <c r="F946" s="2"/>
      <c r="H946" s="2"/>
      <c r="I946" s="2"/>
      <c r="J946" s="2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1"/>
    </row>
    <row r="947" spans="6:27" ht="12.75">
      <c r="F947" s="2"/>
      <c r="H947" s="2"/>
      <c r="I947" s="2"/>
      <c r="J947" s="2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1"/>
    </row>
    <row r="948" spans="6:27" ht="12.75">
      <c r="F948" s="2"/>
      <c r="H948" s="2"/>
      <c r="I948" s="2"/>
      <c r="J948" s="2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1"/>
    </row>
    <row r="949" spans="6:27" ht="12.75">
      <c r="F949" s="2"/>
      <c r="H949" s="2"/>
      <c r="I949" s="2"/>
      <c r="J949" s="2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1"/>
    </row>
    <row r="950" spans="6:27" ht="12.75">
      <c r="F950" s="2"/>
      <c r="H950" s="2"/>
      <c r="I950" s="2"/>
      <c r="J950" s="2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1"/>
    </row>
    <row r="951" spans="6:27" ht="12.75">
      <c r="F951" s="2"/>
      <c r="H951" s="2"/>
      <c r="I951" s="2"/>
      <c r="J951" s="2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1"/>
    </row>
    <row r="952" spans="6:27" ht="12.75">
      <c r="F952" s="2"/>
      <c r="H952" s="2"/>
      <c r="I952" s="2"/>
      <c r="J952" s="2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1"/>
    </row>
    <row r="953" spans="6:27" ht="12.75">
      <c r="F953" s="2"/>
      <c r="H953" s="2"/>
      <c r="I953" s="2"/>
      <c r="J953" s="2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1"/>
    </row>
    <row r="954" spans="6:27" ht="12.75">
      <c r="F954" s="2"/>
      <c r="H954" s="2"/>
      <c r="I954" s="2"/>
      <c r="J954" s="2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1"/>
    </row>
    <row r="955" spans="6:27" ht="12.75">
      <c r="F955" s="2"/>
      <c r="H955" s="2"/>
      <c r="I955" s="2"/>
      <c r="J955" s="2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1"/>
    </row>
    <row r="956" spans="6:27" ht="12.75">
      <c r="F956" s="2"/>
      <c r="H956" s="2"/>
      <c r="I956" s="2"/>
      <c r="J956" s="2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1"/>
    </row>
    <row r="957" spans="6:27" ht="12.75">
      <c r="F957" s="2"/>
      <c r="H957" s="2"/>
      <c r="I957" s="2"/>
      <c r="J957" s="2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1"/>
    </row>
    <row r="958" spans="6:27" ht="12.75">
      <c r="F958" s="2"/>
      <c r="H958" s="2"/>
      <c r="I958" s="2"/>
      <c r="J958" s="2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1"/>
    </row>
    <row r="959" spans="6:27" ht="12.75">
      <c r="F959" s="2"/>
      <c r="H959" s="2"/>
      <c r="I959" s="2"/>
      <c r="J959" s="2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1"/>
    </row>
    <row r="960" spans="6:27" ht="12.75">
      <c r="F960" s="2"/>
      <c r="H960" s="2"/>
      <c r="I960" s="2"/>
      <c r="J960" s="2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1"/>
    </row>
    <row r="961" spans="6:27" ht="12.75">
      <c r="F961" s="2"/>
      <c r="H961" s="2"/>
      <c r="I961" s="2"/>
      <c r="J961" s="2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1"/>
    </row>
    <row r="962" spans="6:27" ht="12.75">
      <c r="F962" s="2"/>
      <c r="H962" s="2"/>
      <c r="I962" s="2"/>
      <c r="J962" s="2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1"/>
    </row>
    <row r="963" spans="6:27" ht="12.75">
      <c r="F963" s="2"/>
      <c r="H963" s="2"/>
      <c r="I963" s="2"/>
      <c r="J963" s="2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1"/>
    </row>
    <row r="964" spans="6:27" ht="12.75">
      <c r="F964" s="2"/>
      <c r="H964" s="2"/>
      <c r="I964" s="2"/>
      <c r="J964" s="2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1"/>
    </row>
    <row r="965" spans="6:27" ht="12.75">
      <c r="F965" s="2"/>
      <c r="H965" s="2"/>
      <c r="I965" s="2"/>
      <c r="J965" s="2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1"/>
    </row>
    <row r="966" spans="6:27" ht="12.75">
      <c r="F966" s="2"/>
      <c r="H966" s="2"/>
      <c r="I966" s="2"/>
      <c r="J966" s="2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1"/>
    </row>
    <row r="967" spans="6:27" ht="12.75">
      <c r="F967" s="2"/>
      <c r="H967" s="2"/>
      <c r="I967" s="2"/>
      <c r="J967" s="2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1"/>
    </row>
    <row r="968" spans="6:27" ht="12.75">
      <c r="F968" s="2"/>
      <c r="H968" s="2"/>
      <c r="I968" s="2"/>
      <c r="J968" s="2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1"/>
    </row>
    <row r="969" spans="6:27" ht="12.75">
      <c r="F969" s="2"/>
      <c r="H969" s="2"/>
      <c r="I969" s="2"/>
      <c r="J969" s="2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1"/>
    </row>
    <row r="970" spans="6:27" ht="12.75">
      <c r="F970" s="2"/>
      <c r="H970" s="2"/>
      <c r="I970" s="2"/>
      <c r="J970" s="2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1"/>
    </row>
    <row r="971" spans="6:27" ht="12.75">
      <c r="F971" s="2"/>
      <c r="H971" s="2"/>
      <c r="I971" s="2"/>
      <c r="J971" s="2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1"/>
    </row>
    <row r="972" spans="6:27" ht="12.75">
      <c r="F972" s="2"/>
      <c r="H972" s="2"/>
      <c r="I972" s="2"/>
      <c r="J972" s="2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1"/>
    </row>
    <row r="973" spans="6:27" ht="12.75">
      <c r="F973" s="2"/>
      <c r="H973" s="2"/>
      <c r="I973" s="2"/>
      <c r="J973" s="2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1"/>
    </row>
    <row r="974" spans="6:27" ht="12.75">
      <c r="F974" s="2"/>
      <c r="H974" s="2"/>
      <c r="I974" s="2"/>
      <c r="J974" s="2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1"/>
    </row>
    <row r="975" spans="6:27" ht="12.75">
      <c r="F975" s="2"/>
      <c r="H975" s="2"/>
      <c r="I975" s="2"/>
      <c r="J975" s="2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1"/>
    </row>
    <row r="976" spans="6:27" ht="12.75">
      <c r="F976" s="2"/>
      <c r="H976" s="2"/>
      <c r="I976" s="2"/>
      <c r="J976" s="2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1"/>
    </row>
    <row r="977" spans="6:27" ht="12.75">
      <c r="F977" s="2"/>
      <c r="H977" s="2"/>
      <c r="I977" s="2"/>
      <c r="J977" s="2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1"/>
    </row>
    <row r="978" spans="6:27" ht="12.75">
      <c r="F978" s="2"/>
      <c r="H978" s="2"/>
      <c r="I978" s="2"/>
      <c r="J978" s="2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1"/>
    </row>
    <row r="979" spans="6:27" ht="12.75">
      <c r="F979" s="2"/>
      <c r="H979" s="2"/>
      <c r="I979" s="2"/>
      <c r="J979" s="2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1"/>
    </row>
    <row r="980" spans="6:27" ht="12.75">
      <c r="F980" s="2"/>
      <c r="H980" s="2"/>
      <c r="I980" s="2"/>
      <c r="J980" s="2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1"/>
    </row>
    <row r="981" spans="6:27" ht="12.75">
      <c r="F981" s="2"/>
      <c r="H981" s="2"/>
      <c r="I981" s="2"/>
      <c r="J981" s="2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1"/>
    </row>
    <row r="982" spans="6:27" ht="12.75">
      <c r="F982" s="2"/>
      <c r="H982" s="2"/>
      <c r="I982" s="2"/>
      <c r="J982" s="2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1"/>
    </row>
    <row r="983" spans="6:27" ht="12.75">
      <c r="F983" s="2"/>
      <c r="H983" s="2"/>
      <c r="I983" s="2"/>
      <c r="J983" s="2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1"/>
    </row>
    <row r="984" spans="6:27" ht="12.75">
      <c r="F984" s="2"/>
      <c r="H984" s="2"/>
      <c r="I984" s="2"/>
      <c r="J984" s="2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1"/>
    </row>
    <row r="985" spans="6:27" ht="12.75">
      <c r="F985" s="2"/>
      <c r="H985" s="2"/>
      <c r="I985" s="2"/>
      <c r="J985" s="2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1"/>
    </row>
    <row r="986" spans="6:27" ht="12.75">
      <c r="F986" s="2"/>
      <c r="H986" s="2"/>
      <c r="I986" s="2"/>
      <c r="J986" s="2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1"/>
    </row>
    <row r="987" spans="6:27" ht="12.75">
      <c r="F987" s="2"/>
      <c r="H987" s="2"/>
      <c r="I987" s="2"/>
      <c r="J987" s="2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1"/>
    </row>
    <row r="988" spans="6:27" ht="12.75">
      <c r="F988" s="2"/>
      <c r="H988" s="2"/>
      <c r="I988" s="2"/>
      <c r="J988" s="2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1"/>
    </row>
    <row r="989" spans="6:27" ht="12.75">
      <c r="F989" s="2"/>
      <c r="H989" s="2"/>
      <c r="I989" s="2"/>
      <c r="J989" s="2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1"/>
    </row>
    <row r="990" spans="6:27" ht="12.75">
      <c r="F990" s="2"/>
      <c r="H990" s="2"/>
      <c r="I990" s="2"/>
      <c r="J990" s="2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1"/>
    </row>
    <row r="991" spans="6:27" ht="12.75">
      <c r="F991" s="2"/>
      <c r="H991" s="2"/>
      <c r="I991" s="2"/>
      <c r="J991" s="2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1"/>
    </row>
    <row r="992" spans="6:27" ht="12.75">
      <c r="F992" s="2"/>
      <c r="H992" s="2"/>
      <c r="I992" s="2"/>
      <c r="J992" s="2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1"/>
    </row>
    <row r="993" spans="6:27" ht="12.75">
      <c r="F993" s="2"/>
      <c r="H993" s="2"/>
      <c r="I993" s="2"/>
      <c r="J993" s="2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1"/>
    </row>
    <row r="994" spans="6:27" ht="12.75">
      <c r="F994" s="2"/>
      <c r="H994" s="2"/>
      <c r="I994" s="2"/>
      <c r="J994" s="2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1"/>
    </row>
    <row r="995" spans="6:27" ht="12.75">
      <c r="F995" s="2"/>
      <c r="H995" s="2"/>
      <c r="I995" s="2"/>
      <c r="J995" s="2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1"/>
    </row>
    <row r="996" spans="6:27" ht="12.75">
      <c r="F996" s="2"/>
      <c r="H996" s="2"/>
      <c r="I996" s="2"/>
      <c r="J996" s="2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1"/>
    </row>
    <row r="997" spans="6:27" ht="12.75">
      <c r="F997" s="2"/>
      <c r="H997" s="2"/>
      <c r="I997" s="2"/>
      <c r="J997" s="2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1"/>
    </row>
    <row r="998" spans="6:27" ht="12.75">
      <c r="F998" s="2"/>
      <c r="H998" s="2"/>
      <c r="I998" s="2"/>
      <c r="J998" s="2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1"/>
    </row>
    <row r="999" spans="6:27" ht="12.75">
      <c r="F999" s="2"/>
      <c r="H999" s="2"/>
      <c r="I999" s="2"/>
      <c r="J999" s="2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1"/>
    </row>
    <row r="1000" spans="6:27" ht="12.75">
      <c r="F1000" s="2"/>
      <c r="H1000" s="2"/>
      <c r="I1000" s="2"/>
      <c r="J1000" s="2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1"/>
    </row>
    <row r="1001" spans="6:27" ht="12.75">
      <c r="F1001" s="2"/>
      <c r="H1001" s="2"/>
      <c r="I1001" s="2"/>
      <c r="J1001" s="2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1"/>
    </row>
    <row r="1002" spans="6:27" ht="12.75">
      <c r="F1002" s="2"/>
      <c r="H1002" s="2"/>
      <c r="I1002" s="2"/>
      <c r="J1002" s="2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1"/>
    </row>
    <row r="1003" spans="6:27" ht="12.75">
      <c r="F1003" s="2"/>
      <c r="H1003" s="2"/>
      <c r="I1003" s="2"/>
      <c r="J1003" s="2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1"/>
    </row>
    <row r="1004" spans="6:27" ht="12.75">
      <c r="F1004" s="2"/>
      <c r="H1004" s="2"/>
      <c r="I1004" s="2"/>
      <c r="J1004" s="2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1"/>
    </row>
  </sheetData>
  <autoFilter ref="A6:AL419"/>
  <customSheetViews>
    <customSheetView guid="{CDEB8851-9ACA-4F4F-A6C6-C0C729B8AD4C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28" t="str">
        <f ca="1">IFERROR(__xludf.DUMMYFUNCTION("QUERY(REP_EST_PARC!A5:Z1000,""SELECT A,B,C,D,E,F,G,M WHERE M&gt;0 label M 'AEE'"")"),"")</f>
        <v/>
      </c>
      <c r="B1" s="228" t="str">
        <f ca="1">IFERROR(__xludf.DUMMYFUNCTION("""COMPUTED_VALUE"""),"")</f>
        <v/>
      </c>
      <c r="C1" s="228" t="str">
        <f ca="1">IFERROR(__xludf.DUMMYFUNCTION("""COMPUTED_VALUE"""),"")</f>
        <v/>
      </c>
      <c r="D1" s="228" t="str">
        <f ca="1">IFERROR(__xludf.DUMMYFUNCTION("""COMPUTED_VALUE"""),"")</f>
        <v/>
      </c>
      <c r="E1" s="228" t="str">
        <f ca="1">IFERROR(__xludf.DUMMYFUNCTION("""COMPUTED_VALUE"""),"")</f>
        <v/>
      </c>
      <c r="F1" s="228" t="str">
        <f ca="1">IFERROR(__xludf.DUMMYFUNCTION("""COMPUTED_VALUE"""),"")</f>
        <v/>
      </c>
      <c r="G1" s="228" t="str">
        <f ca="1">IFERROR(__xludf.DUMMYFUNCTION("""COMPUTED_VALUE"""),"")</f>
        <v/>
      </c>
      <c r="H1" s="228" t="str">
        <f ca="1">IFERROR(__xludf.DUMMYFUNCTION("""COMPUTED_VALUE"""),"AEE")</f>
        <v>AEE</v>
      </c>
      <c r="I1" s="232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IFERROR(__xludf.DUMMYFUNCTION("""COMPUTED_VALUE"""),441)</f>
        <v>441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IFERROR(__xludf.DUMMYFUNCTION("""COMPUTED_VALUE"""),273)</f>
        <v>273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IFERROR(__xludf.DUMMYFUNCTION("""COMPUTED_VALUE"""),924)</f>
        <v>924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IFERROR(__xludf.DUMMYFUNCTION("""COMPUTED_VALUE"""),273)</f>
        <v>273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IFERROR(__xludf.DUMMYFUNCTION("""COMPUTED_VALUE"""),210)</f>
        <v>210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IFERROR(__xludf.DUMMYFUNCTION("""COMPUTED_VALUE"""),504)</f>
        <v>504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 ADOLFO BEZERRA DE MENEZES")</f>
        <v>A.A. C.E.  ADOLFO BEZERRA DE MENEZES</v>
      </c>
      <c r="D11" t="str">
        <f ca="1">IFERROR(__xludf.DUMMYFUNCTION("""COMPUTED_VALUE"""),"01071435000190")</f>
        <v>01071435000190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IFERROR(__xludf.DUMMYFUNCTION("""COMPUTED_VALUE"""),"463426")</f>
        <v>463426</v>
      </c>
      <c r="H11" s="7">
        <f ca="1">IFERROR(__xludf.DUMMYFUNCTION("""COMPUTED_VALUE"""),462)</f>
        <v>462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7">
        <f ca="1">IFERROR(__xludf.DUMMYFUNCTION("""COMPUTED_VALUE"""),756)</f>
        <v>756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7">
        <f ca="1">IFERROR(__xludf.DUMMYFUNCTION("""COMPUTED_VALUE"""),168)</f>
        <v>168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7">
        <f ca="1">IFERROR(__xludf.DUMMYFUNCTION("""COMPUTED_VALUE"""),336)</f>
        <v>336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7">
        <f ca="1">IFERROR(__xludf.DUMMYFUNCTION("""COMPUTED_VALUE"""),378)</f>
        <v>378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7">
        <f ca="1">IFERROR(__xludf.DUMMYFUNCTION("""COMPUTED_VALUE"""),420)</f>
        <v>420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7">
        <f ca="1">IFERROR(__xludf.DUMMYFUNCTION("""COMPUTED_VALUE"""),273)</f>
        <v>273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7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TEMPO INTEGRAL DOMINGOS DA CRUZ MACHADO")</f>
        <v>A.A. ESCOLA TEMPO INTEGRAL DOMINGOS DA CRUZ MACHADO</v>
      </c>
      <c r="D19" t="str">
        <f ca="1">IFERROR(__xludf.DUMMYFUNCTION("""COMPUTED_VALUE"""),"49868761000159")</f>
        <v>49868761000159</v>
      </c>
      <c r="E19" t="str">
        <f ca="1">IFERROR(__xludf.DUMMYFUNCTION("""COMPUTED_VALUE"""),"001")</f>
        <v>001</v>
      </c>
      <c r="F19" t="str">
        <f ca="1">IFERROR(__xludf.DUMMYFUNCTION("""COMPUTED_VALUE"""),"4348")</f>
        <v>4348</v>
      </c>
      <c r="G19" t="str">
        <f ca="1">IFERROR(__xludf.DUMMYFUNCTION("""COMPUTED_VALUE"""),"460192")</f>
        <v>460192</v>
      </c>
      <c r="H19" s="7">
        <f ca="1">IFERROR(__xludf.DUMMYFUNCTION("""COMPUTED_VALUE"""),630)</f>
        <v>630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ESC. EST. DEP.FED.JOSE A. DE ASSIS")</f>
        <v>A.A. ESC. EST. DEP.FED.JOSE A. DE ASSIS</v>
      </c>
      <c r="D20" t="str">
        <f ca="1">IFERROR(__xludf.DUMMYFUNCTION("""COMPUTED_VALUE"""),"01186464000105")</f>
        <v>01186464000105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IFERROR(__xludf.DUMMYFUNCTION("""COMPUTED_VALUE"""),"465089")</f>
        <v>465089</v>
      </c>
      <c r="H20" s="7">
        <f ca="1">IFERROR(__xludf.DUMMYFUNCTION("""COMPUTED_VALUE"""),315)</f>
        <v>315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IFERROR(__xludf.DUMMYFUNCTION("""COMPUTED_VALUE"""),"ASSOCIAÇÃO DE APOIO DA ESCOLA ESPECIAL RAIO DE LUZ APAE ARAGUAÍNA")</f>
        <v>ASSOCIAÇÃO DE APOIO DA ESCOLA ESPECIAL RAIO DE LUZ APAE ARAGUAÍNA</v>
      </c>
      <c r="D21" t="str">
        <f ca="1">IFERROR(__xludf.DUMMYFUNCTION("""COMPUTED_VALUE"""),"07953043000130")</f>
        <v>07953043000130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IFERROR(__xludf.DUMMYFUNCTION("""COMPUTED_VALUE"""),"379921")</f>
        <v>379921</v>
      </c>
      <c r="H21" s="7">
        <f ca="1">IFERROR(__xludf.DUMMYFUNCTION("""COMPUTED_VALUE"""),1134)</f>
        <v>1134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 ESCOLA ESPIRITA ANDRE LUIZ")</f>
        <v>A.A.  ESCOLA ESPIRITA ANDRE LUIZ</v>
      </c>
      <c r="D22" t="str">
        <f ca="1">IFERROR(__xludf.DUMMYFUNCTION("""COMPUTED_VALUE"""),"01066416000175")</f>
        <v>01066416000175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IFERROR(__xludf.DUMMYFUNCTION("""COMPUTED_VALUE"""),"463582")</f>
        <v>463582</v>
      </c>
      <c r="H22" s="7">
        <f ca="1">IFERROR(__xludf.DUMMYFUNCTION("""COMPUTED_VALUE"""),378)</f>
        <v>378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E.FRANCISCO MAXIMO DE SOUZA")</f>
        <v>A.A. ESC. E.FRANCISCO MAXIMO DE SOUZA</v>
      </c>
      <c r="D23" t="str">
        <f ca="1">IFERROR(__xludf.DUMMYFUNCTION("""COMPUTED_VALUE"""),"01345127000105")</f>
        <v>01345127000105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IFERROR(__xludf.DUMMYFUNCTION("""COMPUTED_VALUE"""),"0463167")</f>
        <v>0463167</v>
      </c>
      <c r="H23" s="7">
        <f ca="1">IFERROR(__xludf.DUMMYFUNCTION("""COMPUTED_VALUE"""),798)</f>
        <v>798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IFERROR(__xludf.DUMMYFUNCTION("""COMPUTED_VALUE"""),"ASS. COM. COL EST. SANCHA FERREIRA")</f>
        <v>ASS. COM. COL EST. SANCHA FERREIRA</v>
      </c>
      <c r="D24" t="str">
        <f ca="1">IFERROR(__xludf.DUMMYFUNCTION("""COMPUTED_VALUE"""),"01338702000142")</f>
        <v>01338702000142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IFERROR(__xludf.DUMMYFUNCTION("""COMPUTED_VALUE"""),"0466913")</f>
        <v>0466913</v>
      </c>
      <c r="H24" s="7">
        <f ca="1">IFERROR(__xludf.DUMMYFUNCTION("""COMPUTED_VALUE"""),231)</f>
        <v>231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JOAO GUILHERME L. KUNZE")</f>
        <v>A.A. ESC. EST. JOAO GUILHERME L. KUNZE</v>
      </c>
      <c r="D25" t="str">
        <f ca="1">IFERROR(__xludf.DUMMYFUNCTION("""COMPUTED_VALUE"""),"01071400000150")</f>
        <v>01071400000150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IFERROR(__xludf.DUMMYFUNCTION("""COMPUTED_VALUE"""),"0463639")</f>
        <v>0463639</v>
      </c>
      <c r="H25" s="7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MANOEL GOMES DA CUNHA")</f>
        <v>A.A. ESC. EST. MANOEL GOMES DA CUNHA</v>
      </c>
      <c r="D26" t="str">
        <f ca="1">IFERROR(__xludf.DUMMYFUNCTION("""COMPUTED_VALUE"""),"01443216000194")</f>
        <v>01443216000194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IFERROR(__xludf.DUMMYFUNCTION("""COMPUTED_VALUE"""),"0468355")</f>
        <v>0468355</v>
      </c>
      <c r="H26" s="7">
        <f ca="1">IFERROR(__xludf.DUMMYFUNCTION("""COMPUTED_VALUE"""),231)</f>
        <v>231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ESCOLA ESTADUAL MAL. RONDON")</f>
        <v>A.A. ESCOLA ESTADUAL MAL. RONDON</v>
      </c>
      <c r="D27" t="str">
        <f ca="1">IFERROR(__xludf.DUMMYFUNCTION("""COMPUTED_VALUE"""),"01068349000128")</f>
        <v>01068349000128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IFERROR(__xludf.DUMMYFUNCTION("""COMPUTED_VALUE"""),"046368X")</f>
        <v>046368X</v>
      </c>
      <c r="H27" s="7">
        <f ca="1">IFERROR(__xludf.DUMMYFUNCTION("""COMPUTED_VALUE"""),399)</f>
        <v>399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 DE A.DA ESCOLA ESTADUAL MODELO")</f>
        <v>A. DE A.DA ESCOLA ESTADUAL MODELO</v>
      </c>
      <c r="D28" t="str">
        <f ca="1">IFERROR(__xludf.DUMMYFUNCTION("""COMPUTED_VALUE"""),"01133696000197")</f>
        <v>01133696000197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IFERROR(__xludf.DUMMYFUNCTION("""COMPUTED_VALUE"""),"484520")</f>
        <v>484520</v>
      </c>
      <c r="H28" s="7">
        <f ca="1">IFERROR(__xludf.DUMMYFUNCTION("""COMPUTED_VALUE"""),1134)</f>
        <v>1134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E.NORTE GOIANO DE ARAGUAINA")</f>
        <v>A.A. ESC. E.NORTE GOIANO DE ARAGUAINA</v>
      </c>
      <c r="D29" t="str">
        <f ca="1">IFERROR(__xludf.DUMMYFUNCTION("""COMPUTED_VALUE"""),"01195483000190")</f>
        <v>01195483000190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IFERROR(__xludf.DUMMYFUNCTION("""COMPUTED_VALUE"""),"0464724")</f>
        <v>0464724</v>
      </c>
      <c r="H29" s="7">
        <f ca="1">IFERROR(__xludf.DUMMYFUNCTION("""COMPUTED_VALUE"""),252)</f>
        <v>252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 DE ARAGUAINA / PROF. JOÃO ALVES BATISTA")</f>
        <v>A.A. ESC. EST. DE ARAGUAINA / PROF. JOÃO ALVES BATISTA</v>
      </c>
      <c r="D30" t="str">
        <f ca="1">IFERROR(__xludf.DUMMYFUNCTION("""COMPUTED_VALUE"""),"25062332000121")</f>
        <v>25062332000121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IFERROR(__xludf.DUMMYFUNCTION("""COMPUTED_VALUE"""),"463116")</f>
        <v>463116</v>
      </c>
      <c r="H30" s="7">
        <f ca="1">IFERROR(__xludf.DUMMYFUNCTION("""COMPUTED_VALUE"""),231)</f>
        <v>231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EST.WELDER M.ABREU SALES")</f>
        <v>A.A. ESC. EST.WELDER M.ABREU SALES</v>
      </c>
      <c r="D31" t="str">
        <f ca="1">IFERROR(__xludf.DUMMYFUNCTION("""COMPUTED_VALUE"""),"01190182000173")</f>
        <v>01190182000173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IFERROR(__xludf.DUMMYFUNCTION("""COMPUTED_VALUE"""),"0465054")</f>
        <v>0465054</v>
      </c>
      <c r="H31" s="7">
        <f ca="1">IFERROR(__xludf.DUMMYFUNCTION("""COMPUTED_VALUE"""),294)</f>
        <v>294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 DE AP. DA E.PAROQUIAL LUIZ AUGUSTO")</f>
        <v>A. DE AP. DA E.PAROQUIAL LUIZ AUGUSTO</v>
      </c>
      <c r="D32" t="str">
        <f ca="1">IFERROR(__xludf.DUMMYFUNCTION("""COMPUTED_VALUE"""),"01912262000195")</f>
        <v>01912262000195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IFERROR(__xludf.DUMMYFUNCTION("""COMPUTED_VALUE"""),"486000")</f>
        <v>486000</v>
      </c>
      <c r="H32" s="7">
        <f ca="1">IFERROR(__xludf.DUMMYFUNCTION("""COMPUTED_VALUE"""),882)</f>
        <v>882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IFERROR(__xludf.DUMMYFUNCTION("""COMPUTED_VALUE"""),"Araguana")</f>
        <v>Araguana</v>
      </c>
      <c r="C33" t="str">
        <f ca="1">IFERROR(__xludf.DUMMYFUNCTION("""COMPUTED_VALUE"""),"ASS. APOIO ESC. EST. MACHADO DE ASSIS")</f>
        <v>ASS. APOIO ESC. EST. MACHADO DE ASSIS</v>
      </c>
      <c r="D33" t="str">
        <f ca="1">IFERROR(__xludf.DUMMYFUNCTION("""COMPUTED_VALUE"""),"01243663000108")</f>
        <v>01243663000108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IFERROR(__xludf.DUMMYFUNCTION("""COMPUTED_VALUE"""),"322091")</f>
        <v>322091</v>
      </c>
      <c r="H33" s="7">
        <f ca="1">IFERROR(__xludf.DUMMYFUNCTION("""COMPUTED_VALUE"""),168)</f>
        <v>168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IFERROR(__xludf.DUMMYFUNCTION("""COMPUTED_VALUE"""),"A.PAIS E M.C.E.LEOPOLDO DE BULHOES")</f>
        <v>A.PAIS E M.C.E.LEOPOLDO DE BULHOES</v>
      </c>
      <c r="D34" t="str">
        <f ca="1">IFERROR(__xludf.DUMMYFUNCTION("""COMPUTED_VALUE"""),"01146116000104")</f>
        <v>01146116000104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IFERROR(__xludf.DUMMYFUNCTION("""COMPUTED_VALUE"""),"465232")</f>
        <v>465232</v>
      </c>
      <c r="H34" s="7">
        <f ca="1">IFERROR(__xludf.DUMMYFUNCTION("""COMPUTED_VALUE"""),672)</f>
        <v>672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IFERROR(__xludf.DUMMYFUNCTION("""COMPUTED_VALUE"""),"Babaculandia")</f>
        <v>Babaculandia</v>
      </c>
      <c r="C35" t="str">
        <f ca="1">IFERROR(__xludf.DUMMYFUNCTION("""COMPUTED_VALUE"""),"A.A. ESCOLA ESTADUAL RUI BARBOSA")</f>
        <v>A.A. ESCOLA ESTADUAL RUI BARBOSA</v>
      </c>
      <c r="D35" t="str">
        <f ca="1">IFERROR(__xludf.DUMMYFUNCTION("""COMPUTED_VALUE"""),"01181184000104")</f>
        <v>01181184000104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IFERROR(__xludf.DUMMYFUNCTION("""COMPUTED_VALUE"""),"477117")</f>
        <v>477117</v>
      </c>
      <c r="H35" s="7">
        <f ca="1">IFERROR(__xludf.DUMMYFUNCTION("""COMPUTED_VALUE"""),399)</f>
        <v>399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IFERROR(__xludf.DUMMYFUNCTION("""COMPUTED_VALUE"""),"Barra do Ouro")</f>
        <v>Barra do Ouro</v>
      </c>
      <c r="C36" t="str">
        <f ca="1">IFERROR(__xludf.DUMMYFUNCTION("""COMPUTED_VALUE"""),"A.A. A ESCOLA ESTADUAL BREJAO")</f>
        <v>A.A. A ESCOLA ESTADUAL BREJAO</v>
      </c>
      <c r="D36" t="str">
        <f ca="1">IFERROR(__xludf.DUMMYFUNCTION("""COMPUTED_VALUE"""),"02392799000134")</f>
        <v>02392799000134</v>
      </c>
      <c r="E36" t="str">
        <f ca="1">IFERROR(__xludf.DUMMYFUNCTION("""COMPUTED_VALUE"""),"001")</f>
        <v>001</v>
      </c>
      <c r="F36" t="str">
        <f ca="1">IFERROR(__xludf.DUMMYFUNCTION("""COMPUTED_VALUE"""),"0638")</f>
        <v>0638</v>
      </c>
      <c r="G36" t="str">
        <f ca="1">IFERROR(__xludf.DUMMYFUNCTION("""COMPUTED_VALUE"""),"83615")</f>
        <v>83615</v>
      </c>
      <c r="H36" s="7">
        <f ca="1">IFERROR(__xludf.DUMMYFUNCTION("""COMPUTED_VALUE"""),210)</f>
        <v>210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IFERROR(__xludf.DUMMYFUNCTION("""COMPUTED_VALUE"""),"A.A. DO COL.MUNICIPAL DE FILADELFIA")</f>
        <v>A.A. DO COL.MUNICIPAL DE FILADELFIA</v>
      </c>
      <c r="D37" t="str">
        <f ca="1">IFERROR(__xludf.DUMMYFUNCTION("""COMPUTED_VALUE"""),"02189621000190")</f>
        <v>02189621000190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IFERROR(__xludf.DUMMYFUNCTION("""COMPUTED_VALUE"""),"54127")</f>
        <v>54127</v>
      </c>
      <c r="H37" s="7">
        <f ca="1">IFERROR(__xludf.DUMMYFUNCTION("""COMPUTED_VALUE"""),420)</f>
        <v>420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IFERROR(__xludf.DUMMYFUNCTION("""COMPUTED_VALUE"""),"Filadelfia")</f>
        <v>Filadelfia</v>
      </c>
      <c r="C38" t="str">
        <f ca="1">IFERROR(__xludf.DUMMYFUNCTION("""COMPUTED_VALUE"""),"A.P. E M. ESC. EST. ADEUVALDO O.MORAES")</f>
        <v>A.P. E M. ESC. EST. ADEUVALDO O.MORAES</v>
      </c>
      <c r="D38" t="str">
        <f ca="1">IFERROR(__xludf.DUMMYFUNCTION("""COMPUTED_VALUE"""),"01912087000136")</f>
        <v>01912087000136</v>
      </c>
      <c r="E38" t="str">
        <f ca="1">IFERROR(__xludf.DUMMYFUNCTION("""COMPUTED_VALUE"""),"001")</f>
        <v>001</v>
      </c>
      <c r="F38" t="str">
        <f ca="1">IFERROR(__xludf.DUMMYFUNCTION("""COMPUTED_VALUE"""),"2064")</f>
        <v>2064</v>
      </c>
      <c r="G38" t="str">
        <f ca="1">IFERROR(__xludf.DUMMYFUNCTION("""COMPUTED_VALUE"""),"127434")</f>
        <v>127434</v>
      </c>
      <c r="H38" s="7">
        <f ca="1">IFERROR(__xludf.DUMMYFUNCTION("""COMPUTED_VALUE"""),672)</f>
        <v>672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IFERROR(__xludf.DUMMYFUNCTION("""COMPUTED_VALUE"""),"Goiatins")</f>
        <v>Goiatins</v>
      </c>
      <c r="C39" t="str">
        <f ca="1">IFERROR(__xludf.DUMMYFUNCTION("""COMPUTED_VALUE"""),"ASS. COM.COL. EST. ADA ASSIS TEIXEIRA")</f>
        <v>ASS. COM.COL. EST. ADA ASSIS TEIXEIRA</v>
      </c>
      <c r="D39" t="str">
        <f ca="1">IFERROR(__xludf.DUMMYFUNCTION("""COMPUTED_VALUE"""),"01440731000110")</f>
        <v>01440731000110</v>
      </c>
      <c r="E39" t="str">
        <f ca="1">IFERROR(__xludf.DUMMYFUNCTION("""COMPUTED_VALUE"""),"001")</f>
        <v>001</v>
      </c>
      <c r="F39" t="str">
        <f ca="1">IFERROR(__xludf.DUMMYFUNCTION("""COMPUTED_VALUE"""),"2064")</f>
        <v>2064</v>
      </c>
      <c r="G39" t="str">
        <f ca="1">IFERROR(__xludf.DUMMYFUNCTION("""COMPUTED_VALUE"""),"0013323")</f>
        <v>0013323</v>
      </c>
      <c r="H39" s="7">
        <f ca="1">IFERROR(__xludf.DUMMYFUNCTION("""COMPUTED_VALUE"""),294)</f>
        <v>294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IFERROR(__xludf.DUMMYFUNCTION("""COMPUTED_VALUE"""),"Muricilandia")</f>
        <v>Muricilandia</v>
      </c>
      <c r="C40" t="str">
        <f ca="1">IFERROR(__xludf.DUMMYFUNCTION("""COMPUTED_VALUE"""),"A.COM. DE AP. COL. EST. DE MURICILANDIA")</f>
        <v>A.COM. DE AP. COL. EST. DE MURICILANDIA</v>
      </c>
      <c r="D40" t="str">
        <f ca="1">IFERROR(__xludf.DUMMYFUNCTION("""COMPUTED_VALUE"""),"01911084000188")</f>
        <v>01911084000188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IFERROR(__xludf.DUMMYFUNCTION("""COMPUTED_VALUE"""),"8350X")</f>
        <v>8350X</v>
      </c>
      <c r="H40" s="7">
        <f ca="1">IFERROR(__xludf.DUMMYFUNCTION("""COMPUTED_VALUE"""),294)</f>
        <v>294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ESC. COL. E. HELIO DE SOUZA BUENO")</f>
        <v>A.A. ESC. COL. E. HELIO DE SOUZA BUENO</v>
      </c>
      <c r="D41" t="str">
        <f ca="1">IFERROR(__xludf.DUMMYFUNCTION("""COMPUTED_VALUE"""),"01186466000196")</f>
        <v>01186466000196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IFERROR(__xludf.DUMMYFUNCTION("""COMPUTED_VALUE"""),"0462985")</f>
        <v>0462985</v>
      </c>
      <c r="H41" s="7">
        <f ca="1">IFERROR(__xludf.DUMMYFUNCTION("""COMPUTED_VALUE"""),924)</f>
        <v>924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IFERROR(__xludf.DUMMYFUNCTION("""COMPUTED_VALUE"""),"Nova Olinda")</f>
        <v>Nova Olinda</v>
      </c>
      <c r="C42" t="str">
        <f ca="1">IFERROR(__xludf.DUMMYFUNCTION("""COMPUTED_VALUE"""),"ASSOCIAÇÃO DE APOIO A ESCOLA ESPECIAL RENASCER")</f>
        <v>ASSOCIAÇÃO DE APOIO A ESCOLA ESPECIAL RENASCER</v>
      </c>
      <c r="D42" t="str">
        <f ca="1">IFERROR(__xludf.DUMMYFUNCTION("""COMPUTED_VALUE"""),"07951646000101")</f>
        <v>07951646000101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IFERROR(__xludf.DUMMYFUNCTION("""COMPUTED_VALUE"""),"541028")</f>
        <v>541028</v>
      </c>
      <c r="H42" s="7">
        <f ca="1">IFERROR(__xludf.DUMMYFUNCTION("""COMPUTED_VALUE"""),210)</f>
        <v>210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IFERROR(__xludf.DUMMYFUNCTION("""COMPUTED_VALUE"""),"Nova Olinda")</f>
        <v>Nova Olinda</v>
      </c>
      <c r="C43" t="str">
        <f ca="1">IFERROR(__xludf.DUMMYFUNCTION("""COMPUTED_VALUE"""),"A.A. E. E. PROFA. HAMEDY CURY QUEIROZ")</f>
        <v>A.A. E. E. PROFA. HAMEDY CURY QUEIROZ</v>
      </c>
      <c r="D43" t="str">
        <f ca="1">IFERROR(__xludf.DUMMYFUNCTION("""COMPUTED_VALUE"""),"01431375000179")</f>
        <v>01431375000179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IFERROR(__xludf.DUMMYFUNCTION("""COMPUTED_VALUE"""),"0468010")</f>
        <v>0468010</v>
      </c>
      <c r="H43" s="7">
        <f ca="1">IFERROR(__xludf.DUMMYFUNCTION("""COMPUTED_VALUE"""),546)</f>
        <v>546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IFERROR(__xludf.DUMMYFUNCTION("""COMPUTED_VALUE"""),"Riachinho")</f>
        <v>Riachinho</v>
      </c>
      <c r="C44" t="str">
        <f ca="1">IFERROR(__xludf.DUMMYFUNCTION("""COMPUTED_VALUE"""),"ASSOC. DE APOIO ESC. EST. JOAO XXIII")</f>
        <v>ASSOC. DE APOIO ESC. EST. JOAO XXIII</v>
      </c>
      <c r="D44" t="str">
        <f ca="1">IFERROR(__xludf.DUMMYFUNCTION("""COMPUTED_VALUE"""),"01136006000153")</f>
        <v>01136006000153</v>
      </c>
      <c r="E44" t="str">
        <f ca="1">IFERROR(__xludf.DUMMYFUNCTION("""COMPUTED_VALUE"""),"001")</f>
        <v>001</v>
      </c>
      <c r="F44" t="str">
        <f ca="1">IFERROR(__xludf.DUMMYFUNCTION("""COMPUTED_VALUE"""),"3973")</f>
        <v>3973</v>
      </c>
      <c r="G44" t="str">
        <f ca="1">IFERROR(__xludf.DUMMYFUNCTION("""COMPUTED_VALUE"""),"51969")</f>
        <v>51969</v>
      </c>
      <c r="H44" s="7">
        <f ca="1">IFERROR(__xludf.DUMMYFUNCTION("""COMPUTED_VALUE"""),105)</f>
        <v>105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IFERROR(__xludf.DUMMYFUNCTION("""COMPUTED_VALUE"""),"Santa Fe do Araguaia")</f>
        <v>Santa Fe do Araguaia</v>
      </c>
      <c r="C45" t="str">
        <f ca="1">IFERROR(__xludf.DUMMYFUNCTION("""COMPUTED_VALUE"""),"A. DE AP. DA ESCOLA EST. CASTRO ALVES")</f>
        <v>A. DE AP. DA ESCOLA EST. CASTRO ALVES</v>
      </c>
      <c r="D45" t="str">
        <f ca="1">IFERROR(__xludf.DUMMYFUNCTION("""COMPUTED_VALUE"""),"01673181000180")</f>
        <v>01673181000180</v>
      </c>
      <c r="E45" t="str">
        <f ca="1">IFERROR(__xludf.DUMMYFUNCTION("""COMPUTED_VALUE"""),"001")</f>
        <v>001</v>
      </c>
      <c r="F45" t="str">
        <f ca="1">IFERROR(__xludf.DUMMYFUNCTION("""COMPUTED_VALUE"""),"4791")</f>
        <v>4791</v>
      </c>
      <c r="G45" t="str">
        <f ca="1">IFERROR(__xludf.DUMMYFUNCTION("""COMPUTED_VALUE"""),"54739")</f>
        <v>54739</v>
      </c>
      <c r="H45" s="7">
        <f ca="1">IFERROR(__xludf.DUMMYFUNCTION("""COMPUTED_VALUE"""),441)</f>
        <v>441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IFERROR(__xludf.DUMMYFUNCTION("""COMPUTED_VALUE"""),"A.A. COL. ESTADUAL JOSE LUIZ SIQUEIRA")</f>
        <v>A.A. COL. ESTADUAL JOSE LUIZ SIQUEIRA</v>
      </c>
      <c r="D46" t="str">
        <f ca="1">IFERROR(__xludf.DUMMYFUNCTION("""COMPUTED_VALUE"""),"01257082000117")</f>
        <v>01257082000117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IFERROR(__xludf.DUMMYFUNCTION("""COMPUTED_VALUE"""),"0465291")</f>
        <v>0465291</v>
      </c>
      <c r="H46" s="7">
        <f ca="1">IFERROR(__xludf.DUMMYFUNCTION("""COMPUTED_VALUE"""),483)</f>
        <v>483</v>
      </c>
      <c r="I46" t="str">
        <v>AEE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IFERROR(__xludf.DUMMYFUNCTION("""COMPUTED_VALUE"""),"Wanderlandia")</f>
        <v>Wanderlandia</v>
      </c>
      <c r="C47" t="str">
        <f ca="1">IFERROR(__xludf.DUMMYFUNCTION("""COMPUTED_VALUE"""),"ASSOCIAÇÃO DE APOIO DA ESCOLA ESPECIAL MORADA DO SOL")</f>
        <v>ASSOCIAÇÃO DE APOIO DA ESCOLA ESPECIAL MORADA DO SOL</v>
      </c>
      <c r="D47" t="str">
        <f ca="1">IFERROR(__xludf.DUMMYFUNCTION("""COMPUTED_VALUE"""),"07941368000101")</f>
        <v>07941368000101</v>
      </c>
      <c r="E47" t="str">
        <f ca="1">IFERROR(__xludf.DUMMYFUNCTION("""COMPUTED_VALUE"""),"001")</f>
        <v>001</v>
      </c>
      <c r="F47" t="str">
        <f ca="1">IFERROR(__xludf.DUMMYFUNCTION("""COMPUTED_VALUE"""),"0638")</f>
        <v>0638</v>
      </c>
      <c r="G47" t="str">
        <f ca="1">IFERROR(__xludf.DUMMYFUNCTION("""COMPUTED_VALUE"""),"537349")</f>
        <v>537349</v>
      </c>
      <c r="H47" s="7">
        <f ca="1">IFERROR(__xludf.DUMMYFUNCTION("""COMPUTED_VALUE"""),189)</f>
        <v>189</v>
      </c>
      <c r="I47" t="str">
        <v>AEE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IFERROR(__xludf.DUMMYFUNCTION("""COMPUTED_VALUE"""),"Wanderlandia")</f>
        <v>Wanderlandia</v>
      </c>
      <c r="C48" t="str">
        <f ca="1">IFERROR(__xludf.DUMMYFUNCTION("""COMPUTED_VALUE"""),"A.APOIO ESCOLA ESTADUAL D. PEDRO II")</f>
        <v>A.APOIO ESCOLA ESTADUAL D. PEDRO II</v>
      </c>
      <c r="D48" t="str">
        <f ca="1">IFERROR(__xludf.DUMMYFUNCTION("""COMPUTED_VALUE"""),"01186465000141")</f>
        <v>01186465000141</v>
      </c>
      <c r="E48" t="str">
        <f ca="1">IFERROR(__xludf.DUMMYFUNCTION("""COMPUTED_VALUE"""),"001")</f>
        <v>001</v>
      </c>
      <c r="F48" t="str">
        <f ca="1">IFERROR(__xludf.DUMMYFUNCTION("""COMPUTED_VALUE"""),"0638")</f>
        <v>0638</v>
      </c>
      <c r="G48" t="str">
        <f ca="1">IFERROR(__xludf.DUMMYFUNCTION("""COMPUTED_VALUE"""),"0463108")</f>
        <v>0463108</v>
      </c>
      <c r="H48" s="7">
        <f ca="1">IFERROR(__xludf.DUMMYFUNCTION("""COMPUTED_VALUE"""),399)</f>
        <v>399</v>
      </c>
      <c r="I48" t="str">
        <v>AEE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IFERROR(__xludf.DUMMYFUNCTION("""COMPUTED_VALUE"""),"Xambioa")</f>
        <v>Xambioa</v>
      </c>
      <c r="C49" t="str">
        <f ca="1">IFERROR(__xludf.DUMMYFUNCTION("""COMPUTED_VALUE"""),"AS. DE A. A ESC.PAROQUIAL SAO MIGUEL")</f>
        <v>AS. DE A. A ESC.PAROQUIAL SAO MIGUEL</v>
      </c>
      <c r="D49" t="str">
        <f ca="1">IFERROR(__xludf.DUMMYFUNCTION("""COMPUTED_VALUE"""),"01133698000186")</f>
        <v>01133698000186</v>
      </c>
      <c r="E49" t="str">
        <f ca="1">IFERROR(__xludf.DUMMYFUNCTION("""COMPUTED_VALUE"""),"001")</f>
        <v>001</v>
      </c>
      <c r="F49" t="str">
        <f ca="1">IFERROR(__xludf.DUMMYFUNCTION("""COMPUTED_VALUE"""),"3773")</f>
        <v>3773</v>
      </c>
      <c r="G49" t="str">
        <f ca="1">IFERROR(__xludf.DUMMYFUNCTION("""COMPUTED_VALUE"""),"330035")</f>
        <v>330035</v>
      </c>
      <c r="H49" s="7">
        <f ca="1">IFERROR(__xludf.DUMMYFUNCTION("""COMPUTED_VALUE"""),210)</f>
        <v>210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IFERROR(__xludf.DUMMYFUNCTION("""COMPUTED_VALUE"""),"ASSOC. APOIO AO CEM PROFESSORA ANTONINA MILHOMEM")</f>
        <v>ASSOC. APOIO AO CEM PROFESSORA ANTONINA MILHOMEM</v>
      </c>
      <c r="D50" t="str">
        <f ca="1">IFERROR(__xludf.DUMMYFUNCTION("""COMPUTED_VALUE"""),"04675931000140")</f>
        <v>04675931000140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IFERROR(__xludf.DUMMYFUNCTION("""COMPUTED_VALUE"""),"209082")</f>
        <v>209082</v>
      </c>
      <c r="H50" s="7">
        <f ca="1">IFERROR(__xludf.DUMMYFUNCTION("""COMPUTED_VALUE"""),315)</f>
        <v>315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IFERROR(__xludf.DUMMYFUNCTION("""COMPUTED_VALUE"""),"A.A. COL. EST. LEONIDAS G. DUARTE")</f>
        <v>A.A. COL. EST. LEONIDAS G. DUARTE</v>
      </c>
      <c r="D51" t="str">
        <f ca="1">IFERROR(__xludf.DUMMYFUNCTION("""COMPUTED_VALUE"""),"01190189000195")</f>
        <v>01190189000195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IFERROR(__xludf.DUMMYFUNCTION("""COMPUTED_VALUE"""),"0019143")</f>
        <v>0019143</v>
      </c>
      <c r="H51" s="7">
        <f ca="1">IFERROR(__xludf.DUMMYFUNCTION("""COMPUTED_VALUE"""),336)</f>
        <v>336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A ESC. EST. OSVALDO FRANCO")</f>
        <v>A.A. A ESC. EST. OSVALDO FRANCO</v>
      </c>
      <c r="D52" t="str">
        <f ca="1">IFERROR(__xludf.DUMMYFUNCTION("""COMPUTED_VALUE"""),"01392733000181")</f>
        <v>01392733000181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IFERROR(__xludf.DUMMYFUNCTION("""COMPUTED_VALUE"""),"109738")</f>
        <v>109738</v>
      </c>
      <c r="H52" s="7">
        <f ca="1">IFERROR(__xludf.DUMMYFUNCTION("""COMPUTED_VALUE"""),462)</f>
        <v>462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ESC. ESTADUAL ALDINAR GONÇALVES DE CARVALHO")</f>
        <v>A.A. ESC. ESTADUAL ALDINAR GONÇALVES DE CARVALHO</v>
      </c>
      <c r="D53" t="str">
        <f ca="1">IFERROR(__xludf.DUMMYFUNCTION("""COMPUTED_VALUE"""),"09465471000140")</f>
        <v>09465471000140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IFERROR(__xludf.DUMMYFUNCTION("""COMPUTED_VALUE"""),"196657")</f>
        <v>196657</v>
      </c>
      <c r="H53" s="7">
        <f ca="1">IFERROR(__xludf.DUMMYFUNCTION("""COMPUTED_VALUE"""),630)</f>
        <v>630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IFERROR(__xludf.DUMMYFUNCTION("""COMPUTED_VALUE"""),"ASSOC. DE APOIO ESC. EST. FREI SAVINO")</f>
        <v>ASSOC. DE APOIO ESC. EST. FREI SAVINO</v>
      </c>
      <c r="D54" t="str">
        <f ca="1">IFERROR(__xludf.DUMMYFUNCTION("""COMPUTED_VALUE"""),"01181389000181")</f>
        <v>01181389000181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IFERROR(__xludf.DUMMYFUNCTION("""COMPUTED_VALUE"""),"0019437")</f>
        <v>0019437</v>
      </c>
      <c r="H54" s="7">
        <f ca="1">IFERROR(__xludf.DUMMYFUNCTION("""COMPUTED_VALUE"""),294)</f>
        <v>294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IFERROR(__xludf.DUMMYFUNCTION("""COMPUTED_VALUE"""),"Araguatins")</f>
        <v>Araguatins</v>
      </c>
      <c r="C55" t="str">
        <f ca="1">IFERROR(__xludf.DUMMYFUNCTION("""COMPUTED_VALUE"""),"ASSOC. APOIO ESC. EST. DENISE GOMIDE AMUI")</f>
        <v>ASSOC. APOIO ESC. EST. DENISE GOMIDE AMUI</v>
      </c>
      <c r="D55" t="str">
        <f ca="1">IFERROR(__xludf.DUMMYFUNCTION("""COMPUTED_VALUE"""),"01136000000186")</f>
        <v>01136000000186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IFERROR(__xludf.DUMMYFUNCTION("""COMPUTED_VALUE"""),"0109223")</f>
        <v>0109223</v>
      </c>
      <c r="H55" s="7">
        <f ca="1">IFERROR(__xludf.DUMMYFUNCTION("""COMPUTED_VALUE"""),231)</f>
        <v>231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IFERROR(__xludf.DUMMYFUNCTION("""COMPUTED_VALUE"""),"Araguatins")</f>
        <v>Araguatins</v>
      </c>
      <c r="C56" t="str">
        <f ca="1">IFERROR(__xludf.DUMMYFUNCTION("""COMPUTED_VALUE"""),"A.A.  A ESC. EST. SANTA GERTRUDES")</f>
        <v>A.A.  A ESC. EST. SANTA GERTRUDES</v>
      </c>
      <c r="D56" t="str">
        <f ca="1">IFERROR(__xludf.DUMMYFUNCTION("""COMPUTED_VALUE"""),"03713455000142")</f>
        <v>03713455000142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IFERROR(__xludf.DUMMYFUNCTION("""COMPUTED_VALUE"""),"78271")</f>
        <v>78271</v>
      </c>
      <c r="H56" s="7">
        <f ca="1">IFERROR(__xludf.DUMMYFUNCTION("""COMPUTED_VALUE"""),315)</f>
        <v>315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IFERROR(__xludf.DUMMYFUNCTION("""COMPUTED_VALUE"""),"Araguatins")</f>
        <v>Araguatins</v>
      </c>
      <c r="C57" t="str">
        <f ca="1">IFERROR(__xludf.DUMMYFUNCTION("""COMPUTED_VALUE"""),"A.A.  A ESCOLA ISOLADA BOA SORTE")</f>
        <v>A.A.  A ESCOLA ISOLADA BOA SORTE</v>
      </c>
      <c r="D57" t="str">
        <f ca="1">IFERROR(__xludf.DUMMYFUNCTION("""COMPUTED_VALUE"""),"03765304000138")</f>
        <v>03765304000138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IFERROR(__xludf.DUMMYFUNCTION("""COMPUTED_VALUE"""),"78964")</f>
        <v>78964</v>
      </c>
      <c r="H57" s="7">
        <f ca="1">IFERROR(__xludf.DUMMYFUNCTION("""COMPUTED_VALUE"""),168)</f>
        <v>168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CENTRO EST. DE EDUCACAO LA SALLE")</f>
        <v>A.A. CENTRO EST. DE EDUCACAO LA SALLE</v>
      </c>
      <c r="D58" t="str">
        <f ca="1">IFERROR(__xludf.DUMMYFUNCTION("""COMPUTED_VALUE"""),"01223753000129")</f>
        <v>01223753000129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IFERROR(__xludf.DUMMYFUNCTION("""COMPUTED_VALUE"""),"19216")</f>
        <v>19216</v>
      </c>
      <c r="H58" s="7">
        <f ca="1">IFERROR(__xludf.DUMMYFUNCTION("""COMPUTED_VALUE"""),840)</f>
        <v>840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IFERROR(__xludf.DUMMYFUNCTION("""COMPUTED_VALUE"""),"Augustinopolis")</f>
        <v>Augustinopolis</v>
      </c>
      <c r="C59" t="str">
        <f ca="1">IFERROR(__xludf.DUMMYFUNCTION("""COMPUTED_VALUE"""),"A.A. ESCOLA ESTADUAL AUGUSTINOPOLIS")</f>
        <v>A.A. ESCOLA ESTADUAL AUGUSTINOPOLIS</v>
      </c>
      <c r="D59" t="str">
        <f ca="1">IFERROR(__xludf.DUMMYFUNCTION("""COMPUTED_VALUE"""),"01133692000109")</f>
        <v>01133692000109</v>
      </c>
      <c r="E59" t="str">
        <f ca="1">IFERROR(__xludf.DUMMYFUNCTION("""COMPUTED_VALUE"""),"001")</f>
        <v>001</v>
      </c>
      <c r="F59" t="str">
        <f ca="1">IFERROR(__xludf.DUMMYFUNCTION("""COMPUTED_VALUE"""),"3975")</f>
        <v>3975</v>
      </c>
      <c r="G59" t="str">
        <f ca="1">IFERROR(__xludf.DUMMYFUNCTION("""COMPUTED_VALUE"""),"019151")</f>
        <v>019151</v>
      </c>
      <c r="H59" s="7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IFERROR(__xludf.DUMMYFUNCTION("""COMPUTED_VALUE"""),"Augustinopolis")</f>
        <v>Augustinopolis</v>
      </c>
      <c r="C60" t="str">
        <f ca="1">IFERROR(__xludf.DUMMYFUNCTION("""COMPUTED_VALUE"""),"ASSOC. DE AP.ESC. EST. FAZ.DEZESSEIS")</f>
        <v>ASSOC. DE AP.ESC. EST. FAZ.DEZESSEIS</v>
      </c>
      <c r="D60" t="str">
        <f ca="1">IFERROR(__xludf.DUMMYFUNCTION("""COMPUTED_VALUE"""),"01133695000142")</f>
        <v>01133695000142</v>
      </c>
      <c r="E60" t="str">
        <f ca="1">IFERROR(__xludf.DUMMYFUNCTION("""COMPUTED_VALUE"""),"001")</f>
        <v>001</v>
      </c>
      <c r="F60" t="str">
        <f ca="1">IFERROR(__xludf.DUMMYFUNCTION("""COMPUTED_VALUE"""),"3975")</f>
        <v>3975</v>
      </c>
      <c r="G60" t="str">
        <f ca="1">IFERROR(__xludf.DUMMYFUNCTION("""COMPUTED_VALUE"""),"0019615")</f>
        <v>0019615</v>
      </c>
      <c r="H60" s="7">
        <f ca="1">IFERROR(__xludf.DUMMYFUNCTION("""COMPUTED_VALUE"""),147)</f>
        <v>147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IFERROR(__xludf.DUMMYFUNCTION("""COMPUTED_VALUE"""),"Augustinopolis")</f>
        <v>Augustinopolis</v>
      </c>
      <c r="C61" t="str">
        <f ca="1">IFERROR(__xludf.DUMMYFUNCTION("""COMPUTED_VALUE"""),"A.A. DA ESCOLA EST. SANTA GENOVEVA")</f>
        <v>A.A. DA ESCOLA EST. SANTA GENOVEVA</v>
      </c>
      <c r="D61" t="str">
        <f ca="1">IFERROR(__xludf.DUMMYFUNCTION("""COMPUTED_VALUE"""),"01068357000174")</f>
        <v>01068357000174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IFERROR(__xludf.DUMMYFUNCTION("""COMPUTED_VALUE"""),"0019461")</f>
        <v>0019461</v>
      </c>
      <c r="H61" s="7">
        <f ca="1">IFERROR(__xludf.DUMMYFUNCTION("""COMPUTED_VALUE"""),378)</f>
        <v>378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IFERROR(__xludf.DUMMYFUNCTION("""COMPUTED_VALUE"""),"Axixa do Tocantins")</f>
        <v>Axixa do Tocantins</v>
      </c>
      <c r="C62" t="str">
        <f ca="1">IFERROR(__xludf.DUMMYFUNCTION("""COMPUTED_VALUE"""),"ASSOC. DE APOIO COLÉGIO. EST. MAL. RIBAS JUNIOR")</f>
        <v>ASSOC. DE APOIO COLÉGIO. EST. MAL. RIBAS JUNIOR</v>
      </c>
      <c r="D62" t="str">
        <f ca="1">IFERROR(__xludf.DUMMYFUNCTION("""COMPUTED_VALUE"""),"01086979000125")</f>
        <v>01086979000125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IFERROR(__xludf.DUMMYFUNCTION("""COMPUTED_VALUE"""),"209201")</f>
        <v>209201</v>
      </c>
      <c r="H62" s="7">
        <f ca="1">IFERROR(__xludf.DUMMYFUNCTION("""COMPUTED_VALUE"""),273)</f>
        <v>273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IFERROR(__xludf.DUMMYFUNCTION("""COMPUTED_VALUE"""),"Axixa do Tocantins")</f>
        <v>Axixa do Tocantins</v>
      </c>
      <c r="C63" t="str">
        <f ca="1">IFERROR(__xludf.DUMMYFUNCTION("""COMPUTED_VALUE"""),"A.A. ESC. EST. SAO FRANCISCO DE ASSIS")</f>
        <v>A.A. ESC. EST. SAO FRANCISCO DE ASSIS</v>
      </c>
      <c r="D63" t="str">
        <f ca="1">IFERROR(__xludf.DUMMYFUNCTION("""COMPUTED_VALUE"""),"01086980000150")</f>
        <v>01086980000150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IFERROR(__xludf.DUMMYFUNCTION("""COMPUTED_VALUE"""),"19399")</f>
        <v>19399</v>
      </c>
      <c r="H63" s="7">
        <f ca="1">IFERROR(__xludf.DUMMYFUNCTION("""COMPUTED_VALUE"""),294)</f>
        <v>294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DA ESCOLA ESTADUAL DARCYNOPOLIS")</f>
        <v>A.A. DA ESCOLA ESTADUAL DARCYNOPOLIS</v>
      </c>
      <c r="D64" t="str">
        <f ca="1">IFERROR(__xludf.DUMMYFUNCTION("""COMPUTED_VALUE"""),"01190184000162")</f>
        <v>01190184000162</v>
      </c>
      <c r="E64" t="str">
        <f ca="1">IFERROR(__xludf.DUMMYFUNCTION("""COMPUTED_VALUE"""),"001")</f>
        <v>001</v>
      </c>
      <c r="F64" t="str">
        <f ca="1">IFERROR(__xludf.DUMMYFUNCTION("""COMPUTED_VALUE"""),"3975")</f>
        <v>3975</v>
      </c>
      <c r="G64" t="str">
        <f ca="1">IFERROR(__xludf.DUMMYFUNCTION("""COMPUTED_VALUE"""),"0019275")</f>
        <v>0019275</v>
      </c>
      <c r="H64" s="7">
        <f ca="1">IFERROR(__xludf.DUMMYFUNCTION("""COMPUTED_VALUE"""),336)</f>
        <v>336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IFERROR(__xludf.DUMMYFUNCTION("""COMPUTED_VALUE"""),"Buriti do Tocantins")</f>
        <v>Buriti do Tocantins</v>
      </c>
      <c r="C65" t="str">
        <f ca="1">IFERROR(__xludf.DUMMYFUNCTION("""COMPUTED_VALUE"""),"A.A. ESC. ESTADUAL MINISTRO NEY BRAGA")</f>
        <v>A.A. ESC. ESTADUAL MINISTRO NEY BRAGA</v>
      </c>
      <c r="D65" t="str">
        <f ca="1">IFERROR(__xludf.DUMMYFUNCTION("""COMPUTED_VALUE"""),"01206220000139")</f>
        <v>01206220000139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IFERROR(__xludf.DUMMYFUNCTION("""COMPUTED_VALUE"""),"10941X")</f>
        <v>10941X</v>
      </c>
      <c r="H65" s="7">
        <f ca="1">IFERROR(__xludf.DUMMYFUNCTION("""COMPUTED_VALUE"""),273)</f>
        <v>273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IFERROR(__xludf.DUMMYFUNCTION("""COMPUTED_VALUE"""),"Buriti do Tocantins")</f>
        <v>Buriti do Tocantins</v>
      </c>
      <c r="C66" t="str">
        <f ca="1">IFERROR(__xludf.DUMMYFUNCTION("""COMPUTED_VALUE"""),"A.A. ESC. E.PRES.TANCREDO DE A.NEVES")</f>
        <v>A.A. ESC. E.PRES.TANCREDO DE A.NEVES</v>
      </c>
      <c r="D66" t="str">
        <f ca="1">IFERROR(__xludf.DUMMYFUNCTION("""COMPUTED_VALUE"""),"01112478000176")</f>
        <v>01112478000176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IFERROR(__xludf.DUMMYFUNCTION("""COMPUTED_VALUE"""),"10924X")</f>
        <v>10924X</v>
      </c>
      <c r="H66" s="7">
        <f ca="1">IFERROR(__xludf.DUMMYFUNCTION("""COMPUTED_VALUE"""),756)</f>
        <v>756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IFERROR(__xludf.DUMMYFUNCTION("""COMPUTED_VALUE"""),"Buriti do Tocantins")</f>
        <v>Buriti do Tocantins</v>
      </c>
      <c r="C67" t="str">
        <f ca="1">IFERROR(__xludf.DUMMYFUNCTION("""COMPUTED_VALUE"""),"A.A. ESC. EST. VICENTE CARLOS DE SOUSA")</f>
        <v>A.A. ESC. EST. VICENTE CARLOS DE SOUSA</v>
      </c>
      <c r="D67" t="str">
        <f ca="1">IFERROR(__xludf.DUMMYFUNCTION("""COMPUTED_VALUE"""),"01206288000118")</f>
        <v>01206288000118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IFERROR(__xludf.DUMMYFUNCTION("""COMPUTED_VALUE"""),"0109614")</f>
        <v>0109614</v>
      </c>
      <c r="H67" s="7">
        <f ca="1">IFERROR(__xludf.DUMMYFUNCTION("""COMPUTED_VALUE"""),231)</f>
        <v>231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IFERROR(__xludf.DUMMYFUNCTION("""COMPUTED_VALUE"""),"Carrasco Bonito")</f>
        <v>Carrasco Bonito</v>
      </c>
      <c r="C68" t="str">
        <f ca="1">IFERROR(__xludf.DUMMYFUNCTION("""COMPUTED_VALUE"""),"A.A. DA ESC. EST. CICERO GOMES")</f>
        <v>A.A. DA ESC. EST. CICERO GOMES</v>
      </c>
      <c r="D68" t="str">
        <f ca="1">IFERROR(__xludf.DUMMYFUNCTION("""COMPUTED_VALUE"""),"01068377000145")</f>
        <v>01068377000145</v>
      </c>
      <c r="E68" t="str">
        <f ca="1">IFERROR(__xludf.DUMMYFUNCTION("""COMPUTED_VALUE"""),"001")</f>
        <v>001</v>
      </c>
      <c r="F68" t="str">
        <f ca="1">IFERROR(__xludf.DUMMYFUNCTION("""COMPUTED_VALUE"""),"3975")</f>
        <v>3975</v>
      </c>
      <c r="G68" t="str">
        <f ca="1">IFERROR(__xludf.DUMMYFUNCTION("""COMPUTED_VALUE"""),"19291")</f>
        <v>19291</v>
      </c>
      <c r="H68" s="7">
        <f ca="1">IFERROR(__xludf.DUMMYFUNCTION("""COMPUTED_VALUE"""),252)</f>
        <v>252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IFERROR(__xludf.DUMMYFUNCTION("""COMPUTED_VALUE"""),"Esperantina")</f>
        <v>Esperantina</v>
      </c>
      <c r="C69" t="str">
        <f ca="1">IFERROR(__xludf.DUMMYFUNCTION("""COMPUTED_VALUE"""),"A.A. ESC. ESTADUAL ULISSES GUIMARAES")</f>
        <v>A.A. ESC. ESTADUAL ULISSES GUIMARAES</v>
      </c>
      <c r="D69" t="str">
        <f ca="1">IFERROR(__xludf.DUMMYFUNCTION("""COMPUTED_VALUE"""),"01190183000118")</f>
        <v>01190183000118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IFERROR(__xludf.DUMMYFUNCTION("""COMPUTED_VALUE"""),"109363")</f>
        <v>109363</v>
      </c>
      <c r="H69" s="7">
        <f ca="1">IFERROR(__xludf.DUMMYFUNCTION("""COMPUTED_VALUE"""),168)</f>
        <v>168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IFERROR(__xludf.DUMMYFUNCTION("""COMPUTED_VALUE"""),"Praia Norte")</f>
        <v>Praia Norte</v>
      </c>
      <c r="C70" t="str">
        <f ca="1">IFERROR(__xludf.DUMMYFUNCTION("""COMPUTED_VALUE"""),"ASS. DE AP.ESCOLA EST. Iº DE JUNHO")</f>
        <v>ASS. DE AP.ESCOLA EST. Iº DE JUNHO</v>
      </c>
      <c r="D70" t="str">
        <f ca="1">IFERROR(__xludf.DUMMYFUNCTION("""COMPUTED_VALUE"""),"01392734000126")</f>
        <v>01392734000126</v>
      </c>
      <c r="E70" t="str">
        <f ca="1">IFERROR(__xludf.DUMMYFUNCTION("""COMPUTED_VALUE"""),"001")</f>
        <v>001</v>
      </c>
      <c r="F70" t="str">
        <f ca="1">IFERROR(__xludf.DUMMYFUNCTION("""COMPUTED_VALUE"""),"3975")</f>
        <v>3975</v>
      </c>
      <c r="G70" t="str">
        <f ca="1">IFERROR(__xludf.DUMMYFUNCTION("""COMPUTED_VALUE"""),"19712")</f>
        <v>19712</v>
      </c>
      <c r="H70" s="7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IFERROR(__xludf.DUMMYFUNCTION("""COMPUTED_VALUE"""),"Sampaio")</f>
        <v>Sampaio</v>
      </c>
      <c r="C71" t="str">
        <f ca="1">IFERROR(__xludf.DUMMYFUNCTION("""COMPUTED_VALUE"""),"A. DE AP. DA ESCOLA ESTADUAL SAMPAIO")</f>
        <v>A. DE AP. DA ESCOLA ESTADUAL SAMPAIO</v>
      </c>
      <c r="D71" t="str">
        <f ca="1">IFERROR(__xludf.DUMMYFUNCTION("""COMPUTED_VALUE"""),"01190179000150")</f>
        <v>01190179000150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IFERROR(__xludf.DUMMYFUNCTION("""COMPUTED_VALUE"""),"0019178")</f>
        <v>0019178</v>
      </c>
      <c r="H71" s="7">
        <f ca="1">IFERROR(__xludf.DUMMYFUNCTION("""COMPUTED_VALUE"""),294)</f>
        <v>294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Bento do Tocantins")</f>
        <v>Sao Bento do Tocantins</v>
      </c>
      <c r="C72" t="str">
        <f ca="1">IFERROR(__xludf.DUMMYFUNCTION("""COMPUTED_VALUE"""),"A.A. COLEGIO EST. IRMAOS FILGUEIRAS")</f>
        <v>A.A. COLEGIO EST. IRMAOS FILGUEIRAS</v>
      </c>
      <c r="D72" t="str">
        <f ca="1">IFERROR(__xludf.DUMMYFUNCTION("""COMPUTED_VALUE"""),"01068348000183")</f>
        <v>01068348000183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IFERROR(__xludf.DUMMYFUNCTION("""COMPUTED_VALUE"""),"109134")</f>
        <v>109134</v>
      </c>
      <c r="H72" s="7">
        <f ca="1">IFERROR(__xludf.DUMMYFUNCTION("""COMPUTED_VALUE"""),357)</f>
        <v>357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IFERROR(__xludf.DUMMYFUNCTION("""COMPUTED_VALUE"""),"Sao Bento do Tocantins")</f>
        <v>Sao Bento do Tocantins</v>
      </c>
      <c r="C73" t="str">
        <f ca="1">IFERROR(__xludf.DUMMYFUNCTION("""COMPUTED_VALUE"""),"A.A. ESC. EST. ANAIDES BRITO MIRANDA")</f>
        <v>A.A. ESC. EST. ANAIDES BRITO MIRANDA</v>
      </c>
      <c r="D73" t="str">
        <f ca="1">IFERROR(__xludf.DUMMYFUNCTION("""COMPUTED_VALUE"""),"01181993000108")</f>
        <v>01181993000108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IFERROR(__xludf.DUMMYFUNCTION("""COMPUTED_VALUE"""),"10938x")</f>
        <v>10938x</v>
      </c>
      <c r="H73" s="7">
        <f ca="1">IFERROR(__xludf.DUMMYFUNCTION("""COMPUTED_VALUE"""),252)</f>
        <v>252</v>
      </c>
      <c r="I73" t="str">
        <v>AEE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IFERROR(__xludf.DUMMYFUNCTION("""COMPUTED_VALUE"""),"Sao Miguel do Tocantins")</f>
        <v>Sao Miguel do Tocantins</v>
      </c>
      <c r="C74" t="str">
        <f ca="1">IFERROR(__xludf.DUMMYFUNCTION("""COMPUTED_VALUE"""),"A.A.  ESCOLA ESTADUAL SAO MIGUEL")</f>
        <v>A.A.  ESCOLA ESTADUAL SAO MIGUEL</v>
      </c>
      <c r="D74" t="str">
        <f ca="1">IFERROR(__xludf.DUMMYFUNCTION("""COMPUTED_VALUE"""),"01213523000189")</f>
        <v>01213523000189</v>
      </c>
      <c r="E74" t="str">
        <f ca="1">IFERROR(__xludf.DUMMYFUNCTION("""COMPUTED_VALUE"""),"001")</f>
        <v>001</v>
      </c>
      <c r="F74" t="str">
        <f ca="1">IFERROR(__xludf.DUMMYFUNCTION("""COMPUTED_VALUE"""),"1305")</f>
        <v>1305</v>
      </c>
      <c r="G74" t="str">
        <f ca="1">IFERROR(__xludf.DUMMYFUNCTION("""COMPUTED_VALUE"""),"173576")</f>
        <v>173576</v>
      </c>
      <c r="H74" s="7">
        <f ca="1">IFERROR(__xludf.DUMMYFUNCTION("""COMPUTED_VALUE"""),294)</f>
        <v>294</v>
      </c>
      <c r="I74" t="str">
        <v>AEE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IFERROR(__xludf.DUMMYFUNCTION("""COMPUTED_VALUE"""),"Sao Sebastiao do Tocantins")</f>
        <v>Sao Sebastiao do Tocantins</v>
      </c>
      <c r="C75" t="str">
        <f ca="1">IFERROR(__xludf.DUMMYFUNCTION("""COMPUTED_VALUE"""),"A.A. E. E. DR.PEDRO LUDOVICO TEIXEIRA")</f>
        <v>A.A. E. E. DR.PEDRO LUDOVICO TEIXEIRA</v>
      </c>
      <c r="D75" t="str">
        <f ca="1">IFERROR(__xludf.DUMMYFUNCTION("""COMPUTED_VALUE"""),"01186462000108")</f>
        <v>01186462000108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IFERROR(__xludf.DUMMYFUNCTION("""COMPUTED_VALUE"""),"109711")</f>
        <v>109711</v>
      </c>
      <c r="H75" s="7">
        <f ca="1">IFERROR(__xludf.DUMMYFUNCTION("""COMPUTED_VALUE"""),273)</f>
        <v>273</v>
      </c>
      <c r="I75" t="str">
        <v>AEE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COL. EST. MARECHAEL RIBAS JUNIOR")</f>
        <v>A.A. COL. EST. MARECHAEL RIBAS JUNIOR</v>
      </c>
      <c r="D76" t="str">
        <f ca="1">IFERROR(__xludf.DUMMYFUNCTION("""COMPUTED_VALUE"""),"01230241000190")</f>
        <v>01230241000190</v>
      </c>
      <c r="E76" t="str">
        <f ca="1">IFERROR(__xludf.DUMMYFUNCTION("""COMPUTED_VALUE"""),"001")</f>
        <v>001</v>
      </c>
      <c r="F76" t="str">
        <f ca="1">IFERROR(__xludf.DUMMYFUNCTION("""COMPUTED_VALUE"""),"1305")</f>
        <v>1305</v>
      </c>
      <c r="G76" t="str">
        <f ca="1">IFERROR(__xludf.DUMMYFUNCTION("""COMPUTED_VALUE"""),"217964")</f>
        <v>217964</v>
      </c>
      <c r="H76" s="7">
        <f ca="1">IFERROR(__xludf.DUMMYFUNCTION("""COMPUTED_VALUE"""),630)</f>
        <v>630</v>
      </c>
      <c r="I76" t="str">
        <v>AEE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IFERROR(__xludf.DUMMYFUNCTION("""COMPUTED_VALUE"""),"Sitio Novo do Tocantins")</f>
        <v>Sitio Novo do Tocantins</v>
      </c>
      <c r="C77" t="str">
        <f ca="1">IFERROR(__xludf.DUMMYFUNCTION("""COMPUTED_VALUE"""),"A.A. ESC. EST. MANOEL ESTEVAO DE SOUZA")</f>
        <v>A.A. ESC. EST. MANOEL ESTEVAO DE SOUZA</v>
      </c>
      <c r="D77" t="str">
        <f ca="1">IFERROR(__xludf.DUMMYFUNCTION("""COMPUTED_VALUE"""),"01213534000169")</f>
        <v>01213534000169</v>
      </c>
      <c r="E77" t="str">
        <f ca="1">IFERROR(__xludf.DUMMYFUNCTION("""COMPUTED_VALUE"""),"001")</f>
        <v>001</v>
      </c>
      <c r="F77" t="str">
        <f ca="1">IFERROR(__xludf.DUMMYFUNCTION("""COMPUTED_VALUE"""),"1305")</f>
        <v>1305</v>
      </c>
      <c r="G77" t="str">
        <f ca="1">IFERROR(__xludf.DUMMYFUNCTION("""COMPUTED_VALUE"""),"181048")</f>
        <v>181048</v>
      </c>
      <c r="H77" s="7">
        <f ca="1">IFERROR(__xludf.DUMMYFUNCTION("""COMPUTED_VALUE"""),336)</f>
        <v>336</v>
      </c>
      <c r="I77" t="str">
        <v>AEE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IFERROR(__xludf.DUMMYFUNCTION("""COMPUTED_VALUE"""),"Sitio Novo do Tocantins")</f>
        <v>Sitio Novo do Tocantins</v>
      </c>
      <c r="C78" t="str">
        <f ca="1">IFERROR(__xludf.DUMMYFUNCTION("""COMPUTED_VALUE"""),"A.A. ESC. EST. RAIMUNDO NONATO LEITE")</f>
        <v>A.A. ESC. EST. RAIMUNDO NONATO LEITE</v>
      </c>
      <c r="D78" t="str">
        <f ca="1">IFERROR(__xludf.DUMMYFUNCTION("""COMPUTED_VALUE"""),"01230237000121")</f>
        <v>01230237000121</v>
      </c>
      <c r="E78" t="str">
        <f ca="1">IFERROR(__xludf.DUMMYFUNCTION("""COMPUTED_VALUE"""),"001")</f>
        <v>001</v>
      </c>
      <c r="F78" t="str">
        <f ca="1">IFERROR(__xludf.DUMMYFUNCTION("""COMPUTED_VALUE"""),"0810")</f>
        <v>0810</v>
      </c>
      <c r="G78" t="str">
        <f ca="1">IFERROR(__xludf.DUMMYFUNCTION("""COMPUTED_VALUE"""),"217980")</f>
        <v>217980</v>
      </c>
      <c r="H78" s="7">
        <f ca="1">IFERROR(__xludf.DUMMYFUNCTION("""COMPUTED_VALUE"""),336)</f>
        <v>336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 E. COM.COL EST PROFA. JOANA B. CORDEIRO")</f>
        <v>A. E. COM.COL EST PROFA. JOANA B. CORDEIRO</v>
      </c>
      <c r="D79" t="str">
        <f ca="1">IFERROR(__xludf.DUMMYFUNCTION("""COMPUTED_VALUE"""),"00922190000102")</f>
        <v>00922190000102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IFERROR(__xludf.DUMMYFUNCTION("""COMPUTED_VALUE"""),"231770")</f>
        <v>231770</v>
      </c>
      <c r="H79" s="7">
        <f ca="1">IFERROR(__xludf.DUMMYFUNCTION("""COMPUTED_VALUE"""),126)</f>
        <v>126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ESCOL. DA ESC. EST. BRIGADEIRO FELIPE")</f>
        <v>A.A. ESCOL. DA ESC. EST. BRIGADEIRO FELIPE</v>
      </c>
      <c r="D80" t="str">
        <f ca="1">IFERROR(__xludf.DUMMYFUNCTION("""COMPUTED_VALUE"""),"01221149000163")</f>
        <v>01221149000163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IFERROR(__xludf.DUMMYFUNCTION("""COMPUTED_VALUE"""),"232165")</f>
        <v>232165</v>
      </c>
      <c r="H80" s="7">
        <f ca="1">IFERROR(__xludf.DUMMYFUNCTION("""COMPUTED_VALUE"""),147)</f>
        <v>147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IFERROR(__xludf.DUMMYFUNCTION("""COMPUTED_VALUE"""),"Arraias")</f>
        <v>Arraias</v>
      </c>
      <c r="C81" t="str">
        <f ca="1">IFERROR(__xludf.DUMMYFUNCTION("""COMPUTED_VALUE"""),"ASS. APOIO ESC. EST. JACY ALVES DE BARROS")</f>
        <v>ASS. APOIO ESC. EST. JACY ALVES DE BARROS</v>
      </c>
      <c r="D81" t="str">
        <f ca="1">IFERROR(__xludf.DUMMYFUNCTION("""COMPUTED_VALUE"""),"01284634000186")</f>
        <v>01284634000186</v>
      </c>
      <c r="E81" t="str">
        <f ca="1">IFERROR(__xludf.DUMMYFUNCTION("""COMPUTED_VALUE"""),"001")</f>
        <v>001</v>
      </c>
      <c r="F81" t="str">
        <f ca="1">IFERROR(__xludf.DUMMYFUNCTION("""COMPUTED_VALUE"""),"0541")</f>
        <v>0541</v>
      </c>
      <c r="G81" t="str">
        <f ca="1">IFERROR(__xludf.DUMMYFUNCTION("""COMPUTED_VALUE"""),"232246")</f>
        <v>232246</v>
      </c>
      <c r="H81" s="7">
        <f ca="1">IFERROR(__xludf.DUMMYFUNCTION("""COMPUTED_VALUE"""),126)</f>
        <v>126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IFERROR(__xludf.DUMMYFUNCTION("""COMPUTED_VALUE"""),"Arraias")</f>
        <v>Arraias</v>
      </c>
      <c r="C82" t="str">
        <f ca="1">IFERROR(__xludf.DUMMYFUNCTION("""COMPUTED_VALUE"""),"A.A. ESCOLA ESTADUAL CANABRAVA/ZULMIRA MAGALHÃES")</f>
        <v>A.A. ESCOLA ESTADUAL CANABRAVA/ZULMIRA MAGALHÃES</v>
      </c>
      <c r="D82" t="str">
        <f ca="1">IFERROR(__xludf.DUMMYFUNCTION("""COMPUTED_VALUE"""),"01284633000131")</f>
        <v>01284633000131</v>
      </c>
      <c r="E82" t="str">
        <f ca="1">IFERROR(__xludf.DUMMYFUNCTION("""COMPUTED_VALUE"""),"001")</f>
        <v>001</v>
      </c>
      <c r="F82" t="str">
        <f ca="1">IFERROR(__xludf.DUMMYFUNCTION("""COMPUTED_VALUE"""),"0541")</f>
        <v>0541</v>
      </c>
      <c r="G82" t="str">
        <f ca="1">IFERROR(__xludf.DUMMYFUNCTION("""COMPUTED_VALUE"""),"23219X")</f>
        <v>23219X</v>
      </c>
      <c r="H82" s="7">
        <f ca="1">IFERROR(__xludf.DUMMYFUNCTION("""COMPUTED_VALUE"""),294)</f>
        <v>294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IFERROR(__xludf.DUMMYFUNCTION("""COMPUTED_VALUE"""),"Arraias")</f>
        <v>Arraias</v>
      </c>
      <c r="C83" t="str">
        <f ca="1">IFERROR(__xludf.DUMMYFUNCTION("""COMPUTED_VALUE"""),"A.A. ESCOLAR DA ESC. EST. SILVA DOURADO")</f>
        <v>A.A. ESCOLAR DA ESC. EST. SILVA DOURADO</v>
      </c>
      <c r="D83" t="str">
        <f ca="1">IFERROR(__xludf.DUMMYFUNCTION("""COMPUTED_VALUE"""),"01301519000172")</f>
        <v>01301519000172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IFERROR(__xludf.DUMMYFUNCTION("""COMPUTED_VALUE"""),"232297")</f>
        <v>232297</v>
      </c>
      <c r="H83" s="7">
        <f ca="1">IFERROR(__xludf.DUMMYFUNCTION("""COMPUTED_VALUE"""),231)</f>
        <v>231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IFERROR(__xludf.DUMMYFUNCTION("""COMPUTED_VALUE"""),"Aurora do Tocantins")</f>
        <v>Aurora do Tocantins</v>
      </c>
      <c r="C84" t="str">
        <f ca="1">IFERROR(__xludf.DUMMYFUNCTION("""COMPUTED_VALUE"""),"A.A. A ESCOLA/COL. EST.PROF. RANULFA")</f>
        <v>A.A. A ESCOLA/COL. EST.PROF. RANULFA</v>
      </c>
      <c r="D84" t="str">
        <f ca="1">IFERROR(__xludf.DUMMYFUNCTION("""COMPUTED_VALUE"""),"01133691000164")</f>
        <v>01133691000164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IFERROR(__xludf.DUMMYFUNCTION("""COMPUTED_VALUE"""),"102725")</f>
        <v>102725</v>
      </c>
      <c r="H84" s="7">
        <f ca="1">IFERROR(__xludf.DUMMYFUNCTION("""COMPUTED_VALUE"""),231)</f>
        <v>231</v>
      </c>
      <c r="I84" t="str">
        <v>AEE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IFERROR(__xludf.DUMMYFUNCTION("""COMPUTED_VALUE"""),"Combinado")</f>
        <v>Combinado</v>
      </c>
      <c r="C85" t="str">
        <f ca="1">IFERROR(__xludf.DUMMYFUNCTION("""COMPUTED_VALUE"""),"A.A. DA ESCOLA ESTADUAL COMBINADO")</f>
        <v>A.A. DA ESCOLA ESTADUAL COMBINADO</v>
      </c>
      <c r="D85" t="str">
        <f ca="1">IFERROR(__xludf.DUMMYFUNCTION("""COMPUTED_VALUE"""),"01136003000110")</f>
        <v>01136003000110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IFERROR(__xludf.DUMMYFUNCTION("""COMPUTED_VALUE"""),"231940")</f>
        <v>231940</v>
      </c>
      <c r="H85" s="7">
        <f ca="1">IFERROR(__xludf.DUMMYFUNCTION("""COMPUTED_VALUE"""),315)</f>
        <v>315</v>
      </c>
      <c r="I85" t="str">
        <v>AEE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IFERROR(__xludf.DUMMYFUNCTION("""COMPUTED_VALUE"""),"Combinado")</f>
        <v>Combinado</v>
      </c>
      <c r="C86" t="str">
        <f ca="1">IFERROR(__xludf.DUMMYFUNCTION("""COMPUTED_VALUE"""),"A.A. ESC. EST. AUGUSTA VAZ DOS S.TEIXEIRA")</f>
        <v>A.A. ESC. EST. AUGUSTA VAZ DOS S.TEIXEIRA</v>
      </c>
      <c r="D86" t="str">
        <f ca="1">IFERROR(__xludf.DUMMYFUNCTION("""COMPUTED_VALUE"""),"01186458000140")</f>
        <v>01186458000140</v>
      </c>
      <c r="E86" t="str">
        <f ca="1">IFERROR(__xludf.DUMMYFUNCTION("""COMPUTED_VALUE"""),"001")</f>
        <v>001</v>
      </c>
      <c r="F86" t="str">
        <f ca="1">IFERROR(__xludf.DUMMYFUNCTION("""COMPUTED_VALUE"""),"3977")</f>
        <v>3977</v>
      </c>
      <c r="G86" t="str">
        <f ca="1">IFERROR(__xludf.DUMMYFUNCTION("""COMPUTED_VALUE"""),"56855")</f>
        <v>56855</v>
      </c>
      <c r="H86" s="7">
        <f ca="1">IFERROR(__xludf.DUMMYFUNCTION("""COMPUTED_VALUE"""),357)</f>
        <v>357</v>
      </c>
      <c r="I86" t="str">
        <v>AEE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IFERROR(__xludf.DUMMYFUNCTION("""COMPUTED_VALUE"""),"Lavandeira")</f>
        <v>Lavandeira</v>
      </c>
      <c r="C87" t="str">
        <f ca="1">IFERROR(__xludf.DUMMYFUNCTION("""COMPUTED_VALUE"""),"ASSOC. DE APOIO ESC. EST. LAVANDEIRA")</f>
        <v>ASSOC. DE APOIO ESC. EST. LAVANDEIRA</v>
      </c>
      <c r="D87" t="str">
        <f ca="1">IFERROR(__xludf.DUMMYFUNCTION("""COMPUTED_VALUE"""),"01136024000135")</f>
        <v>01136024000135</v>
      </c>
      <c r="E87" t="str">
        <f ca="1">IFERROR(__xludf.DUMMYFUNCTION("""COMPUTED_VALUE"""),"001")</f>
        <v>001</v>
      </c>
      <c r="F87" t="str">
        <f ca="1">IFERROR(__xludf.DUMMYFUNCTION("""COMPUTED_VALUE"""),"3977")</f>
        <v>3977</v>
      </c>
      <c r="G87" t="str">
        <f ca="1">IFERROR(__xludf.DUMMYFUNCTION("""COMPUTED_VALUE"""),"231916")</f>
        <v>231916</v>
      </c>
      <c r="H87" s="7">
        <f ca="1">IFERROR(__xludf.DUMMYFUNCTION("""COMPUTED_VALUE"""),315)</f>
        <v>315</v>
      </c>
      <c r="I87" t="str">
        <v>AEE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IFERROR(__xludf.DUMMYFUNCTION("""COMPUTED_VALUE"""),"Novo Alegre")</f>
        <v>Novo Alegre</v>
      </c>
      <c r="C88" t="str">
        <f ca="1">IFERROR(__xludf.DUMMYFUNCTION("""COMPUTED_VALUE"""),"ASSOC. DE APOIO COL. EST. DR.JOAO D`ABREU")</f>
        <v>ASSOC. DE APOIO COL. EST. DR.JOAO D`ABREU</v>
      </c>
      <c r="D88" t="str">
        <f ca="1">IFERROR(__xludf.DUMMYFUNCTION("""COMPUTED_VALUE"""),"01146115000151")</f>
        <v>01146115000151</v>
      </c>
      <c r="E88" t="str">
        <f ca="1">IFERROR(__xludf.DUMMYFUNCTION("""COMPUTED_VALUE"""),"001")</f>
        <v>001</v>
      </c>
      <c r="F88" t="str">
        <f ca="1">IFERROR(__xludf.DUMMYFUNCTION("""COMPUTED_VALUE"""),"3977")</f>
        <v>3977</v>
      </c>
      <c r="G88" t="str">
        <f ca="1">IFERROR(__xludf.DUMMYFUNCTION("""COMPUTED_VALUE"""),"178845")</f>
        <v>178845</v>
      </c>
      <c r="H88" s="7">
        <f ca="1">IFERROR(__xludf.DUMMYFUNCTION("""COMPUTED_VALUE"""),399)</f>
        <v>399</v>
      </c>
      <c r="I88" t="str">
        <v>AEE</v>
      </c>
    </row>
    <row r="89" spans="1:9" ht="12.75">
      <c r="A89" t="str">
        <f ca="1">IFERROR(__xludf.DUMMYFUNCTION("""COMPUTED_VALUE"""),"Arraias")</f>
        <v>Arraias</v>
      </c>
      <c r="B89" t="str">
        <f ca="1">IFERROR(__xludf.DUMMYFUNCTION("""COMPUTED_VALUE"""),"Parana")</f>
        <v>Parana</v>
      </c>
      <c r="C89" t="str">
        <f ca="1">IFERROR(__xludf.DUMMYFUNCTION("""COMPUTED_VALUE"""),"A.A. DA ESC. EST.EUCLIDES BEZERRA GERAIS")</f>
        <v>A.A. DA ESC. EST.EUCLIDES BEZERRA GERAIS</v>
      </c>
      <c r="D89" t="str">
        <f ca="1">IFERROR(__xludf.DUMMYFUNCTION("""COMPUTED_VALUE"""),"01401950000190")</f>
        <v>01401950000190</v>
      </c>
      <c r="E89" t="str">
        <f ca="1">IFERROR(__xludf.DUMMYFUNCTION("""COMPUTED_VALUE"""),"001")</f>
        <v>001</v>
      </c>
      <c r="F89" t="str">
        <f ca="1">IFERROR(__xludf.DUMMYFUNCTION("""COMPUTED_VALUE"""),"0541")</f>
        <v>0541</v>
      </c>
      <c r="G89" t="str">
        <f ca="1">IFERROR(__xludf.DUMMYFUNCTION("""COMPUTED_VALUE"""),"232483")</f>
        <v>232483</v>
      </c>
      <c r="H89" s="7">
        <f ca="1">IFERROR(__xludf.DUMMYFUNCTION("""COMPUTED_VALUE"""),420)</f>
        <v>420</v>
      </c>
      <c r="I89" t="str">
        <v>AEE</v>
      </c>
    </row>
    <row r="90" spans="1:9" ht="12.75">
      <c r="A90" t="str">
        <f ca="1">IFERROR(__xludf.DUMMYFUNCTION("""COMPUTED_VALUE"""),"Arraias")</f>
        <v>Arraias</v>
      </c>
      <c r="B90" t="str">
        <f ca="1">IFERROR(__xludf.DUMMYFUNCTION("""COMPUTED_VALUE"""),"Parana")</f>
        <v>Parana</v>
      </c>
      <c r="C90" t="str">
        <f ca="1">IFERROR(__xludf.DUMMYFUNCTION("""COMPUTED_VALUE"""),"ASSOC. DE APOIO A ESC. EST. REUNIDA FLORESTA")</f>
        <v>ASSOC. DE APOIO A ESC. EST. REUNIDA FLORESTA</v>
      </c>
      <c r="D90" t="str">
        <f ca="1">IFERROR(__xludf.DUMMYFUNCTION("""COMPUTED_VALUE"""),"03834797000110")</f>
        <v>03834797000110</v>
      </c>
      <c r="E90" t="str">
        <f ca="1">IFERROR(__xludf.DUMMYFUNCTION("""COMPUTED_VALUE"""),"001")</f>
        <v>001</v>
      </c>
      <c r="F90" t="str">
        <f ca="1">IFERROR(__xludf.DUMMYFUNCTION("""COMPUTED_VALUE"""),"0541")</f>
        <v>0541</v>
      </c>
      <c r="G90" t="str">
        <f ca="1">IFERROR(__xludf.DUMMYFUNCTION("""COMPUTED_VALUE"""),"113247")</f>
        <v>113247</v>
      </c>
      <c r="H90" s="7">
        <f ca="1">IFERROR(__xludf.DUMMYFUNCTION("""COMPUTED_VALUE"""),105)</f>
        <v>105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IFERROR(__xludf.DUMMYFUNCTION("""COMPUTED_VALUE"""),"Arapoema")</f>
        <v>Arapoema</v>
      </c>
      <c r="C91" t="str">
        <f ca="1">IFERROR(__xludf.DUMMYFUNCTION("""COMPUTED_VALUE"""),"A.A. E. EST. ANTONIO DELFINO GUIMARAES")</f>
        <v>A.A. E. EST. ANTONIO DELFINO GUIMARAES</v>
      </c>
      <c r="D91" t="str">
        <f ca="1">IFERROR(__xludf.DUMMYFUNCTION("""COMPUTED_VALUE"""),"01135998000102")</f>
        <v>01135998000102</v>
      </c>
      <c r="E91" t="str">
        <f ca="1">IFERROR(__xludf.DUMMYFUNCTION("""COMPUTED_VALUE"""),"001")</f>
        <v>001</v>
      </c>
      <c r="F91" t="str">
        <f ca="1">IFERROR(__xludf.DUMMYFUNCTION("""COMPUTED_VALUE"""),"3974")</f>
        <v>3974</v>
      </c>
      <c r="G91" t="str">
        <f ca="1">IFERROR(__xludf.DUMMYFUNCTION("""COMPUTED_VALUE"""),"2287X")</f>
        <v>2287X</v>
      </c>
      <c r="H91" s="7">
        <f ca="1">IFERROR(__xludf.DUMMYFUNCTION("""COMPUTED_VALUE"""),483)</f>
        <v>483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IFERROR(__xludf.DUMMYFUNCTION("""COMPUTED_VALUE"""),"Bandeirantes do Tocantins")</f>
        <v>Bandeirantes do Tocantins</v>
      </c>
      <c r="C92" t="str">
        <f ca="1">IFERROR(__xludf.DUMMYFUNCTION("""COMPUTED_VALUE"""),"A.A. E. E. ARCELINO F. DO NASCIMENTO")</f>
        <v>A.A. E. E. ARCELINO F. DO NASCIMENTO</v>
      </c>
      <c r="D92" t="str">
        <f ca="1">IFERROR(__xludf.DUMMYFUNCTION("""COMPUTED_VALUE"""),"01181179000193")</f>
        <v>01181179000193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IFERROR(__xludf.DUMMYFUNCTION("""COMPUTED_VALUE"""),"46578X")</f>
        <v>46578X</v>
      </c>
      <c r="H92" s="7">
        <f ca="1">IFERROR(__xludf.DUMMYFUNCTION("""COMPUTED_VALUE"""),105)</f>
        <v>105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IFERROR(__xludf.DUMMYFUNCTION("""COMPUTED_VALUE"""),"Bernardo Sayao")</f>
        <v>Bernardo Sayao</v>
      </c>
      <c r="C93" t="str">
        <f ca="1">IFERROR(__xludf.DUMMYFUNCTION("""COMPUTED_VALUE"""),"A.A. COL. EST. BERNARDO SAYAO")</f>
        <v>A.A. COL. EST. BERNARDO SAYAO</v>
      </c>
      <c r="D93" t="str">
        <f ca="1">IFERROR(__xludf.DUMMYFUNCTION("""COMPUTED_VALUE"""),"01190188000140")</f>
        <v>01190188000140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IFERROR(__xludf.DUMMYFUNCTION("""COMPUTED_VALUE"""),"369403")</f>
        <v>369403</v>
      </c>
      <c r="H93" s="7">
        <f ca="1">IFERROR(__xludf.DUMMYFUNCTION("""COMPUTED_VALUE"""),126)</f>
        <v>126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DE APOIO DO COL. EST. CASTELO BRANCO")</f>
        <v>ASSOC. DE APOIO DO COL. EST. CASTELO BRANCO</v>
      </c>
      <c r="D94" t="str">
        <f ca="1">IFERROR(__xludf.DUMMYFUNCTION("""COMPUTED_VALUE"""),"01071413000120")</f>
        <v>01071413000120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IFERROR(__xludf.DUMMYFUNCTION("""COMPUTED_VALUE"""),"187275")</f>
        <v>187275</v>
      </c>
      <c r="H94" s="7">
        <f ca="1">IFERROR(__xludf.DUMMYFUNCTION("""COMPUTED_VALUE"""),483)</f>
        <v>483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ESCOLA ESTADUAL ERNESTO BARROS")</f>
        <v>A.A. ESCOLA ESTADUAL ERNESTO BARROS</v>
      </c>
      <c r="D95" t="str">
        <f ca="1">IFERROR(__xludf.DUMMYFUNCTION("""COMPUTED_VALUE"""),"01064857000138")</f>
        <v>01064857000138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IFERROR(__xludf.DUMMYFUNCTION("""COMPUTED_VALUE"""),"0368571")</f>
        <v>0368571</v>
      </c>
      <c r="H95" s="7">
        <f ca="1">IFERROR(__xludf.DUMMYFUNCTION("""COMPUTED_VALUE"""),273)</f>
        <v>273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 COLEGIO JOAO XXIII")</f>
        <v>A.A.  COLEGIO JOAO XXIII</v>
      </c>
      <c r="D96" t="str">
        <f ca="1">IFERROR(__xludf.DUMMYFUNCTION("""COMPUTED_VALUE"""),"01064859000127")</f>
        <v>01064859000127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IFERROR(__xludf.DUMMYFUNCTION("""COMPUTED_VALUE"""),"368555")</f>
        <v>368555</v>
      </c>
      <c r="H96" s="7">
        <f ca="1">IFERROR(__xludf.DUMMYFUNCTION("""COMPUTED_VALUE"""),441)</f>
        <v>441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IFERROR(__xludf.DUMMYFUNCTION("""COMPUTED_VALUE"""),"AAE ESPECIAL GOTA DE ESPERANÇA")</f>
        <v>AAE ESPECIAL GOTA DE ESPERANÇA</v>
      </c>
      <c r="D97" t="str">
        <f ca="1">IFERROR(__xludf.DUMMYFUNCTION("""COMPUTED_VALUE"""),"07944635000196")</f>
        <v>07944635000196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IFERROR(__xludf.DUMMYFUNCTION("""COMPUTED_VALUE"""),"184861")</f>
        <v>184861</v>
      </c>
      <c r="H97" s="7">
        <f ca="1">IFERROR(__xludf.DUMMYFUNCTION("""COMPUTED_VALUE"""),609)</f>
        <v>609</v>
      </c>
      <c r="I97" t="str">
        <v>AEE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IFERROR(__xludf.DUMMYFUNCTION("""COMPUTED_VALUE"""),"Colinas do Tocantins")</f>
        <v>Colinas do Tocantins</v>
      </c>
      <c r="C98" t="str">
        <f ca="1">IFERROR(__xludf.DUMMYFUNCTION("""COMPUTED_VALUE"""),"A.A. E. E. FRANCISCO PEREIRA FELICIO")</f>
        <v>A.A. E. E. FRANCISCO PEREIRA FELICIO</v>
      </c>
      <c r="D98" t="str">
        <f ca="1">IFERROR(__xludf.DUMMYFUNCTION("""COMPUTED_VALUE"""),"01086969000190")</f>
        <v>01086969000190</v>
      </c>
      <c r="E98" t="str">
        <f ca="1">IFERROR(__xludf.DUMMYFUNCTION("""COMPUTED_VALUE"""),"001")</f>
        <v>001</v>
      </c>
      <c r="F98" t="str">
        <f ca="1">IFERROR(__xludf.DUMMYFUNCTION("""COMPUTED_VALUE"""),"0911")</f>
        <v>0911</v>
      </c>
      <c r="G98" t="str">
        <f ca="1">IFERROR(__xludf.DUMMYFUNCTION("""COMPUTED_VALUE"""),"368814")</f>
        <v>368814</v>
      </c>
      <c r="H98" s="7">
        <f ca="1">IFERROR(__xludf.DUMMYFUNCTION("""COMPUTED_VALUE"""),840)</f>
        <v>840</v>
      </c>
      <c r="I98" t="str">
        <v>AEE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IFERROR(__xludf.DUMMYFUNCTION("""COMPUTED_VALUE"""),"Colinas do Tocantins")</f>
        <v>Colinas do Tocantins</v>
      </c>
      <c r="C99" t="str">
        <f ca="1">IFERROR(__xludf.DUMMYFUNCTION("""COMPUTED_VALUE"""),"A.A. E. E. LACERDINO OLIVEIRA CAMPOS")</f>
        <v>A.A. E. E. LACERDINO OLIVEIRA CAMPOS</v>
      </c>
      <c r="D99" t="str">
        <f ca="1">IFERROR(__xludf.DUMMYFUNCTION("""COMPUTED_VALUE"""),"01077439000185")</f>
        <v>01077439000185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IFERROR(__xludf.DUMMYFUNCTION("""COMPUTED_VALUE"""),"368741")</f>
        <v>368741</v>
      </c>
      <c r="H99" s="7">
        <f ca="1">IFERROR(__xludf.DUMMYFUNCTION("""COMPUTED_VALUE"""),420)</f>
        <v>420</v>
      </c>
      <c r="I99" t="str">
        <v>AEE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IFERROR(__xludf.DUMMYFUNCTION("""COMPUTED_VALUE"""),"Colinas do Tocantins")</f>
        <v>Colinas do Tocantins</v>
      </c>
      <c r="C100" t="str">
        <f ca="1">IFERROR(__xludf.DUMMYFUNCTION("""COMPUTED_VALUE"""),"A.A. E. PRESBITERIANA DE COLINAS")</f>
        <v>A.A. E. PRESBITERIANA DE COLINAS</v>
      </c>
      <c r="D100" t="str">
        <f ca="1">IFERROR(__xludf.DUMMYFUNCTION("""COMPUTED_VALUE"""),"01071410000196")</f>
        <v>01071410000196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IFERROR(__xludf.DUMMYFUNCTION("""COMPUTED_VALUE"""),"368695")</f>
        <v>368695</v>
      </c>
      <c r="H100" s="7">
        <f ca="1">IFERROR(__xludf.DUMMYFUNCTION("""COMPUTED_VALUE"""),441)</f>
        <v>441</v>
      </c>
      <c r="I100" t="str">
        <v>AEE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IFERROR(__xludf.DUMMYFUNCTION("""COMPUTED_VALUE"""),"Colinas do Tocantins")</f>
        <v>Colinas do Tocantins</v>
      </c>
      <c r="C101" t="str">
        <f ca="1">IFERROR(__xludf.DUMMYFUNCTION("""COMPUTED_VALUE"""),"ASSOC. APOIO AO INSTITUTO EDUC. GUNNAR VINGREN")</f>
        <v>ASSOC. APOIO AO INSTITUTO EDUC. GUNNAR VINGREN</v>
      </c>
      <c r="D101" t="str">
        <f ca="1">IFERROR(__xludf.DUMMYFUNCTION("""COMPUTED_VALUE"""),"05537107000197")</f>
        <v>05537107000197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IFERROR(__xludf.DUMMYFUNCTION("""COMPUTED_VALUE"""),"172286")</f>
        <v>172286</v>
      </c>
      <c r="H101" s="7">
        <f ca="1">IFERROR(__xludf.DUMMYFUNCTION("""COMPUTED_VALUE"""),273)</f>
        <v>273</v>
      </c>
      <c r="I101" t="str">
        <v>AEE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IFERROR(__xludf.DUMMYFUNCTION("""COMPUTED_VALUE"""),"Juarina")</f>
        <v>Juarina</v>
      </c>
      <c r="C102" t="str">
        <f ca="1">IFERROR(__xludf.DUMMYFUNCTION("""COMPUTED_VALUE"""),"A.A. ESCOLA ESTADUAL ZICO DORNELAS")</f>
        <v>A.A. ESCOLA ESTADUAL ZICO DORNELAS</v>
      </c>
      <c r="D102" t="str">
        <f ca="1">IFERROR(__xludf.DUMMYFUNCTION("""COMPUTED_VALUE"""),"01136018000188")</f>
        <v>01136018000188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IFERROR(__xludf.DUMMYFUNCTION("""COMPUTED_VALUE"""),"369349")</f>
        <v>369349</v>
      </c>
      <c r="H102" s="7">
        <f ca="1">IFERROR(__xludf.DUMMYFUNCTION("""COMPUTED_VALUE"""),210)</f>
        <v>210</v>
      </c>
      <c r="I102" t="str">
        <v>AEE</v>
      </c>
    </row>
    <row r="103" spans="1:9" ht="12.75">
      <c r="A103" t="str">
        <f ca="1">IFERROR(__xludf.DUMMYFUNCTION("""COMPUTED_VALUE"""),"Colinas")</f>
        <v>Colinas</v>
      </c>
      <c r="B103" t="str">
        <f ca="1">IFERROR(__xludf.DUMMYFUNCTION("""COMPUTED_VALUE"""),"Palmeirante")</f>
        <v>Palmeirante</v>
      </c>
      <c r="C103" t="str">
        <f ca="1">IFERROR(__xludf.DUMMYFUNCTION("""COMPUTED_VALUE"""),"ASS. COM. ESC. EST JOAO AIRES GABRIEL")</f>
        <v>ASS. COM. ESC. EST JOAO AIRES GABRIEL</v>
      </c>
      <c r="D103" t="str">
        <f ca="1">IFERROR(__xludf.DUMMYFUNCTION("""COMPUTED_VALUE"""),"01465793000187")</f>
        <v>01465793000187</v>
      </c>
      <c r="E103" t="str">
        <f ca="1">IFERROR(__xludf.DUMMYFUNCTION("""COMPUTED_VALUE"""),"001")</f>
        <v>001</v>
      </c>
      <c r="F103" t="str">
        <f ca="1">IFERROR(__xludf.DUMMYFUNCTION("""COMPUTED_VALUE"""),"0911")</f>
        <v>0911</v>
      </c>
      <c r="G103" t="str">
        <f ca="1">IFERROR(__xludf.DUMMYFUNCTION("""COMPUTED_VALUE"""),"342246")</f>
        <v>342246</v>
      </c>
      <c r="H103" s="7">
        <f ca="1">IFERROR(__xludf.DUMMYFUNCTION("""COMPUTED_VALUE"""),315)</f>
        <v>315</v>
      </c>
      <c r="I103" t="str">
        <v>AEE</v>
      </c>
    </row>
    <row r="104" spans="1:9" ht="12.75">
      <c r="A104" t="str">
        <f ca="1">IFERROR(__xludf.DUMMYFUNCTION("""COMPUTED_VALUE"""),"Colinas")</f>
        <v>Colinas</v>
      </c>
      <c r="B104" t="str">
        <f ca="1">IFERROR(__xludf.DUMMYFUNCTION("""COMPUTED_VALUE"""),"Pau D'arco")</f>
        <v>Pau D'arco</v>
      </c>
      <c r="C104" t="str">
        <f ca="1">IFERROR(__xludf.DUMMYFUNCTION("""COMPUTED_VALUE"""),"A.COM. ESCOLA EST. ULISSES GUIMARAES")</f>
        <v>A.COM. ESCOLA EST. ULISSES GUIMARAES</v>
      </c>
      <c r="D104" t="str">
        <f ca="1">IFERROR(__xludf.DUMMYFUNCTION("""COMPUTED_VALUE"""),"01181178000149")</f>
        <v>01181178000149</v>
      </c>
      <c r="E104" t="str">
        <f ca="1">IFERROR(__xludf.DUMMYFUNCTION("""COMPUTED_VALUE"""),"001")</f>
        <v>001</v>
      </c>
      <c r="F104" t="str">
        <f ca="1">IFERROR(__xludf.DUMMYFUNCTION("""COMPUTED_VALUE"""),"0911")</f>
        <v>0911</v>
      </c>
      <c r="G104" t="str">
        <f ca="1">IFERROR(__xludf.DUMMYFUNCTION("""COMPUTED_VALUE"""),"23485")</f>
        <v>23485</v>
      </c>
      <c r="H104" s="7">
        <f ca="1">IFERROR(__xludf.DUMMYFUNCTION("""COMPUTED_VALUE"""),525)</f>
        <v>525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IFERROR(__xludf.DUMMYFUNCTION("""COMPUTED_VALUE"""),"Almas")</f>
        <v>Almas</v>
      </c>
      <c r="C105" t="str">
        <f ca="1">IFERROR(__xludf.DUMMYFUNCTION("""COMPUTED_VALUE"""),"A.A. COL. E.II GRAU DR.ABNER A.PACINI")</f>
        <v>A.A. COL. E.II GRAU DR.ABNER A.PACINI</v>
      </c>
      <c r="D105" t="str">
        <f ca="1">IFERROR(__xludf.DUMMYFUNCTION("""COMPUTED_VALUE"""),"01197160000135")</f>
        <v>01197160000135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IFERROR(__xludf.DUMMYFUNCTION("""COMPUTED_VALUE"""),"0107700")</f>
        <v>0107700</v>
      </c>
      <c r="H105" s="7">
        <f ca="1">IFERROR(__xludf.DUMMYFUNCTION("""COMPUTED_VALUE"""),315)</f>
        <v>315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IFERROR(__xludf.DUMMYFUNCTION("""COMPUTED_VALUE"""),"Almas")</f>
        <v>Almas</v>
      </c>
      <c r="C106" t="str">
        <f ca="1">IFERROR(__xludf.DUMMYFUNCTION("""COMPUTED_VALUE"""),"A.A.  ESC. ESTADUAL DEOCLIDES MUNIZ")</f>
        <v>A.A.  ESC. ESTADUAL DEOCLIDES MUNIZ</v>
      </c>
      <c r="D106" t="str">
        <f ca="1">IFERROR(__xludf.DUMMYFUNCTION("""COMPUTED_VALUE"""),"01143807000146")</f>
        <v>01143807000146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IFERROR(__xludf.DUMMYFUNCTION("""COMPUTED_VALUE"""),"107786")</f>
        <v>107786</v>
      </c>
      <c r="H106" s="7">
        <f ca="1">IFERROR(__xludf.DUMMYFUNCTION("""COMPUTED_VALUE"""),273)</f>
        <v>273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IFERROR(__xludf.DUMMYFUNCTION("""COMPUTED_VALUE"""),"Conceicao do Tocantins")</f>
        <v>Conceicao do Tocantins</v>
      </c>
      <c r="C107" t="str">
        <f ca="1">IFERROR(__xludf.DUMMYFUNCTION("""COMPUTED_VALUE"""),"A.A. E. CEL JOSE FRANCISCO DE AZEVEDO")</f>
        <v>A.A. E. CEL JOSE FRANCISCO DE AZEVEDO</v>
      </c>
      <c r="D107" t="str">
        <f ca="1">IFERROR(__xludf.DUMMYFUNCTION("""COMPUTED_VALUE"""),"01136040000128")</f>
        <v>01136040000128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IFERROR(__xludf.DUMMYFUNCTION("""COMPUTED_VALUE"""),"106208")</f>
        <v>106208</v>
      </c>
      <c r="H107" s="7">
        <f ca="1">IFERROR(__xludf.DUMMYFUNCTION("""COMPUTED_VALUE"""),357)</f>
        <v>357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IFERROR(__xludf.DUMMYFUNCTION("""COMPUTED_VALUE"""),"A. DE APOIO AO COLEGIO JOAO DE ABREU")</f>
        <v>A. DE APOIO AO COLEGIO JOAO DE ABREU</v>
      </c>
      <c r="D108" t="str">
        <f ca="1">IFERROR(__xludf.DUMMYFUNCTION("""COMPUTED_VALUE"""),"05059617000104")</f>
        <v>05059617000104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IFERROR(__xludf.DUMMYFUNCTION("""COMPUTED_VALUE"""),"127027")</f>
        <v>127027</v>
      </c>
      <c r="H108" s="7">
        <f ca="1">IFERROR(__xludf.DUMMYFUNCTION("""COMPUTED_VALUE"""),336)</f>
        <v>336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IFERROR(__xludf.DUMMYFUNCTION("""COMPUTED_VALUE"""),"ASSOC. DE APOIO A ESCOLA COOPERATIVA CHAPADÃO/DIANÓPOLIS")</f>
        <v>ASSOC. DE APOIO A ESCOLA COOPERATIVA CHAPADÃO/DIANÓPOLIS</v>
      </c>
      <c r="D109" t="str">
        <f ca="1">IFERROR(__xludf.DUMMYFUNCTION("""COMPUTED_VALUE"""),"07056712000171")</f>
        <v>07056712000171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IFERROR(__xludf.DUMMYFUNCTION("""COMPUTED_VALUE"""),"15704X")</f>
        <v>15704X</v>
      </c>
      <c r="H109" s="7">
        <f ca="1">IFERROR(__xludf.DUMMYFUNCTION("""COMPUTED_VALUE"""),294)</f>
        <v>294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IFERROR(__xludf.DUMMYFUNCTION("""COMPUTED_VALUE"""),"ESCOLA ESPECIAL COLIBRI")</f>
        <v>ESCOLA ESPECIAL COLIBRI</v>
      </c>
      <c r="D110" t="str">
        <f ca="1">IFERROR(__xludf.DUMMYFUNCTION("""COMPUTED_VALUE"""),"15413383000105")</f>
        <v>15413383000105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IFERROR(__xludf.DUMMYFUNCTION("""COMPUTED_VALUE"""),"312967")</f>
        <v>312967</v>
      </c>
      <c r="H110" s="7">
        <f ca="1">IFERROR(__xludf.DUMMYFUNCTION("""COMPUTED_VALUE"""),420)</f>
        <v>420</v>
      </c>
      <c r="I110" t="str">
        <v>AEE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IFERROR(__xludf.DUMMYFUNCTION("""COMPUTED_VALUE"""),"Dianopolis")</f>
        <v>Dianopolis</v>
      </c>
      <c r="C111" t="str">
        <f ca="1">IFERROR(__xludf.DUMMYFUNCTION("""COMPUTED_VALUE"""),"A.A. ESCOLA ESTADUAL JOCA COSTA")</f>
        <v>A.A. ESCOLA ESTADUAL JOCA COSTA</v>
      </c>
      <c r="D111" t="str">
        <f ca="1">IFERROR(__xludf.DUMMYFUNCTION("""COMPUTED_VALUE"""),"01138323000109")</f>
        <v>01138323000109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IFERROR(__xludf.DUMMYFUNCTION("""COMPUTED_VALUE"""),"107492")</f>
        <v>107492</v>
      </c>
      <c r="H111" s="7">
        <f ca="1">IFERROR(__xludf.DUMMYFUNCTION("""COMPUTED_VALUE"""),546)</f>
        <v>546</v>
      </c>
      <c r="I111" t="str">
        <v>AEE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IFERROR(__xludf.DUMMYFUNCTION("""COMPUTED_VALUE"""),"Porto Alegre do Tocantins")</f>
        <v>Porto Alegre do Tocantins</v>
      </c>
      <c r="C112" t="str">
        <f ca="1">IFERROR(__xludf.DUMMYFUNCTION("""COMPUTED_VALUE"""),"ASSOC. APOIO ESC. EST. ALFREDO NASSER")</f>
        <v>ASSOC. APOIO ESC. EST. ALFREDO NASSER</v>
      </c>
      <c r="D112" t="str">
        <f ca="1">IFERROR(__xludf.DUMMYFUNCTION("""COMPUTED_VALUE"""),"01105525000154")</f>
        <v>01105525000154</v>
      </c>
      <c r="E112" t="str">
        <f ca="1">IFERROR(__xludf.DUMMYFUNCTION("""COMPUTED_VALUE"""),"001")</f>
        <v>001</v>
      </c>
      <c r="F112" t="str">
        <f ca="1">IFERROR(__xludf.DUMMYFUNCTION("""COMPUTED_VALUE"""),"1307")</f>
        <v>1307</v>
      </c>
      <c r="G112" t="str">
        <f ca="1">IFERROR(__xludf.DUMMYFUNCTION("""COMPUTED_VALUE"""),"0106321")</f>
        <v>0106321</v>
      </c>
      <c r="H112" s="7">
        <f ca="1">IFERROR(__xludf.DUMMYFUNCTION("""COMPUTED_VALUE"""),525)</f>
        <v>525</v>
      </c>
      <c r="I112" t="str">
        <v>AEE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IFERROR(__xludf.DUMMYFUNCTION("""COMPUTED_VALUE"""),"Rio da Conceicao")</f>
        <v>Rio da Conceicao</v>
      </c>
      <c r="C113" t="str">
        <f ca="1">IFERROR(__xludf.DUMMYFUNCTION("""COMPUTED_VALUE"""),"A.A. E. E.VIRGILIO FERREIRA DE FRANCA")</f>
        <v>A.A. E. E.VIRGILIO FERREIRA DE FRANCA</v>
      </c>
      <c r="D113" t="str">
        <f ca="1">IFERROR(__xludf.DUMMYFUNCTION("""COMPUTED_VALUE"""),"01136115000170")</f>
        <v>01136115000170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IFERROR(__xludf.DUMMYFUNCTION("""COMPUTED_VALUE"""),"106305")</f>
        <v>106305</v>
      </c>
      <c r="H113" s="7">
        <f ca="1">IFERROR(__xludf.DUMMYFUNCTION("""COMPUTED_VALUE"""),147)</f>
        <v>147</v>
      </c>
      <c r="I113" t="str">
        <v>AEE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IFERROR(__xludf.DUMMYFUNCTION("""COMPUTED_VALUE"""),"Taguatinga")</f>
        <v>Taguatinga</v>
      </c>
      <c r="C114" t="str">
        <f ca="1">IFERROR(__xludf.DUMMYFUNCTION("""COMPUTED_VALUE"""),"A.A.  ESCOLA EST. JUSTINO DE ALMEIDA")</f>
        <v>A.A.  ESCOLA EST. JUSTINO DE ALMEIDA</v>
      </c>
      <c r="D114" t="str">
        <f ca="1">IFERROR(__xludf.DUMMYFUNCTION("""COMPUTED_VALUE"""),"01184379000108")</f>
        <v>01184379000108</v>
      </c>
      <c r="E114" t="str">
        <f ca="1">IFERROR(__xludf.DUMMYFUNCTION("""COMPUTED_VALUE"""),"001")</f>
        <v>001</v>
      </c>
      <c r="F114" t="str">
        <f ca="1">IFERROR(__xludf.DUMMYFUNCTION("""COMPUTED_VALUE"""),"2704")</f>
        <v>2704</v>
      </c>
      <c r="G114" t="str">
        <f ca="1">IFERROR(__xludf.DUMMYFUNCTION("""COMPUTED_VALUE"""),"102563")</f>
        <v>102563</v>
      </c>
      <c r="H114" s="7">
        <f ca="1">IFERROR(__xludf.DUMMYFUNCTION("""COMPUTED_VALUE"""),210)</f>
        <v>210</v>
      </c>
      <c r="I114" t="str">
        <v>AEE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IFERROR(__xludf.DUMMYFUNCTION("""COMPUTED_VALUE"""),"Taguatinga")</f>
        <v>Taguatinga</v>
      </c>
      <c r="C115" t="str">
        <f ca="1">IFERROR(__xludf.DUMMYFUNCTION("""COMPUTED_VALUE"""),"A.A. COL. EST. PROFESSOR AURELIANO")</f>
        <v>A.A. COL. EST. PROFESSOR AURELIANO</v>
      </c>
      <c r="D115" t="str">
        <f ca="1">IFERROR(__xludf.DUMMYFUNCTION("""COMPUTED_VALUE"""),"01133709000128")</f>
        <v>01133709000128</v>
      </c>
      <c r="E115" t="str">
        <f ca="1">IFERROR(__xludf.DUMMYFUNCTION("""COMPUTED_VALUE"""),"001")</f>
        <v>001</v>
      </c>
      <c r="F115" t="str">
        <f ca="1">IFERROR(__xludf.DUMMYFUNCTION("""COMPUTED_VALUE"""),"2704")</f>
        <v>2704</v>
      </c>
      <c r="G115" t="str">
        <f ca="1">IFERROR(__xludf.DUMMYFUNCTION("""COMPUTED_VALUE"""),"102717")</f>
        <v>102717</v>
      </c>
      <c r="H115" s="7">
        <f ca="1">IFERROR(__xludf.DUMMYFUNCTION("""COMPUTED_VALUE"""),231)</f>
        <v>231</v>
      </c>
      <c r="I115" t="str">
        <v>AEE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ESC. EST. AGOSTINHO DE ALMEIDA")</f>
        <v>A.A. ESC. EST. AGOSTINHO DE ALMEIDA</v>
      </c>
      <c r="D116" t="str">
        <f ca="1">IFERROR(__xludf.DUMMYFUNCTION("""COMPUTED_VALUE"""),"01197159000100")</f>
        <v>01197159000100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IFERROR(__xludf.DUMMYFUNCTION("""COMPUTED_VALUE"""),"102555")</f>
        <v>102555</v>
      </c>
      <c r="H116" s="7">
        <f ca="1">IFERROR(__xludf.DUMMYFUNCTION("""COMPUTED_VALUE"""),399)</f>
        <v>399</v>
      </c>
      <c r="I116" t="str">
        <v>AEE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IFERROR(__xludf.DUMMYFUNCTION("""COMPUTED_VALUE"""),"Taipas do Tocantins")</f>
        <v>Taipas do Tocantins</v>
      </c>
      <c r="C117" t="str">
        <f ca="1">IFERROR(__xludf.DUMMYFUNCTION("""COMPUTED_VALUE"""),"A.A. E. EST. JOAQUIM FRANCISCO AZEVEDO")</f>
        <v>A.A. E. EST. JOAQUIM FRANCISCO AZEVEDO</v>
      </c>
      <c r="D117" t="str">
        <f ca="1">IFERROR(__xludf.DUMMYFUNCTION("""COMPUTED_VALUE"""),"01136011000166")</f>
        <v>01136011000166</v>
      </c>
      <c r="E117" t="str">
        <f ca="1">IFERROR(__xludf.DUMMYFUNCTION("""COMPUTED_VALUE"""),"001")</f>
        <v>001</v>
      </c>
      <c r="F117" t="str">
        <f ca="1">IFERROR(__xludf.DUMMYFUNCTION("""COMPUTED_VALUE"""),"1307")</f>
        <v>1307</v>
      </c>
      <c r="G117" t="str">
        <f ca="1">IFERROR(__xludf.DUMMYFUNCTION("""COMPUTED_VALUE"""),"0106291")</f>
        <v>0106291</v>
      </c>
      <c r="H117" s="7">
        <f ca="1">IFERROR(__xludf.DUMMYFUNCTION("""COMPUTED_VALUE"""),294)</f>
        <v>294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IFERROR(__xludf.DUMMYFUNCTION("""COMPUTED_VALUE"""),"Colmeia")</f>
        <v>Colmeia</v>
      </c>
      <c r="C118" t="str">
        <f ca="1">IFERROR(__xludf.DUMMYFUNCTION("""COMPUTED_VALUE"""),"A.A.  COL. EST. SERRA DAS CORDILHEIRAS")</f>
        <v>A.A.  COL. EST. SERRA DAS CORDILHEIRAS</v>
      </c>
      <c r="D118" t="str">
        <f ca="1">IFERROR(__xludf.DUMMYFUNCTION("""COMPUTED_VALUE"""),"01138330000100")</f>
        <v>01138330000100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IFERROR(__xludf.DUMMYFUNCTION("""COMPUTED_VALUE"""),"102776")</f>
        <v>102776</v>
      </c>
      <c r="H118" s="7">
        <f ca="1">IFERROR(__xludf.DUMMYFUNCTION("""COMPUTED_VALUE"""),756)</f>
        <v>756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IFERROR(__xludf.DUMMYFUNCTION("""COMPUTED_VALUE"""),"A..A. ESC. ESPECIAL  FILHOS DA LUZ")</f>
        <v>A..A. ESC. ESPECIAL  FILHOS DA LUZ</v>
      </c>
      <c r="D119" t="str">
        <f ca="1">IFERROR(__xludf.DUMMYFUNCTION("""COMPUTED_VALUE"""),"07921086000134")</f>
        <v>07921086000134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IFERROR(__xludf.DUMMYFUNCTION("""COMPUTED_VALUE"""),"167940")</f>
        <v>167940</v>
      </c>
      <c r="H119" s="7">
        <f ca="1">IFERROR(__xludf.DUMMYFUNCTION("""COMPUTED_VALUE"""),399)</f>
        <v>399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IFERROR(__xludf.DUMMYFUNCTION("""COMPUTED_VALUE"""),189)</f>
        <v>189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IFERROR(__xludf.DUMMYFUNCTION("""COMPUTED_VALUE"""),"Couto Magalhaes")</f>
        <v>Couto Magalhaes</v>
      </c>
      <c r="C121" t="str">
        <f ca="1">IFERROR(__xludf.DUMMYFUNCTION("""COMPUTED_VALUE"""),"A.A. COL. EST. ARCHANGELA MILHOMEM")</f>
        <v>A.A. COL. EST. ARCHANGELA MILHOMEM</v>
      </c>
      <c r="D121" t="str">
        <f ca="1">IFERROR(__xludf.DUMMYFUNCTION("""COMPUTED_VALUE"""),"01138334000199")</f>
        <v>01138334000199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IFERROR(__xludf.DUMMYFUNCTION("""COMPUTED_VALUE"""),"50385")</f>
        <v>50385</v>
      </c>
      <c r="H121" s="7">
        <f ca="1">IFERROR(__xludf.DUMMYFUNCTION("""COMPUTED_VALUE"""),252)</f>
        <v>252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IFERROR(__xludf.DUMMYFUNCTION("""COMPUTED_VALUE"""),336)</f>
        <v>336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ESCOLAR DA E. EST.ULTIMO DE CARVALHO")</f>
        <v>A.A. ESCOLAR DA E. EST.ULTIMO DE CARVALHO</v>
      </c>
      <c r="D123" t="str">
        <f ca="1">IFERROR(__xludf.DUMMYFUNCTION("""COMPUTED_VALUE"""),"04315063000198")</f>
        <v>04315063000198</v>
      </c>
      <c r="E123" t="str">
        <f ca="1">IFERROR(__xludf.DUMMYFUNCTION("""COMPUTED_VALUE"""),"001")</f>
        <v>001</v>
      </c>
      <c r="F123" t="str">
        <f ca="1">IFERROR(__xludf.DUMMYFUNCTION("""COMPUTED_VALUE"""),"1306")</f>
        <v>1306</v>
      </c>
      <c r="G123" t="str">
        <f ca="1">IFERROR(__xludf.DUMMYFUNCTION("""COMPUTED_VALUE"""),"74802")</f>
        <v>74802</v>
      </c>
      <c r="H123" s="7">
        <f ca="1">IFERROR(__xludf.DUMMYFUNCTION("""COMPUTED_VALUE"""),294)</f>
        <v>294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IFERROR(__xludf.DUMMYFUNCTION("""COMPUTED_VALUE"""),"Fortaleza do Tabocao")</f>
        <v>Fortaleza do Tabocao</v>
      </c>
      <c r="C124" t="str">
        <f ca="1">IFERROR(__xludf.DUMMYFUNCTION("""COMPUTED_VALUE"""),"ASSOC. DE APOIO A ESCOLA ESPECIAL EDSON DUTRA")</f>
        <v>ASSOC. DE APOIO A ESCOLA ESPECIAL EDSON DUTRA</v>
      </c>
      <c r="D124" t="str">
        <f ca="1">IFERROR(__xludf.DUMMYFUNCTION("""COMPUTED_VALUE"""),"09405159000160")</f>
        <v>09405159000160</v>
      </c>
      <c r="E124" t="str">
        <f ca="1">IFERROR(__xludf.DUMMYFUNCTION("""COMPUTED_VALUE"""),"104")</f>
        <v>104</v>
      </c>
      <c r="F124" t="str">
        <f ca="1">IFERROR(__xludf.DUMMYFUNCTION("""COMPUTED_VALUE"""),"4481")</f>
        <v>4481</v>
      </c>
      <c r="G124" t="str">
        <f ca="1">IFERROR(__xludf.DUMMYFUNCTION("""COMPUTED_VALUE"""),"3982")</f>
        <v>3982</v>
      </c>
      <c r="H124" s="7">
        <f ca="1">IFERROR(__xludf.DUMMYFUNCTION("""COMPUTED_VALUE"""),294)</f>
        <v>294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IFERROR(__xludf.DUMMYFUNCTION("""COMPUTED_VALUE"""),"A.A. DA ESC. EST. MAJOR JUVENAL P.DE SOUZA")</f>
        <v>A.A. DA ESC. EST. MAJOR JUVENAL P.DE SOUZA</v>
      </c>
      <c r="D125" t="str">
        <f ca="1">IFERROR(__xludf.DUMMYFUNCTION("""COMPUTED_VALUE"""),"01408714000104")</f>
        <v>01408714000104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IFERROR(__xludf.DUMMYFUNCTION("""COMPUTED_VALUE"""),"46743X")</f>
        <v>46743X</v>
      </c>
      <c r="H125" s="7">
        <f ca="1">IFERROR(__xludf.DUMMYFUNCTION("""COMPUTED_VALUE"""),399)</f>
        <v>399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IFERROR(__xludf.DUMMYFUNCTION("""COMPUTED_VALUE"""),294)</f>
        <v>294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IFERROR(__xludf.DUMMYFUNCTION("""COMPUTED_VALUE"""),273)</f>
        <v>273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IFERROR(__xludf.DUMMYFUNCTION("""COMPUTED_VALUE"""),609)</f>
        <v>609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IFERROR(__xludf.DUMMYFUNCTION("""COMPUTED_VALUE"""),"ASSOC. DE APOIO ESC. EST. OQUERLINA TORRES")</f>
        <v>ASSOC. DE APOIO ESC. EST. OQUERLINA TORRES</v>
      </c>
      <c r="D129" t="str">
        <f ca="1">IFERROR(__xludf.DUMMYFUNCTION("""COMPUTED_VALUE"""),"01421201000125")</f>
        <v>01421201000125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IFERROR(__xludf.DUMMYFUNCTION("""COMPUTED_VALUE"""),"19266X")</f>
        <v>19266X</v>
      </c>
      <c r="H129" s="7">
        <f ca="1">IFERROR(__xludf.DUMMYFUNCTION("""COMPUTED_VALUE"""),273)</f>
        <v>273</v>
      </c>
      <c r="I129" t="str">
        <v>AEE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 AS ESC. EST. ANTONIO ALENCAR LEAO")</f>
        <v>A.A.  AS ESC. EST. ANTONIO ALENCAR LEAO</v>
      </c>
      <c r="D130" t="str">
        <f ca="1">IFERROR(__xludf.DUMMYFUNCTION("""COMPUTED_VALUE"""),"01575370000110")</f>
        <v>01575370000110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IFERROR(__xludf.DUMMYFUNCTION("""COMPUTED_VALUE"""),"476536")</f>
        <v>476536</v>
      </c>
      <c r="H130" s="7">
        <f ca="1">IFERROR(__xludf.DUMMYFUNCTION("""COMPUTED_VALUE"""),231)</f>
        <v>231</v>
      </c>
      <c r="I130" t="str">
        <v>AEE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IFERROR(__xludf.DUMMYFUNCTION("""COMPUTED_VALUE"""),"A.A. DO COL. EST. DONA ANAIDES B.MIRANDA")</f>
        <v>A.A. DO COL. EST. DONA ANAIDES B.MIRANDA</v>
      </c>
      <c r="D131" t="str">
        <f ca="1">IFERROR(__xludf.DUMMYFUNCTION("""COMPUTED_VALUE"""),"01867376000160")</f>
        <v>01867376000160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IFERROR(__xludf.DUMMYFUNCTION("""COMPUTED_VALUE"""),"472123")</f>
        <v>472123</v>
      </c>
      <c r="H131" s="7">
        <f ca="1">IFERROR(__xludf.DUMMYFUNCTION("""COMPUTED_VALUE"""),189)</f>
        <v>189</v>
      </c>
      <c r="I131" t="str">
        <v>AEE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IFERROR(__xludf.DUMMYFUNCTION("""COMPUTED_VALUE"""),"A. ESCOLAR COM.COL. EST.RAIMUNDO A.LEAO")</f>
        <v>A. ESCOLAR COM.COL. EST.RAIMUNDO A.LEAO</v>
      </c>
      <c r="D132" t="str">
        <f ca="1">IFERROR(__xludf.DUMMYFUNCTION("""COMPUTED_VALUE"""),"00880649000144")</f>
        <v>00880649000144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IFERROR(__xludf.DUMMYFUNCTION("""COMPUTED_VALUE"""),"0472719")</f>
        <v>0472719</v>
      </c>
      <c r="H132" s="7">
        <f ca="1">IFERROR(__xludf.DUMMYFUNCTION("""COMPUTED_VALUE"""),252)</f>
        <v>252</v>
      </c>
      <c r="I132" t="str">
        <v>AEE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IFERROR(__xludf.DUMMYFUNCTION("""COMPUTED_VALUE"""),"ASSOCIAÇÃO DE APOIO A ESCOLA ESPECIAL ESTRELA DA ESPERANÇA")</f>
        <v>ASSOCIAÇÃO DE APOIO A ESCOLA ESPECIAL ESTRELA DA ESPERANÇA</v>
      </c>
      <c r="D133" t="str">
        <f ca="1">IFERROR(__xludf.DUMMYFUNCTION("""COMPUTED_VALUE"""),"07938604000122")</f>
        <v>07938604000122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IFERROR(__xludf.DUMMYFUNCTION("""COMPUTED_VALUE"""),"211621")</f>
        <v>211621</v>
      </c>
      <c r="H133" s="7">
        <f ca="1">IFERROR(__xludf.DUMMYFUNCTION("""COMPUTED_VALUE"""),252)</f>
        <v>252</v>
      </c>
      <c r="I133" t="str">
        <v>AEE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ESC. EST.IRINEU ALBANO HENDGES")</f>
        <v>A.A. ESC. EST.IRINEU ALBANO HENDGES</v>
      </c>
      <c r="D134" t="str">
        <f ca="1">IFERROR(__xludf.DUMMYFUNCTION("""COMPUTED_VALUE"""),"01136012000100")</f>
        <v>01136012000100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IFERROR(__xludf.DUMMYFUNCTION("""COMPUTED_VALUE"""),"0472433")</f>
        <v>0472433</v>
      </c>
      <c r="H134" s="7">
        <f ca="1">IFERROR(__xludf.DUMMYFUNCTION("""COMPUTED_VALUE"""),462)</f>
        <v>462</v>
      </c>
      <c r="I134" t="str">
        <v>AEE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IFERROR(__xludf.DUMMYFUNCTION("""COMPUTED_VALUE"""),"Guarai")</f>
        <v>Guarai</v>
      </c>
      <c r="C135" t="str">
        <f ca="1">IFERROR(__xludf.DUMMYFUNCTION("""COMPUTED_VALUE"""),"A.A. ESCOLA EST. JOSE COSTA SOARES")</f>
        <v>A.A. ESCOLA EST. JOSE COSTA SOARES</v>
      </c>
      <c r="D135" t="str">
        <f ca="1">IFERROR(__xludf.DUMMYFUNCTION("""COMPUTED_VALUE"""),"01421200000180")</f>
        <v>01421200000180</v>
      </c>
      <c r="E135" t="str">
        <f ca="1">IFERROR(__xludf.DUMMYFUNCTION("""COMPUTED_VALUE"""),"001")</f>
        <v>001</v>
      </c>
      <c r="F135" t="str">
        <f ca="1">IFERROR(__xludf.DUMMYFUNCTION("""COMPUTED_VALUE"""),"2094")</f>
        <v>2094</v>
      </c>
      <c r="G135" t="str">
        <f ca="1">IFERROR(__xludf.DUMMYFUNCTION("""COMPUTED_VALUE"""),"471577")</f>
        <v>471577</v>
      </c>
      <c r="H135" s="7">
        <f ca="1">IFERROR(__xludf.DUMMYFUNCTION("""COMPUTED_VALUE"""),231)</f>
        <v>231</v>
      </c>
      <c r="I135" t="str">
        <v>AEE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IFERROR(__xludf.DUMMYFUNCTION("""COMPUTED_VALUE"""),"Itapora do Tocantins")</f>
        <v>Itapora do Tocantins</v>
      </c>
      <c r="C136" t="str">
        <f ca="1">IFERROR(__xludf.DUMMYFUNCTION("""COMPUTED_VALUE"""),"A.A. COL. EST. FRANCISCA ALVES ALENCAR")</f>
        <v>A.A. COL. EST. FRANCISCA ALVES ALENCAR</v>
      </c>
      <c r="D136" t="str">
        <f ca="1">IFERROR(__xludf.DUMMYFUNCTION("""COMPUTED_VALUE"""),"01190193000153")</f>
        <v>01190193000153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IFERROR(__xludf.DUMMYFUNCTION("""COMPUTED_VALUE"""),"102865")</f>
        <v>102865</v>
      </c>
      <c r="H136" s="7">
        <f ca="1">IFERROR(__xludf.DUMMYFUNCTION("""COMPUTED_VALUE"""),210)</f>
        <v>210</v>
      </c>
      <c r="I136" t="str">
        <v>AEE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IFERROR(__xludf.DUMMYFUNCTION("""COMPUTED_VALUE"""),"Pequizeiro")</f>
        <v>Pequizeiro</v>
      </c>
      <c r="C137" t="str">
        <f ca="1">IFERROR(__xludf.DUMMYFUNCTION("""COMPUTED_VALUE"""),"A.A. DO COLEGIO ESTADUAL BERNARDO SAYAO")</f>
        <v>A.A. DO COLEGIO ESTADUAL BERNARDO SAYAO</v>
      </c>
      <c r="D137" t="str">
        <f ca="1">IFERROR(__xludf.DUMMYFUNCTION("""COMPUTED_VALUE"""),"02160863000151")</f>
        <v>02160863000151</v>
      </c>
      <c r="E137" t="str">
        <f ca="1">IFERROR(__xludf.DUMMYFUNCTION("""COMPUTED_VALUE"""),"001")</f>
        <v>001</v>
      </c>
      <c r="F137" t="str">
        <f ca="1">IFERROR(__xludf.DUMMYFUNCTION("""COMPUTED_VALUE"""),"1306")</f>
        <v>1306</v>
      </c>
      <c r="G137" t="str">
        <f ca="1">IFERROR(__xludf.DUMMYFUNCTION("""COMPUTED_VALUE"""),"53910")</f>
        <v>53910</v>
      </c>
      <c r="H137" s="7">
        <f ca="1">IFERROR(__xludf.DUMMYFUNCTION("""COMPUTED_VALUE"""),483)</f>
        <v>483</v>
      </c>
      <c r="I137" t="str">
        <v>AEE</v>
      </c>
    </row>
    <row r="138" spans="1:9" ht="12.75">
      <c r="A138" t="str">
        <f ca="1">IFERROR(__xludf.DUMMYFUNCTION("""COMPUTED_VALUE"""),"Guaraí")</f>
        <v>Guaraí</v>
      </c>
      <c r="B138" t="str">
        <f ca="1">IFERROR(__xludf.DUMMYFUNCTION("""COMPUTED_VALUE"""),"Presidente Kennedy")</f>
        <v>Presidente Kennedy</v>
      </c>
      <c r="C138" t="str">
        <f ca="1">IFERROR(__xludf.DUMMYFUNCTION("""COMPUTED_VALUE"""),"A.PAIS E M.COL. EST. JUSCELINO KUBITSCHEK")</f>
        <v>A.PAIS E M.COL. EST. JUSCELINO KUBITSCHEK</v>
      </c>
      <c r="D138" t="str">
        <f ca="1">IFERROR(__xludf.DUMMYFUNCTION("""COMPUTED_VALUE"""),"02060456000172")</f>
        <v>02060456000172</v>
      </c>
      <c r="E138" t="str">
        <f ca="1">IFERROR(__xludf.DUMMYFUNCTION("""COMPUTED_VALUE"""),"001")</f>
        <v>001</v>
      </c>
      <c r="F138" t="str">
        <f ca="1">IFERROR(__xludf.DUMMYFUNCTION("""COMPUTED_VALUE"""),"2094")</f>
        <v>2094</v>
      </c>
      <c r="G138" t="str">
        <f ca="1">IFERROR(__xludf.DUMMYFUNCTION("""COMPUTED_VALUE"""),"047553X")</f>
        <v>047553X</v>
      </c>
      <c r="H138" s="7">
        <f ca="1">IFERROR(__xludf.DUMMYFUNCTION("""COMPUTED_VALUE"""),252)</f>
        <v>252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IFERROR(__xludf.DUMMYFUNCTION("""COMPUTED_VALUE"""),"ASSOCIAÇÃO DE APOIO A ESCOLA ESPECIAL AMOR FRATERNAL")</f>
        <v>ASSOCIAÇÃO DE APOIO A ESCOLA ESPECIAL AMOR FRATERNAL</v>
      </c>
      <c r="D139" t="str">
        <f ca="1">IFERROR(__xludf.DUMMYFUNCTION("""COMPUTED_VALUE"""),"07953958000146")</f>
        <v>07953958000146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IFERROR(__xludf.DUMMYFUNCTION("""COMPUTED_VALUE"""),"90115")</f>
        <v>90115</v>
      </c>
      <c r="H139" s="7">
        <f ca="1">IFERROR(__xludf.DUMMYFUNCTION("""COMPUTED_VALUE"""),735)</f>
        <v>735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IFERROR(__xludf.DUMMYFUNCTION("""COMPUTED_VALUE"""),"Alianca do Tocantins")</f>
        <v>Alianca do Tocantins</v>
      </c>
      <c r="C140" t="str">
        <f ca="1">IFERROR(__xludf.DUMMYFUNCTION("""COMPUTED_VALUE"""),"A. PAIS E MESTRES ESC. EST.N.SRA.DO CARMO")</f>
        <v>A. PAIS E MESTRES ESC. EST.N.SRA.DO CARMO</v>
      </c>
      <c r="D140" t="str">
        <f ca="1">IFERROR(__xludf.DUMMYFUNCTION("""COMPUTED_VALUE"""),"01034192000110")</f>
        <v>01034192000110</v>
      </c>
      <c r="E140" t="str">
        <f ca="1">IFERROR(__xludf.DUMMYFUNCTION("""COMPUTED_VALUE"""),"001")</f>
        <v>001</v>
      </c>
      <c r="F140" t="str">
        <f ca="1">IFERROR(__xludf.DUMMYFUNCTION("""COMPUTED_VALUE"""),"3972")</f>
        <v>3972</v>
      </c>
      <c r="G140" t="str">
        <f ca="1">IFERROR(__xludf.DUMMYFUNCTION("""COMPUTED_VALUE"""),"243590")</f>
        <v>243590</v>
      </c>
      <c r="H140" s="7">
        <f ca="1">IFERROR(__xludf.DUMMYFUNCTION("""COMPUTED_VALUE"""),441)</f>
        <v>441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IFERROR(__xludf.DUMMYFUNCTION("""COMPUTED_VALUE"""),546)</f>
        <v>546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IFERROR(__xludf.DUMMYFUNCTION("""COMPUTED_VALUE"""),210)</f>
        <v>210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IFERROR(__xludf.DUMMYFUNCTION("""COMPUTED_VALUE"""),357)</f>
        <v>357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IFERROR(__xludf.DUMMYFUNCTION("""COMPUTED_VALUE"""),546)</f>
        <v>546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IFERROR(__xludf.DUMMYFUNCTION("""COMPUTED_VALUE"""),"Duere")</f>
        <v>Duere</v>
      </c>
      <c r="C145" t="str">
        <f ca="1">IFERROR(__xludf.DUMMYFUNCTION("""COMPUTED_VALUE"""),"A.P.MESTRES DA ESCOLA EST.ELESBAO LIMA")</f>
        <v>A.P.MESTRES DA ESCOLA EST.ELESBAO LIMA</v>
      </c>
      <c r="D145" t="str">
        <f ca="1">IFERROR(__xludf.DUMMYFUNCTION("""COMPUTED_VALUE"""),"01865387000101")</f>
        <v>01865387000101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IFERROR(__xludf.DUMMYFUNCTION("""COMPUTED_VALUE"""),"6758X")</f>
        <v>6758X</v>
      </c>
      <c r="H145" s="7">
        <f ca="1">IFERROR(__xludf.DUMMYFUNCTION("""COMPUTED_VALUE"""),504)</f>
        <v>504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IFERROR(__xludf.DUMMYFUNCTION("""COMPUTED_VALUE"""),"Figueiropolis")</f>
        <v>Figueiropolis</v>
      </c>
      <c r="C146" t="str">
        <f ca="1">IFERROR(__xludf.DUMMYFUNCTION("""COMPUTED_VALUE"""),"A. APOIO COLEGIO EST. CANDIDO FIGUEIRA")</f>
        <v>A. APOIO COLEGIO EST. CANDIDO FIGUEIRA</v>
      </c>
      <c r="D146" t="str">
        <f ca="1">IFERROR(__xludf.DUMMYFUNCTION("""COMPUTED_VALUE"""),"01262902000169")</f>
        <v>01262902000169</v>
      </c>
      <c r="E146" t="str">
        <f ca="1">IFERROR(__xludf.DUMMYFUNCTION("""COMPUTED_VALUE"""),"001")</f>
        <v>001</v>
      </c>
      <c r="F146" t="str">
        <f ca="1">IFERROR(__xludf.DUMMYFUNCTION("""COMPUTED_VALUE"""),"3978")</f>
        <v>3978</v>
      </c>
      <c r="G146" t="str">
        <f ca="1">IFERROR(__xludf.DUMMYFUNCTION("""COMPUTED_VALUE"""),"4802X")</f>
        <v>4802X</v>
      </c>
      <c r="H146" s="7">
        <f ca="1">IFERROR(__xludf.DUMMYFUNCTION("""COMPUTED_VALUE"""),252)</f>
        <v>252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IFERROR(__xludf.DUMMYFUNCTION("""COMPUTED_VALUE"""),"Formoso do Araguaia")</f>
        <v>Formoso do Araguaia</v>
      </c>
      <c r="C147" t="str">
        <f ca="1">IFERROR(__xludf.DUMMYFUNCTION("""COMPUTED_VALUE"""),"A.A. ESC ESPECIAL ANJO DA GUARDA")</f>
        <v>A.A. ESC ESPECIAL ANJO DA GUARDA</v>
      </c>
      <c r="D147" t="str">
        <f ca="1">IFERROR(__xludf.DUMMYFUNCTION("""COMPUTED_VALUE"""),"17617389000111")</f>
        <v>17617389000111</v>
      </c>
      <c r="E147" t="str">
        <f ca="1">IFERROR(__xludf.DUMMYFUNCTION("""COMPUTED_VALUE"""),"001")</f>
        <v>001</v>
      </c>
      <c r="F147" t="str">
        <f ca="1">IFERROR(__xludf.DUMMYFUNCTION("""COMPUTED_VALUE"""),"3123")</f>
        <v>3123</v>
      </c>
      <c r="G147" t="str">
        <f ca="1">IFERROR(__xludf.DUMMYFUNCTION("""COMPUTED_VALUE"""),"168211")</f>
        <v>168211</v>
      </c>
      <c r="H147" s="7">
        <f ca="1">IFERROR(__xludf.DUMMYFUNCTION("""COMPUTED_VALUE"""),735)</f>
        <v>735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IFERROR(__xludf.DUMMYFUNCTION("""COMPUTED_VALUE"""),"Formoso do Araguaia")</f>
        <v>Formoso do Araguaia</v>
      </c>
      <c r="C148" t="str">
        <f ca="1">IFERROR(__xludf.DUMMYFUNCTION("""COMPUTED_VALUE"""),"A.A. ESC. EST. DONA GERCINA BORGES TEIXEIRA")</f>
        <v>A.A. ESC. EST. DONA GERCINA BORGES TEIXEIRA</v>
      </c>
      <c r="D148" t="str">
        <f ca="1">IFERROR(__xludf.DUMMYFUNCTION("""COMPUTED_VALUE"""),"01268334000103")</f>
        <v>01268334000103</v>
      </c>
      <c r="E148" t="str">
        <f ca="1">IFERROR(__xludf.DUMMYFUNCTION("""COMPUTED_VALUE"""),"001")</f>
        <v>001</v>
      </c>
      <c r="F148" t="str">
        <f ca="1">IFERROR(__xludf.DUMMYFUNCTION("""COMPUTED_VALUE"""),"3123")</f>
        <v>3123</v>
      </c>
      <c r="G148" t="str">
        <f ca="1">IFERROR(__xludf.DUMMYFUNCTION("""COMPUTED_VALUE"""),"302880")</f>
        <v>302880</v>
      </c>
      <c r="H148" s="7">
        <f ca="1">IFERROR(__xludf.DUMMYFUNCTION("""COMPUTED_VALUE"""),1176)</f>
        <v>1176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IFERROR(__xludf.DUMMYFUNCTION("""COMPUTED_VALUE"""),"ASSOC. A. CENTRO DE ENS. MÉDIO ARY R. VALADÃO FILHO")</f>
        <v>ASSOC. A. CENTRO DE ENS. MÉDIO ARY R. VALADÃO FILHO</v>
      </c>
      <c r="D149" t="str">
        <f ca="1">IFERROR(__xludf.DUMMYFUNCTION("""COMPUTED_VALUE"""),"02152392000130")</f>
        <v>02152392000130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IFERROR(__xludf.DUMMYFUNCTION("""COMPUTED_VALUE"""),"420646")</f>
        <v>420646</v>
      </c>
      <c r="H149" s="7">
        <f ca="1">IFERROR(__xludf.DUMMYFUNCTION("""COMPUTED_VALUE"""),609)</f>
        <v>609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IFERROR(__xludf.DUMMYFUNCTION("""COMPUTED_VALUE"""),"ASSOC. DE APOIO ESC. EST. BOM JESUS")</f>
        <v>ASSOC. DE APOIO ESC. EST. BOM JESUS</v>
      </c>
      <c r="D150" t="str">
        <f ca="1">IFERROR(__xludf.DUMMYFUNCTION("""COMPUTED_VALUE"""),"01865430000139")</f>
        <v>01865430000139</v>
      </c>
      <c r="E150" t="str">
        <f ca="1">IFERROR(__xludf.DUMMYFUNCTION("""COMPUTED_VALUE"""),"001")</f>
        <v>001</v>
      </c>
      <c r="F150" t="str">
        <f ca="1">IFERROR(__xludf.DUMMYFUNCTION("""COMPUTED_VALUE"""),"0794")</f>
        <v>0794</v>
      </c>
      <c r="G150" t="str">
        <f ca="1">IFERROR(__xludf.DUMMYFUNCTION("""COMPUTED_VALUE"""),"420603")</f>
        <v>420603</v>
      </c>
      <c r="H150" s="7">
        <f ca="1">IFERROR(__xludf.DUMMYFUNCTION("""COMPUTED_VALUE"""),357)</f>
        <v>357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IFERROR(__xludf.DUMMYFUNCTION("""COMPUTED_VALUE"""),"Gurupi")</f>
        <v>Gurupi</v>
      </c>
      <c r="C151" t="str">
        <f ca="1">IFERROR(__xludf.DUMMYFUNCTION("""COMPUTED_VALUE"""),"ASSOC. DE APOIO COL. EST. DE GURUPI")</f>
        <v>ASSOC. DE APOIO COL. EST. DE GURUPI</v>
      </c>
      <c r="D151" t="str">
        <f ca="1">IFERROR(__xludf.DUMMYFUNCTION("""COMPUTED_VALUE"""),"01887135000183")</f>
        <v>01887135000183</v>
      </c>
      <c r="E151" t="str">
        <f ca="1">IFERROR(__xludf.DUMMYFUNCTION("""COMPUTED_VALUE"""),"001")</f>
        <v>001</v>
      </c>
      <c r="F151" t="str">
        <f ca="1">IFERROR(__xludf.DUMMYFUNCTION("""COMPUTED_VALUE"""),"0794")</f>
        <v>0794</v>
      </c>
      <c r="G151" t="str">
        <f ca="1">IFERROR(__xludf.DUMMYFUNCTION("""COMPUTED_VALUE"""),"420700")</f>
        <v>420700</v>
      </c>
      <c r="H151" s="7">
        <f ca="1">IFERROR(__xludf.DUMMYFUNCTION("""COMPUTED_VALUE"""),168)</f>
        <v>168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IFERROR(__xludf.DUMMYFUNCTION("""COMPUTED_VALUE"""),672)</f>
        <v>672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IFERROR(__xludf.DUMMYFUNCTION("""COMPUTED_VALUE"""),"ASSOCIAÇÃO DE APOIO A ESCOLA ESPECIAL SÃO FRANCISCO DE ASSIS")</f>
        <v>ASSOCIAÇÃO DE APOIO A ESCOLA ESPECIAL SÃO FRANCISCO DE ASSIS</v>
      </c>
      <c r="D153" t="str">
        <f ca="1">IFERROR(__xludf.DUMMYFUNCTION("""COMPUTED_VALUE"""),"07947356000186")</f>
        <v>07947356000186</v>
      </c>
      <c r="E153" t="str">
        <f ca="1">IFERROR(__xludf.DUMMYFUNCTION("""COMPUTED_VALUE"""),"001")</f>
        <v>001</v>
      </c>
      <c r="F153" t="str">
        <f ca="1">IFERROR(__xludf.DUMMYFUNCTION("""COMPUTED_VALUE"""),"0794")</f>
        <v>0794</v>
      </c>
      <c r="G153" t="str">
        <f ca="1">IFERROR(__xludf.DUMMYFUNCTION("""COMPUTED_VALUE"""),"431109")</f>
        <v>431109</v>
      </c>
      <c r="H153" s="7">
        <f ca="1">IFERROR(__xludf.DUMMYFUNCTION("""COMPUTED_VALUE"""),399)</f>
        <v>399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IFERROR(__xludf.DUMMYFUNCTION("""COMPUTED_VALUE"""),"A.A. ESC. EST. DR. JOAQUIM P. DA COSTA")</f>
        <v>A.A. ESC. EST. DR. JOAQUIM P. DA COSTA</v>
      </c>
      <c r="D154" t="str">
        <f ca="1">IFERROR(__xludf.DUMMYFUNCTION("""COMPUTED_VALUE"""),"01865386000167")</f>
        <v>01865386000167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IFERROR(__xludf.DUMMYFUNCTION("""COMPUTED_VALUE"""),"67288")</f>
        <v>67288</v>
      </c>
      <c r="H154" s="7">
        <f ca="1">IFERROR(__xludf.DUMMYFUNCTION("""COMPUTED_VALUE"""),714)</f>
        <v>714</v>
      </c>
      <c r="I154" t="str">
        <v>AEE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IFERROR(__xludf.DUMMYFUNCTION("""COMPUTED_VALUE"""),"A.A. ESCOLAR DA ESC. EST. DR.WALDIR LINS")</f>
        <v>A.A. ESCOLAR DA ESC. EST. DR.WALDIR LINS</v>
      </c>
      <c r="D155" t="str">
        <f ca="1">IFERROR(__xludf.DUMMYFUNCTION("""COMPUTED_VALUE"""),"01936535000131")</f>
        <v>01936535000131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IFERROR(__xludf.DUMMYFUNCTION("""COMPUTED_VALUE"""),"66966")</f>
        <v>66966</v>
      </c>
      <c r="H155" s="7">
        <f ca="1">IFERROR(__xludf.DUMMYFUNCTION("""COMPUTED_VALUE"""),252)</f>
        <v>252</v>
      </c>
      <c r="I155" t="str">
        <v>AEE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 EDUCACIONAL PRES. COSTA E SILVA")</f>
        <v>A. EDUCACIONAL PRES. COSTA E SILVA</v>
      </c>
      <c r="D156" t="str">
        <f ca="1">IFERROR(__xludf.DUMMYFUNCTION("""COMPUTED_VALUE"""),"01888719000173")</f>
        <v>01888719000173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IFERROR(__xludf.DUMMYFUNCTION("""COMPUTED_VALUE"""),"67490")</f>
        <v>67490</v>
      </c>
      <c r="H156" s="7">
        <f ca="1">IFERROR(__xludf.DUMMYFUNCTION("""COMPUTED_VALUE"""),1134)</f>
        <v>1134</v>
      </c>
      <c r="I156" t="str">
        <v>AEE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ESC. EST. HERCILIA CARVALHO DA SILVA")</f>
        <v>A.A. ESC. EST. HERCILIA CARVALHO DA SILVA</v>
      </c>
      <c r="D157" t="str">
        <f ca="1">IFERROR(__xludf.DUMMYFUNCTION("""COMPUTED_VALUE"""),"01465790000143")</f>
        <v>01465790000143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IFERROR(__xludf.DUMMYFUNCTION("""COMPUTED_VALUE"""),"66834")</f>
        <v>66834</v>
      </c>
      <c r="H157" s="7">
        <f ca="1">IFERROR(__xludf.DUMMYFUNCTION("""COMPUTED_VALUE"""),378)</f>
        <v>378</v>
      </c>
      <c r="I157" t="str">
        <v>AEE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 DE PAIS E MESTRES/ESC. EST. VILA GUARACY")</f>
        <v>A. DE PAIS E MESTRES/ESC. EST. VILA GUARACY</v>
      </c>
      <c r="D158" t="str">
        <f ca="1">IFERROR(__xludf.DUMMYFUNCTION("""COMPUTED_VALUE"""),"01918955000195")</f>
        <v>01918955000195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IFERROR(__xludf.DUMMYFUNCTION("""COMPUTED_VALUE"""),"67008")</f>
        <v>67008</v>
      </c>
      <c r="H158" s="7">
        <f ca="1">IFERROR(__xludf.DUMMYFUNCTION("""COMPUTED_VALUE"""),315)</f>
        <v>315</v>
      </c>
      <c r="I158" t="str">
        <v>AEE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IFERROR(__xludf.DUMMYFUNCTION("""COMPUTED_VALUE"""),"A.A. DO INSTITUTO PRESBITERIANO ARAGUAIA")</f>
        <v>A.A. DO INSTITUTO PRESBITERIANO ARAGUAIA</v>
      </c>
      <c r="D159" t="str">
        <f ca="1">IFERROR(__xludf.DUMMYFUNCTION("""COMPUTED_VALUE"""),"03060918000114")</f>
        <v>03060918000114</v>
      </c>
      <c r="E159" t="str">
        <f ca="1">IFERROR(__xludf.DUMMYFUNCTION("""COMPUTED_VALUE"""),"104")</f>
        <v>104</v>
      </c>
      <c r="F159" t="str">
        <f ca="1">IFERROR(__xludf.DUMMYFUNCTION("""COMPUTED_VALUE"""),"0793")</f>
        <v>0793</v>
      </c>
      <c r="G159" t="str">
        <f ca="1">IFERROR(__xludf.DUMMYFUNCTION("""COMPUTED_VALUE"""),"12090")</f>
        <v>12090</v>
      </c>
      <c r="H159" s="7">
        <f ca="1">IFERROR(__xludf.DUMMYFUNCTION("""COMPUTED_VALUE"""),567)</f>
        <v>567</v>
      </c>
      <c r="I159" t="str">
        <v>AEE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IFERROR(__xludf.DUMMYFUNCTION("""COMPUTED_VALUE"""),"Palmeiropolis")</f>
        <v>Palmeiropolis</v>
      </c>
      <c r="C160" t="str">
        <f ca="1">IFERROR(__xludf.DUMMYFUNCTION("""COMPUTED_VALUE"""),"A.A. ESCOLA ESTADUAL PROFESSORA ONEIDES")</f>
        <v>A.A. ESCOLA ESTADUAL PROFESSORA ONEIDES</v>
      </c>
      <c r="D160" t="str">
        <f ca="1">IFERROR(__xludf.DUMMYFUNCTION("""COMPUTED_VALUE"""),"01262903000103")</f>
        <v>01262903000103</v>
      </c>
      <c r="E160" t="str">
        <f ca="1">IFERROR(__xludf.DUMMYFUNCTION("""COMPUTED_VALUE"""),"001")</f>
        <v>001</v>
      </c>
      <c r="F160" t="str">
        <f ca="1">IFERROR(__xludf.DUMMYFUNCTION("""COMPUTED_VALUE"""),"4608")</f>
        <v>4608</v>
      </c>
      <c r="G160" t="str">
        <f ca="1">IFERROR(__xludf.DUMMYFUNCTION("""COMPUTED_VALUE"""),"79758")</f>
        <v>79758</v>
      </c>
      <c r="H160" s="7">
        <f ca="1">IFERROR(__xludf.DUMMYFUNCTION("""COMPUTED_VALUE"""),546)</f>
        <v>546</v>
      </c>
      <c r="I160" t="str">
        <v>AEE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IFERROR(__xludf.DUMMYFUNCTION("""COMPUTED_VALUE"""),"Palmeiropolis")</f>
        <v>Palmeiropolis</v>
      </c>
      <c r="C161" t="str">
        <f ca="1">IFERROR(__xludf.DUMMYFUNCTION("""COMPUTED_VALUE"""),"A. A.DO COLEGIO EST. DE PALMEIROPOLIS (COLÉGIO MILITAR)")</f>
        <v>A. A.DO COLEGIO EST. DE PALMEIROPOLIS (COLÉGIO MILITAR)</v>
      </c>
      <c r="D161" t="str">
        <f ca="1">IFERROR(__xludf.DUMMYFUNCTION("""COMPUTED_VALUE"""),"01210496000190")</f>
        <v>01210496000190</v>
      </c>
      <c r="E161" t="str">
        <f ca="1">IFERROR(__xludf.DUMMYFUNCTION("""COMPUTED_VALUE"""),"001")</f>
        <v>001</v>
      </c>
      <c r="F161" t="str">
        <f ca="1">IFERROR(__xludf.DUMMYFUNCTION("""COMPUTED_VALUE"""),"1303")</f>
        <v>1303</v>
      </c>
      <c r="G161" t="str">
        <f ca="1">IFERROR(__xludf.DUMMYFUNCTION("""COMPUTED_VALUE"""),"97438")</f>
        <v>97438</v>
      </c>
      <c r="H161" s="7">
        <f ca="1">IFERROR(__xludf.DUMMYFUNCTION("""COMPUTED_VALUE"""),273)</f>
        <v>273</v>
      </c>
      <c r="I161" t="str">
        <v>AEE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IFERROR(__xludf.DUMMYFUNCTION("""COMPUTED_VALUE"""),"Sandolandia")</f>
        <v>Sandolandia</v>
      </c>
      <c r="C162" t="str">
        <f ca="1">IFERROR(__xludf.DUMMYFUNCTION("""COMPUTED_VALUE"""),"A.A. A ESC. EST.NOSSA SENHORA APARECIDA")</f>
        <v>A.A. A ESC. EST.NOSSA SENHORA APARECIDA</v>
      </c>
      <c r="D162" t="str">
        <f ca="1">IFERROR(__xludf.DUMMYFUNCTION("""COMPUTED_VALUE"""),"01393269000148")</f>
        <v>01393269000148</v>
      </c>
      <c r="E162" t="str">
        <f ca="1">IFERROR(__xludf.DUMMYFUNCTION("""COMPUTED_VALUE"""),"001")</f>
        <v>001</v>
      </c>
      <c r="F162" t="str">
        <f ca="1">IFERROR(__xludf.DUMMYFUNCTION("""COMPUTED_VALUE"""),"1304")</f>
        <v>1304</v>
      </c>
      <c r="G162" t="str">
        <f ca="1">IFERROR(__xludf.DUMMYFUNCTION("""COMPUTED_VALUE"""),"105163")</f>
        <v>105163</v>
      </c>
      <c r="H162" s="7">
        <f ca="1">IFERROR(__xludf.DUMMYFUNCTION("""COMPUTED_VALUE"""),399)</f>
        <v>399</v>
      </c>
      <c r="I162" t="str">
        <v>AEE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IFERROR(__xludf.DUMMYFUNCTION("""COMPUTED_VALUE"""),"Sao Valerio da Natividade")</f>
        <v>Sao Valerio da Natividade</v>
      </c>
      <c r="C163" t="str">
        <f ca="1">IFERROR(__xludf.DUMMYFUNCTION("""COMPUTED_VALUE"""),"A.P.M.E ALUNOS COL. EST. REGINA S. CAMPOS")</f>
        <v>A.P.M.E ALUNOS COL. EST. REGINA S. CAMPOS</v>
      </c>
      <c r="D163" t="str">
        <f ca="1">IFERROR(__xludf.DUMMYFUNCTION("""COMPUTED_VALUE"""),"01431377000168")</f>
        <v>01431377000168</v>
      </c>
      <c r="E163" t="str">
        <f ca="1">IFERROR(__xludf.DUMMYFUNCTION("""COMPUTED_VALUE"""),"001")</f>
        <v>001</v>
      </c>
      <c r="F163" t="str">
        <f ca="1">IFERROR(__xludf.DUMMYFUNCTION("""COMPUTED_VALUE"""),"0794")</f>
        <v>0794</v>
      </c>
      <c r="G163" t="str">
        <f ca="1">IFERROR(__xludf.DUMMYFUNCTION("""COMPUTED_VALUE"""),"52477")</f>
        <v>52477</v>
      </c>
      <c r="H163" s="7">
        <f ca="1">IFERROR(__xludf.DUMMYFUNCTION("""COMPUTED_VALUE"""),966)</f>
        <v>966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IFERROR(__xludf.DUMMYFUNCTION("""COMPUTED_VALUE"""),"dois Irmaos do Tocantins")</f>
        <v>dois Irmaos do Tocantins</v>
      </c>
      <c r="C164" t="str">
        <f ca="1">IFERROR(__xludf.DUMMYFUNCTION("""COMPUTED_VALUE"""),"A.C.E. COL PRES. CASTELO BRANCO")</f>
        <v>A.C.E. COL PRES. CASTELO BRANCO</v>
      </c>
      <c r="D164" t="str">
        <f ca="1">IFERROR(__xludf.DUMMYFUNCTION("""COMPUTED_VALUE"""),"01034882000179")</f>
        <v>01034882000179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IFERROR(__xludf.DUMMYFUNCTION("""COMPUTED_VALUE"""),"68950")</f>
        <v>68950</v>
      </c>
      <c r="H164" s="7">
        <f ca="1">IFERROR(__xludf.DUMMYFUNCTION("""COMPUTED_VALUE"""),273)</f>
        <v>273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IFERROR(__xludf.DUMMYFUNCTION("""COMPUTED_VALUE"""),"dois Irmaos do Tocantins")</f>
        <v>dois Irmaos do Tocantins</v>
      </c>
      <c r="C165" t="str">
        <f ca="1">IFERROR(__xludf.DUMMYFUNCTION("""COMPUTED_VALUE"""),"ASSOC. DE APOIO A ESCOLA ESPECIAL CLOVIS DE ASSIS")</f>
        <v>ASSOC. DE APOIO A ESCOLA ESPECIAL CLOVIS DE ASSIS</v>
      </c>
      <c r="D165" t="str">
        <f ca="1">IFERROR(__xludf.DUMMYFUNCTION("""COMPUTED_VALUE"""),"09327390000183")</f>
        <v>09327390000183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IFERROR(__xludf.DUMMYFUNCTION("""COMPUTED_VALUE"""),"211087")</f>
        <v>211087</v>
      </c>
      <c r="H165" s="7">
        <f ca="1">IFERROR(__xludf.DUMMYFUNCTION("""COMPUTED_VALUE"""),294)</f>
        <v>294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IFERROR(__xludf.DUMMYFUNCTION("""COMPUTED_VALUE"""),"Lizarda")</f>
        <v>Lizarda</v>
      </c>
      <c r="C166" t="str">
        <f ca="1">IFERROR(__xludf.DUMMYFUNCTION("""COMPUTED_VALUE"""),"A. ESC. COMUN. DO COL. EST. 31 DE MARCO")</f>
        <v>A. ESC. COMUN. DO COL. EST. 31 DE MARCO</v>
      </c>
      <c r="D166" t="str">
        <f ca="1">IFERROR(__xludf.DUMMYFUNCTION("""COMPUTED_VALUE"""),"01232873000192")</f>
        <v>01232873000192</v>
      </c>
      <c r="E166" t="str">
        <f ca="1">IFERROR(__xludf.DUMMYFUNCTION("""COMPUTED_VALUE"""),"001")</f>
        <v>001</v>
      </c>
      <c r="F166" t="str">
        <f ca="1">IFERROR(__xludf.DUMMYFUNCTION("""COMPUTED_VALUE"""),"0862")</f>
        <v>0862</v>
      </c>
      <c r="G166" t="str">
        <f ca="1">IFERROR(__xludf.DUMMYFUNCTION("""COMPUTED_VALUE"""),"68969")</f>
        <v>68969</v>
      </c>
      <c r="H166" s="7">
        <f ca="1">IFERROR(__xludf.DUMMYFUNCTION("""COMPUTED_VALUE"""),231)</f>
        <v>231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IFERROR(__xludf.DUMMYFUNCTION("""COMPUTED_VALUE"""),"Lizarda")</f>
        <v>Lizarda</v>
      </c>
      <c r="C167" t="str">
        <f ca="1">IFERROR(__xludf.DUMMYFUNCTION("""COMPUTED_VALUE"""),"ESCOLA ESTADUAL AYRTON SENNA")</f>
        <v>ESCOLA ESTADUAL AYRTON SENNA</v>
      </c>
      <c r="D167" t="str">
        <f ca="1">IFERROR(__xludf.DUMMYFUNCTION("""COMPUTED_VALUE"""),"11406586000105")</f>
        <v>11406586000105</v>
      </c>
      <c r="E167" t="str">
        <f ca="1">IFERROR(__xludf.DUMMYFUNCTION("""COMPUTED_VALUE"""),"001")</f>
        <v>001</v>
      </c>
      <c r="F167" t="str">
        <f ca="1">IFERROR(__xludf.DUMMYFUNCTION("""COMPUTED_VALUE"""),"0862")</f>
        <v>0862</v>
      </c>
      <c r="G167" t="str">
        <f ca="1">IFERROR(__xludf.DUMMYFUNCTION("""COMPUTED_VALUE"""),"270393")</f>
        <v>270393</v>
      </c>
      <c r="H167" s="7">
        <f ca="1">IFERROR(__xludf.DUMMYFUNCTION("""COMPUTED_VALUE"""),105)</f>
        <v>105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IFERROR(__xludf.DUMMYFUNCTION("""COMPUTED_VALUE"""),"Miracema do Tocantins")</f>
        <v>Miracema do Tocantins</v>
      </c>
      <c r="C168" t="str">
        <f ca="1">IFERROR(__xludf.DUMMYFUNCTION("""COMPUTED_VALUE"""),"ASSOC ESC COM COL EST FILOMENA MOREIRA DE PAULA")</f>
        <v>ASSOC ESC COM COL EST FILOMENA MOREIRA DE PAULA</v>
      </c>
      <c r="D168" t="str">
        <f ca="1">IFERROR(__xludf.DUMMYFUNCTION("""COMPUTED_VALUE"""),"00900200000109")</f>
        <v>00900200000109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IFERROR(__xludf.DUMMYFUNCTION("""COMPUTED_VALUE"""),"97527")</f>
        <v>97527</v>
      </c>
      <c r="H168" s="7">
        <f ca="1">IFERROR(__xludf.DUMMYFUNCTION("""COMPUTED_VALUE"""),315)</f>
        <v>315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IFERROR(__xludf.DUMMYFUNCTION("""COMPUTED_VALUE"""),"Miracema do Tocantins")</f>
        <v>Miracema do Tocantins</v>
      </c>
      <c r="C169" t="str">
        <f ca="1">IFERROR(__xludf.DUMMYFUNCTION("""COMPUTED_VALUE"""),"ASS. DE APOIO AO CEM SANTA TEREZINHA")</f>
        <v>ASS. DE APOIO AO CEM SANTA TEREZINHA</v>
      </c>
      <c r="D169" t="str">
        <f ca="1">IFERROR(__xludf.DUMMYFUNCTION("""COMPUTED_VALUE"""),"01085211000137")</f>
        <v>01085211000137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IFERROR(__xludf.DUMMYFUNCTION("""COMPUTED_VALUE"""),"244589")</f>
        <v>244589</v>
      </c>
      <c r="H169" s="7">
        <f ca="1">IFERROR(__xludf.DUMMYFUNCTION("""COMPUTED_VALUE"""),420)</f>
        <v>420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IFERROR(__xludf.DUMMYFUNCTION("""COMPUTED_VALUE"""),"Miracema do Tocantins")</f>
        <v>Miracema do Tocantins</v>
      </c>
      <c r="C170" t="str">
        <f ca="1">IFERROR(__xludf.DUMMYFUNCTION("""COMPUTED_VALUE"""),"SOCIEDADE EDUCADORA FEMININA/COLÉGIO TOCANTINS")</f>
        <v>SOCIEDADE EDUCADORA FEMININA/COLÉGIO TOCANTINS</v>
      </c>
      <c r="D170" t="str">
        <f ca="1">IFERROR(__xludf.DUMMYFUNCTION("""COMPUTED_VALUE"""),"61373585000694")</f>
        <v>61373585000694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IFERROR(__xludf.DUMMYFUNCTION("""COMPUTED_VALUE"""),"69086")</f>
        <v>69086</v>
      </c>
      <c r="H170" s="7">
        <f ca="1">IFERROR(__xludf.DUMMYFUNCTION("""COMPUTED_VALUE"""),273)</f>
        <v>273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IFERROR(__xludf.DUMMYFUNCTION("""COMPUTED_VALUE"""),"Miracema do Tocantins")</f>
        <v>Miracema do Tocantins</v>
      </c>
      <c r="C171" t="str">
        <f ca="1">IFERROR(__xludf.DUMMYFUNCTION("""COMPUTED_VALUE"""),"A.P.A.DOS EXECEPCIONAIS DE MIRACEMA - APAE")</f>
        <v>A.P.A.DOS EXECEPCIONAIS DE MIRACEMA - APAE</v>
      </c>
      <c r="D171" t="str">
        <f ca="1">IFERROR(__xludf.DUMMYFUNCTION("""COMPUTED_VALUE"""),"38146965000160")</f>
        <v>38146965000160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IFERROR(__xludf.DUMMYFUNCTION("""COMPUTED_VALUE"""),"93734")</f>
        <v>93734</v>
      </c>
      <c r="H171" s="7">
        <f ca="1">IFERROR(__xludf.DUMMYFUNCTION("""COMPUTED_VALUE"""),252)</f>
        <v>252</v>
      </c>
      <c r="I171" t="str">
        <v>AEE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IFERROR(__xludf.DUMMYFUNCTION("""COMPUTED_VALUE"""),"Miracema do Tocantins")</f>
        <v>Miracema do Tocantins</v>
      </c>
      <c r="C172" t="str">
        <f ca="1">IFERROR(__xludf.DUMMYFUNCTION("""COMPUTED_VALUE"""),"A.COM.DA ESC. EST. JOSE D. VASCONCELOS")</f>
        <v>A.COM.DA ESC. EST. JOSE D. VASCONCELOS</v>
      </c>
      <c r="D172" t="str">
        <f ca="1">IFERROR(__xludf.DUMMYFUNCTION("""COMPUTED_VALUE"""),"01068379000134")</f>
        <v>01068379000134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IFERROR(__xludf.DUMMYFUNCTION("""COMPUTED_VALUE"""),"69035")</f>
        <v>69035</v>
      </c>
      <c r="H172" s="7">
        <f ca="1">IFERROR(__xludf.DUMMYFUNCTION("""COMPUTED_VALUE"""),378)</f>
        <v>378</v>
      </c>
      <c r="I172" t="str">
        <v>AEE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IFERROR(__xludf.DUMMYFUNCTION("""COMPUTED_VALUE"""),"Miracema do Tocantins")</f>
        <v>Miracema do Tocantins</v>
      </c>
      <c r="C173" t="str">
        <f ca="1">IFERROR(__xludf.DUMMYFUNCTION("""COMPUTED_VALUE"""),"A.P.M.A. ESC. CONV. ONESINA BANDEIRA")</f>
        <v>A.P.M.A. ESC. CONV. ONESINA BANDEIRA</v>
      </c>
      <c r="D173" t="str">
        <f ca="1">IFERROR(__xludf.DUMMYFUNCTION("""COMPUTED_VALUE"""),"01133700000117")</f>
        <v>01133700000117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IFERROR(__xludf.DUMMYFUNCTION("""COMPUTED_VALUE"""),"69051")</f>
        <v>69051</v>
      </c>
      <c r="H173" s="7">
        <f ca="1">IFERROR(__xludf.DUMMYFUNCTION("""COMPUTED_VALUE"""),798)</f>
        <v>798</v>
      </c>
      <c r="I173" t="str">
        <v>AEE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IFERROR(__xludf.DUMMYFUNCTION("""COMPUTED_VALUE"""),"Miracema do Tocantins")</f>
        <v>Miracema do Tocantins</v>
      </c>
      <c r="C174" t="str">
        <f ca="1">IFERROR(__xludf.DUMMYFUNCTION("""COMPUTED_VALUE"""),"A.A.  DA ESCOLA ESTADUAL OSCAR SARDINHA")</f>
        <v>A.A.  DA ESCOLA ESTADUAL OSCAR SARDINHA</v>
      </c>
      <c r="D174" t="str">
        <f ca="1">IFERROR(__xludf.DUMMYFUNCTION("""COMPUTED_VALUE"""),"01197158000166")</f>
        <v>01197158000166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IFERROR(__xludf.DUMMYFUNCTION("""COMPUTED_VALUE"""),"6906X")</f>
        <v>6906X</v>
      </c>
      <c r="H174" s="7">
        <f ca="1">IFERROR(__xludf.DUMMYFUNCTION("""COMPUTED_VALUE"""),210)</f>
        <v>210</v>
      </c>
      <c r="I174" t="str">
        <v>AEE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IFERROR(__xludf.DUMMYFUNCTION("""COMPUTED_VALUE"""),"Miranorte")</f>
        <v>Miranorte</v>
      </c>
      <c r="C175" t="str">
        <f ca="1">IFERROR(__xludf.DUMMYFUNCTION("""COMPUTED_VALUE"""),"ASSOC. COM. DO COL. RUI BRASIL CAVALCANTE")</f>
        <v>ASSOC. COM. DO COL. RUI BRASIL CAVALCANTE</v>
      </c>
      <c r="D175" t="str">
        <f ca="1">IFERROR(__xludf.DUMMYFUNCTION("""COMPUTED_VALUE"""),"01112765000186")</f>
        <v>01112765000186</v>
      </c>
      <c r="E175" t="str">
        <f ca="1">IFERROR(__xludf.DUMMYFUNCTION("""COMPUTED_VALUE"""),"001")</f>
        <v>001</v>
      </c>
      <c r="F175" t="str">
        <f ca="1">IFERROR(__xludf.DUMMYFUNCTION("""COMPUTED_VALUE"""),"4560")</f>
        <v>4560</v>
      </c>
      <c r="G175" t="str">
        <f ca="1">IFERROR(__xludf.DUMMYFUNCTION("""COMPUTED_VALUE"""),"78905")</f>
        <v>78905</v>
      </c>
      <c r="H175" s="7">
        <f ca="1">IFERROR(__xludf.DUMMYFUNCTION("""COMPUTED_VALUE"""),378)</f>
        <v>378</v>
      </c>
      <c r="I175" t="str">
        <v>AEE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IFERROR(__xludf.DUMMYFUNCTION("""COMPUTED_VALUE"""),"Miranorte")</f>
        <v>Miranorte</v>
      </c>
      <c r="C176" t="str">
        <f ca="1">IFERROR(__xludf.DUMMYFUNCTION("""COMPUTED_VALUE"""),"A.A. C.E.NOSSA SENHORA DA PROVIDENCIA")</f>
        <v>A.A. C.E.NOSSA SENHORA DA PROVIDENCIA</v>
      </c>
      <c r="D176" t="str">
        <f ca="1">IFERROR(__xludf.DUMMYFUNCTION("""COMPUTED_VALUE"""),"01190186000151")</f>
        <v>01190186000151</v>
      </c>
      <c r="E176" t="str">
        <f ca="1">IFERROR(__xludf.DUMMYFUNCTION("""COMPUTED_VALUE"""),"001")</f>
        <v>001</v>
      </c>
      <c r="F176" t="str">
        <f ca="1">IFERROR(__xludf.DUMMYFUNCTION("""COMPUTED_VALUE"""),"4560")</f>
        <v>4560</v>
      </c>
      <c r="G176" t="str">
        <f ca="1">IFERROR(__xludf.DUMMYFUNCTION("""COMPUTED_VALUE"""),"7778X")</f>
        <v>7778X</v>
      </c>
      <c r="H176" s="7">
        <f ca="1">IFERROR(__xludf.DUMMYFUNCTION("""COMPUTED_VALUE"""),546)</f>
        <v>546</v>
      </c>
      <c r="I176" t="str">
        <v>AEE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IFERROR(__xludf.DUMMYFUNCTION("""COMPUTED_VALUE"""),"Miranorte")</f>
        <v>Miranorte</v>
      </c>
      <c r="C177" t="str">
        <f ca="1">IFERROR(__xludf.DUMMYFUNCTION("""COMPUTED_VALUE"""),"A.A ESC. ESPECIAL CORAÇÃO DE MARIA")</f>
        <v>A.A ESC. ESPECIAL CORAÇÃO DE MARIA</v>
      </c>
      <c r="D177" t="str">
        <f ca="1">IFERROR(__xludf.DUMMYFUNCTION("""COMPUTED_VALUE"""),"07968866000130")</f>
        <v>07968866000130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IFERROR(__xludf.DUMMYFUNCTION("""COMPUTED_VALUE"""),"265217")</f>
        <v>265217</v>
      </c>
      <c r="H177" s="7">
        <f ca="1">IFERROR(__xludf.DUMMYFUNCTION("""COMPUTED_VALUE"""),252)</f>
        <v>252</v>
      </c>
      <c r="I177" t="str">
        <v>AEE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IFERROR(__xludf.DUMMYFUNCTION("""COMPUTED_VALUE"""),"Rio dos Bois")</f>
        <v>Rio dos Bois</v>
      </c>
      <c r="C178" t="str">
        <f ca="1">IFERROR(__xludf.DUMMYFUNCTION("""COMPUTED_VALUE"""),"A.A. ESC EST DR. VALDECY PINHEIRO")</f>
        <v>A.A. ESC EST DR. VALDECY PINHEIRO</v>
      </c>
      <c r="D178" t="str">
        <f ca="1">IFERROR(__xludf.DUMMYFUNCTION("""COMPUTED_VALUE"""),"01079937000167")</f>
        <v>01079937000167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IFERROR(__xludf.DUMMYFUNCTION("""COMPUTED_VALUE"""),"69116")</f>
        <v>69116</v>
      </c>
      <c r="H178" s="7">
        <f ca="1">IFERROR(__xludf.DUMMYFUNCTION("""COMPUTED_VALUE"""),273)</f>
        <v>273</v>
      </c>
      <c r="I178" t="str">
        <v>AEE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IFERROR(__xludf.DUMMYFUNCTION("""COMPUTED_VALUE"""),"Tocantinia")</f>
        <v>Tocantinia</v>
      </c>
      <c r="C179" t="str">
        <f ca="1">IFERROR(__xludf.DUMMYFUNCTION("""COMPUTED_VALUE"""),"ASS. APOIO AO CEM XERENTE WARA")</f>
        <v>ASS. APOIO AO CEM XERENTE WARA</v>
      </c>
      <c r="D179" t="str">
        <f ca="1">IFERROR(__xludf.DUMMYFUNCTION("""COMPUTED_VALUE"""),"07674098000101")</f>
        <v>07674098000101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IFERROR(__xludf.DUMMYFUNCTION("""COMPUTED_VALUE"""),"183407")</f>
        <v>183407</v>
      </c>
      <c r="H179" s="7">
        <f ca="1">IFERROR(__xludf.DUMMYFUNCTION("""COMPUTED_VALUE"""),441)</f>
        <v>441</v>
      </c>
      <c r="I179" t="str">
        <v>AEE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IFERROR(__xludf.DUMMYFUNCTION("""COMPUTED_VALUE"""),"Tocantinia")</f>
        <v>Tocantinia</v>
      </c>
      <c r="C180" t="str">
        <f ca="1">IFERROR(__xludf.DUMMYFUNCTION("""COMPUTED_VALUE"""),"A.COM.DO COLEGIO FREI ANTONIO CONVENIADO")</f>
        <v>A.COM.DO COLEGIO FREI ANTONIO CONVENIADO</v>
      </c>
      <c r="D180" t="str">
        <f ca="1">IFERROR(__xludf.DUMMYFUNCTION("""COMPUTED_VALUE"""),"01066427000155")</f>
        <v>01066427000155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IFERROR(__xludf.DUMMYFUNCTION("""COMPUTED_VALUE"""),"68985")</f>
        <v>68985</v>
      </c>
      <c r="H180" s="7">
        <f ca="1">IFERROR(__xludf.DUMMYFUNCTION("""COMPUTED_VALUE"""),210)</f>
        <v>210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IFERROR(__xludf.DUMMYFUNCTION("""COMPUTED_VALUE"""),"Aparecida do Rio Negro")</f>
        <v>Aparecida do Rio Negro</v>
      </c>
      <c r="C181" t="str">
        <f ca="1">IFERROR(__xludf.DUMMYFUNCTION("""COMPUTED_VALUE"""),"ASS. DE AP. DO COL. EST. MEIRA MATOS")</f>
        <v>ASS. DE AP. DO COL. EST. MEIRA MATOS</v>
      </c>
      <c r="D181" t="str">
        <f ca="1">IFERROR(__xludf.DUMMYFUNCTION("""COMPUTED_VALUE"""),"01186452000172")</f>
        <v>01186452000172</v>
      </c>
      <c r="E181" t="str">
        <f ca="1">IFERROR(__xludf.DUMMYFUNCTION("""COMPUTED_VALUE"""),"001")</f>
        <v>001</v>
      </c>
      <c r="F181" t="str">
        <f ca="1">IFERROR(__xludf.DUMMYFUNCTION("""COMPUTED_VALUE"""),"1505")</f>
        <v>1505</v>
      </c>
      <c r="G181" t="str">
        <f ca="1">IFERROR(__xludf.DUMMYFUNCTION("""COMPUTED_VALUE"""),"327972")</f>
        <v>327972</v>
      </c>
      <c r="H181" s="7">
        <f ca="1">IFERROR(__xludf.DUMMYFUNCTION("""COMPUTED_VALUE"""),294)</f>
        <v>294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IFERROR(__xludf.DUMMYFUNCTION("""COMPUTED_VALUE"""),"Lajeado")</f>
        <v>Lajeado</v>
      </c>
      <c r="C182" t="str">
        <f ca="1">IFERROR(__xludf.DUMMYFUNCTION("""COMPUTED_VALUE"""),"A.A. COM. E. E.N.SRA.DA PROVIDENCIA")</f>
        <v>A.A. COM. E. E.N.SRA.DA PROVIDENCIA</v>
      </c>
      <c r="D182" t="str">
        <f ca="1">IFERROR(__xludf.DUMMYFUNCTION("""COMPUTED_VALUE"""),"01138324000153")</f>
        <v>01138324000153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IFERROR(__xludf.DUMMYFUNCTION("""COMPUTED_VALUE"""),"69132")</f>
        <v>69132</v>
      </c>
      <c r="H182" s="7">
        <f ca="1">IFERROR(__xludf.DUMMYFUNCTION("""COMPUTED_VALUE"""),147)</f>
        <v>147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IFERROR(__xludf.DUMMYFUNCTION("""COMPUTED_VALUE"""),"Novo Acordo")</f>
        <v>Novo Acordo</v>
      </c>
      <c r="C183" t="str">
        <f ca="1">IFERROR(__xludf.DUMMYFUNCTION("""COMPUTED_VALUE"""),"ASS. A. AO COL. EST. D. PEDRO I/N.ACORDO")</f>
        <v>ASS. A. AO COL. EST. D. PEDRO I/N.ACORDO</v>
      </c>
      <c r="D183" t="str">
        <f ca="1">IFERROR(__xludf.DUMMYFUNCTION("""COMPUTED_VALUE"""),"01133690000110")</f>
        <v>01133690000110</v>
      </c>
      <c r="E183" t="str">
        <f ca="1">IFERROR(__xludf.DUMMYFUNCTION("""COMPUTED_VALUE"""),"001")</f>
        <v>001</v>
      </c>
      <c r="F183" t="str">
        <f ca="1">IFERROR(__xludf.DUMMYFUNCTION("""COMPUTED_VALUE"""),"1505")</f>
        <v>1505</v>
      </c>
      <c r="G183" t="str">
        <f ca="1">IFERROR(__xludf.DUMMYFUNCTION("""COMPUTED_VALUE"""),"157856")</f>
        <v>157856</v>
      </c>
      <c r="H183" s="7">
        <f ca="1">IFERROR(__xludf.DUMMYFUNCTION("""COMPUTED_VALUE"""),1638)</f>
        <v>1638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IFERROR(__xludf.DUMMYFUNCTION("""COMPUTED_VALUE"""),"Novo Acordo")</f>
        <v>Novo Acordo</v>
      </c>
      <c r="C184" t="str">
        <f ca="1">IFERROR(__xludf.DUMMYFUNCTION("""COMPUTED_VALUE"""),"A.A. DA ESC. EST.PEDRO MACEDO / N.ACORDO")</f>
        <v>A.A. DA ESC. EST.PEDRO MACEDO / N.ACORDO</v>
      </c>
      <c r="D184" t="str">
        <f ca="1">IFERROR(__xludf.DUMMYFUNCTION("""COMPUTED_VALUE"""),"01136004000164")</f>
        <v>01136004000164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IFERROR(__xludf.DUMMYFUNCTION("""COMPUTED_VALUE"""),"171166")</f>
        <v>171166</v>
      </c>
      <c r="H184" s="7">
        <f ca="1">IFERROR(__xludf.DUMMYFUNCTION("""COMPUTED_VALUE"""),336)</f>
        <v>336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 DE CONSELHO ESCOLAR DO CEM 305 NORTE")</f>
        <v>A. DE CONSELHO ESCOLAR DO CEM 305 NORTE</v>
      </c>
      <c r="D185" t="str">
        <f ca="1">IFERROR(__xludf.DUMMYFUNCTION("""COMPUTED_VALUE"""),"04701394000166")</f>
        <v>04701394000166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IFERROR(__xludf.DUMMYFUNCTION("""COMPUTED_VALUE"""),"455261")</f>
        <v>455261</v>
      </c>
      <c r="H185" s="7">
        <f ca="1">IFERROR(__xludf.DUMMYFUNCTION("""COMPUTED_VALUE"""),252)</f>
        <v>252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IFERROR(__xludf.DUMMYFUNCTION("""COMPUTED_VALUE"""),"ASSOC. DE APOIO COL. EST. DE TAQUARALTO")</f>
        <v>ASSOC. DE APOIO COL. EST. DE TAQUARALTO</v>
      </c>
      <c r="D186" t="str">
        <f ca="1">IFERROR(__xludf.DUMMYFUNCTION("""COMPUTED_VALUE"""),"03233677000168")</f>
        <v>03233677000168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IFERROR(__xludf.DUMMYFUNCTION("""COMPUTED_VALUE"""),"455059")</f>
        <v>455059</v>
      </c>
      <c r="H186" s="7">
        <f ca="1">IFERROR(__xludf.DUMMYFUNCTION("""COMPUTED_VALUE"""),546)</f>
        <v>546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IFERROR(__xludf.DUMMYFUNCTION("""COMPUTED_VALUE"""),"A.AP. DO COL. EST. SANTA RITA DE CASSIA")</f>
        <v>A.AP. DO COL. EST. SANTA RITA DE CASSIA</v>
      </c>
      <c r="D187" t="str">
        <f ca="1">IFERROR(__xludf.DUMMYFUNCTION("""COMPUTED_VALUE"""),"01955414000137")</f>
        <v>01955414000137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IFERROR(__xludf.DUMMYFUNCTION("""COMPUTED_VALUE"""),"256579")</f>
        <v>256579</v>
      </c>
      <c r="H187" s="7">
        <f ca="1">IFERROR(__xludf.DUMMYFUNCTION("""COMPUTED_VALUE"""),189)</f>
        <v>189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IFERROR(__xludf.DUMMYFUNCTION("""COMPUTED_VALUE"""),"ACE COL. EST. DUQUE DE CAXIAS")</f>
        <v>ACE COL. EST. DUQUE DE CAXIAS</v>
      </c>
      <c r="D188" t="str">
        <f ca="1">IFERROR(__xludf.DUMMYFUNCTION("""COMPUTED_VALUE"""),"01588669000109")</f>
        <v>01588669000109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IFERROR(__xludf.DUMMYFUNCTION("""COMPUTED_VALUE"""),"254002")</f>
        <v>254002</v>
      </c>
      <c r="H188" s="7">
        <f ca="1">IFERROR(__xludf.DUMMYFUNCTION("""COMPUTED_VALUE"""),420)</f>
        <v>420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IFERROR(__xludf.DUMMYFUNCTION("""COMPUTED_VALUE"""),"A.A. AO COLEGIO ESTADUAL SAO JOSE")</f>
        <v>A.A. AO COLEGIO ESTADUAL SAO JOSE</v>
      </c>
      <c r="D189" t="str">
        <f ca="1">IFERROR(__xludf.DUMMYFUNCTION("""COMPUTED_VALUE"""),"01913809000177")</f>
        <v>01913809000177</v>
      </c>
      <c r="E189" t="str">
        <f ca="1">IFERROR(__xludf.DUMMYFUNCTION("""COMPUTED_VALUE"""),"001")</f>
        <v>001</v>
      </c>
      <c r="F189" t="str">
        <f ca="1">IFERROR(__xludf.DUMMYFUNCTION("""COMPUTED_VALUE"""),"1886")</f>
        <v>1886</v>
      </c>
      <c r="G189" t="str">
        <f ca="1">IFERROR(__xludf.DUMMYFUNCTION("""COMPUTED_VALUE"""),"325252")</f>
        <v>325252</v>
      </c>
      <c r="H189" s="7">
        <f ca="1">IFERROR(__xludf.DUMMYFUNCTION("""COMPUTED_VALUE"""),504)</f>
        <v>504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IFERROR(__xludf.DUMMYFUNCTION("""COMPUTED_VALUE"""),"A.A. COL GIRASSOL TEMPO INTEGRAL RAQUEL QUEIROZ")</f>
        <v>A.A. COL GIRASSOL TEMPO INTEGRAL RAQUEL QUEIROZ</v>
      </c>
      <c r="D190" t="str">
        <f ca="1">IFERROR(__xludf.DUMMYFUNCTION("""COMPUTED_VALUE"""),"13748657000183")</f>
        <v>13748657000183</v>
      </c>
      <c r="E190" t="str">
        <f ca="1">IFERROR(__xludf.DUMMYFUNCTION("""COMPUTED_VALUE"""),"001")</f>
        <v>001</v>
      </c>
      <c r="F190" t="str">
        <f ca="1">IFERROR(__xludf.DUMMYFUNCTION("""COMPUTED_VALUE"""),"1867")</f>
        <v>1867</v>
      </c>
      <c r="G190" t="str">
        <f ca="1">IFERROR(__xludf.DUMMYFUNCTION("""COMPUTED_VALUE"""),"856312")</f>
        <v>856312</v>
      </c>
      <c r="H190" s="7">
        <f ca="1">IFERROR(__xludf.DUMMYFUNCTION("""COMPUTED_VALUE"""),798)</f>
        <v>798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IFERROR(__xludf.DUMMYFUNCTION("""COMPUTED_VALUE"""),"ASSOCIAÇÃO DE APOIO DA ESCOLA ESPECIAL INTEGRAÇÃO DE PALMAS")</f>
        <v>ASSOCIAÇÃO DE APOIO DA ESCOLA ESPECIAL INTEGRAÇÃO DE PALMAS</v>
      </c>
      <c r="D191" t="str">
        <f ca="1">IFERROR(__xludf.DUMMYFUNCTION("""COMPUTED_VALUE"""),"07958777000102")</f>
        <v>07958777000102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IFERROR(__xludf.DUMMYFUNCTION("""COMPUTED_VALUE"""),"385328")</f>
        <v>385328</v>
      </c>
      <c r="H191" s="7">
        <f ca="1">IFERROR(__xludf.DUMMYFUNCTION("""COMPUTED_VALUE"""),504)</f>
        <v>504</v>
      </c>
      <c r="I191" t="str">
        <v>AEE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IFERROR(__xludf.DUMMYFUNCTION("""COMPUTED_VALUE"""),"A.COM. ESC. E. E.BEIRA RIO/PORTO NACIONAL")</f>
        <v>A.COM. ESC. E. E.BEIRA RIO/PORTO NACIONAL</v>
      </c>
      <c r="D192" t="str">
        <f ca="1">IFERROR(__xludf.DUMMYFUNCTION("""COMPUTED_VALUE"""),"01797298000175")</f>
        <v>01797298000175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IFERROR(__xludf.DUMMYFUNCTION("""COMPUTED_VALUE"""),"209929")</f>
        <v>209929</v>
      </c>
      <c r="H192" s="7">
        <f ca="1">IFERROR(__xludf.DUMMYFUNCTION("""COMPUTED_VALUE"""),1134)</f>
        <v>1134</v>
      </c>
      <c r="I192" t="str">
        <v>AEE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IFERROR(__xludf.DUMMYFUNCTION("""COMPUTED_VALUE"""),"A.P.E M. DA ESC. EST. MADRE BELEM")</f>
        <v>A.P.E M. DA ESC. EST. MADRE BELEM</v>
      </c>
      <c r="D193" t="str">
        <f ca="1">IFERROR(__xludf.DUMMYFUNCTION("""COMPUTED_VALUE"""),"01034134000196")</f>
        <v>01034134000196</v>
      </c>
      <c r="E193" t="str">
        <f ca="1">IFERROR(__xludf.DUMMYFUNCTION("""COMPUTED_VALUE"""),"001")</f>
        <v>001</v>
      </c>
      <c r="F193" t="str">
        <f ca="1">IFERROR(__xludf.DUMMYFUNCTION("""COMPUTED_VALUE"""),"1886")</f>
        <v>1886</v>
      </c>
      <c r="G193" t="str">
        <f ca="1">IFERROR(__xludf.DUMMYFUNCTION("""COMPUTED_VALUE"""),"519855")</f>
        <v>519855</v>
      </c>
      <c r="H193" s="7">
        <f ca="1">IFERROR(__xludf.DUMMYFUNCTION("""COMPUTED_VALUE"""),252)</f>
        <v>252</v>
      </c>
      <c r="I193" t="str">
        <v>AEE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IFERROR(__xludf.DUMMYFUNCTION("""COMPUTED_VALUE"""),"ACE UN.ESC. FREDEDERICO J. PEDRERA NETO")</f>
        <v>ACE UN.ESC. FREDEDERICO J. PEDRERA NETO</v>
      </c>
      <c r="D194" t="str">
        <f ca="1">IFERROR(__xludf.DUMMYFUNCTION("""COMPUTED_VALUE"""),"01862534000190")</f>
        <v>01862534000190</v>
      </c>
      <c r="E194" t="str">
        <f ca="1">IFERROR(__xludf.DUMMYFUNCTION("""COMPUTED_VALUE"""),"001")</f>
        <v>001</v>
      </c>
      <c r="F194" t="str">
        <f ca="1">IFERROR(__xludf.DUMMYFUNCTION("""COMPUTED_VALUE"""),"1867")</f>
        <v>1867</v>
      </c>
      <c r="G194" t="str">
        <f ca="1">IFERROR(__xludf.DUMMYFUNCTION("""COMPUTED_VALUE"""),"1079972")</f>
        <v>1079972</v>
      </c>
      <c r="H194" s="7">
        <f ca="1">IFERROR(__xludf.DUMMYFUNCTION("""COMPUTED_VALUE"""),357)</f>
        <v>357</v>
      </c>
      <c r="I194" t="str">
        <v>AEE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IFERROR(__xludf.DUMMYFUNCTION("""COMPUTED_VALUE"""),882)</f>
        <v>882</v>
      </c>
      <c r="I195" t="str">
        <v>AEE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IFERROR(__xludf.DUMMYFUNCTION("""COMPUTED_VALUE"""),2100)</f>
        <v>2100</v>
      </c>
      <c r="I196" t="str">
        <v>AEE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IFERROR(__xludf.DUMMYFUNCTION("""COMPUTED_VALUE"""),1344)</f>
        <v>1344</v>
      </c>
      <c r="I197" t="str">
        <v>AEE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7">
        <f ca="1">IFERROR(__xludf.DUMMYFUNCTION("""COMPUTED_VALUE"""),252)</f>
        <v>252</v>
      </c>
      <c r="I198" t="str">
        <v>AEE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7">
        <f ca="1">IFERROR(__xludf.DUMMYFUNCTION("""COMPUTED_VALUE"""),210)</f>
        <v>210</v>
      </c>
      <c r="I199" t="str">
        <v>AEE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7">
        <f ca="1">IFERROR(__xludf.DUMMYFUNCTION("""COMPUTED_VALUE"""),399)</f>
        <v>399</v>
      </c>
      <c r="I200" t="str">
        <v>AEE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IFERROR(__xludf.DUMMYFUNCTION("""COMPUTED_VALUE"""),"Rio Sono")</f>
        <v>Rio Sono</v>
      </c>
      <c r="C201" t="str">
        <f ca="1">IFERROR(__xludf.DUMMYFUNCTION("""COMPUTED_VALUE"""),"A. DE PAIS E MESTRES DO COL. EST.RIO SONO")</f>
        <v>A. DE PAIS E MESTRES DO COL. EST.RIO SONO</v>
      </c>
      <c r="D201" t="str">
        <f ca="1">IFERROR(__xludf.DUMMYFUNCTION("""COMPUTED_VALUE"""),"01184376000166")</f>
        <v>01184376000166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IFERROR(__xludf.DUMMYFUNCTION("""COMPUTED_VALUE"""),"530042")</f>
        <v>530042</v>
      </c>
      <c r="H201" s="7">
        <f ca="1">IFERROR(__xludf.DUMMYFUNCTION("""COMPUTED_VALUE"""),1323)</f>
        <v>1323</v>
      </c>
      <c r="I201" t="str">
        <v>AEE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IFERROR(__xludf.DUMMYFUNCTION("""COMPUTED_VALUE"""),"Santa Tereza do Tocantins")</f>
        <v>Santa Tereza do Tocantins</v>
      </c>
      <c r="C202" t="str">
        <f ca="1">IFERROR(__xludf.DUMMYFUNCTION("""COMPUTED_VALUE"""),"A.A. C.EST. MANOEL S.DOURADO")</f>
        <v>A.A. C.EST. MANOEL S.DOURADO</v>
      </c>
      <c r="D202" t="str">
        <f ca="1">IFERROR(__xludf.DUMMYFUNCTION("""COMPUTED_VALUE"""),"01136013000155")</f>
        <v>01136013000155</v>
      </c>
      <c r="E202" t="str">
        <f ca="1">IFERROR(__xludf.DUMMYFUNCTION("""COMPUTED_VALUE"""),"001")</f>
        <v>001</v>
      </c>
      <c r="F202" t="str">
        <f ca="1">IFERROR(__xludf.DUMMYFUNCTION("""COMPUTED_VALUE"""),"1117")</f>
        <v>1117</v>
      </c>
      <c r="G202" t="str">
        <f ca="1">IFERROR(__xludf.DUMMYFUNCTION("""COMPUTED_VALUE"""),"313033")</f>
        <v>313033</v>
      </c>
      <c r="H202" s="7">
        <f ca="1">IFERROR(__xludf.DUMMYFUNCTION("""COMPUTED_VALUE"""),252)</f>
        <v>252</v>
      </c>
      <c r="I202" t="str">
        <v>AEE</v>
      </c>
    </row>
    <row r="203" spans="1:9" ht="12.75">
      <c r="A203" t="str">
        <f ca="1">IFERROR(__xludf.DUMMYFUNCTION("""COMPUTED_VALUE"""),"Paraíso")</f>
        <v>Paraíso</v>
      </c>
      <c r="B203" t="str">
        <f ca="1">IFERROR(__xludf.DUMMYFUNCTION("""COMPUTED_VALUE"""),"Barrolandia")</f>
        <v>Barrolandia</v>
      </c>
      <c r="C203" t="str">
        <f ca="1">IFERROR(__xludf.DUMMYFUNCTION("""COMPUTED_VALUE"""),"A..A. ESC. ESPECIAL AMOR DE DEUS")</f>
        <v>A..A. ESC. ESPECIAL AMOR DE DEUS</v>
      </c>
      <c r="D203" t="str">
        <f ca="1">IFERROR(__xludf.DUMMYFUNCTION("""COMPUTED_VALUE"""),"07935641000187")</f>
        <v>07935641000187</v>
      </c>
      <c r="E203" t="str">
        <f ca="1">IFERROR(__xludf.DUMMYFUNCTION("""COMPUTED_VALUE"""),"001")</f>
        <v>001</v>
      </c>
      <c r="F203" t="str">
        <f ca="1">IFERROR(__xludf.DUMMYFUNCTION("""COMPUTED_VALUE"""),"0804")</f>
        <v>0804</v>
      </c>
      <c r="G203" t="str">
        <f ca="1">IFERROR(__xludf.DUMMYFUNCTION("""COMPUTED_VALUE"""),"279501")</f>
        <v>279501</v>
      </c>
      <c r="H203" s="7">
        <f ca="1">IFERROR(__xludf.DUMMYFUNCTION("""COMPUTED_VALUE"""),252)</f>
        <v>252</v>
      </c>
      <c r="I203" t="str">
        <v>AEE</v>
      </c>
    </row>
    <row r="204" spans="1:9" ht="12.75">
      <c r="A204" t="str">
        <f ca="1">IFERROR(__xludf.DUMMYFUNCTION("""COMPUTED_VALUE"""),"Paraíso")</f>
        <v>Paraíso</v>
      </c>
      <c r="B204" t="str">
        <f ca="1">IFERROR(__xludf.DUMMYFUNCTION("""COMPUTED_VALUE"""),"Barrolandia")</f>
        <v>Barrolandia</v>
      </c>
      <c r="C204" t="str">
        <f ca="1">IFERROR(__xludf.DUMMYFUNCTION("""COMPUTED_VALUE"""),"ASS. APOIO DA ESC EST PAULINA CAMARA")</f>
        <v>ASS. APOIO DA ESC EST PAULINA CAMARA</v>
      </c>
      <c r="D204" t="str">
        <f ca="1">IFERROR(__xludf.DUMMYFUNCTION("""COMPUTED_VALUE"""),"01071402000140")</f>
        <v>01071402000140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IFERROR(__xludf.DUMMYFUNCTION("""COMPUTED_VALUE"""),"68926")</f>
        <v>68926</v>
      </c>
      <c r="H204" s="7">
        <f ca="1">IFERROR(__xludf.DUMMYFUNCTION("""COMPUTED_VALUE"""),252)</f>
        <v>252</v>
      </c>
      <c r="I204" t="str">
        <v>AEE</v>
      </c>
    </row>
    <row r="205" spans="1:9" ht="12.75">
      <c r="A205" t="str">
        <f ca="1">IFERROR(__xludf.DUMMYFUNCTION("""COMPUTED_VALUE"""),"Paraíso")</f>
        <v>Paraíso</v>
      </c>
      <c r="B205" t="str">
        <f ca="1">IFERROR(__xludf.DUMMYFUNCTION("""COMPUTED_VALUE"""),"Cristalandia")</f>
        <v>Cristalandia</v>
      </c>
      <c r="C205" t="str">
        <f ca="1">IFERROR(__xludf.DUMMYFUNCTION("""COMPUTED_VALUE"""),"APAE DE CRISTALÂNDIA")</f>
        <v>APAE DE CRISTALÂNDIA</v>
      </c>
      <c r="D205" t="str">
        <f ca="1">IFERROR(__xludf.DUMMYFUNCTION("""COMPUTED_VALUE"""),"01995319000167")</f>
        <v>01995319000167</v>
      </c>
      <c r="E205" t="str">
        <f ca="1">IFERROR(__xludf.DUMMYFUNCTION("""COMPUTED_VALUE"""),"001")</f>
        <v>001</v>
      </c>
      <c r="F205" t="str">
        <f ca="1">IFERROR(__xludf.DUMMYFUNCTION("""COMPUTED_VALUE"""),"3638")</f>
        <v>3638</v>
      </c>
      <c r="G205" t="str">
        <f ca="1">IFERROR(__xludf.DUMMYFUNCTION("""COMPUTED_VALUE"""),"71315")</f>
        <v>71315</v>
      </c>
      <c r="H205" s="7">
        <f ca="1">IFERROR(__xludf.DUMMYFUNCTION("""COMPUTED_VALUE"""),399)</f>
        <v>399</v>
      </c>
      <c r="I205" t="str">
        <v>AEE</v>
      </c>
    </row>
    <row r="206" spans="1:9" ht="12.75">
      <c r="A206" t="str">
        <f ca="1">IFERROR(__xludf.DUMMYFUNCTION("""COMPUTED_VALUE"""),"Paraíso")</f>
        <v>Paraíso</v>
      </c>
      <c r="B206" t="str">
        <f ca="1">IFERROR(__xludf.DUMMYFUNCTION("""COMPUTED_VALUE"""),"Cristalandia")</f>
        <v>Cristalandia</v>
      </c>
      <c r="C206" t="str">
        <f ca="1">IFERROR(__xludf.DUMMYFUNCTION("""COMPUTED_VALUE"""),"A.A. ESCOLA MUL.OTACILIO MARQUES ROSAL")</f>
        <v>A.A. ESCOLA MUL.OTACILIO MARQUES ROSAL</v>
      </c>
      <c r="D206" t="str">
        <f ca="1">IFERROR(__xludf.DUMMYFUNCTION("""COMPUTED_VALUE"""),"01071438000123")</f>
        <v>01071438000123</v>
      </c>
      <c r="E206" t="str">
        <f ca="1">IFERROR(__xludf.DUMMYFUNCTION("""COMPUTED_VALUE"""),"001")</f>
        <v>001</v>
      </c>
      <c r="F206" t="str">
        <f ca="1">IFERROR(__xludf.DUMMYFUNCTION("""COMPUTED_VALUE"""),"3638")</f>
        <v>3638</v>
      </c>
      <c r="G206" t="str">
        <f ca="1">IFERROR(__xludf.DUMMYFUNCTION("""COMPUTED_VALUE"""),"7120X")</f>
        <v>7120X</v>
      </c>
      <c r="H206" s="7">
        <f ca="1">IFERROR(__xludf.DUMMYFUNCTION("""COMPUTED_VALUE"""),210)</f>
        <v>210</v>
      </c>
      <c r="I206" t="str">
        <v>AEE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IFERROR(__xludf.DUMMYFUNCTION("""COMPUTED_VALUE"""),"Lagoa da Confusao")</f>
        <v>Lagoa da Confusao</v>
      </c>
      <c r="C207" t="str">
        <f ca="1">IFERROR(__xludf.DUMMYFUNCTION("""COMPUTED_VALUE"""),"A.A.  ESTUD COL. EST. LAGOA DA CONFUSAO")</f>
        <v>A.A.  ESTUD COL. EST. LAGOA DA CONFUSAO</v>
      </c>
      <c r="D207" t="str">
        <f ca="1">IFERROR(__xludf.DUMMYFUNCTION("""COMPUTED_VALUE"""),"01179116000100")</f>
        <v>01179116000100</v>
      </c>
      <c r="E207" t="str">
        <f ca="1">IFERROR(__xludf.DUMMYFUNCTION("""COMPUTED_VALUE"""),"001")</f>
        <v>001</v>
      </c>
      <c r="F207" t="str">
        <f ca="1">IFERROR(__xludf.DUMMYFUNCTION("""COMPUTED_VALUE"""),"3983")</f>
        <v>3983</v>
      </c>
      <c r="G207" t="str">
        <f ca="1">IFERROR(__xludf.DUMMYFUNCTION("""COMPUTED_VALUE"""),"84735")</f>
        <v>84735</v>
      </c>
      <c r="H207" s="7">
        <f ca="1">IFERROR(__xludf.DUMMYFUNCTION("""COMPUTED_VALUE"""),105)</f>
        <v>105</v>
      </c>
      <c r="I207" t="str">
        <v>AEE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IFERROR(__xludf.DUMMYFUNCTION("""COMPUTED_VALUE"""),"Lagoa da Confusao")</f>
        <v>Lagoa da Confusao</v>
      </c>
      <c r="C208" t="str">
        <f ca="1">IFERROR(__xludf.DUMMYFUNCTION("""COMPUTED_VALUE"""),"ASSOCIAÇÃO DA ESCOLA ESPECIAL LAGOA DA CONFUSÃO")</f>
        <v>ASSOCIAÇÃO DA ESCOLA ESPECIAL LAGOA DA CONFUSÃO</v>
      </c>
      <c r="D208" t="str">
        <f ca="1">IFERROR(__xludf.DUMMYFUNCTION("""COMPUTED_VALUE"""),"08755554000100")</f>
        <v>08755554000100</v>
      </c>
      <c r="E208" t="str">
        <f ca="1">IFERROR(__xludf.DUMMYFUNCTION("""COMPUTED_VALUE"""),"001")</f>
        <v>001</v>
      </c>
      <c r="F208" t="str">
        <f ca="1">IFERROR(__xludf.DUMMYFUNCTION("""COMPUTED_VALUE"""),"3983")</f>
        <v>3983</v>
      </c>
      <c r="G208" t="str">
        <f ca="1">IFERROR(__xludf.DUMMYFUNCTION("""COMPUTED_VALUE"""),"83712")</f>
        <v>83712</v>
      </c>
      <c r="H208" s="7">
        <f ca="1">IFERROR(__xludf.DUMMYFUNCTION("""COMPUTED_VALUE"""),378)</f>
        <v>378</v>
      </c>
      <c r="I208" t="str">
        <v>AEE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IFERROR(__xludf.DUMMYFUNCTION("""COMPUTED_VALUE"""),"Paraiso do Tocantins")</f>
        <v>Paraiso do Tocantins</v>
      </c>
      <c r="C209" t="str">
        <f ca="1">IFERROR(__xludf.DUMMYFUNCTION("""COMPUTED_VALUE"""),"ASSOC. APOIO AO CEM JOSE ALVES DE ASSIS")</f>
        <v>ASSOC. APOIO AO CEM JOSE ALVES DE ASSIS</v>
      </c>
      <c r="D209" t="str">
        <f ca="1">IFERROR(__xludf.DUMMYFUNCTION("""COMPUTED_VALUE"""),"01181169000158")</f>
        <v>01181169000158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IFERROR(__xludf.DUMMYFUNCTION("""COMPUTED_VALUE"""),"286257")</f>
        <v>286257</v>
      </c>
      <c r="H209" s="7">
        <f ca="1">IFERROR(__xludf.DUMMYFUNCTION("""COMPUTED_VALUE"""),273)</f>
        <v>273</v>
      </c>
      <c r="I209" t="str">
        <v>AEE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IFERROR(__xludf.DUMMYFUNCTION("""COMPUTED_VALUE"""),"Paraiso do Tocantins")</f>
        <v>Paraiso do Tocantins</v>
      </c>
      <c r="C210" t="str">
        <f ca="1">IFERROR(__xludf.DUMMYFUNCTION("""COMPUTED_VALUE"""),"AAE. ESPECIAL LUZ DA VIDA")</f>
        <v>AAE. ESPECIAL LUZ DA VIDA</v>
      </c>
      <c r="D210" t="str">
        <f ca="1">IFERROR(__xludf.DUMMYFUNCTION("""COMPUTED_VALUE"""),"07905330000175")</f>
        <v>07905330000175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IFERROR(__xludf.DUMMYFUNCTION("""COMPUTED_VALUE"""),"331724")</f>
        <v>331724</v>
      </c>
      <c r="H210" s="7">
        <f ca="1">IFERROR(__xludf.DUMMYFUNCTION("""COMPUTED_VALUE"""),525)</f>
        <v>525</v>
      </c>
      <c r="I210" t="str">
        <v>AEE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IFERROR(__xludf.DUMMYFUNCTION("""COMPUTED_VALUE"""),"Paraiso do Tocantins")</f>
        <v>Paraiso do Tocantins</v>
      </c>
      <c r="C211" t="str">
        <f ca="1">IFERROR(__xludf.DUMMYFUNCTION("""COMPUTED_VALUE"""),"ASS. DE APOIO ESC. EST. AMANCIO DE MORAES")</f>
        <v>ASS. DE APOIO ESC. EST. AMANCIO DE MORAES</v>
      </c>
      <c r="D211" t="str">
        <f ca="1">IFERROR(__xludf.DUMMYFUNCTION("""COMPUTED_VALUE"""),"01068375000156")</f>
        <v>01068375000156</v>
      </c>
      <c r="E211" t="str">
        <f ca="1">IFERROR(__xludf.DUMMYFUNCTION("""COMPUTED_VALUE"""),"104")</f>
        <v>104</v>
      </c>
      <c r="F211" t="str">
        <f ca="1">IFERROR(__xludf.DUMMYFUNCTION("""COMPUTED_VALUE"""),"1141")</f>
        <v>1141</v>
      </c>
      <c r="G211" t="str">
        <f ca="1">IFERROR(__xludf.DUMMYFUNCTION("""COMPUTED_VALUE"""),"308140")</f>
        <v>308140</v>
      </c>
      <c r="H211" s="7">
        <f ca="1">IFERROR(__xludf.DUMMYFUNCTION("""COMPUTED_VALUE"""),273)</f>
        <v>273</v>
      </c>
      <c r="I211" t="str">
        <v>AEE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IFERROR(__xludf.DUMMYFUNCTION("""COMPUTED_VALUE"""),"Pium")</f>
        <v>Pium</v>
      </c>
      <c r="C212" t="str">
        <f ca="1">IFERROR(__xludf.DUMMYFUNCTION("""COMPUTED_VALUE"""),"A.A. COLEGIO ESTADUAL BARTOLOMEU BUENO")</f>
        <v>A.A. COLEGIO ESTADUAL BARTOLOMEU BUENO</v>
      </c>
      <c r="D212" t="str">
        <f ca="1">IFERROR(__xludf.DUMMYFUNCTION("""COMPUTED_VALUE"""),"01071436000134")</f>
        <v>01071436000134</v>
      </c>
      <c r="E212" t="str">
        <f ca="1">IFERROR(__xludf.DUMMYFUNCTION("""COMPUTED_VALUE"""),"001")</f>
        <v>001</v>
      </c>
      <c r="F212" t="str">
        <f ca="1">IFERROR(__xludf.DUMMYFUNCTION("""COMPUTED_VALUE"""),"0804")</f>
        <v>0804</v>
      </c>
      <c r="G212" t="str">
        <f ca="1">IFERROR(__xludf.DUMMYFUNCTION("""COMPUTED_VALUE"""),"286206")</f>
        <v>286206</v>
      </c>
      <c r="H212" s="7">
        <f ca="1">IFERROR(__xludf.DUMMYFUNCTION("""COMPUTED_VALUE"""),252)</f>
        <v>252</v>
      </c>
      <c r="I212" t="str">
        <v>AEE</v>
      </c>
    </row>
    <row r="213" spans="1:9" ht="12.75">
      <c r="A213" t="str">
        <f ca="1">IFERROR(__xludf.DUMMYFUNCTION("""COMPUTED_VALUE"""),"Pedro Afonso")</f>
        <v>Pedro Afonso</v>
      </c>
      <c r="B213" t="str">
        <f ca="1">IFERROR(__xludf.DUMMYFUNCTION("""COMPUTED_VALUE"""),"Itacaja")</f>
        <v>Itacaja</v>
      </c>
      <c r="C213" t="str">
        <f ca="1">IFERROR(__xludf.DUMMYFUNCTION("""COMPUTED_VALUE"""),"ASSOC. APOIO ESC. EST. ALMEIDA SARDINHA")</f>
        <v>ASSOC. APOIO ESC. EST. ALMEIDA SARDINHA</v>
      </c>
      <c r="D213" t="str">
        <f ca="1">IFERROR(__xludf.DUMMYFUNCTION("""COMPUTED_VALUE"""),"01138335000133")</f>
        <v>01138335000133</v>
      </c>
      <c r="E213" t="str">
        <f ca="1">IFERROR(__xludf.DUMMYFUNCTION("""COMPUTED_VALUE"""),"001")</f>
        <v>001</v>
      </c>
      <c r="F213" t="str">
        <f ca="1">IFERROR(__xludf.DUMMYFUNCTION("""COMPUTED_VALUE"""),"2094")</f>
        <v>2094</v>
      </c>
      <c r="G213" t="str">
        <f ca="1">IFERROR(__xludf.DUMMYFUNCTION("""COMPUTED_VALUE"""),"466484")</f>
        <v>466484</v>
      </c>
      <c r="H213" s="7">
        <f ca="1">IFERROR(__xludf.DUMMYFUNCTION("""COMPUTED_VALUE"""),168)</f>
        <v>168</v>
      </c>
      <c r="I213" t="str">
        <v>AEE</v>
      </c>
    </row>
    <row r="214" spans="1:9" ht="12.75">
      <c r="A214" t="str">
        <f ca="1">IFERROR(__xludf.DUMMYFUNCTION("""COMPUTED_VALUE"""),"Pedro Afonso")</f>
        <v>Pedro Afonso</v>
      </c>
      <c r="B214" t="str">
        <f ca="1">IFERROR(__xludf.DUMMYFUNCTION("""COMPUTED_VALUE"""),"Pedro Afonso")</f>
        <v>Pedro Afonso</v>
      </c>
      <c r="C214" t="str">
        <f ca="1">IFERROR(__xludf.DUMMYFUNCTION("""COMPUTED_VALUE"""),"A.A. E. EST.IS.DA REG.DE ENS.DE GUARAI")</f>
        <v>A.A. E. EST.IS.DA REG.DE ENS.DE GUARAI</v>
      </c>
      <c r="D214" t="str">
        <f ca="1">IFERROR(__xludf.DUMMYFUNCTION("""COMPUTED_VALUE"""),"02508361000179")</f>
        <v>02508361000179</v>
      </c>
      <c r="E214" t="str">
        <f ca="1">IFERROR(__xludf.DUMMYFUNCTION("""COMPUTED_VALUE"""),"001")</f>
        <v>001</v>
      </c>
      <c r="F214" t="str">
        <f ca="1">IFERROR(__xludf.DUMMYFUNCTION("""COMPUTED_VALUE"""),"1595")</f>
        <v>1595</v>
      </c>
      <c r="G214" t="str">
        <f ca="1">IFERROR(__xludf.DUMMYFUNCTION("""COMPUTED_VALUE"""),"110663")</f>
        <v>110663</v>
      </c>
      <c r="H214" s="7">
        <f ca="1">IFERROR(__xludf.DUMMYFUNCTION("""COMPUTED_VALUE"""),63)</f>
        <v>63</v>
      </c>
      <c r="I214" t="str">
        <v>AEE</v>
      </c>
    </row>
    <row r="215" spans="1:9" ht="12.75">
      <c r="A215" t="str">
        <f ca="1">IFERROR(__xludf.DUMMYFUNCTION("""COMPUTED_VALUE"""),"Pedro Afonso")</f>
        <v>Pedro Afonso</v>
      </c>
      <c r="B215" t="str">
        <f ca="1">IFERROR(__xludf.DUMMYFUNCTION("""COMPUTED_VALUE"""),"Pedro Afonso")</f>
        <v>Pedro Afonso</v>
      </c>
      <c r="C215" t="str">
        <f ca="1">IFERROR(__xludf.DUMMYFUNCTION("""COMPUTED_VALUE"""),"A.A. ESCOLAR DO COLEGIO EST.CRISTO REI")</f>
        <v>A.A. ESCOLAR DO COLEGIO EST.CRISTO REI</v>
      </c>
      <c r="D215" t="str">
        <f ca="1">IFERROR(__xludf.DUMMYFUNCTION("""COMPUTED_VALUE"""),"02250658000187")</f>
        <v>02250658000187</v>
      </c>
      <c r="E215" t="str">
        <f ca="1">IFERROR(__xludf.DUMMYFUNCTION("""COMPUTED_VALUE"""),"001")</f>
        <v>001</v>
      </c>
      <c r="F215" t="str">
        <f ca="1">IFERROR(__xludf.DUMMYFUNCTION("""COMPUTED_VALUE"""),"1595")</f>
        <v>1595</v>
      </c>
      <c r="G215" t="str">
        <f ca="1">IFERROR(__xludf.DUMMYFUNCTION("""COMPUTED_VALUE"""),"66141")</f>
        <v>66141</v>
      </c>
      <c r="H215" s="7">
        <f ca="1">IFERROR(__xludf.DUMMYFUNCTION("""COMPUTED_VALUE"""),210)</f>
        <v>210</v>
      </c>
      <c r="I215" t="str">
        <v>AEE</v>
      </c>
    </row>
    <row r="216" spans="1:9" ht="12.75">
      <c r="A216" t="str">
        <f ca="1">IFERROR(__xludf.DUMMYFUNCTION("""COMPUTED_VALUE"""),"Pedro Afonso")</f>
        <v>Pedro Afonso</v>
      </c>
      <c r="B216" t="str">
        <f ca="1">IFERROR(__xludf.DUMMYFUNCTION("""COMPUTED_VALUE"""),"Pedro Afonso")</f>
        <v>Pedro Afonso</v>
      </c>
      <c r="C216" t="str">
        <f ca="1">IFERROR(__xludf.DUMMYFUNCTION("""COMPUTED_VALUE"""),"ASSOCIAÇÃO DE PAIS E AMIGOS DOS EXCEPCIONAIS DE PEDRO AFONSO")</f>
        <v>ASSOCIAÇÃO DE PAIS E AMIGOS DOS EXCEPCIONAIS DE PEDRO AFONSO</v>
      </c>
      <c r="D216" t="str">
        <f ca="1">IFERROR(__xludf.DUMMYFUNCTION("""COMPUTED_VALUE"""),"04406588000139")</f>
        <v>04406588000139</v>
      </c>
      <c r="E216" t="str">
        <f ca="1">IFERROR(__xludf.DUMMYFUNCTION("""COMPUTED_VALUE"""),"001")</f>
        <v>001</v>
      </c>
      <c r="F216" t="str">
        <f ca="1">IFERROR(__xludf.DUMMYFUNCTION("""COMPUTED_VALUE"""),"1595")</f>
        <v>1595</v>
      </c>
      <c r="G216" t="str">
        <f ca="1">IFERROR(__xludf.DUMMYFUNCTION("""COMPUTED_VALUE"""),"119105")</f>
        <v>119105</v>
      </c>
      <c r="H216" s="7">
        <f ca="1">IFERROR(__xludf.DUMMYFUNCTION("""COMPUTED_VALUE"""),483)</f>
        <v>483</v>
      </c>
      <c r="I216" t="str">
        <v>AEE</v>
      </c>
    </row>
    <row r="217" spans="1:9" ht="12.75">
      <c r="A217" t="str">
        <f ca="1">IFERROR(__xludf.DUMMYFUNCTION("""COMPUTED_VALUE"""),"Pedro Afonso")</f>
        <v>Pedro Afonso</v>
      </c>
      <c r="B217" t="str">
        <f ca="1">IFERROR(__xludf.DUMMYFUNCTION("""COMPUTED_VALUE"""),"Pedro Afonso")</f>
        <v>Pedro Afonso</v>
      </c>
      <c r="C217" t="str">
        <f ca="1">IFERROR(__xludf.DUMMYFUNCTION("""COMPUTED_VALUE"""),"A. DE PAIS E MEST. DA ESC. EST. ANA AMORIM")</f>
        <v>A. DE PAIS E MEST. DA ESC. EST. ANA AMORIM</v>
      </c>
      <c r="D217" t="str">
        <f ca="1">IFERROR(__xludf.DUMMYFUNCTION("""COMPUTED_VALUE"""),"01990364000129")</f>
        <v>01990364000129</v>
      </c>
      <c r="E217" t="str">
        <f ca="1">IFERROR(__xludf.DUMMYFUNCTION("""COMPUTED_VALUE"""),"001")</f>
        <v>001</v>
      </c>
      <c r="F217" t="str">
        <f ca="1">IFERROR(__xludf.DUMMYFUNCTION("""COMPUTED_VALUE"""),"1595")</f>
        <v>1595</v>
      </c>
      <c r="G217" t="str">
        <f ca="1">IFERROR(__xludf.DUMMYFUNCTION("""COMPUTED_VALUE"""),"59722")</f>
        <v>59722</v>
      </c>
      <c r="H217" s="7">
        <f ca="1">IFERROR(__xludf.DUMMYFUNCTION("""COMPUTED_VALUE"""),294)</f>
        <v>294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IFERROR(__xludf.DUMMYFUNCTION("""COMPUTED_VALUE"""),"Brejinho de Nazare")</f>
        <v>Brejinho de Nazare</v>
      </c>
      <c r="C218" t="str">
        <f ca="1">IFERROR(__xludf.DUMMYFUNCTION("""COMPUTED_VALUE"""),"AS.DE APOIO A ESC. EST. JONAS PEREIRA LIMA")</f>
        <v>AS.DE APOIO A ESC. EST. JONAS PEREIRA LIMA</v>
      </c>
      <c r="D218" t="str">
        <f ca="1">IFERROR(__xludf.DUMMYFUNCTION("""COMPUTED_VALUE"""),"01148459000108")</f>
        <v>01148459000108</v>
      </c>
      <c r="E218" t="str">
        <f ca="1">IFERROR(__xludf.DUMMYFUNCTION("""COMPUTED_VALUE"""),"001")</f>
        <v>001</v>
      </c>
      <c r="F218" t="str">
        <f ca="1">IFERROR(__xludf.DUMMYFUNCTION("""COMPUTED_VALUE"""),"3976")</f>
        <v>3976</v>
      </c>
      <c r="G218" t="str">
        <f ca="1">IFERROR(__xludf.DUMMYFUNCTION("""COMPUTED_VALUE"""),"80489")</f>
        <v>80489</v>
      </c>
      <c r="H218" s="7">
        <f ca="1">IFERROR(__xludf.DUMMYFUNCTION("""COMPUTED_VALUE"""),336)</f>
        <v>336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IFERROR(__xludf.DUMMYFUNCTION("""COMPUTED_VALUE"""),"Fatima")</f>
        <v>Fatima</v>
      </c>
      <c r="C219" t="str">
        <f ca="1">IFERROR(__xludf.DUMMYFUNCTION("""COMPUTED_VALUE"""),"A.A. ESCOLA ESTADUAL CONCEICAO BRITO")</f>
        <v>A.A. ESCOLA ESTADUAL CONCEICAO BRITO</v>
      </c>
      <c r="D219" t="str">
        <f ca="1">IFERROR(__xludf.DUMMYFUNCTION("""COMPUTED_VALUE"""),"01268285000109")</f>
        <v>01268285000109</v>
      </c>
      <c r="E219" t="str">
        <f ca="1">IFERROR(__xludf.DUMMYFUNCTION("""COMPUTED_VALUE"""),"001")</f>
        <v>001</v>
      </c>
      <c r="F219" t="str">
        <f ca="1">IFERROR(__xludf.DUMMYFUNCTION("""COMPUTED_VALUE"""),"4107")</f>
        <v>4107</v>
      </c>
      <c r="G219" t="str">
        <f ca="1">IFERROR(__xludf.DUMMYFUNCTION("""COMPUTED_VALUE"""),"50911")</f>
        <v>50911</v>
      </c>
      <c r="H219" s="7">
        <f ca="1">IFERROR(__xludf.DUMMYFUNCTION("""COMPUTED_VALUE"""),189)</f>
        <v>189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IFERROR(__xludf.DUMMYFUNCTION("""COMPUTED_VALUE"""),"Fatima")</f>
        <v>Fatima</v>
      </c>
      <c r="C220" t="str">
        <f ca="1">IFERROR(__xludf.DUMMYFUNCTION("""COMPUTED_VALUE"""),"ASSOC. DE APOIO A ESCOLA ESPECIAL RENASCER")</f>
        <v>ASSOC. DE APOIO A ESCOLA ESPECIAL RENASCER</v>
      </c>
      <c r="D220" t="str">
        <f ca="1">IFERROR(__xludf.DUMMYFUNCTION("""COMPUTED_VALUE"""),"11726757000183")</f>
        <v>11726757000183</v>
      </c>
      <c r="E220" t="str">
        <f ca="1">IFERROR(__xludf.DUMMYFUNCTION("""COMPUTED_VALUE"""),"001")</f>
        <v>001</v>
      </c>
      <c r="F220" t="str">
        <f ca="1">IFERROR(__xludf.DUMMYFUNCTION("""COMPUTED_VALUE"""),"4107")</f>
        <v>4107</v>
      </c>
      <c r="G220" t="str">
        <f ca="1">IFERROR(__xludf.DUMMYFUNCTION("""COMPUTED_VALUE"""),"7991X")</f>
        <v>7991X</v>
      </c>
      <c r="H220" s="7">
        <f ca="1">IFERROR(__xludf.DUMMYFUNCTION("""COMPUTED_VALUE"""),378)</f>
        <v>378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IFERROR(__xludf.DUMMYFUNCTION("""COMPUTED_VALUE"""),"Ipueiras")</f>
        <v>Ipueiras</v>
      </c>
      <c r="C221" t="str">
        <f ca="1">IFERROR(__xludf.DUMMYFUNCTION("""COMPUTED_VALUE"""),"ASSOC. DE APOIO DA ESC. EST. FELIX CAMOA")</f>
        <v>ASSOC. DE APOIO DA ESC. EST. FELIX CAMOA</v>
      </c>
      <c r="D221" t="str">
        <f ca="1">IFERROR(__xludf.DUMMYFUNCTION("""COMPUTED_VALUE"""),"01469443000199")</f>
        <v>01469443000199</v>
      </c>
      <c r="E221" t="str">
        <f ca="1">IFERROR(__xludf.DUMMYFUNCTION("""COMPUTED_VALUE"""),"001")</f>
        <v>001</v>
      </c>
      <c r="F221" t="str">
        <f ca="1">IFERROR(__xludf.DUMMYFUNCTION("""COMPUTED_VALUE"""),"1117")</f>
        <v>1117</v>
      </c>
      <c r="G221" t="str">
        <f ca="1">IFERROR(__xludf.DUMMYFUNCTION("""COMPUTED_VALUE"""),"315052")</f>
        <v>315052</v>
      </c>
      <c r="H221" s="7">
        <f ca="1">IFERROR(__xludf.DUMMYFUNCTION("""COMPUTED_VALUE"""),84)</f>
        <v>84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IFERROR(__xludf.DUMMYFUNCTION("""COMPUTED_VALUE"""),"Monte do Carmo")</f>
        <v>Monte do Carmo</v>
      </c>
      <c r="C222" t="str">
        <f ca="1">IFERROR(__xludf.DUMMYFUNCTION("""COMPUTED_VALUE"""),"A.A.  DO COLEGIO EST. PADRE GAMA")</f>
        <v>A.A.  DO COLEGIO EST. PADRE GAMA</v>
      </c>
      <c r="D222" t="str">
        <f ca="1">IFERROR(__xludf.DUMMYFUNCTION("""COMPUTED_VALUE"""),"01071443000136")</f>
        <v>01071443000136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IFERROR(__xludf.DUMMYFUNCTION("""COMPUTED_VALUE"""),"0312878")</f>
        <v>0312878</v>
      </c>
      <c r="H222" s="7">
        <f ca="1">IFERROR(__xludf.DUMMYFUNCTION("""COMPUTED_VALUE"""),231)</f>
        <v>231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IFERROR(__xludf.DUMMYFUNCTION("""COMPUTED_VALUE"""),"Monte do Carmo")</f>
        <v>Monte do Carmo</v>
      </c>
      <c r="C223" t="str">
        <f ca="1">IFERROR(__xludf.DUMMYFUNCTION("""COMPUTED_VALUE"""),"A.APOIO DA ESCOLA ESTADUAL MESTRA BELA")</f>
        <v>A.APOIO DA ESCOLA ESTADUAL MESTRA BELA</v>
      </c>
      <c r="D223" t="str">
        <f ca="1">IFERROR(__xludf.DUMMYFUNCTION("""COMPUTED_VALUE"""),"01071442000191")</f>
        <v>01071442000191</v>
      </c>
      <c r="E223" t="str">
        <f ca="1">IFERROR(__xludf.DUMMYFUNCTION("""COMPUTED_VALUE"""),"001")</f>
        <v>001</v>
      </c>
      <c r="F223" t="str">
        <f ca="1">IFERROR(__xludf.DUMMYFUNCTION("""COMPUTED_VALUE"""),"1117")</f>
        <v>1117</v>
      </c>
      <c r="G223" t="str">
        <f ca="1">IFERROR(__xludf.DUMMYFUNCTION("""COMPUTED_VALUE"""),"31286X")</f>
        <v>31286X</v>
      </c>
      <c r="H223" s="7">
        <f ca="1">IFERROR(__xludf.DUMMYFUNCTION("""COMPUTED_VALUE"""),210)</f>
        <v>210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IFERROR(__xludf.DUMMYFUNCTION("""COMPUTED_VALUE"""),"Natividade")</f>
        <v>Natividade</v>
      </c>
      <c r="C224" t="str">
        <f ca="1">IFERROR(__xludf.DUMMYFUNCTION("""COMPUTED_VALUE"""),"ASSOC. DE APOIO A ESC. ESPECIAL TIA CORACI DE SENA FERNANDES")</f>
        <v>ASSOC. DE APOIO A ESC. ESPECIAL TIA CORACI DE SENA FERNANDES</v>
      </c>
      <c r="D224" t="str">
        <f ca="1">IFERROR(__xludf.DUMMYFUNCTION("""COMPUTED_VALUE"""),"17163914000176")</f>
        <v>17163914000176</v>
      </c>
      <c r="E224" t="str">
        <f ca="1">IFERROR(__xludf.DUMMYFUNCTION("""COMPUTED_VALUE"""),"001")</f>
        <v>001</v>
      </c>
      <c r="F224" t="str">
        <f ca="1">IFERROR(__xludf.DUMMYFUNCTION("""COMPUTED_VALUE"""),"2334")</f>
        <v>2334</v>
      </c>
      <c r="G224" t="str">
        <f ca="1">IFERROR(__xludf.DUMMYFUNCTION("""COMPUTED_VALUE"""),"19860")</f>
        <v>19860</v>
      </c>
      <c r="H224" s="7">
        <f ca="1">IFERROR(__xludf.DUMMYFUNCTION("""COMPUTED_VALUE"""),315)</f>
        <v>315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IFERROR(__xludf.DUMMYFUNCTION("""COMPUTED_VALUE"""),"Natividade")</f>
        <v>Natividade</v>
      </c>
      <c r="C225" t="str">
        <f ca="1">IFERROR(__xludf.DUMMYFUNCTION("""COMPUTED_VALUE"""),"ASS. APOIO ESC. EST. JOAQUIM LINO SUARTE")</f>
        <v>ASS. APOIO ESC. EST. JOAQUIM LINO SUARTE</v>
      </c>
      <c r="D225" t="str">
        <f ca="1">IFERROR(__xludf.DUMMYFUNCTION("""COMPUTED_VALUE"""),"01133708000183")</f>
        <v>01133708000183</v>
      </c>
      <c r="E225" t="str">
        <f ca="1">IFERROR(__xludf.DUMMYFUNCTION("""COMPUTED_VALUE"""),"003")</f>
        <v>003</v>
      </c>
      <c r="F225" t="str">
        <f ca="1">IFERROR(__xludf.DUMMYFUNCTION("""COMPUTED_VALUE"""),"0037")</f>
        <v>0037</v>
      </c>
      <c r="G225" t="str">
        <f ca="1">IFERROR(__xludf.DUMMYFUNCTION("""COMPUTED_VALUE"""),"0702670")</f>
        <v>0702670</v>
      </c>
      <c r="H225" s="7">
        <f ca="1">IFERROR(__xludf.DUMMYFUNCTION("""COMPUTED_VALUE"""),294)</f>
        <v>294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IFERROR(__xludf.DUMMYFUNCTION("""COMPUTED_VALUE"""),"Natividade")</f>
        <v>Natividade</v>
      </c>
      <c r="C226" t="str">
        <f ca="1">IFERROR(__xludf.DUMMYFUNCTION("""COMPUTED_VALUE"""),"A.A. E. EST.NOSSA SENHORA DE FATIMA")</f>
        <v>A.A. E. EST.NOSSA SENHORA DE FATIMA</v>
      </c>
      <c r="D226" t="str">
        <f ca="1">IFERROR(__xludf.DUMMYFUNCTION("""COMPUTED_VALUE"""),"01064860000151")</f>
        <v>01064860000151</v>
      </c>
      <c r="E226" t="str">
        <f ca="1">IFERROR(__xludf.DUMMYFUNCTION("""COMPUTED_VALUE"""),"003")</f>
        <v>003</v>
      </c>
      <c r="F226" t="str">
        <f ca="1">IFERROR(__xludf.DUMMYFUNCTION("""COMPUTED_VALUE"""),"0037")</f>
        <v>0037</v>
      </c>
      <c r="G226" t="str">
        <f ca="1">IFERROR(__xludf.DUMMYFUNCTION("""COMPUTED_VALUE"""),"0702646")</f>
        <v>0702646</v>
      </c>
      <c r="H226" s="7">
        <f ca="1">IFERROR(__xludf.DUMMYFUNCTION("""COMPUTED_VALUE"""),231)</f>
        <v>231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IFERROR(__xludf.DUMMYFUNCTION("""COMPUTED_VALUE"""),"Pindorama do Tocantins")</f>
        <v>Pindorama do Tocantins</v>
      </c>
      <c r="C227" t="str">
        <f ca="1">IFERROR(__xludf.DUMMYFUNCTION("""COMPUTED_VALUE"""),"A.A. E. E. DEP.JOSE A. DE ASSIS")</f>
        <v>A.A. E. E. DEP.JOSE A. DE ASSIS</v>
      </c>
      <c r="D227" t="str">
        <f ca="1">IFERROR(__xludf.DUMMYFUNCTION("""COMPUTED_VALUE"""),"01066411000142")</f>
        <v>01066411000142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IFERROR(__xludf.DUMMYFUNCTION("""COMPUTED_VALUE"""),"312770")</f>
        <v>312770</v>
      </c>
      <c r="H227" s="7">
        <f ca="1">IFERROR(__xludf.DUMMYFUNCTION("""COMPUTED_VALUE"""),189)</f>
        <v>189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IFERROR(__xludf.DUMMYFUNCTION("""COMPUTED_VALUE"""),"Ponte Alta do Tocantins")</f>
        <v>Ponte Alta do Tocantins</v>
      </c>
      <c r="C228" t="str">
        <f ca="1">IFERROR(__xludf.DUMMYFUNCTION("""COMPUTED_VALUE"""),"ASS. A. AO COL. EST. ODOLFO SOARES")</f>
        <v>ASS. A. AO COL. EST. ODOLFO SOARES</v>
      </c>
      <c r="D228" t="str">
        <f ca="1">IFERROR(__xludf.DUMMYFUNCTION("""COMPUTED_VALUE"""),"01342866000143")</f>
        <v>01342866000143</v>
      </c>
      <c r="E228" t="str">
        <f ca="1">IFERROR(__xludf.DUMMYFUNCTION("""COMPUTED_VALUE"""),"001")</f>
        <v>001</v>
      </c>
      <c r="F228" t="str">
        <f ca="1">IFERROR(__xludf.DUMMYFUNCTION("""COMPUTED_VALUE"""),"1117")</f>
        <v>1117</v>
      </c>
      <c r="G228" t="str">
        <f ca="1">IFERROR(__xludf.DUMMYFUNCTION("""COMPUTED_VALUE"""),"333921")</f>
        <v>333921</v>
      </c>
      <c r="H228" s="7">
        <f ca="1">IFERROR(__xludf.DUMMYFUNCTION("""COMPUTED_VALUE"""),588)</f>
        <v>588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IFERROR(__xludf.DUMMYFUNCTION("""COMPUTED_VALUE"""),"Ponte Alta do Tocantins")</f>
        <v>Ponte Alta do Tocantins</v>
      </c>
      <c r="C229" t="str">
        <f ca="1">IFERROR(__xludf.DUMMYFUNCTION("""COMPUTED_VALUE"""),"ASS. DE APOIO A ESCOLA EST. ESPECIAL AMILSON FRAZÃO DOS REIS")</f>
        <v>ASS. DE APOIO A ESCOLA EST. ESPECIAL AMILSON FRAZÃO DOS REIS</v>
      </c>
      <c r="D229" t="str">
        <f ca="1">IFERROR(__xludf.DUMMYFUNCTION("""COMPUTED_VALUE"""),"20309905000155")</f>
        <v>20309905000155</v>
      </c>
      <c r="E229" t="str">
        <f ca="1">IFERROR(__xludf.DUMMYFUNCTION("""COMPUTED_VALUE"""),"001")</f>
        <v>001</v>
      </c>
      <c r="F229" t="str">
        <f ca="1">IFERROR(__xludf.DUMMYFUNCTION("""COMPUTED_VALUE"""),"1117")</f>
        <v>1117</v>
      </c>
      <c r="G229" t="str">
        <f ca="1">IFERROR(__xludf.DUMMYFUNCTION("""COMPUTED_VALUE"""),"567426")</f>
        <v>567426</v>
      </c>
      <c r="H229" s="7">
        <f ca="1">IFERROR(__xludf.DUMMYFUNCTION("""COMPUTED_VALUE"""),252)</f>
        <v>252</v>
      </c>
      <c r="I229" t="str">
        <v>AEE</v>
      </c>
    </row>
    <row r="230" spans="1:9" ht="12.75">
      <c r="A230" t="str">
        <f ca="1">IFERROR(__xludf.DUMMYFUNCTION("""COMPUTED_VALUE"""),"Porto Nacional")</f>
        <v>Porto Nacional</v>
      </c>
      <c r="B230" t="str">
        <f ca="1">IFERROR(__xludf.DUMMYFUNCTION("""COMPUTED_VALUE"""),"Porto Nacional")</f>
        <v>Porto Nacional</v>
      </c>
      <c r="C230" t="str">
        <f ca="1">IFERROR(__xludf.DUMMYFUNCTION("""COMPUTED_VALUE"""),"ASSOC. DE APOIO AO CEM FELIX CAMOA I")</f>
        <v>ASSOC. DE APOIO AO CEM FELIX CAMOA I</v>
      </c>
      <c r="D230" t="str">
        <f ca="1">IFERROR(__xludf.DUMMYFUNCTION("""COMPUTED_VALUE"""),"01112476000187")</f>
        <v>01112476000187</v>
      </c>
      <c r="E230" t="str">
        <f ca="1">IFERROR(__xludf.DUMMYFUNCTION("""COMPUTED_VALUE"""),"104")</f>
        <v>104</v>
      </c>
      <c r="F230" t="str">
        <f ca="1">IFERROR(__xludf.DUMMYFUNCTION("""COMPUTED_VALUE"""),"1829")</f>
        <v>1829</v>
      </c>
      <c r="G230" t="str">
        <f ca="1">IFERROR(__xludf.DUMMYFUNCTION("""COMPUTED_VALUE"""),"3050011")</f>
        <v>3050011</v>
      </c>
      <c r="H230" s="7">
        <f ca="1">IFERROR(__xludf.DUMMYFUNCTION("""COMPUTED_VALUE"""),252)</f>
        <v>252</v>
      </c>
      <c r="I230" t="str">
        <v>AEE</v>
      </c>
    </row>
    <row r="231" spans="1:9" ht="12.75">
      <c r="A231" t="str">
        <f ca="1">IFERROR(__xludf.DUMMYFUNCTION("""COMPUTED_VALUE"""),"Porto Nacional")</f>
        <v>Porto Nacional</v>
      </c>
      <c r="B231" t="str">
        <f ca="1">IFERROR(__xludf.DUMMYFUNCTION("""COMPUTED_VALUE"""),"Porto Nacional")</f>
        <v>Porto Nacional</v>
      </c>
      <c r="C231" t="str">
        <f ca="1">IFERROR(__xludf.DUMMYFUNCTION("""COMPUTED_VALUE"""),"ASSOC. DE A.DO CEM PROFº. FLORÊNCIO AIRES DA SILVA")</f>
        <v>ASSOC. DE A.DO CEM PROFº. FLORÊNCIO AIRES DA SILVA</v>
      </c>
      <c r="D231" t="str">
        <f ca="1">IFERROR(__xludf.DUMMYFUNCTION("""COMPUTED_VALUE"""),"01138326000142")</f>
        <v>01138326000142</v>
      </c>
      <c r="E231" t="str">
        <f ca="1">IFERROR(__xludf.DUMMYFUNCTION("""COMPUTED_VALUE"""),"001")</f>
        <v>001</v>
      </c>
      <c r="F231" t="str">
        <f ca="1">IFERROR(__xludf.DUMMYFUNCTION("""COMPUTED_VALUE"""),"1117")</f>
        <v>1117</v>
      </c>
      <c r="G231" t="str">
        <f ca="1">IFERROR(__xludf.DUMMYFUNCTION("""COMPUTED_VALUE"""),"5500X")</f>
        <v>5500X</v>
      </c>
      <c r="H231" s="7">
        <f ca="1">IFERROR(__xludf.DUMMYFUNCTION("""COMPUTED_VALUE"""),294)</f>
        <v>294</v>
      </c>
      <c r="I231" t="str">
        <v>AEE</v>
      </c>
    </row>
    <row r="232" spans="1:9" ht="12.75">
      <c r="A232" t="str">
        <f ca="1">IFERROR(__xludf.DUMMYFUNCTION("""COMPUTED_VALUE"""),"Porto Nacional")</f>
        <v>Porto Nacional</v>
      </c>
      <c r="B232" t="str">
        <f ca="1">IFERROR(__xludf.DUMMYFUNCTION("""COMPUTED_VALUE"""),"Porto Nacional")</f>
        <v>Porto Nacional</v>
      </c>
      <c r="C232" t="str">
        <f ca="1">IFERROR(__xludf.DUMMYFUNCTION("""COMPUTED_VALUE"""),"A. E. COM. ESC. CONV. ANGELICA R. ARANHA")</f>
        <v>A. E. COM. ESC. CONV. ANGELICA R. ARANHA</v>
      </c>
      <c r="D232" t="str">
        <f ca="1">IFERROR(__xludf.DUMMYFUNCTION("""COMPUTED_VALUE"""),"01075455000139")</f>
        <v>01075455000139</v>
      </c>
      <c r="E232" t="str">
        <f ca="1">IFERROR(__xludf.DUMMYFUNCTION("""COMPUTED_VALUE"""),"104")</f>
        <v>104</v>
      </c>
      <c r="F232" t="str">
        <f ca="1">IFERROR(__xludf.DUMMYFUNCTION("""COMPUTED_VALUE"""),"1829")</f>
        <v>1829</v>
      </c>
      <c r="G232" t="str">
        <f ca="1">IFERROR(__xludf.DUMMYFUNCTION("""COMPUTED_VALUE"""),"307313")</f>
        <v>307313</v>
      </c>
      <c r="H232" s="7">
        <f ca="1">IFERROR(__xludf.DUMMYFUNCTION("""COMPUTED_VALUE"""),231)</f>
        <v>231</v>
      </c>
      <c r="I232" t="str">
        <v>AEE</v>
      </c>
    </row>
    <row r="233" spans="1:9" ht="12.75">
      <c r="A233" t="str">
        <f ca="1">IFERROR(__xludf.DUMMYFUNCTION("""COMPUTED_VALUE"""),"Porto Nacional")</f>
        <v>Porto Nacional</v>
      </c>
      <c r="B233" t="str">
        <f ca="1">IFERROR(__xludf.DUMMYFUNCTION("""COMPUTED_VALUE"""),"Porto Nacional")</f>
        <v>Porto Nacional</v>
      </c>
      <c r="C233" t="str">
        <f ca="1">IFERROR(__xludf.DUMMYFUNCTION("""COMPUTED_VALUE"""),"A.A. ESC. EST. DR.PEDRO LUDOVICO TEIXEIRA")</f>
        <v>A.A. ESC. EST. DR.PEDRO LUDOVICO TEIXEIRA</v>
      </c>
      <c r="D233" t="str">
        <f ca="1">IFERROR(__xludf.DUMMYFUNCTION("""COMPUTED_VALUE"""),"01135997000150")</f>
        <v>01135997000150</v>
      </c>
      <c r="E233" t="str">
        <f ca="1">IFERROR(__xludf.DUMMYFUNCTION("""COMPUTED_VALUE"""),"104")</f>
        <v>104</v>
      </c>
      <c r="F233" t="str">
        <f ca="1">IFERROR(__xludf.DUMMYFUNCTION("""COMPUTED_VALUE"""),"1829")</f>
        <v>1829</v>
      </c>
      <c r="G233" t="str">
        <f ca="1">IFERROR(__xludf.DUMMYFUNCTION("""COMPUTED_VALUE"""),"305949")</f>
        <v>305949</v>
      </c>
      <c r="H233" s="7">
        <f ca="1">IFERROR(__xludf.DUMMYFUNCTION("""COMPUTED_VALUE"""),882)</f>
        <v>882</v>
      </c>
      <c r="I233" t="str">
        <v>AEE</v>
      </c>
    </row>
    <row r="234" spans="1:9" ht="12.75">
      <c r="A234" t="str">
        <f ca="1">IFERROR(__xludf.DUMMYFUNCTION("""COMPUTED_VALUE"""),"Porto Nacional")</f>
        <v>Porto Nacional</v>
      </c>
      <c r="B234" t="str">
        <f ca="1">IFERROR(__xludf.DUMMYFUNCTION("""COMPUTED_VALUE"""),"Porto Nacional")</f>
        <v>Porto Nacional</v>
      </c>
      <c r="C234" t="str">
        <f ca="1">IFERROR(__xludf.DUMMYFUNCTION("""COMPUTED_VALUE"""),"A. ESCOL.COM. ESC. EST. MAL.ARTUR C.E SILVA")</f>
        <v>A. ESCOL.COM. ESC. EST. MAL.ARTUR C.E SILVA</v>
      </c>
      <c r="D234" t="str">
        <f ca="1">IFERROR(__xludf.DUMMYFUNCTION("""COMPUTED_VALUE"""),"01112763000197")</f>
        <v>01112763000197</v>
      </c>
      <c r="E234" t="str">
        <f ca="1">IFERROR(__xludf.DUMMYFUNCTION("""COMPUTED_VALUE"""),"104")</f>
        <v>104</v>
      </c>
      <c r="F234" t="str">
        <f ca="1">IFERROR(__xludf.DUMMYFUNCTION("""COMPUTED_VALUE"""),"1829")</f>
        <v>1829</v>
      </c>
      <c r="G234" t="str">
        <f ca="1">IFERROR(__xludf.DUMMYFUNCTION("""COMPUTED_VALUE"""),"307364")</f>
        <v>307364</v>
      </c>
      <c r="H234" s="7">
        <f ca="1">IFERROR(__xludf.DUMMYFUNCTION("""COMPUTED_VALUE"""),357)</f>
        <v>357</v>
      </c>
      <c r="I234" t="str">
        <v>AEE</v>
      </c>
    </row>
    <row r="235" spans="1:9" ht="12.75">
      <c r="A235" t="str">
        <f ca="1">IFERROR(__xludf.DUMMYFUNCTION("""COMPUTED_VALUE"""),"Porto Nacional")</f>
        <v>Porto Nacional</v>
      </c>
      <c r="B235" t="str">
        <f ca="1">IFERROR(__xludf.DUMMYFUNCTION("""COMPUTED_VALUE"""),"Porto Nacional")</f>
        <v>Porto Nacional</v>
      </c>
      <c r="C235" t="str">
        <f ca="1">IFERROR(__xludf.DUMMYFUNCTION("""COMPUTED_VALUE"""),"ASSOC.P.A.DOS EXCEP. DE PORTO NACIONAL")</f>
        <v>ASSOC.P.A.DOS EXCEP. DE PORTO NACIONAL</v>
      </c>
      <c r="D235" t="str">
        <f ca="1">IFERROR(__xludf.DUMMYFUNCTION("""COMPUTED_VALUE"""),"26752113000137")</f>
        <v>26752113000137</v>
      </c>
      <c r="E235" t="str">
        <f ca="1">IFERROR(__xludf.DUMMYFUNCTION("""COMPUTED_VALUE"""),"001")</f>
        <v>001</v>
      </c>
      <c r="F235" t="str">
        <f ca="1">IFERROR(__xludf.DUMMYFUNCTION("""COMPUTED_VALUE"""),"1117")</f>
        <v>1117</v>
      </c>
      <c r="G235" t="str">
        <f ca="1">IFERROR(__xludf.DUMMYFUNCTION("""COMPUTED_VALUE"""),"86657")</f>
        <v>86657</v>
      </c>
      <c r="H235" s="7">
        <f ca="1">IFERROR(__xludf.DUMMYFUNCTION("""COMPUTED_VALUE"""),357)</f>
        <v>357</v>
      </c>
      <c r="I235" t="str">
        <v>AEE</v>
      </c>
    </row>
    <row r="236" spans="1:9" ht="12.75">
      <c r="A236" t="str">
        <f ca="1">IFERROR(__xludf.DUMMYFUNCTION("""COMPUTED_VALUE"""),"Porto Nacional")</f>
        <v>Porto Nacional</v>
      </c>
      <c r="B236" t="str">
        <f ca="1">IFERROR(__xludf.DUMMYFUNCTION("""COMPUTED_VALUE"""),"Porto Nacional")</f>
        <v>Porto Nacional</v>
      </c>
      <c r="C236" t="str">
        <f ca="1">IFERROR(__xludf.DUMMYFUNCTION("""COMPUTED_VALUE"""),"A.A.  ESCOLA ESTADUAL ALFREDO NASSER")</f>
        <v>A.A.  ESCOLA ESTADUAL ALFREDO NASSER</v>
      </c>
      <c r="D236" t="str">
        <f ca="1">IFERROR(__xludf.DUMMYFUNCTION("""COMPUTED_VALUE"""),"01251862000150")</f>
        <v>01251862000150</v>
      </c>
      <c r="E236" t="str">
        <f ca="1">IFERROR(__xludf.DUMMYFUNCTION("""COMPUTED_VALUE"""),"104")</f>
        <v>104</v>
      </c>
      <c r="F236" t="str">
        <f ca="1">IFERROR(__xludf.DUMMYFUNCTION("""COMPUTED_VALUE"""),"1829")</f>
        <v>1829</v>
      </c>
      <c r="G236" t="str">
        <f ca="1">IFERROR(__xludf.DUMMYFUNCTION("""COMPUTED_VALUE"""),"307410")</f>
        <v>307410</v>
      </c>
      <c r="H236" s="7">
        <f ca="1">IFERROR(__xludf.DUMMYFUNCTION("""COMPUTED_VALUE"""),168)</f>
        <v>168</v>
      </c>
      <c r="I236" t="str">
        <v>AEE</v>
      </c>
    </row>
    <row r="237" spans="1:9" ht="12.75">
      <c r="A237" t="str">
        <f ca="1">IFERROR(__xludf.DUMMYFUNCTION("""COMPUTED_VALUE"""),"Porto Nacional")</f>
        <v>Porto Nacional</v>
      </c>
      <c r="B237" t="str">
        <f ca="1">IFERROR(__xludf.DUMMYFUNCTION("""COMPUTED_VALUE"""),"Porto Nacional")</f>
        <v>Porto Nacional</v>
      </c>
      <c r="C237" t="str">
        <f ca="1">IFERROR(__xludf.DUMMYFUNCTION("""COMPUTED_VALUE"""),"A. ESC. COM./ESC. EST. D.DOMINGOS CARREROT")</f>
        <v>A. ESC. COM./ESC. EST. D.DOMINGOS CARREROT</v>
      </c>
      <c r="D237" t="str">
        <f ca="1">IFERROR(__xludf.DUMMYFUNCTION("""COMPUTED_VALUE"""),"00900197000115")</f>
        <v>00900197000115</v>
      </c>
      <c r="E237" t="str">
        <f ca="1">IFERROR(__xludf.DUMMYFUNCTION("""COMPUTED_VALUE"""),"104")</f>
        <v>104</v>
      </c>
      <c r="F237" t="str">
        <f ca="1">IFERROR(__xludf.DUMMYFUNCTION("""COMPUTED_VALUE"""),"1829")</f>
        <v>1829</v>
      </c>
      <c r="G237" t="str">
        <f ca="1">IFERROR(__xludf.DUMMYFUNCTION("""COMPUTED_VALUE"""),"305914")</f>
        <v>305914</v>
      </c>
      <c r="H237" s="7">
        <f ca="1">IFERROR(__xludf.DUMMYFUNCTION("""COMPUTED_VALUE"""),336)</f>
        <v>336</v>
      </c>
      <c r="I237" t="str">
        <v>AEE</v>
      </c>
    </row>
    <row r="238" spans="1:9" ht="12.75">
      <c r="A238" t="str">
        <f ca="1">IFERROR(__xludf.DUMMYFUNCTION("""COMPUTED_VALUE"""),"Porto Nacional")</f>
        <v>Porto Nacional</v>
      </c>
      <c r="B238" t="str">
        <f ca="1">IFERROR(__xludf.DUMMYFUNCTION("""COMPUTED_VALUE"""),"Porto Nacional")</f>
        <v>Porto Nacional</v>
      </c>
      <c r="C238" t="str">
        <f ca="1">IFERROR(__xludf.DUMMYFUNCTION("""COMPUTED_VALUE"""),"A.A.  A ESCOLA D. PEDRO II")</f>
        <v>A.A.  A ESCOLA D. PEDRO II</v>
      </c>
      <c r="D238" t="str">
        <f ca="1">IFERROR(__xludf.DUMMYFUNCTION("""COMPUTED_VALUE"""),"01133697000131")</f>
        <v>01133697000131</v>
      </c>
      <c r="E238" t="str">
        <f ca="1">IFERROR(__xludf.DUMMYFUNCTION("""COMPUTED_VALUE"""),"001")</f>
        <v>001</v>
      </c>
      <c r="F238" t="str">
        <f ca="1">IFERROR(__xludf.DUMMYFUNCTION("""COMPUTED_VALUE"""),"1117")</f>
        <v>1117</v>
      </c>
      <c r="G238" t="str">
        <f ca="1">IFERROR(__xludf.DUMMYFUNCTION("""COMPUTED_VALUE"""),"0313092")</f>
        <v>0313092</v>
      </c>
      <c r="H238" s="7">
        <f ca="1">IFERROR(__xludf.DUMMYFUNCTION("""COMPUTED_VALUE"""),336)</f>
        <v>336</v>
      </c>
      <c r="I238" t="str">
        <v>AEE</v>
      </c>
    </row>
    <row r="239" spans="1:9" ht="12.75">
      <c r="A239" t="str">
        <f ca="1">IFERROR(__xludf.DUMMYFUNCTION("""COMPUTED_VALUE"""),"Porto Nacional")</f>
        <v>Porto Nacional</v>
      </c>
      <c r="B239" t="str">
        <f ca="1">IFERROR(__xludf.DUMMYFUNCTION("""COMPUTED_VALUE"""),"Porto Nacional")</f>
        <v>Porto Nacional</v>
      </c>
      <c r="C239" t="str">
        <f ca="1">IFERROR(__xludf.DUMMYFUNCTION("""COMPUTED_VALUE"""),"A.A. ESCOLA ESTADUAL IRMA ASPASIA")</f>
        <v>A.A. ESCOLA ESTADUAL IRMA ASPASIA</v>
      </c>
      <c r="D239" t="str">
        <f ca="1">IFERROR(__xludf.DUMMYFUNCTION("""COMPUTED_VALUE"""),"01136022000146")</f>
        <v>01136022000146</v>
      </c>
      <c r="E239" t="str">
        <f ca="1">IFERROR(__xludf.DUMMYFUNCTION("""COMPUTED_VALUE"""),"104")</f>
        <v>104</v>
      </c>
      <c r="F239" t="str">
        <f ca="1">IFERROR(__xludf.DUMMYFUNCTION("""COMPUTED_VALUE"""),"1829")</f>
        <v>1829</v>
      </c>
      <c r="G239" t="str">
        <f ca="1">IFERROR(__xludf.DUMMYFUNCTION("""COMPUTED_VALUE"""),"307453")</f>
        <v>307453</v>
      </c>
      <c r="H239" s="7">
        <f ca="1">IFERROR(__xludf.DUMMYFUNCTION("""COMPUTED_VALUE"""),315)</f>
        <v>315</v>
      </c>
      <c r="I239" t="str">
        <v>AEE</v>
      </c>
    </row>
    <row r="240" spans="1:9" ht="12.75">
      <c r="A240" t="str">
        <f ca="1">IFERROR(__xludf.DUMMYFUNCTION("""COMPUTED_VALUE"""),"Porto Nacional")</f>
        <v>Porto Nacional</v>
      </c>
      <c r="B240" t="str">
        <f ca="1">IFERROR(__xludf.DUMMYFUNCTION("""COMPUTED_VALUE"""),"Porto Nacional")</f>
        <v>Porto Nacional</v>
      </c>
      <c r="C240" t="str">
        <f ca="1">IFERROR(__xludf.DUMMYFUNCTION("""COMPUTED_VALUE"""),"A.A. DA ESC. EST. ALCIDES RODRIGUES AIRES")</f>
        <v>A.A. DA ESC. EST. ALCIDES RODRIGUES AIRES</v>
      </c>
      <c r="D240" t="str">
        <f ca="1">IFERROR(__xludf.DUMMYFUNCTION("""COMPUTED_VALUE"""),"03495455000113")</f>
        <v>03495455000113</v>
      </c>
      <c r="E240" t="str">
        <f ca="1">IFERROR(__xludf.DUMMYFUNCTION("""COMPUTED_VALUE"""),"001")</f>
        <v>001</v>
      </c>
      <c r="F240" t="str">
        <f ca="1">IFERROR(__xludf.DUMMYFUNCTION("""COMPUTED_VALUE"""),"1117")</f>
        <v>1117</v>
      </c>
      <c r="G240" t="str">
        <f ca="1">IFERROR(__xludf.DUMMYFUNCTION("""COMPUTED_VALUE"""),"77143")</f>
        <v>77143</v>
      </c>
      <c r="H240" s="7">
        <f ca="1">IFERROR(__xludf.DUMMYFUNCTION("""COMPUTED_VALUE"""),483)</f>
        <v>483</v>
      </c>
      <c r="I240" t="str">
        <v>AEE</v>
      </c>
    </row>
    <row r="241" spans="1:9" ht="12.75">
      <c r="A241" t="str">
        <f ca="1">IFERROR(__xludf.DUMMYFUNCTION("""COMPUTED_VALUE"""),"Porto Nacional")</f>
        <v>Porto Nacional</v>
      </c>
      <c r="B241" t="str">
        <f ca="1">IFERROR(__xludf.DUMMYFUNCTION("""COMPUTED_VALUE"""),"Porto Nacional")</f>
        <v>Porto Nacional</v>
      </c>
      <c r="C241" t="str">
        <f ca="1">IFERROR(__xludf.DUMMYFUNCTION("""COMPUTED_VALUE"""),"A.A. E. E. PROFA. CARMENIA MATOS MAIA")</f>
        <v>A.A. E. E. PROFA. CARMENIA MATOS MAIA</v>
      </c>
      <c r="D241" t="str">
        <f ca="1">IFERROR(__xludf.DUMMYFUNCTION("""COMPUTED_VALUE"""),"01118897000115")</f>
        <v>01118897000115</v>
      </c>
      <c r="E241" t="str">
        <f ca="1">IFERROR(__xludf.DUMMYFUNCTION("""COMPUTED_VALUE"""),"104")</f>
        <v>104</v>
      </c>
      <c r="F241" t="str">
        <f ca="1">IFERROR(__xludf.DUMMYFUNCTION("""COMPUTED_VALUE"""),"1829")</f>
        <v>1829</v>
      </c>
      <c r="G241" t="str">
        <f ca="1">IFERROR(__xludf.DUMMYFUNCTION("""COMPUTED_VALUE"""),"307399")</f>
        <v>307399</v>
      </c>
      <c r="H241" s="7">
        <f ca="1">IFERROR(__xludf.DUMMYFUNCTION("""COMPUTED_VALUE"""),630)</f>
        <v>630</v>
      </c>
      <c r="I241" t="str">
        <v>AEE</v>
      </c>
    </row>
    <row r="242" spans="1:9" ht="12.75">
      <c r="A242" t="str">
        <f ca="1">IFERROR(__xludf.DUMMYFUNCTION("""COMPUTED_VALUE"""),"Porto Nacional")</f>
        <v>Porto Nacional</v>
      </c>
      <c r="B242" t="str">
        <f ca="1">IFERROR(__xludf.DUMMYFUNCTION("""COMPUTED_VALUE"""),"Santa Rosa do Tocantins")</f>
        <v>Santa Rosa do Tocantins</v>
      </c>
      <c r="C242" t="str">
        <f ca="1">IFERROR(__xludf.DUMMYFUNCTION("""COMPUTED_VALUE"""),"A.A. E. E.PROF.ZACHARIAS NUNES DA SILVEIRA")</f>
        <v>A.A. E. E.PROF.ZACHARIAS NUNES DA SILVEIRA</v>
      </c>
      <c r="D242" t="str">
        <f ca="1">IFERROR(__xludf.DUMMYFUNCTION("""COMPUTED_VALUE"""),"01066420000133")</f>
        <v>01066420000133</v>
      </c>
      <c r="E242" t="str">
        <f ca="1">IFERROR(__xludf.DUMMYFUNCTION("""COMPUTED_VALUE"""),"104")</f>
        <v>104</v>
      </c>
      <c r="F242" t="str">
        <f ca="1">IFERROR(__xludf.DUMMYFUNCTION("""COMPUTED_VALUE"""),"1829")</f>
        <v>1829</v>
      </c>
      <c r="G242" t="str">
        <f ca="1">IFERROR(__xludf.DUMMYFUNCTION("""COMPUTED_VALUE"""),"0307461")</f>
        <v>0307461</v>
      </c>
      <c r="H242" s="7">
        <f ca="1">IFERROR(__xludf.DUMMYFUNCTION("""COMPUTED_VALUE"""),231)</f>
        <v>231</v>
      </c>
      <c r="I242" t="str">
        <v>AEE</v>
      </c>
    </row>
    <row r="243" spans="1:9" ht="12.75">
      <c r="A243" t="str">
        <f ca="1">IFERROR(__xludf.DUMMYFUNCTION("""COMPUTED_VALUE"""),"Tocantinópolis")</f>
        <v>Tocantinópolis</v>
      </c>
      <c r="B243" t="str">
        <f ca="1">IFERROR(__xludf.DUMMYFUNCTION("""COMPUTED_VALUE"""),"Angico")</f>
        <v>Angico</v>
      </c>
      <c r="C243" t="str">
        <f ca="1">IFERROR(__xludf.DUMMYFUNCTION("""COMPUTED_VALUE"""),"ASSOCIAÇÃO DE APOIO DO COL. EST. DULCE COELHO DE SOUSA")</f>
        <v>ASSOCIAÇÃO DE APOIO DO COL. EST. DULCE COELHO DE SOUSA</v>
      </c>
      <c r="D243" t="str">
        <f ca="1">IFERROR(__xludf.DUMMYFUNCTION("""COMPUTED_VALUE"""),"10800992000195")</f>
        <v>10800992000195</v>
      </c>
      <c r="E243" t="str">
        <f ca="1">IFERROR(__xludf.DUMMYFUNCTION("""COMPUTED_VALUE"""),"001")</f>
        <v>001</v>
      </c>
      <c r="F243" t="str">
        <f ca="1">IFERROR(__xludf.DUMMYFUNCTION("""COMPUTED_VALUE"""),"3973")</f>
        <v>3973</v>
      </c>
      <c r="G243" t="str">
        <f ca="1">IFERROR(__xludf.DUMMYFUNCTION("""COMPUTED_VALUE"""),"212792")</f>
        <v>212792</v>
      </c>
      <c r="H243" s="7">
        <f ca="1">IFERROR(__xludf.DUMMYFUNCTION("""COMPUTED_VALUE"""),504)</f>
        <v>504</v>
      </c>
      <c r="I243" t="str">
        <v>AEE</v>
      </c>
    </row>
    <row r="244" spans="1:9" ht="12.75">
      <c r="A244" t="str">
        <f ca="1">IFERROR(__xludf.DUMMYFUNCTION("""COMPUTED_VALUE"""),"Tocantinópolis")</f>
        <v>Tocantinópolis</v>
      </c>
      <c r="B244" t="str">
        <f ca="1">IFERROR(__xludf.DUMMYFUNCTION("""COMPUTED_VALUE"""),"Cachoeirinha")</f>
        <v>Cachoeirinha</v>
      </c>
      <c r="C244" t="str">
        <f ca="1">IFERROR(__xludf.DUMMYFUNCTION("""COMPUTED_VALUE"""),"A.A. E. EST. NOVA DA CACHOEIRINHA/RAIMUNDO NONATO TORRES")</f>
        <v>A.A. E. EST. NOVA DA CACHOEIRINHA/RAIMUNDO NONATO TORRES</v>
      </c>
      <c r="D244" t="str">
        <f ca="1">IFERROR(__xludf.DUMMYFUNCTION("""COMPUTED_VALUE"""),"01213535000103")</f>
        <v>01213535000103</v>
      </c>
      <c r="E244" t="str">
        <f ca="1">IFERROR(__xludf.DUMMYFUNCTION("""COMPUTED_VALUE"""),"001")</f>
        <v>001</v>
      </c>
      <c r="F244" t="str">
        <f ca="1">IFERROR(__xludf.DUMMYFUNCTION("""COMPUTED_VALUE"""),"0810")</f>
        <v>0810</v>
      </c>
      <c r="G244" t="str">
        <f ca="1">IFERROR(__xludf.DUMMYFUNCTION("""COMPUTED_VALUE"""),"0217689")</f>
        <v>0217689</v>
      </c>
      <c r="H244" s="7">
        <f ca="1">IFERROR(__xludf.DUMMYFUNCTION("""COMPUTED_VALUE"""),252)</f>
        <v>252</v>
      </c>
      <c r="I244" t="str">
        <v>AEE</v>
      </c>
    </row>
    <row r="245" spans="1:9" ht="12.75">
      <c r="A245" t="str">
        <f ca="1">IFERROR(__xludf.DUMMYFUNCTION("""COMPUTED_VALUE"""),"Tocantinópolis")</f>
        <v>Tocantinópolis</v>
      </c>
      <c r="B245" t="str">
        <f ca="1">IFERROR(__xludf.DUMMYFUNCTION("""COMPUTED_VALUE"""),"darcinopolis")</f>
        <v>darcinopolis</v>
      </c>
      <c r="C245" t="str">
        <f ca="1">IFERROR(__xludf.DUMMYFUNCTION("""COMPUTED_VALUE"""),"A. APOIO COL. EST. JOSE DE SOUZA PORTO")</f>
        <v>A. APOIO COL. EST. JOSE DE SOUZA PORTO</v>
      </c>
      <c r="D245" t="str">
        <f ca="1">IFERROR(__xludf.DUMMYFUNCTION("""COMPUTED_VALUE"""),"01213532000170")</f>
        <v>01213532000170</v>
      </c>
      <c r="E245" t="str">
        <f ca="1">IFERROR(__xludf.DUMMYFUNCTION("""COMPUTED_VALUE"""),"001")</f>
        <v>001</v>
      </c>
      <c r="F245" t="str">
        <f ca="1">IFERROR(__xludf.DUMMYFUNCTION("""COMPUTED_VALUE"""),"0810")</f>
        <v>0810</v>
      </c>
      <c r="G245" t="str">
        <f ca="1">IFERROR(__xludf.DUMMYFUNCTION("""COMPUTED_VALUE"""),"25739")</f>
        <v>25739</v>
      </c>
      <c r="H245" s="7">
        <f ca="1">IFERROR(__xludf.DUMMYFUNCTION("""COMPUTED_VALUE"""),525)</f>
        <v>525</v>
      </c>
      <c r="I245" t="str">
        <v>AEE</v>
      </c>
    </row>
    <row r="246" spans="1:9" ht="12.75">
      <c r="A246" t="str">
        <f ca="1">IFERROR(__xludf.DUMMYFUNCTION("""COMPUTED_VALUE"""),"Tocantinópolis")</f>
        <v>Tocantinópolis</v>
      </c>
      <c r="B246" t="str">
        <f ca="1">IFERROR(__xludf.DUMMYFUNCTION("""COMPUTED_VALUE"""),"Nazare")</f>
        <v>Nazare</v>
      </c>
      <c r="C246" t="str">
        <f ca="1">IFERROR(__xludf.DUMMYFUNCTION("""COMPUTED_VALUE"""),"A.DO COLEGIO EST.PRES.CASTELO BRANCO")</f>
        <v>A.DO COLEGIO EST.PRES.CASTELO BRANCO</v>
      </c>
      <c r="D246" t="str">
        <f ca="1">IFERROR(__xludf.DUMMYFUNCTION("""COMPUTED_VALUE"""),"01213522000134")</f>
        <v>01213522000134</v>
      </c>
      <c r="E246" t="str">
        <f ca="1">IFERROR(__xludf.DUMMYFUNCTION("""COMPUTED_VALUE"""),"001")</f>
        <v>001</v>
      </c>
      <c r="F246" t="str">
        <f ca="1">IFERROR(__xludf.DUMMYFUNCTION("""COMPUTED_VALUE"""),"0810")</f>
        <v>0810</v>
      </c>
      <c r="G246" t="str">
        <f ca="1">IFERROR(__xludf.DUMMYFUNCTION("""COMPUTED_VALUE"""),"217859")</f>
        <v>217859</v>
      </c>
      <c r="H246" s="7">
        <f ca="1">IFERROR(__xludf.DUMMYFUNCTION("""COMPUTED_VALUE"""),462)</f>
        <v>462</v>
      </c>
      <c r="I246" t="str">
        <v>AEE</v>
      </c>
    </row>
    <row r="247" spans="1:9" ht="12.75">
      <c r="A247" t="str">
        <f ca="1">IFERROR(__xludf.DUMMYFUNCTION("""COMPUTED_VALUE"""),"Tocantinópolis")</f>
        <v>Tocantinópolis</v>
      </c>
      <c r="B247" t="str">
        <f ca="1">IFERROR(__xludf.DUMMYFUNCTION("""COMPUTED_VALUE"""),"Palmeiras do Tocantins")</f>
        <v>Palmeiras do Tocantins</v>
      </c>
      <c r="C247" t="str">
        <f ca="1">IFERROR(__xludf.DUMMYFUNCTION("""COMPUTED_VALUE"""),"A.A. ESC. EST. RAIMUNDO NEIVA DE CARVALHO")</f>
        <v>A.A. ESC. EST. RAIMUNDO NEIVA DE CARVALHO</v>
      </c>
      <c r="D247" t="str">
        <f ca="1">IFERROR(__xludf.DUMMYFUNCTION("""COMPUTED_VALUE"""),"01213533000114")</f>
        <v>01213533000114</v>
      </c>
      <c r="E247" t="str">
        <f ca="1">IFERROR(__xludf.DUMMYFUNCTION("""COMPUTED_VALUE"""),"001")</f>
        <v>001</v>
      </c>
      <c r="F247" t="str">
        <f ca="1">IFERROR(__xludf.DUMMYFUNCTION("""COMPUTED_VALUE"""),"0810")</f>
        <v>0810</v>
      </c>
      <c r="G247" t="str">
        <f ca="1">IFERROR(__xludf.DUMMYFUNCTION("""COMPUTED_VALUE"""),"0027529")</f>
        <v>0027529</v>
      </c>
      <c r="H247" s="7">
        <f ca="1">IFERROR(__xludf.DUMMYFUNCTION("""COMPUTED_VALUE"""),336)</f>
        <v>336</v>
      </c>
      <c r="I247" t="str">
        <v>AEE</v>
      </c>
    </row>
    <row r="248" spans="1:9" ht="12.75">
      <c r="A248" t="str">
        <f ca="1">IFERROR(__xludf.DUMMYFUNCTION("""COMPUTED_VALUE"""),"Tocantinópolis")</f>
        <v>Tocantinópolis</v>
      </c>
      <c r="B248" t="str">
        <f ca="1">IFERROR(__xludf.DUMMYFUNCTION("""COMPUTED_VALUE"""),"Palmeiras do Tocantins")</f>
        <v>Palmeiras do Tocantins</v>
      </c>
      <c r="C248" t="str">
        <f ca="1">IFERROR(__xludf.DUMMYFUNCTION("""COMPUTED_VALUE"""),"A. DE APOIO DA E. E. PE. CESARE LELLI")</f>
        <v>A. DE APOIO DA E. E. PE. CESARE LELLI</v>
      </c>
      <c r="D248" t="str">
        <f ca="1">IFERROR(__xludf.DUMMYFUNCTION("""COMPUTED_VALUE"""),"03778873000118")</f>
        <v>03778873000118</v>
      </c>
      <c r="E248" t="str">
        <f ca="1">IFERROR(__xludf.DUMMYFUNCTION("""COMPUTED_VALUE"""),"001")</f>
        <v>001</v>
      </c>
      <c r="F248" t="str">
        <f ca="1">IFERROR(__xludf.DUMMYFUNCTION("""COMPUTED_VALUE"""),"0810")</f>
        <v>0810</v>
      </c>
      <c r="G248" t="str">
        <f ca="1">IFERROR(__xludf.DUMMYFUNCTION("""COMPUTED_VALUE"""),"82007")</f>
        <v>82007</v>
      </c>
      <c r="H248" s="7">
        <f ca="1">IFERROR(__xludf.DUMMYFUNCTION("""COMPUTED_VALUE"""),483)</f>
        <v>483</v>
      </c>
      <c r="I248" t="str">
        <v>AEE</v>
      </c>
    </row>
    <row r="249" spans="1:9" ht="12.75">
      <c r="A249" t="str">
        <f ca="1">IFERROR(__xludf.DUMMYFUNCTION("""COMPUTED_VALUE"""),"Tocantinópolis")</f>
        <v>Tocantinópolis</v>
      </c>
      <c r="B249" t="str">
        <f ca="1">IFERROR(__xludf.DUMMYFUNCTION("""COMPUTED_VALUE"""),"Tocantinopolis")</f>
        <v>Tocantinopolis</v>
      </c>
      <c r="C249" t="str">
        <f ca="1">IFERROR(__xludf.DUMMYFUNCTION("""COMPUTED_VALUE"""),"ASSOC.PAIS E MESTRES COL. EST. DEP.DARCY MARINHO")</f>
        <v>ASSOC.PAIS E MESTRES COL. EST. DEP.DARCY MARINHO</v>
      </c>
      <c r="D249" t="str">
        <f ca="1">IFERROR(__xludf.DUMMYFUNCTION("""COMPUTED_VALUE"""),"01230236000187")</f>
        <v>01230236000187</v>
      </c>
      <c r="E249" t="str">
        <f ca="1">IFERROR(__xludf.DUMMYFUNCTION("""COMPUTED_VALUE"""),"001")</f>
        <v>001</v>
      </c>
      <c r="F249" t="str">
        <f ca="1">IFERROR(__xludf.DUMMYFUNCTION("""COMPUTED_VALUE"""),"0810")</f>
        <v>0810</v>
      </c>
      <c r="G249" t="str">
        <f ca="1">IFERROR(__xludf.DUMMYFUNCTION("""COMPUTED_VALUE"""),"297410")</f>
        <v>297410</v>
      </c>
      <c r="H249" s="7">
        <f ca="1">IFERROR(__xludf.DUMMYFUNCTION("""COMPUTED_VALUE"""),504)</f>
        <v>504</v>
      </c>
      <c r="I249" t="str">
        <v>AEE</v>
      </c>
    </row>
    <row r="250" spans="1:9" ht="12.75">
      <c r="A250" t="str">
        <f ca="1">IFERROR(__xludf.DUMMYFUNCTION("""COMPUTED_VALUE"""),"Tocantinópolis")</f>
        <v>Tocantinópolis</v>
      </c>
      <c r="B250" t="str">
        <f ca="1">IFERROR(__xludf.DUMMYFUNCTION("""COMPUTED_VALUE"""),"Tocantinopolis")</f>
        <v>Tocantinopolis</v>
      </c>
      <c r="C250" t="str">
        <f ca="1">IFERROR(__xludf.DUMMYFUNCTION("""COMPUTED_VALUE"""),"ASSOC. APOIO AO COLÉGIODOM ORIONE")</f>
        <v>ASSOC. APOIO AO COLÉGIODOM ORIONE</v>
      </c>
      <c r="D250" t="str">
        <f ca="1">IFERROR(__xludf.DUMMYFUNCTION("""COMPUTED_VALUE"""),"13033002000129")</f>
        <v>13033002000129</v>
      </c>
      <c r="E250" t="str">
        <f ca="1">IFERROR(__xludf.DUMMYFUNCTION("""COMPUTED_VALUE"""),"001")</f>
        <v>001</v>
      </c>
      <c r="F250" t="str">
        <f ca="1">IFERROR(__xludf.DUMMYFUNCTION("""COMPUTED_VALUE"""),"0810")</f>
        <v>0810</v>
      </c>
      <c r="G250" t="str">
        <f ca="1">IFERROR(__xludf.DUMMYFUNCTION("""COMPUTED_VALUE"""),"254193")</f>
        <v>254193</v>
      </c>
      <c r="H250" s="7">
        <f ca="1">IFERROR(__xludf.DUMMYFUNCTION("""COMPUTED_VALUE"""),567)</f>
        <v>567</v>
      </c>
      <c r="I250" t="str">
        <v>AEE</v>
      </c>
    </row>
    <row r="251" spans="1:9" ht="12.75">
      <c r="A251" t="str">
        <f ca="1">IFERROR(__xludf.DUMMYFUNCTION("""COMPUTED_VALUE"""),"Tocantinópolis")</f>
        <v>Tocantinópolis</v>
      </c>
      <c r="B251" t="str">
        <f ca="1">IFERROR(__xludf.DUMMYFUNCTION("""COMPUTED_VALUE"""),"Tocantinopolis")</f>
        <v>Tocantinopolis</v>
      </c>
      <c r="C251" t="str">
        <f ca="1">IFERROR(__xludf.DUMMYFUNCTION("""COMPUTED_VALUE"""),"A.A. DO COL.PADRAO/JOSÉ CARNEIRO DE BRITO")</f>
        <v>A.A. DO COL.PADRAO/JOSÉ CARNEIRO DE BRITO</v>
      </c>
      <c r="D251" t="str">
        <f ca="1">IFERROR(__xludf.DUMMYFUNCTION("""COMPUTED_VALUE"""),"03880040000163")</f>
        <v>03880040000163</v>
      </c>
      <c r="E251" t="str">
        <f ca="1">IFERROR(__xludf.DUMMYFUNCTION("""COMPUTED_VALUE"""),"001")</f>
        <v>001</v>
      </c>
      <c r="F251" t="str">
        <f ca="1">IFERROR(__xludf.DUMMYFUNCTION("""COMPUTED_VALUE"""),"0810")</f>
        <v>0810</v>
      </c>
      <c r="G251" t="str">
        <f ca="1">IFERROR(__xludf.DUMMYFUNCTION("""COMPUTED_VALUE"""),"81884")</f>
        <v>81884</v>
      </c>
      <c r="H251" s="7">
        <f ca="1">IFERROR(__xludf.DUMMYFUNCTION("""COMPUTED_VALUE"""),420)</f>
        <v>420</v>
      </c>
      <c r="I251" t="str">
        <v>AEE</v>
      </c>
    </row>
    <row r="252" spans="1:9" ht="12.75">
      <c r="A252" t="str">
        <f ca="1">IFERROR(__xludf.DUMMYFUNCTION("""COMPUTED_VALUE"""),"Tocantinópolis")</f>
        <v>Tocantinópolis</v>
      </c>
      <c r="B252" t="str">
        <f ca="1">IFERROR(__xludf.DUMMYFUNCTION("""COMPUTED_VALUE"""),"Tocantinopolis")</f>
        <v>Tocantinopolis</v>
      </c>
      <c r="C252" t="str">
        <f ca="1">IFERROR(__xludf.DUMMYFUNCTION("""COMPUTED_VALUE"""),"A.A. ESC. E. E.PROF.ALDENORA A.CORREIA")</f>
        <v>A.A. ESC. E. E.PROF.ALDENORA A.CORREIA</v>
      </c>
      <c r="D252" t="str">
        <f ca="1">IFERROR(__xludf.DUMMYFUNCTION("""COMPUTED_VALUE"""),"01213527000167")</f>
        <v>01213527000167</v>
      </c>
      <c r="E252" t="str">
        <f ca="1">IFERROR(__xludf.DUMMYFUNCTION("""COMPUTED_VALUE"""),"001")</f>
        <v>001</v>
      </c>
      <c r="F252" t="str">
        <f ca="1">IFERROR(__xludf.DUMMYFUNCTION("""COMPUTED_VALUE"""),"0810")</f>
        <v>0810</v>
      </c>
      <c r="G252" t="str">
        <f ca="1">IFERROR(__xludf.DUMMYFUNCTION("""COMPUTED_VALUE"""),"58319")</f>
        <v>58319</v>
      </c>
      <c r="H252" s="7">
        <f ca="1">IFERROR(__xludf.DUMMYFUNCTION("""COMPUTED_VALUE"""),168)</f>
        <v>168</v>
      </c>
      <c r="I252" t="str">
        <v>AEE</v>
      </c>
    </row>
    <row r="253" spans="1:9" ht="12.75">
      <c r="A253" t="str">
        <f ca="1">IFERROR(__xludf.DUMMYFUNCTION("""COMPUTED_VALUE"""),"Tocantinópolis")</f>
        <v>Tocantinópolis</v>
      </c>
      <c r="B253" t="str">
        <f ca="1">IFERROR(__xludf.DUMMYFUNCTION("""COMPUTED_VALUE"""),"Tocantinopolis")</f>
        <v>Tocantinopolis</v>
      </c>
      <c r="C253" t="str">
        <f ca="1">IFERROR(__xludf.DUMMYFUNCTION("""COMPUTED_VALUE"""),"A. PAIS DA ESC. EST. XV DE NOVEMBRO")</f>
        <v>A. PAIS DA ESC. EST. XV DE NOVEMBRO</v>
      </c>
      <c r="D253" t="str">
        <f ca="1">IFERROR(__xludf.DUMMYFUNCTION("""COMPUTED_VALUE"""),"01213520000145")</f>
        <v>01213520000145</v>
      </c>
      <c r="E253" t="str">
        <f ca="1">IFERROR(__xludf.DUMMYFUNCTION("""COMPUTED_VALUE"""),"001")</f>
        <v>001</v>
      </c>
      <c r="F253" t="str">
        <f ca="1">IFERROR(__xludf.DUMMYFUNCTION("""COMPUTED_VALUE"""),"0810")</f>
        <v>0810</v>
      </c>
      <c r="G253" t="str">
        <f ca="1">IFERROR(__xludf.DUMMYFUNCTION("""COMPUTED_VALUE"""),"58238")</f>
        <v>58238</v>
      </c>
      <c r="H253" s="7">
        <f ca="1">IFERROR(__xludf.DUMMYFUNCTION("""COMPUTED_VALUE"""),399)</f>
        <v>399</v>
      </c>
      <c r="I253" t="str">
        <v>AEE</v>
      </c>
    </row>
    <row r="254" spans="1:9" ht="12.75">
      <c r="A254" t="str">
        <f ca="1">IFERROR(__xludf.DUMMYFUNCTION("""COMPUTED_VALUE"""),"Tocantinópolis")</f>
        <v>Tocantinópolis</v>
      </c>
      <c r="B254" t="str">
        <f ca="1">IFERROR(__xludf.DUMMYFUNCTION("""COMPUTED_VALUE"""),"Tocantinopolis")</f>
        <v>Tocantinopolis</v>
      </c>
      <c r="C254" t="str">
        <f ca="1">IFERROR(__xludf.DUMMYFUNCTION("""COMPUTED_VALUE"""),"A. ESCOLAR COM. PE. GIULIANO MORETTI")</f>
        <v>A. ESCOLAR COM. PE. GIULIANO MORETTI</v>
      </c>
      <c r="D254" t="str">
        <f ca="1">IFERROR(__xludf.DUMMYFUNCTION("""COMPUTED_VALUE"""),"00900202000190")</f>
        <v>00900202000190</v>
      </c>
      <c r="E254" t="str">
        <f ca="1">IFERROR(__xludf.DUMMYFUNCTION("""COMPUTED_VALUE"""),"001")</f>
        <v>001</v>
      </c>
      <c r="F254" t="str">
        <f ca="1">IFERROR(__xludf.DUMMYFUNCTION("""COMPUTED_VALUE"""),"0810")</f>
        <v>0810</v>
      </c>
      <c r="G254" t="str">
        <f ca="1">IFERROR(__xludf.DUMMYFUNCTION("""COMPUTED_VALUE"""),"217484")</f>
        <v>217484</v>
      </c>
      <c r="H254" s="7">
        <f ca="1">IFERROR(__xludf.DUMMYFUNCTION("""COMPUTED_VALUE"""),1260)</f>
        <v>1260</v>
      </c>
      <c r="I254" t="str">
        <v>AEE</v>
      </c>
    </row>
    <row r="255" spans="1:9" ht="12.75">
      <c r="A255" t="str">
        <f ca="1">IFERROR(__xludf.DUMMYFUNCTION("""COMPUTED_VALUE"""),"Tocantinópolis")</f>
        <v>Tocantinópolis</v>
      </c>
      <c r="B255" t="str">
        <f ca="1">IFERROR(__xludf.DUMMYFUNCTION("""COMPUTED_VALUE"""),"Tocantinopolis")</f>
        <v>Tocantinopolis</v>
      </c>
      <c r="C255" t="str">
        <f ca="1">IFERROR(__xludf.DUMMYFUNCTION("""COMPUTED_VALUE"""),"A. DA ESCOLA PAROQUIAL CRISTO REI")</f>
        <v>A. DA ESCOLA PAROQUIAL CRISTO REI</v>
      </c>
      <c r="D255" t="str">
        <f ca="1">IFERROR(__xludf.DUMMYFUNCTION("""COMPUTED_VALUE"""),"02026329000157")</f>
        <v>02026329000157</v>
      </c>
      <c r="E255" t="str">
        <f ca="1">IFERROR(__xludf.DUMMYFUNCTION("""COMPUTED_VALUE"""),"001")</f>
        <v>001</v>
      </c>
      <c r="F255" t="str">
        <f ca="1">IFERROR(__xludf.DUMMYFUNCTION("""COMPUTED_VALUE"""),"0810")</f>
        <v>0810</v>
      </c>
      <c r="G255" t="str">
        <f ca="1">IFERROR(__xludf.DUMMYFUNCTION("""COMPUTED_VALUE"""),"58149")</f>
        <v>58149</v>
      </c>
      <c r="H255" s="7">
        <f ca="1">IFERROR(__xludf.DUMMYFUNCTION("""COMPUTED_VALUE"""),714)</f>
        <v>714</v>
      </c>
      <c r="I255" t="str">
        <v>AEE</v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28" t="str">
        <f ca="1">IFERROR(__xludf.DUMMYFUNCTION("QUERY(REP_EST_PARC!A5:Z1000,""SELECT A,B,C,D,E,F,G,N WHERE N&gt;0 label N 'ENS MEDIO PARCIAL'"")"),"")</f>
        <v/>
      </c>
      <c r="B1" s="228" t="str">
        <f ca="1">IFERROR(__xludf.DUMMYFUNCTION("""COMPUTED_VALUE"""),"")</f>
        <v/>
      </c>
      <c r="C1" s="228" t="str">
        <f ca="1">IFERROR(__xludf.DUMMYFUNCTION("""COMPUTED_VALUE"""),"")</f>
        <v/>
      </c>
      <c r="D1" s="228" t="str">
        <f ca="1">IFERROR(__xludf.DUMMYFUNCTION("""COMPUTED_VALUE"""),"")</f>
        <v/>
      </c>
      <c r="E1" s="228" t="str">
        <f ca="1">IFERROR(__xludf.DUMMYFUNCTION("""COMPUTED_VALUE"""),"")</f>
        <v/>
      </c>
      <c r="F1" s="228" t="str">
        <f ca="1">IFERROR(__xludf.DUMMYFUNCTION("""COMPUTED_VALUE"""),"")</f>
        <v/>
      </c>
      <c r="G1" s="229" t="str">
        <f ca="1">IFERROR(__xludf.DUMMYFUNCTION("""COMPUTED_VALUE"""),"")</f>
        <v/>
      </c>
      <c r="H1" s="229" t="str">
        <f ca="1">IFERROR(__xludf.DUMMYFUNCTION("""COMPUTED_VALUE"""),"ENS MEDIO PARCIAL")</f>
        <v>ENS MEDIO PARCIAL</v>
      </c>
      <c r="I1" s="232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IFERROR(__xludf.DUMMYFUNCTION("""COMPUTED_VALUE"""),8274)</f>
        <v>8274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IFERROR(__xludf.DUMMYFUNCTION("""COMPUTED_VALUE"""),672)</f>
        <v>672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IFERROR(__xludf.DUMMYFUNCTION("""COMPUTED_VALUE"""),2310)</f>
        <v>2310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IFERROR(__xludf.DUMMYFUNCTION("""COMPUTED_VALUE"""),34440)</f>
        <v>34440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IFERROR(__xludf.DUMMYFUNCTION("""COMPUTED_VALUE"""),10668)</f>
        <v>10668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IFERROR(__xludf.DUMMYFUNCTION("""COMPUTED_VALUE"""),9177)</f>
        <v>9177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IFERROR(__xludf.DUMMYFUNCTION("""COMPUTED_VALUE"""),12516)</f>
        <v>12516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IFERROR(__xludf.DUMMYFUNCTION("""COMPUTED_VALUE"""),30849)</f>
        <v>30849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IFERROR(__xludf.DUMMYFUNCTION("""COMPUTED_VALUE"""),9639)</f>
        <v>9639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IFERROR(__xludf.DUMMYFUNCTION("""COMPUTED_VALUE"""),6237)</f>
        <v>6237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IFERROR(__xludf.DUMMYFUNCTION("""COMPUTED_VALUE"""),17976)</f>
        <v>17976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IFERROR(__xludf.DUMMYFUNCTION("""COMPUTED_VALUE"""),8883)</f>
        <v>8883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IFERROR(__xludf.DUMMYFUNCTION("""COMPUTED_VALUE"""),5964)</f>
        <v>5964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IFERROR(__xludf.DUMMYFUNCTION("""COMPUTED_VALUE"""),4746)</f>
        <v>4746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IFERROR(__xludf.DUMMYFUNCTION("""COMPUTED_VALUE"""),3696)</f>
        <v>3696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IFERROR(__xludf.DUMMYFUNCTION("""COMPUTED_VALUE"""),4557)</f>
        <v>4557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IFERROR(__xludf.DUMMYFUNCTION("""COMPUTED_VALUE"""),1071)</f>
        <v>1071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IFERROR(__xludf.DUMMYFUNCTION("""COMPUTED_VALUE"""),9786)</f>
        <v>9786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IFERROR(__xludf.DUMMYFUNCTION("""COMPUTED_VALUE"""),2163)</f>
        <v>2163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IFERROR(__xludf.DUMMYFUNCTION("""COMPUTED_VALUE"""),1512)</f>
        <v>1512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IFERROR(__xludf.DUMMYFUNCTION("""COMPUTED_VALUE"""),2667)</f>
        <v>2667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IFERROR(__xludf.DUMMYFUNCTION("""COMPUTED_VALUE"""),9660)</f>
        <v>9660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IFERROR(__xludf.DUMMYFUNCTION("""COMPUTED_VALUE"""),1827)</f>
        <v>1827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IFERROR(__xludf.DUMMYFUNCTION("""COMPUTED_VALUE"""),4494)</f>
        <v>4494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IFERROR(__xludf.DUMMYFUNCTION("""COMPUTED_VALUE"""),2037)</f>
        <v>2037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IFERROR(__xludf.DUMMYFUNCTION("""COMPUTED_VALUE"""),9723)</f>
        <v>9723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IFERROR(__xludf.DUMMYFUNCTION("""COMPUTED_VALUE"""),15708)</f>
        <v>15708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IFERROR(__xludf.DUMMYFUNCTION("""COMPUTED_VALUE"""),1743)</f>
        <v>1743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IFERROR(__xludf.DUMMYFUNCTION("""COMPUTED_VALUE"""),4032)</f>
        <v>4032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IFERROR(__xludf.DUMMYFUNCTION("""COMPUTED_VALUE"""),4788)</f>
        <v>4788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IFERROR(__xludf.DUMMYFUNCTION("""COMPUTED_VALUE"""),1659)</f>
        <v>1659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IFERROR(__xludf.DUMMYFUNCTION("""COMPUTED_VALUE"""),6048)</f>
        <v>6048</v>
      </c>
      <c r="I33" t="str">
        <v>ENS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IFERROR(__xludf.DUMMYFUNCTION("""COMPUTED_VALUE"""),9723)</f>
        <v>9723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IFERROR(__xludf.DUMMYFUNCTION("""COMPUTED_VALUE"""),7581)</f>
        <v>7581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IFERROR(__xludf.DUMMYFUNCTION("""COMPUTED_VALUE"""),693)</f>
        <v>693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IFERROR(__xludf.DUMMYFUNCTION("""COMPUTED_VALUE"""),756)</f>
        <v>756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IFERROR(__xludf.DUMMYFUNCTION("""COMPUTED_VALUE"""),12642)</f>
        <v>12642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IFERROR(__xludf.DUMMYFUNCTION("""COMPUTED_VALUE"""),1092)</f>
        <v>1092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IFERROR(__xludf.DUMMYFUNCTION("""COMPUTED_VALUE"""),651)</f>
        <v>651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IFERROR(__xludf.DUMMYFUNCTION("""COMPUTED_VALUE"""),4620)</f>
        <v>4620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IFERROR(__xludf.DUMMYFUNCTION("""COMPUTED_VALUE"""),2541)</f>
        <v>2541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IFERROR(__xludf.DUMMYFUNCTION("""COMPUTED_VALUE"""),924)</f>
        <v>924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IFERROR(__xludf.DUMMYFUNCTION("""COMPUTED_VALUE"""),3213)</f>
        <v>3213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IFERROR(__xludf.DUMMYFUNCTION("""COMPUTED_VALUE"""),12474)</f>
        <v>12474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IFERROR(__xludf.DUMMYFUNCTION("""COMPUTED_VALUE"""),903)</f>
        <v>903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IFERROR(__xludf.DUMMYFUNCTION("""COMPUTED_VALUE"""),1071)</f>
        <v>1071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IFERROR(__xludf.DUMMYFUNCTION("""COMPUTED_VALUE"""),2478)</f>
        <v>2478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IFERROR(__xludf.DUMMYFUNCTION("""COMPUTED_VALUE"""),2247)</f>
        <v>2247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IFERROR(__xludf.DUMMYFUNCTION("""COMPUTED_VALUE"""),714)</f>
        <v>714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IFERROR(__xludf.DUMMYFUNCTION("""COMPUTED_VALUE"""),4725)</f>
        <v>4725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IFERROR(__xludf.DUMMYFUNCTION("""COMPUTED_VALUE"""),4095)</f>
        <v>4095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IFERROR(__xludf.DUMMYFUNCTION("""COMPUTED_VALUE"""),6888)</f>
        <v>6888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IFERROR(__xludf.DUMMYFUNCTION("""COMPUTED_VALUE"""),4305)</f>
        <v>4305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IFERROR(__xludf.DUMMYFUNCTION("""COMPUTED_VALUE"""),4536)</f>
        <v>4536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IFERROR(__xludf.DUMMYFUNCTION("""COMPUTED_VALUE"""),1008)</f>
        <v>1008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IFERROR(__xludf.DUMMYFUNCTION("""COMPUTED_VALUE"""),4326)</f>
        <v>4326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IFERROR(__xludf.DUMMYFUNCTION("""COMPUTED_VALUE"""),5649)</f>
        <v>5649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IFERROR(__xludf.DUMMYFUNCTION("""COMPUTED_VALUE"""),3717)</f>
        <v>3717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IFERROR(__xludf.DUMMYFUNCTION("""COMPUTED_VALUE"""),6531)</f>
        <v>6531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IFERROR(__xludf.DUMMYFUNCTION("""COMPUTED_VALUE"""),1449)</f>
        <v>1449</v>
      </c>
      <c r="I61" t="str">
        <v>ENS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IFERROR(__xludf.DUMMYFUNCTION("""COMPUTED_VALUE"""),1008)</f>
        <v>1008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IFERROR(__xludf.DUMMYFUNCTION("""COMPUTED_VALUE"""),3129)</f>
        <v>3129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IFERROR(__xludf.DUMMYFUNCTION("""COMPUTED_VALUE"""),1239)</f>
        <v>1239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IFERROR(__xludf.DUMMYFUNCTION("""COMPUTED_VALUE"""),3381)</f>
        <v>3381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IFERROR(__xludf.DUMMYFUNCTION("""COMPUTED_VALUE"""),4431)</f>
        <v>4431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IFERROR(__xludf.DUMMYFUNCTION("""COMPUTED_VALUE"""),1659)</f>
        <v>1659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IFERROR(__xludf.DUMMYFUNCTION("""COMPUTED_VALUE"""),1470)</f>
        <v>1470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IFERROR(__xludf.DUMMYFUNCTION("""COMPUTED_VALUE"""),6636)</f>
        <v>6636</v>
      </c>
      <c r="I69" t="str">
        <v>ENS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IFERROR(__xludf.DUMMYFUNCTION("""COMPUTED_VALUE"""),714)</f>
        <v>714</v>
      </c>
      <c r="I70" t="str">
        <v>ENS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IFERROR(__xludf.DUMMYFUNCTION("""COMPUTED_VALUE"""),798)</f>
        <v>798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IFERROR(__xludf.DUMMYFUNCTION("""COMPUTED_VALUE"""),4746)</f>
        <v>4746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IFERROR(__xludf.DUMMYFUNCTION("""COMPUTED_VALUE"""),2919)</f>
        <v>2919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IFERROR(__xludf.DUMMYFUNCTION("""COMPUTED_VALUE"""),2919)</f>
        <v>2919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IFERROR(__xludf.DUMMYFUNCTION("""COMPUTED_VALUE"""),1176)</f>
        <v>1176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IFERROR(__xludf.DUMMYFUNCTION("""COMPUTED_VALUE"""),6426)</f>
        <v>6426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IFERROR(__xludf.DUMMYFUNCTION("""COMPUTED_VALUE"""),17892)</f>
        <v>17892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IFERROR(__xludf.DUMMYFUNCTION("""COMPUTED_VALUE"""),3612)</f>
        <v>3612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IFERROR(__xludf.DUMMYFUNCTION("""COMPUTED_VALUE"""),441)</f>
        <v>441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IFERROR(__xludf.DUMMYFUNCTION("""COMPUTED_VALUE"""),4347)</f>
        <v>4347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IFERROR(__xludf.DUMMYFUNCTION("""COMPUTED_VALUE"""),2058)</f>
        <v>2058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IFERROR(__xludf.DUMMYFUNCTION("""COMPUTED_VALUE"""),4053)</f>
        <v>4053</v>
      </c>
      <c r="I82" t="str">
        <v>ENS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IFERROR(__xludf.DUMMYFUNCTION("""COMPUTED_VALUE"""),2982)</f>
        <v>2982</v>
      </c>
      <c r="I83" t="str">
        <v>ENS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IFERROR(__xludf.DUMMYFUNCTION("""COMPUTED_VALUE"""),1554)</f>
        <v>1554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IFERROR(__xludf.DUMMYFUNCTION("""COMPUTED_VALUE"""),3906)</f>
        <v>3906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IFERROR(__xludf.DUMMYFUNCTION("""COMPUTED_VALUE"""),3927)</f>
        <v>3927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IFERROR(__xludf.DUMMYFUNCTION("""COMPUTED_VALUE"""),7371)</f>
        <v>7371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IFERROR(__xludf.DUMMYFUNCTION("""COMPUTED_VALUE"""),504)</f>
        <v>504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IFERROR(__xludf.DUMMYFUNCTION("""COMPUTED_VALUE"""),11382)</f>
        <v>11382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IFERROR(__xludf.DUMMYFUNCTION("""COMPUTED_VALUE"""),1302)</f>
        <v>1302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IFERROR(__xludf.DUMMYFUNCTION("""COMPUTED_VALUE"""),3507)</f>
        <v>3507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IFERROR(__xludf.DUMMYFUNCTION("""COMPUTED_VALUE"""),399)</f>
        <v>399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IFERROR(__xludf.DUMMYFUNCTION("""COMPUTED_VALUE"""),2541)</f>
        <v>2541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IFERROR(__xludf.DUMMYFUNCTION("""COMPUTED_VALUE"""),1365)</f>
        <v>1365</v>
      </c>
      <c r="I94" t="str">
        <v>ENS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IFERROR(__xludf.DUMMYFUNCTION("""COMPUTED_VALUE"""),7497)</f>
        <v>7497</v>
      </c>
      <c r="I95" t="str">
        <v>ENS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IFERROR(__xludf.DUMMYFUNCTION("""COMPUTED_VALUE"""),1386)</f>
        <v>1386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IFERROR(__xludf.DUMMYFUNCTION("""COMPUTED_VALUE"""),10878)</f>
        <v>10878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IFERROR(__xludf.DUMMYFUNCTION("""COMPUTED_VALUE"""),693)</f>
        <v>693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IFERROR(__xludf.DUMMYFUNCTION("""COMPUTED_VALUE"""),441)</f>
        <v>441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IFERROR(__xludf.DUMMYFUNCTION("""COMPUTED_VALUE"""),1092)</f>
        <v>1092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IFERROR(__xludf.DUMMYFUNCTION("""COMPUTED_VALUE"""),399)</f>
        <v>399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IFERROR(__xludf.DUMMYFUNCTION("""COMPUTED_VALUE"""),3990)</f>
        <v>3990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IFERROR(__xludf.DUMMYFUNCTION("""COMPUTED_VALUE"""),4368)</f>
        <v>4368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IFERROR(__xludf.DUMMYFUNCTION("""COMPUTED_VALUE"""),17052)</f>
        <v>17052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IFERROR(__xludf.DUMMYFUNCTION("""COMPUTED_VALUE"""),1617)</f>
        <v>1617</v>
      </c>
      <c r="I105" t="str">
        <v>ENS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IFERROR(__xludf.DUMMYFUNCTION("""COMPUTED_VALUE"""),3843)</f>
        <v>3843</v>
      </c>
      <c r="I106" t="str">
        <v>ENS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IFERROR(__xludf.DUMMYFUNCTION("""COMPUTED_VALUE"""),1953)</f>
        <v>1953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IFERROR(__xludf.DUMMYFUNCTION("""COMPUTED_VALUE"""),3318)</f>
        <v>3318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IFERROR(__xludf.DUMMYFUNCTION("""COMPUTED_VALUE"""),6573)</f>
        <v>6573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IFERROR(__xludf.DUMMYFUNCTION("""COMPUTED_VALUE"""),5796)</f>
        <v>5796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IFERROR(__xludf.DUMMYFUNCTION("""COMPUTED_VALUE"""),3192)</f>
        <v>3192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IFERROR(__xludf.DUMMYFUNCTION("""COMPUTED_VALUE"""),1113)</f>
        <v>1113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IFERROR(__xludf.DUMMYFUNCTION("""COMPUTED_VALUE"""),2898)</f>
        <v>2898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IFERROR(__xludf.DUMMYFUNCTION("""COMPUTED_VALUE"""),3381)</f>
        <v>3381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IFERROR(__xludf.DUMMYFUNCTION("""COMPUTED_VALUE"""),1785)</f>
        <v>1785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IFERROR(__xludf.DUMMYFUNCTION("""COMPUTED_VALUE"""),5229)</f>
        <v>5229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IFERROR(__xludf.DUMMYFUNCTION("""COMPUTED_VALUE"""),16506)</f>
        <v>16506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IFERROR(__xludf.DUMMYFUNCTION("""COMPUTED_VALUE"""),13881)</f>
        <v>13881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IFERROR(__xludf.DUMMYFUNCTION("""COMPUTED_VALUE"""),2373)</f>
        <v>2373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IFERROR(__xludf.DUMMYFUNCTION("""COMPUTED_VALUE"""),3486)</f>
        <v>3486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IFERROR(__xludf.DUMMYFUNCTION("""COMPUTED_VALUE"""),9723)</f>
        <v>9723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IFERROR(__xludf.DUMMYFUNCTION("""COMPUTED_VALUE"""),2730)</f>
        <v>2730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IFERROR(__xludf.DUMMYFUNCTION("""COMPUTED_VALUE"""),3087)</f>
        <v>3087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IFERROR(__xludf.DUMMYFUNCTION("""COMPUTED_VALUE"""),3507)</f>
        <v>3507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IFERROR(__xludf.DUMMYFUNCTION("""COMPUTED_VALUE"""),6006)</f>
        <v>6006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IFERROR(__xludf.DUMMYFUNCTION("""COMPUTED_VALUE"""),2499)</f>
        <v>2499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IFERROR(__xludf.DUMMYFUNCTION("""COMPUTED_VALUE"""),336)</f>
        <v>336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IFERROR(__xludf.DUMMYFUNCTION("""COMPUTED_VALUE"""),1071)</f>
        <v>1071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IFERROR(__xludf.DUMMYFUNCTION("""COMPUTED_VALUE"""),672)</f>
        <v>672</v>
      </c>
      <c r="I129" t="str">
        <v>ENS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IFERROR(__xludf.DUMMYFUNCTION("""COMPUTED_VALUE"""),7728)</f>
        <v>7728</v>
      </c>
      <c r="I130" t="str">
        <v>ENS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IFERROR(__xludf.DUMMYFUNCTION("""COMPUTED_VALUE"""),1344)</f>
        <v>1344</v>
      </c>
      <c r="I131" t="str">
        <v>ENS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IFERROR(__xludf.DUMMYFUNCTION("""COMPUTED_VALUE"""),1806)</f>
        <v>1806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IFERROR(__xludf.DUMMYFUNCTION("""COMPUTED_VALUE"""),4389)</f>
        <v>4389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IFERROR(__xludf.DUMMYFUNCTION("""COMPUTED_VALUE"""),3381)</f>
        <v>3381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IFERROR(__xludf.DUMMYFUNCTION("""COMPUTED_VALUE"""),525)</f>
        <v>525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IFERROR(__xludf.DUMMYFUNCTION("""COMPUTED_VALUE"""),3570)</f>
        <v>3570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IFERROR(__xludf.DUMMYFUNCTION("""COMPUTED_VALUE"""),4998)</f>
        <v>4998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IFERROR(__xludf.DUMMYFUNCTION("""COMPUTED_VALUE"""),4998)</f>
        <v>4998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IFERROR(__xludf.DUMMYFUNCTION("""COMPUTED_VALUE"""),2100)</f>
        <v>2100</v>
      </c>
      <c r="I139" t="str">
        <v>ENS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IFERROR(__xludf.DUMMYFUNCTION("""COMPUTED_VALUE"""),9996)</f>
        <v>9996</v>
      </c>
      <c r="I140" t="str">
        <v>ENS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IFERROR(__xludf.DUMMYFUNCTION("""COMPUTED_VALUE"""),2016)</f>
        <v>2016</v>
      </c>
      <c r="I141" t="str">
        <v>ENS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IFERROR(__xludf.DUMMYFUNCTION("""COMPUTED_VALUE"""),3864)</f>
        <v>3864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IFERROR(__xludf.DUMMYFUNCTION("""COMPUTED_VALUE"""),4725)</f>
        <v>4725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IFERROR(__xludf.DUMMYFUNCTION("""COMPUTED_VALUE"""),4998)</f>
        <v>4998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IFERROR(__xludf.DUMMYFUNCTION("""COMPUTED_VALUE"""),2520)</f>
        <v>2520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IFERROR(__xludf.DUMMYFUNCTION("""COMPUTED_VALUE"""),2541)</f>
        <v>2541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IFERROR(__xludf.DUMMYFUNCTION("""COMPUTED_VALUE"""),8358)</f>
        <v>8358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IFERROR(__xludf.DUMMYFUNCTION("""COMPUTED_VALUE"""),24108)</f>
        <v>24108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IFERROR(__xludf.DUMMYFUNCTION("""COMPUTED_VALUE"""),63252)</f>
        <v>63252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IFERROR(__xludf.DUMMYFUNCTION("""COMPUTED_VALUE"""),26817)</f>
        <v>26817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IFERROR(__xludf.DUMMYFUNCTION("""COMPUTED_VALUE"""),5607)</f>
        <v>5607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IFERROR(__xludf.DUMMYFUNCTION("""COMPUTED_VALUE"""),36372)</f>
        <v>36372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IFERROR(__xludf.DUMMYFUNCTION("""COMPUTED_VALUE"""),5628)</f>
        <v>5628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IFERROR(__xludf.DUMMYFUNCTION("""COMPUTED_VALUE"""),29736)</f>
        <v>29736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IFERROR(__xludf.DUMMYFUNCTION("""COMPUTED_VALUE"""),20286)</f>
        <v>20286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IFERROR(__xludf.DUMMYFUNCTION("""COMPUTED_VALUE"""),18123)</f>
        <v>18123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IFERROR(__xludf.DUMMYFUNCTION("""COMPUTED_VALUE"""),19110)</f>
        <v>19110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IFERROR(__xludf.DUMMYFUNCTION("""COMPUTED_VALUE"""),24570)</f>
        <v>24570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IFERROR(__xludf.DUMMYFUNCTION("""COMPUTED_VALUE"""),16464)</f>
        <v>16464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IFERROR(__xludf.DUMMYFUNCTION("""COMPUTED_VALUE"""),3822)</f>
        <v>3822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IFERROR(__xludf.DUMMYFUNCTION("""COMPUTED_VALUE"""),6111)</f>
        <v>6111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IFERROR(__xludf.DUMMYFUNCTION("""COMPUTED_VALUE"""),7161)</f>
        <v>7161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IFERROR(__xludf.DUMMYFUNCTION("""COMPUTED_VALUE"""),3213)</f>
        <v>3213</v>
      </c>
      <c r="I163" t="str">
        <v>ENS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IFERROR(__xludf.DUMMYFUNCTION("""COMPUTED_VALUE"""),3801)</f>
        <v>3801</v>
      </c>
      <c r="I164" t="str">
        <v>ENS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IFERROR(__xludf.DUMMYFUNCTION("""COMPUTED_VALUE"""),1029)</f>
        <v>1029</v>
      </c>
      <c r="I165" t="str">
        <v>ENS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IFERROR(__xludf.DUMMYFUNCTION("""COMPUTED_VALUE"""),2730)</f>
        <v>2730</v>
      </c>
      <c r="I166" t="str">
        <v>ENS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IFERROR(__xludf.DUMMYFUNCTION("""COMPUTED_VALUE"""),2289)</f>
        <v>2289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IFERROR(__xludf.DUMMYFUNCTION("""COMPUTED_VALUE"""),2625)</f>
        <v>2625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IFERROR(__xludf.DUMMYFUNCTION("""COMPUTED_VALUE"""),6426)</f>
        <v>6426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IFERROR(__xludf.DUMMYFUNCTION("""COMPUTED_VALUE"""),2247)</f>
        <v>2247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IFERROR(__xludf.DUMMYFUNCTION("""COMPUTED_VALUE"""),4284)</f>
        <v>4284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IFERROR(__xludf.DUMMYFUNCTION("""COMPUTED_VALUE"""),3822)</f>
        <v>3822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IFERROR(__xludf.DUMMYFUNCTION("""COMPUTED_VALUE"""),3129)</f>
        <v>3129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IFERROR(__xludf.DUMMYFUNCTION("""COMPUTED_VALUE"""),4935)</f>
        <v>4935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IFERROR(__xludf.DUMMYFUNCTION("""COMPUTED_VALUE"""),10374)</f>
        <v>10374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IFERROR(__xludf.DUMMYFUNCTION("""COMPUTED_VALUE"""),4011)</f>
        <v>4011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IFERROR(__xludf.DUMMYFUNCTION("""COMPUTED_VALUE"""),1974)</f>
        <v>1974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IFERROR(__xludf.DUMMYFUNCTION("""COMPUTED_VALUE"""),6468)</f>
        <v>6468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IFERROR(__xludf.DUMMYFUNCTION("""COMPUTED_VALUE"""),11025)</f>
        <v>11025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IFERROR(__xludf.DUMMYFUNCTION("""COMPUTED_VALUE"""),3906)</f>
        <v>3906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IFERROR(__xludf.DUMMYFUNCTION("""COMPUTED_VALUE"""),7077)</f>
        <v>7077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IFERROR(__xludf.DUMMYFUNCTION("""COMPUTED_VALUE"""),441)</f>
        <v>441</v>
      </c>
      <c r="I182" t="str">
        <v>ENS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IFERROR(__xludf.DUMMYFUNCTION("""COMPUTED_VALUE"""),2268)</f>
        <v>2268</v>
      </c>
      <c r="I183" t="str">
        <v>ENS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IFERROR(__xludf.DUMMYFUNCTION("""COMPUTED_VALUE"""),7938)</f>
        <v>7938</v>
      </c>
      <c r="I184" t="str">
        <v>ENS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IFERROR(__xludf.DUMMYFUNCTION("""COMPUTED_VALUE"""),6069)</f>
        <v>6069</v>
      </c>
      <c r="I185" t="str">
        <v>ENS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IFERROR(__xludf.DUMMYFUNCTION("""COMPUTED_VALUE"""),1890)</f>
        <v>1890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IFERROR(__xludf.DUMMYFUNCTION("""COMPUTED_VALUE"""),4221)</f>
        <v>4221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IFERROR(__xludf.DUMMYFUNCTION("""COMPUTED_VALUE"""),2310)</f>
        <v>2310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IFERROR(__xludf.DUMMYFUNCTION("""COMPUTED_VALUE"""),4473)</f>
        <v>4473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IFERROR(__xludf.DUMMYFUNCTION("""COMPUTED_VALUE"""),1050)</f>
        <v>1050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IFERROR(__xludf.DUMMYFUNCTION("""COMPUTED_VALUE"""),735)</f>
        <v>735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IFERROR(__xludf.DUMMYFUNCTION("""COMPUTED_VALUE"""),11172)</f>
        <v>11172</v>
      </c>
      <c r="I192" t="str">
        <v>ENS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IFERROR(__xludf.DUMMYFUNCTION("""COMPUTED_VALUE"""),189)</f>
        <v>189</v>
      </c>
      <c r="I193" t="str">
        <v>ENS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IFERROR(__xludf.DUMMYFUNCTION("""COMPUTED_VALUE"""),3969)</f>
        <v>3969</v>
      </c>
      <c r="I194" t="str">
        <v>ENS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IFERROR(__xludf.DUMMYFUNCTION("""COMPUTED_VALUE"""),2478)</f>
        <v>2478</v>
      </c>
      <c r="I195" t="str">
        <v>ENS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IFERROR(__xludf.DUMMYFUNCTION("""COMPUTED_VALUE"""),1218)</f>
        <v>1218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IFERROR(__xludf.DUMMYFUNCTION("""COMPUTED_VALUE"""),2772)</f>
        <v>2772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IFERROR(__xludf.DUMMYFUNCTION("""COMPUTED_VALUE"""),1512)</f>
        <v>1512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IFERROR(__xludf.DUMMYFUNCTION("""COMPUTED_VALUE"""),3108)</f>
        <v>3108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IFERROR(__xludf.DUMMYFUNCTION("""COMPUTED_VALUE"""),4914)</f>
        <v>4914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IFERROR(__xludf.DUMMYFUNCTION("""COMPUTED_VALUE"""),924)</f>
        <v>924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IFERROR(__xludf.DUMMYFUNCTION("""COMPUTED_VALUE"""),1113)</f>
        <v>1113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IFERROR(__xludf.DUMMYFUNCTION("""COMPUTED_VALUE"""),714)</f>
        <v>714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IFERROR(__xludf.DUMMYFUNCTION("""COMPUTED_VALUE"""),13524)</f>
        <v>13524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IFERROR(__xludf.DUMMYFUNCTION("""COMPUTED_VALUE"""),4956)</f>
        <v>4956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IFERROR(__xludf.DUMMYFUNCTION("""COMPUTED_VALUE"""),1470)</f>
        <v>1470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IFERROR(__xludf.DUMMYFUNCTION("""COMPUTED_VALUE"""),10290)</f>
        <v>10290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IFERROR(__xludf.DUMMYFUNCTION("""COMPUTED_VALUE"""),3024)</f>
        <v>3024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IFERROR(__xludf.DUMMYFUNCTION("""COMPUTED_VALUE"""),987)</f>
        <v>987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IFERROR(__xludf.DUMMYFUNCTION("""COMPUTED_VALUE"""),1092)</f>
        <v>1092</v>
      </c>
      <c r="I210" t="str">
        <v>ENS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IFERROR(__xludf.DUMMYFUNCTION("""COMPUTED_VALUE"""),6783)</f>
        <v>6783</v>
      </c>
      <c r="I211" t="str">
        <v>ENS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IFERROR(__xludf.DUMMYFUNCTION("""COMPUTED_VALUE"""),4410)</f>
        <v>4410</v>
      </c>
      <c r="I212" t="str">
        <v>ENS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IFERROR(__xludf.DUMMYFUNCTION("""COMPUTED_VALUE"""),3654)</f>
        <v>3654</v>
      </c>
      <c r="I213" t="str">
        <v>ENS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IFERROR(__xludf.DUMMYFUNCTION("""COMPUTED_VALUE"""),1827)</f>
        <v>1827</v>
      </c>
      <c r="I214" t="str">
        <v>ENS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IFERROR(__xludf.DUMMYFUNCTION("""COMPUTED_VALUE"""),3801)</f>
        <v>3801</v>
      </c>
      <c r="I215" t="str">
        <v>ENS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IFERROR(__xludf.DUMMYFUNCTION("""COMPUTED_VALUE"""),5019)</f>
        <v>5019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IFERROR(__xludf.DUMMYFUNCTION("""COMPUTED_VALUE"""),1470)</f>
        <v>1470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IFERROR(__xludf.DUMMYFUNCTION("""COMPUTED_VALUE"""),2772)</f>
        <v>2772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IFERROR(__xludf.DUMMYFUNCTION("""COMPUTED_VALUE"""),1911)</f>
        <v>1911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IFERROR(__xludf.DUMMYFUNCTION("""COMPUTED_VALUE"""),5292)</f>
        <v>5292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IFERROR(__xludf.DUMMYFUNCTION("""COMPUTED_VALUE"""),4452)</f>
        <v>4452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IFERROR(__xludf.DUMMYFUNCTION("""COMPUTED_VALUE"""),3486)</f>
        <v>3486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IFERROR(__xludf.DUMMYFUNCTION("""COMPUTED_VALUE"""),3276)</f>
        <v>3276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IFERROR(__xludf.DUMMYFUNCTION("""COMPUTED_VALUE"""),1890)</f>
        <v>1890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IFERROR(__xludf.DUMMYFUNCTION("""COMPUTED_VALUE"""),987)</f>
        <v>987</v>
      </c>
      <c r="I225" t="str">
        <v>ENS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IFERROR(__xludf.DUMMYFUNCTION("""COMPUTED_VALUE"""),609)</f>
        <v>609</v>
      </c>
      <c r="I226" t="str">
        <v>ENS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IFERROR(__xludf.DUMMYFUNCTION("""COMPUTED_VALUE"""),5439)</f>
        <v>5439</v>
      </c>
      <c r="I227" t="str">
        <v>ENS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IFERROR(__xludf.DUMMYFUNCTION("""COMPUTED_VALUE"""),1806)</f>
        <v>1806</v>
      </c>
      <c r="I228" t="str">
        <v>ENS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IFERROR(__xludf.DUMMYFUNCTION("""COMPUTED_VALUE"""),7917)</f>
        <v>7917</v>
      </c>
      <c r="I229" t="str">
        <v>ENS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IFERROR(__xludf.DUMMYFUNCTION("""COMPUTED_VALUE"""),5166)</f>
        <v>5166</v>
      </c>
      <c r="I230" t="str">
        <v>ENS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IFERROR(__xludf.DUMMYFUNCTION("""COMPUTED_VALUE"""),1365)</f>
        <v>1365</v>
      </c>
      <c r="I231" t="str">
        <v>ENS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28" t="str">
        <f ca="1">IFERROR(__xludf.DUMMYFUNCTION("QUERY(REP_EST_PARC!A5:Z1000,""SELECT A,B,C,D,E,F,G,O WHERE O&gt;0 label O 'EJA'"")"),"")</f>
        <v/>
      </c>
      <c r="B1" s="228" t="str">
        <f ca="1">IFERROR(__xludf.DUMMYFUNCTION("""COMPUTED_VALUE"""),"")</f>
        <v/>
      </c>
      <c r="C1" s="228" t="str">
        <f ca="1">IFERROR(__xludf.DUMMYFUNCTION("""COMPUTED_VALUE"""),"")</f>
        <v/>
      </c>
      <c r="D1" s="228" t="str">
        <f ca="1">IFERROR(__xludf.DUMMYFUNCTION("""COMPUTED_VALUE"""),"")</f>
        <v/>
      </c>
      <c r="E1" s="228" t="str">
        <f ca="1">IFERROR(__xludf.DUMMYFUNCTION("""COMPUTED_VALUE"""),"")</f>
        <v/>
      </c>
      <c r="F1" s="228" t="str">
        <f ca="1">IFERROR(__xludf.DUMMYFUNCTION("""COMPUTED_VALUE"""),"")</f>
        <v/>
      </c>
      <c r="G1" s="229" t="str">
        <f ca="1">IFERROR(__xludf.DUMMYFUNCTION("""COMPUTED_VALUE"""),"")</f>
        <v/>
      </c>
      <c r="H1" s="228" t="str">
        <f ca="1">IFERROR(__xludf.DUMMYFUNCTION("""COMPUTED_VALUE"""),"EJA")</f>
        <v>EJA</v>
      </c>
      <c r="I1" s="232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IFERROR(__xludf.DUMMYFUNCTION("""COMPUTED_VALUE"""),672)</f>
        <v>672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IFERROR(__xludf.DUMMYFUNCTION("""COMPUTED_VALUE"""),2604)</f>
        <v>2604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IFERROR(__xludf.DUMMYFUNCTION("""COMPUTED_VALUE"""),3633)</f>
        <v>3633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IFERROR(__xludf.DUMMYFUNCTION("""COMPUTED_VALUE"""),3066)</f>
        <v>3066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IFERROR(__xludf.DUMMYFUNCTION("""COMPUTED_VALUE"""),2163)</f>
        <v>2163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IFERROR(__xludf.DUMMYFUNCTION("""COMPUTED_VALUE"""),2709)</f>
        <v>2709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IFERROR(__xludf.DUMMYFUNCTION("""COMPUTED_VALUE"""),252)</f>
        <v>252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IFERROR(__xludf.DUMMYFUNCTION("""COMPUTED_VALUE"""),168)</f>
        <v>168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IFERROR(__xludf.DUMMYFUNCTION("""COMPUTED_VALUE"""),462)</f>
        <v>462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IFERROR(__xludf.DUMMYFUNCTION("""COMPUTED_VALUE"""),2184)</f>
        <v>2184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IFERROR(__xludf.DUMMYFUNCTION("""COMPUTED_VALUE"""),399)</f>
        <v>399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IFERROR(__xludf.DUMMYFUNCTION("""COMPUTED_VALUE"""),1932)</f>
        <v>1932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IFERROR(__xludf.DUMMYFUNCTION("""COMPUTED_VALUE"""),1302)</f>
        <v>1302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IFERROR(__xludf.DUMMYFUNCTION("""COMPUTED_VALUE"""),1281)</f>
        <v>1281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IFERROR(__xludf.DUMMYFUNCTION("""COMPUTED_VALUE"""),252)</f>
        <v>252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IFERROR(__xludf.DUMMYFUNCTION("""COMPUTED_VALUE"""),3843)</f>
        <v>3843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IFERROR(__xludf.DUMMYFUNCTION("""COMPUTED_VALUE"""),126)</f>
        <v>126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IFERROR(__xludf.DUMMYFUNCTION("""COMPUTED_VALUE"""),3129)</f>
        <v>3129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IFERROR(__xludf.DUMMYFUNCTION("""COMPUTED_VALUE"""),210)</f>
        <v>210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IFERROR(__xludf.DUMMYFUNCTION("""COMPUTED_VALUE"""),756)</f>
        <v>756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IFERROR(__xludf.DUMMYFUNCTION("""COMPUTED_VALUE"""),294)</f>
        <v>294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IFERROR(__xludf.DUMMYFUNCTION("""COMPUTED_VALUE"""),1596)</f>
        <v>1596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IFERROR(__xludf.DUMMYFUNCTION("""COMPUTED_VALUE"""),504)</f>
        <v>504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IFERROR(__xludf.DUMMYFUNCTION("""COMPUTED_VALUE"""),798)</f>
        <v>798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IFERROR(__xludf.DUMMYFUNCTION("""COMPUTED_VALUE"""),546)</f>
        <v>546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7">
        <f ca="1">IFERROR(__xludf.DUMMYFUNCTION("""COMPUTED_VALUE"""),378)</f>
        <v>378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7">
        <f ca="1">IFERROR(__xludf.DUMMYFUNCTION("""COMPUTED_VALUE"""),294)</f>
        <v>294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7">
        <f ca="1">IFERROR(__xludf.DUMMYFUNCTION("""COMPUTED_VALUE"""),1260)</f>
        <v>1260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7">
        <f ca="1">IFERROR(__xludf.DUMMYFUNCTION("""COMPUTED_VALUE"""),1932)</f>
        <v>1932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7">
        <f ca="1">IFERROR(__xludf.DUMMYFUNCTION("""COMPUTED_VALUE"""),2898)</f>
        <v>2898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7">
        <f ca="1">IFERROR(__xludf.DUMMYFUNCTION("""COMPUTED_VALUE"""),252)</f>
        <v>252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7">
        <f ca="1">IFERROR(__xludf.DUMMYFUNCTION("""COMPUTED_VALUE"""),1239)</f>
        <v>1239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7">
        <f ca="1">IFERROR(__xludf.DUMMYFUNCTION("""COMPUTED_VALUE"""),1050)</f>
        <v>1050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7">
        <f ca="1">IFERROR(__xludf.DUMMYFUNCTION("""COMPUTED_VALUE"""),1827)</f>
        <v>1827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7">
        <f ca="1">IFERROR(__xludf.DUMMYFUNCTION("""COMPUTED_VALUE"""),399)</f>
        <v>399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7">
        <f ca="1">IFERROR(__xludf.DUMMYFUNCTION("""COMPUTED_VALUE"""),336)</f>
        <v>336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7">
        <f ca="1">IFERROR(__xludf.DUMMYFUNCTION("""COMPUTED_VALUE"""),1953)</f>
        <v>1953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7">
        <f ca="1">IFERROR(__xludf.DUMMYFUNCTION("""COMPUTED_VALUE"""),861)</f>
        <v>861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7">
        <f ca="1">IFERROR(__xludf.DUMMYFUNCTION("""COMPUTED_VALUE"""),357)</f>
        <v>357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7">
        <f ca="1">IFERROR(__xludf.DUMMYFUNCTION("""COMPUTED_VALUE"""),336)</f>
        <v>336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7">
        <f ca="1">IFERROR(__xludf.DUMMYFUNCTION("""COMPUTED_VALUE"""),462)</f>
        <v>462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7">
        <f ca="1">IFERROR(__xludf.DUMMYFUNCTION("""COMPUTED_VALUE"""),1932)</f>
        <v>1932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7">
        <f ca="1">IFERROR(__xludf.DUMMYFUNCTION("""COMPUTED_VALUE"""),3885)</f>
        <v>3885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7">
        <f ca="1">IFERROR(__xludf.DUMMYFUNCTION("""COMPUTED_VALUE"""),1281)</f>
        <v>1281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7">
        <f ca="1">IFERROR(__xludf.DUMMYFUNCTION("""COMPUTED_VALUE"""),651)</f>
        <v>651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7">
        <f ca="1">IFERROR(__xludf.DUMMYFUNCTION("""COMPUTED_VALUE"""),462)</f>
        <v>462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7">
        <f ca="1">IFERROR(__xludf.DUMMYFUNCTION("""COMPUTED_VALUE"""),1365)</f>
        <v>1365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7">
        <f ca="1">IFERROR(__xludf.DUMMYFUNCTION("""COMPUTED_VALUE"""),1512)</f>
        <v>1512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7">
        <f ca="1">IFERROR(__xludf.DUMMYFUNCTION("""COMPUTED_VALUE"""),1323)</f>
        <v>1323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7">
        <f ca="1">IFERROR(__xludf.DUMMYFUNCTION("""COMPUTED_VALUE"""),1491)</f>
        <v>1491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7">
        <f ca="1">IFERROR(__xludf.DUMMYFUNCTION("""COMPUTED_VALUE"""),315)</f>
        <v>315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7">
        <f ca="1">IFERROR(__xludf.DUMMYFUNCTION("""COMPUTED_VALUE"""),924)</f>
        <v>924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7">
        <f ca="1">IFERROR(__xludf.DUMMYFUNCTION("""COMPUTED_VALUE"""),3570)</f>
        <v>3570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7">
        <f ca="1">IFERROR(__xludf.DUMMYFUNCTION("""COMPUTED_VALUE"""),2373)</f>
        <v>2373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7">
        <f ca="1">IFERROR(__xludf.DUMMYFUNCTION("""COMPUTED_VALUE"""),1092)</f>
        <v>1092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7">
        <f ca="1">IFERROR(__xludf.DUMMYFUNCTION("""COMPUTED_VALUE"""),5187)</f>
        <v>5187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7">
        <f ca="1">IFERROR(__xludf.DUMMYFUNCTION("""COMPUTED_VALUE"""),378)</f>
        <v>378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7">
        <f ca="1">IFERROR(__xludf.DUMMYFUNCTION("""COMPUTED_VALUE"""),357)</f>
        <v>357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7">
        <f ca="1">IFERROR(__xludf.DUMMYFUNCTION("""COMPUTED_VALUE"""),168)</f>
        <v>168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7">
        <f ca="1">IFERROR(__xludf.DUMMYFUNCTION("""COMPUTED_VALUE"""),945)</f>
        <v>945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7">
        <f ca="1">IFERROR(__xludf.DUMMYFUNCTION("""COMPUTED_VALUE"""),1512)</f>
        <v>1512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7">
        <f ca="1">IFERROR(__xludf.DUMMYFUNCTION("""COMPUTED_VALUE"""),105)</f>
        <v>105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7">
        <f ca="1">IFERROR(__xludf.DUMMYFUNCTION("""COMPUTED_VALUE"""),7392)</f>
        <v>7392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7">
        <f ca="1">IFERROR(__xludf.DUMMYFUNCTION("""COMPUTED_VALUE"""),1554)</f>
        <v>1554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7">
        <f ca="1">IFERROR(__xludf.DUMMYFUNCTION("""COMPUTED_VALUE"""),1092)</f>
        <v>1092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7">
        <f ca="1">IFERROR(__xludf.DUMMYFUNCTION("""COMPUTED_VALUE"""),336)</f>
        <v>336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7">
        <f ca="1">IFERROR(__xludf.DUMMYFUNCTION("""COMPUTED_VALUE"""),399)</f>
        <v>399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7">
        <f ca="1">IFERROR(__xludf.DUMMYFUNCTION("""COMPUTED_VALUE"""),294)</f>
        <v>294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7">
        <f ca="1">IFERROR(__xludf.DUMMYFUNCTION("""COMPUTED_VALUE"""),4788)</f>
        <v>4788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7">
        <f ca="1">IFERROR(__xludf.DUMMYFUNCTION("""COMPUTED_VALUE"""),1134)</f>
        <v>1134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7">
        <f ca="1">IFERROR(__xludf.DUMMYFUNCTION("""COMPUTED_VALUE"""),2898)</f>
        <v>2898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7">
        <f ca="1">IFERROR(__xludf.DUMMYFUNCTION("""COMPUTED_VALUE"""),1869)</f>
        <v>1869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7">
        <f ca="1">IFERROR(__xludf.DUMMYFUNCTION("""COMPUTED_VALUE"""),2247)</f>
        <v>2247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7">
        <f ca="1">IFERROR(__xludf.DUMMYFUNCTION("""COMPUTED_VALUE"""),3108)</f>
        <v>3108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7">
        <f ca="1">IFERROR(__xludf.DUMMYFUNCTION("""COMPUTED_VALUE"""),2751)</f>
        <v>2751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7">
        <f ca="1">IFERROR(__xludf.DUMMYFUNCTION("""COMPUTED_VALUE"""),2520)</f>
        <v>2520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7">
        <f ca="1">IFERROR(__xludf.DUMMYFUNCTION("""COMPUTED_VALUE"""),4032)</f>
        <v>4032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7">
        <f ca="1">IFERROR(__xludf.DUMMYFUNCTION("""COMPUTED_VALUE"""),756)</f>
        <v>756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7">
        <f ca="1">IFERROR(__xludf.DUMMYFUNCTION("""COMPUTED_VALUE"""),189)</f>
        <v>189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7">
        <f ca="1">IFERROR(__xludf.DUMMYFUNCTION("""COMPUTED_VALUE"""),609)</f>
        <v>609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7">
        <f ca="1">IFERROR(__xludf.DUMMYFUNCTION("""COMPUTED_VALUE"""),588)</f>
        <v>588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7">
        <f ca="1">IFERROR(__xludf.DUMMYFUNCTION("""COMPUTED_VALUE"""),651)</f>
        <v>651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7">
        <f ca="1">IFERROR(__xludf.DUMMYFUNCTION("""COMPUTED_VALUE"""),315)</f>
        <v>315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7">
        <f ca="1">IFERROR(__xludf.DUMMYFUNCTION("""COMPUTED_VALUE"""),273)</f>
        <v>273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7">
        <f ca="1">IFERROR(__xludf.DUMMYFUNCTION("""COMPUTED_VALUE"""),168)</f>
        <v>168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7">
        <f ca="1">IFERROR(__xludf.DUMMYFUNCTION("""COMPUTED_VALUE"""),315)</f>
        <v>315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7">
        <f ca="1">IFERROR(__xludf.DUMMYFUNCTION("""COMPUTED_VALUE"""),273)</f>
        <v>273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7">
        <f ca="1">IFERROR(__xludf.DUMMYFUNCTION("""COMPUTED_VALUE"""),1638)</f>
        <v>1638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7">
        <f ca="1">IFERROR(__xludf.DUMMYFUNCTION("""COMPUTED_VALUE"""),1407)</f>
        <v>1407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7">
        <f ca="1">IFERROR(__xludf.DUMMYFUNCTION("""COMPUTED_VALUE"""),273)</f>
        <v>273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7">
        <f ca="1">IFERROR(__xludf.DUMMYFUNCTION("""COMPUTED_VALUE"""),840)</f>
        <v>840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7">
        <f ca="1">IFERROR(__xludf.DUMMYFUNCTION("""COMPUTED_VALUE"""),2268)</f>
        <v>2268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7">
        <f ca="1">IFERROR(__xludf.DUMMYFUNCTION("""COMPUTED_VALUE"""),1932)</f>
        <v>1932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7">
        <f ca="1">IFERROR(__xludf.DUMMYFUNCTION("""COMPUTED_VALUE"""),273)</f>
        <v>273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IFERROR(__xludf.DUMMYFUNCTION("""COMPUTED_VALUE"""),"Fatima")</f>
        <v>Fatima</v>
      </c>
      <c r="C98" t="str">
        <f ca="1">IFERROR(__xludf.DUMMYFUNCTION("""COMPUTED_VALUE"""),"ASSOC. DE APOIO A ESCOLA ESPECIAL RENASCER")</f>
        <v>ASSOC. DE APOIO A ESCOLA ESPECIAL RENASCER</v>
      </c>
      <c r="D98" t="str">
        <f ca="1">IFERROR(__xludf.DUMMYFUNCTION("""COMPUTED_VALUE"""),"11726757000183")</f>
        <v>11726757000183</v>
      </c>
      <c r="E98" t="str">
        <f ca="1">IFERROR(__xludf.DUMMYFUNCTION("""COMPUTED_VALUE"""),"001")</f>
        <v>001</v>
      </c>
      <c r="F98" t="str">
        <f ca="1">IFERROR(__xludf.DUMMYFUNCTION("""COMPUTED_VALUE"""),"4107")</f>
        <v>4107</v>
      </c>
      <c r="G98" t="str">
        <f ca="1">IFERROR(__xludf.DUMMYFUNCTION("""COMPUTED_VALUE"""),"7991X")</f>
        <v>7991X</v>
      </c>
      <c r="H98" s="7">
        <f ca="1">IFERROR(__xludf.DUMMYFUNCTION("""COMPUTED_VALUE"""),693)</f>
        <v>693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IFERROR(__xludf.DUMMYFUNCTION("""COMPUTED_VALUE"""),"Ipueiras")</f>
        <v>Ipueiras</v>
      </c>
      <c r="C99" t="str">
        <f ca="1">IFERROR(__xludf.DUMMYFUNCTION("""COMPUTED_VALUE"""),"ASSOC. DE APOIO DA ESC. EST. FELIX CAMOA")</f>
        <v>ASSOC. DE APOIO DA ESC. EST. FELIX CAMOA</v>
      </c>
      <c r="D99" t="str">
        <f ca="1">IFERROR(__xludf.DUMMYFUNCTION("""COMPUTED_VALUE"""),"01469443000199")</f>
        <v>01469443000199</v>
      </c>
      <c r="E99" t="str">
        <f ca="1">IFERROR(__xludf.DUMMYFUNCTION("""COMPUTED_VALUE"""),"001")</f>
        <v>001</v>
      </c>
      <c r="F99" t="str">
        <f ca="1">IFERROR(__xludf.DUMMYFUNCTION("""COMPUTED_VALUE"""),"1117")</f>
        <v>1117</v>
      </c>
      <c r="G99" t="str">
        <f ca="1">IFERROR(__xludf.DUMMYFUNCTION("""COMPUTED_VALUE"""),"315052")</f>
        <v>315052</v>
      </c>
      <c r="H99" s="7">
        <f ca="1">IFERROR(__xludf.DUMMYFUNCTION("""COMPUTED_VALUE"""),315)</f>
        <v>315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IFERROR(__xludf.DUMMYFUNCTION("""COMPUTED_VALUE"""),"Monte do Carmo")</f>
        <v>Monte do Carmo</v>
      </c>
      <c r="C100" t="str">
        <f ca="1">IFERROR(__xludf.DUMMYFUNCTION("""COMPUTED_VALUE"""),"A.A.  DO COLEGIO EST. PADRE GAMA")</f>
        <v>A.A.  DO COLEGIO EST. PADRE GAMA</v>
      </c>
      <c r="D100" t="str">
        <f ca="1">IFERROR(__xludf.DUMMYFUNCTION("""COMPUTED_VALUE"""),"01071443000136")</f>
        <v>01071443000136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IFERROR(__xludf.DUMMYFUNCTION("""COMPUTED_VALUE"""),"0312878")</f>
        <v>0312878</v>
      </c>
      <c r="H100" s="7">
        <f ca="1">IFERROR(__xludf.DUMMYFUNCTION("""COMPUTED_VALUE"""),483)</f>
        <v>483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IFERROR(__xludf.DUMMYFUNCTION("""COMPUTED_VALUE"""),"Natividade")</f>
        <v>Natividade</v>
      </c>
      <c r="C101" t="str">
        <f ca="1">IFERROR(__xludf.DUMMYFUNCTION("""COMPUTED_VALUE"""),"ASSOC. DE APOIO A ESC. ESPECIAL TIA CORACI DE SENA FERNANDES")</f>
        <v>ASSOC. DE APOIO A ESC. ESPECIAL TIA CORACI DE SENA FERNANDES</v>
      </c>
      <c r="D101" t="str">
        <f ca="1">IFERROR(__xludf.DUMMYFUNCTION("""COMPUTED_VALUE"""),"17163914000176")</f>
        <v>17163914000176</v>
      </c>
      <c r="E101" t="str">
        <f ca="1">IFERROR(__xludf.DUMMYFUNCTION("""COMPUTED_VALUE"""),"001")</f>
        <v>001</v>
      </c>
      <c r="F101" t="str">
        <f ca="1">IFERROR(__xludf.DUMMYFUNCTION("""COMPUTED_VALUE"""),"2334")</f>
        <v>2334</v>
      </c>
      <c r="G101" t="str">
        <f ca="1">IFERROR(__xludf.DUMMYFUNCTION("""COMPUTED_VALUE"""),"19860")</f>
        <v>19860</v>
      </c>
      <c r="H101" s="7">
        <f ca="1">IFERROR(__xludf.DUMMYFUNCTION("""COMPUTED_VALUE"""),945)</f>
        <v>945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IFERROR(__xludf.DUMMYFUNCTION("""COMPUTED_VALUE"""),"Oliveira de Fatima")</f>
        <v>Oliveira de Fatima</v>
      </c>
      <c r="C102" t="str">
        <f ca="1">IFERROR(__xludf.DUMMYFUNCTION("""COMPUTED_VALUE"""),"ASS. DE APOIO DA ESC. EST.RIACHUELO")</f>
        <v>ASS. DE APOIO DA ESC. EST.RIACHUELO</v>
      </c>
      <c r="D102" t="str">
        <f ca="1">IFERROR(__xludf.DUMMYFUNCTION("""COMPUTED_VALUE"""),"01696068000110")</f>
        <v>01696068000110</v>
      </c>
      <c r="E102" t="str">
        <f ca="1">IFERROR(__xludf.DUMMYFUNCTION("""COMPUTED_VALUE"""),"001")</f>
        <v>001</v>
      </c>
      <c r="F102" t="str">
        <f ca="1">IFERROR(__xludf.DUMMYFUNCTION("""COMPUTED_VALUE"""),"4107")</f>
        <v>4107</v>
      </c>
      <c r="G102" t="str">
        <f ca="1">IFERROR(__xludf.DUMMYFUNCTION("""COMPUTED_VALUE"""),"319511")</f>
        <v>319511</v>
      </c>
      <c r="H102" s="7">
        <f ca="1">IFERROR(__xludf.DUMMYFUNCTION("""COMPUTED_VALUE"""),231)</f>
        <v>231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IFERROR(__xludf.DUMMYFUNCTION("""COMPUTED_VALUE"""),"Ponte Alta do Tocantins")</f>
        <v>Ponte Alta do Tocantins</v>
      </c>
      <c r="C103" t="str">
        <f ca="1">IFERROR(__xludf.DUMMYFUNCTION("""COMPUTED_VALUE"""),"ASS. DE APOIO A ESCOLA EST. ESPECIAL AMILSON FRAZÃO DOS REIS")</f>
        <v>ASS. DE APOIO A ESCOLA EST. ESPECIAL AMILSON FRAZÃO DOS REIS</v>
      </c>
      <c r="D103" t="str">
        <f ca="1">IFERROR(__xludf.DUMMYFUNCTION("""COMPUTED_VALUE"""),"20309905000155")</f>
        <v>20309905000155</v>
      </c>
      <c r="E103" t="str">
        <f ca="1">IFERROR(__xludf.DUMMYFUNCTION("""COMPUTED_VALUE"""),"001")</f>
        <v>001</v>
      </c>
      <c r="F103" t="str">
        <f ca="1">IFERROR(__xludf.DUMMYFUNCTION("""COMPUTED_VALUE"""),"1117")</f>
        <v>1117</v>
      </c>
      <c r="G103" t="str">
        <f ca="1">IFERROR(__xludf.DUMMYFUNCTION("""COMPUTED_VALUE"""),"567426")</f>
        <v>567426</v>
      </c>
      <c r="H103" s="7">
        <f ca="1">IFERROR(__xludf.DUMMYFUNCTION("""COMPUTED_VALUE"""),1008)</f>
        <v>1008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IFERROR(__xludf.DUMMYFUNCTION("""COMPUTED_VALUE"""),"Porto Nacional")</f>
        <v>Porto Nacional</v>
      </c>
      <c r="C104" t="str">
        <f ca="1">IFERROR(__xludf.DUMMYFUNCTION("""COMPUTED_VALUE"""),"ASSOC. DE A.DO CEM PROFº. FLORÊNCIO AIRES DA SILVA")</f>
        <v>ASSOC. DE A.DO CEM PROFº. FLORÊNCIO AIRES DA SILVA</v>
      </c>
      <c r="D104" t="str">
        <f ca="1">IFERROR(__xludf.DUMMYFUNCTION("""COMPUTED_VALUE"""),"01138326000142")</f>
        <v>01138326000142</v>
      </c>
      <c r="E104" t="str">
        <f ca="1">IFERROR(__xludf.DUMMYFUNCTION("""COMPUTED_VALUE"""),"001")</f>
        <v>001</v>
      </c>
      <c r="F104" t="str">
        <f ca="1">IFERROR(__xludf.DUMMYFUNCTION("""COMPUTED_VALUE"""),"1117")</f>
        <v>1117</v>
      </c>
      <c r="G104" t="str">
        <f ca="1">IFERROR(__xludf.DUMMYFUNCTION("""COMPUTED_VALUE"""),"5500X")</f>
        <v>5500X</v>
      </c>
      <c r="H104" s="7">
        <f ca="1">IFERROR(__xludf.DUMMYFUNCTION("""COMPUTED_VALUE"""),1134)</f>
        <v>1134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IFERROR(__xludf.DUMMYFUNCTION("""COMPUTED_VALUE"""),"Porto Nacional")</f>
        <v>Porto Nacional</v>
      </c>
      <c r="C105" t="str">
        <f ca="1">IFERROR(__xludf.DUMMYFUNCTION("""COMPUTED_VALUE"""),"A. ESCOL.COM. ESC. EST. MAL.ARTUR C.E SILVA")</f>
        <v>A. ESCOL.COM. ESC. EST. MAL.ARTUR C.E SILVA</v>
      </c>
      <c r="D105" t="str">
        <f ca="1">IFERROR(__xludf.DUMMYFUNCTION("""COMPUTED_VALUE"""),"01112763000197")</f>
        <v>01112763000197</v>
      </c>
      <c r="E105" t="str">
        <f ca="1">IFERROR(__xludf.DUMMYFUNCTION("""COMPUTED_VALUE"""),"104")</f>
        <v>104</v>
      </c>
      <c r="F105" t="str">
        <f ca="1">IFERROR(__xludf.DUMMYFUNCTION("""COMPUTED_VALUE"""),"1829")</f>
        <v>1829</v>
      </c>
      <c r="G105" t="str">
        <f ca="1">IFERROR(__xludf.DUMMYFUNCTION("""COMPUTED_VALUE"""),"307364")</f>
        <v>307364</v>
      </c>
      <c r="H105" s="7">
        <f ca="1">IFERROR(__xludf.DUMMYFUNCTION("""COMPUTED_VALUE"""),1680)</f>
        <v>1680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IFERROR(__xludf.DUMMYFUNCTION("""COMPUTED_VALUE"""),"ASSOC.P.A.DOS EXCEP. DE PORTO NACIONAL")</f>
        <v>ASSOC.P.A.DOS EXCEP. DE PORTO NACIONAL</v>
      </c>
      <c r="D106" t="str">
        <f ca="1">IFERROR(__xludf.DUMMYFUNCTION("""COMPUTED_VALUE"""),"26752113000137")</f>
        <v>26752113000137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IFERROR(__xludf.DUMMYFUNCTION("""COMPUTED_VALUE"""),"86657")</f>
        <v>86657</v>
      </c>
      <c r="H106" s="7">
        <f ca="1">IFERROR(__xludf.DUMMYFUNCTION("""COMPUTED_VALUE"""),1722)</f>
        <v>1722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IFERROR(__xludf.DUMMYFUNCTION("""COMPUTED_VALUE"""),"A.A. DA ESC. EST. ALCIDES RODRIGUES AIRES")</f>
        <v>A.A. DA ESC. EST. ALCIDES RODRIGUES AIRES</v>
      </c>
      <c r="D107" t="str">
        <f ca="1">IFERROR(__xludf.DUMMYFUNCTION("""COMPUTED_VALUE"""),"03495455000113")</f>
        <v>03495455000113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IFERROR(__xludf.DUMMYFUNCTION("""COMPUTED_VALUE"""),"77143")</f>
        <v>77143</v>
      </c>
      <c r="H107" s="7">
        <f ca="1">IFERROR(__xludf.DUMMYFUNCTION("""COMPUTED_VALUE"""),924)</f>
        <v>924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IFERROR(__xludf.DUMMYFUNCTION("""COMPUTED_VALUE"""),"Santa Rosa do Tocantins")</f>
        <v>Santa Rosa do Tocantins</v>
      </c>
      <c r="C108" t="str">
        <f ca="1">IFERROR(__xludf.DUMMYFUNCTION("""COMPUTED_VALUE"""),"A.A. E. E. TENENTE SALVADOR RIBEIRO")</f>
        <v>A.A. E. E. TENENTE SALVADOR RIBEIRO</v>
      </c>
      <c r="D108" t="str">
        <f ca="1">IFERROR(__xludf.DUMMYFUNCTION("""COMPUTED_VALUE"""),"01066424000111")</f>
        <v>01066424000111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IFERROR(__xludf.DUMMYFUNCTION("""COMPUTED_VALUE"""),"332623")</f>
        <v>332623</v>
      </c>
      <c r="H108" s="7">
        <f ca="1">IFERROR(__xludf.DUMMYFUNCTION("""COMPUTED_VALUE"""),294)</f>
        <v>294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IFERROR(__xludf.DUMMYFUNCTION("""COMPUTED_VALUE"""),"Silvanopolis")</f>
        <v>Silvanopolis</v>
      </c>
      <c r="C109" t="str">
        <f ca="1">IFERROR(__xludf.DUMMYFUNCTION("""COMPUTED_VALUE"""),"A.A. A ESC. EST. JOAO PIRES QUERIDO")</f>
        <v>A.A. A ESC. EST. JOAO PIRES QUERIDO</v>
      </c>
      <c r="D109" t="str">
        <f ca="1">IFERROR(__xludf.DUMMYFUNCTION("""COMPUTED_VALUE"""),"01284632000197")</f>
        <v>01284632000197</v>
      </c>
      <c r="E109" t="str">
        <f ca="1">IFERROR(__xludf.DUMMYFUNCTION("""COMPUTED_VALUE"""),"001")</f>
        <v>001</v>
      </c>
      <c r="F109" t="str">
        <f ca="1">IFERROR(__xludf.DUMMYFUNCTION("""COMPUTED_VALUE"""),"3980")</f>
        <v>3980</v>
      </c>
      <c r="G109" t="str">
        <f ca="1">IFERROR(__xludf.DUMMYFUNCTION("""COMPUTED_VALUE"""),"051187")</f>
        <v>051187</v>
      </c>
      <c r="H109" s="7">
        <f ca="1">IFERROR(__xludf.DUMMYFUNCTION("""COMPUTED_VALUE"""),273)</f>
        <v>273</v>
      </c>
      <c r="I109" t="str">
        <v>EJA</v>
      </c>
    </row>
    <row r="110" spans="1:9" ht="12.75">
      <c r="A110" t="str">
        <f ca="1">IFERROR(__xludf.DUMMYFUNCTION("""COMPUTED_VALUE"""),"Tocantinópolis")</f>
        <v>Tocantinópolis</v>
      </c>
      <c r="B110" t="str">
        <f ca="1">IFERROR(__xludf.DUMMYFUNCTION("""COMPUTED_VALUE"""),"Itaguatins")</f>
        <v>Itaguatins</v>
      </c>
      <c r="C110" t="str">
        <f ca="1">IFERROR(__xludf.DUMMYFUNCTION("""COMPUTED_VALUE"""),"ASS. DE APOIO ESC. EST. OLAVO BILAC")</f>
        <v>ASS. DE APOIO ESC. EST. OLAVO BILAC</v>
      </c>
      <c r="D110" t="str">
        <f ca="1">IFERROR(__xludf.DUMMYFUNCTION("""COMPUTED_VALUE"""),"01358337000138")</f>
        <v>01358337000138</v>
      </c>
      <c r="E110" t="str">
        <f ca="1">IFERROR(__xludf.DUMMYFUNCTION("""COMPUTED_VALUE"""),"001")</f>
        <v>001</v>
      </c>
      <c r="F110" t="str">
        <f ca="1">IFERROR(__xludf.DUMMYFUNCTION("""COMPUTED_VALUE"""),"0810")</f>
        <v>0810</v>
      </c>
      <c r="G110" t="str">
        <f ca="1">IFERROR(__xludf.DUMMYFUNCTION("""COMPUTED_VALUE"""),"218391")</f>
        <v>218391</v>
      </c>
      <c r="H110" s="7">
        <f ca="1">IFERROR(__xludf.DUMMYFUNCTION("""COMPUTED_VALUE"""),315)</f>
        <v>315</v>
      </c>
      <c r="I110" t="str">
        <v>EJA</v>
      </c>
    </row>
    <row r="111" spans="1:9" ht="12.75">
      <c r="A111" t="str">
        <f ca="1">IFERROR(__xludf.DUMMYFUNCTION("""COMPUTED_VALUE"""),"Tocantinópolis")</f>
        <v>Tocantinópolis</v>
      </c>
      <c r="B111" t="str">
        <f ca="1">IFERROR(__xludf.DUMMYFUNCTION("""COMPUTED_VALUE"""),"Nazare")</f>
        <v>Nazare</v>
      </c>
      <c r="C111" t="str">
        <f ca="1">IFERROR(__xludf.DUMMYFUNCTION("""COMPUTED_VALUE"""),"ASSOC. DE APOIO A ESC. EST.ESPECIAL BEM VIVER")</f>
        <v>ASSOC. DE APOIO A ESC. EST.ESPECIAL BEM VIVER</v>
      </c>
      <c r="D111" t="str">
        <f ca="1">IFERROR(__xludf.DUMMYFUNCTION("""COMPUTED_VALUE"""),"10520927000106")</f>
        <v>10520927000106</v>
      </c>
      <c r="E111" t="str">
        <f ca="1">IFERROR(__xludf.DUMMYFUNCTION("""COMPUTED_VALUE"""),"001")</f>
        <v>001</v>
      </c>
      <c r="F111" t="str">
        <f ca="1">IFERROR(__xludf.DUMMYFUNCTION("""COMPUTED_VALUE"""),"0810")</f>
        <v>0810</v>
      </c>
      <c r="G111" t="str">
        <f ca="1">IFERROR(__xludf.DUMMYFUNCTION("""COMPUTED_VALUE"""),"200336")</f>
        <v>200336</v>
      </c>
      <c r="H111" s="7">
        <f ca="1">IFERROR(__xludf.DUMMYFUNCTION("""COMPUTED_VALUE"""),1218)</f>
        <v>1218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IFERROR(__xludf.DUMMYFUNCTION("""COMPUTED_VALUE"""),"Nazare")</f>
        <v>Nazare</v>
      </c>
      <c r="C112" t="str">
        <f ca="1">IFERROR(__xludf.DUMMYFUNCTION("""COMPUTED_VALUE"""),"A.A.  DA ESCOLA ESTADUAL PIACAVA")</f>
        <v>A.A.  DA ESCOLA ESTADUAL PIACAVA</v>
      </c>
      <c r="D112" t="str">
        <f ca="1">IFERROR(__xludf.DUMMYFUNCTION("""COMPUTED_VALUE"""),"01230239000110")</f>
        <v>01230239000110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IFERROR(__xludf.DUMMYFUNCTION("""COMPUTED_VALUE"""),"217883")</f>
        <v>217883</v>
      </c>
      <c r="H112" s="7">
        <f ca="1">IFERROR(__xludf.DUMMYFUNCTION("""COMPUTED_VALUE"""),504)</f>
        <v>504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IFERROR(__xludf.DUMMYFUNCTION("""COMPUTED_VALUE"""),"Tocantinopolis")</f>
        <v>Tocantinopolis</v>
      </c>
      <c r="C113" t="str">
        <f ca="1">IFERROR(__xludf.DUMMYFUNCTION("""COMPUTED_VALUE"""),"A.A. DO COL.PADRAO/JOSÉ CARNEIRO DE BRITO")</f>
        <v>A.A. DO COL.PADRAO/JOSÉ CARNEIRO DE BRITO</v>
      </c>
      <c r="D113" t="str">
        <f ca="1">IFERROR(__xludf.DUMMYFUNCTION("""COMPUTED_VALUE"""),"03880040000163")</f>
        <v>03880040000163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IFERROR(__xludf.DUMMYFUNCTION("""COMPUTED_VALUE"""),"81884")</f>
        <v>81884</v>
      </c>
      <c r="H113" s="7">
        <f ca="1">IFERROR(__xludf.DUMMYFUNCTION("""COMPUTED_VALUE"""),1281)</f>
        <v>1281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IFERROR(__xludf.DUMMYFUNCTION("""COMPUTED_VALUE"""),"Tocantinopolis")</f>
        <v>Tocantinopolis</v>
      </c>
      <c r="C114" t="str">
        <f ca="1">IFERROR(__xludf.DUMMYFUNCTION("""COMPUTED_VALUE"""),"ASSOCIAÇÃO DE APOIO A ESCOLA ESPECIAL UM PASSO DIFERENTE -APAE")</f>
        <v>ASSOCIAÇÃO DE APOIO A ESCOLA ESPECIAL UM PASSO DIFERENTE -APAE</v>
      </c>
      <c r="D114" t="str">
        <f ca="1">IFERROR(__xludf.DUMMYFUNCTION("""COMPUTED_VALUE"""),"08012610000117")</f>
        <v>08012610000117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IFERROR(__xludf.DUMMYFUNCTION("""COMPUTED_VALUE"""),"204250")</f>
        <v>204250</v>
      </c>
      <c r="H114" s="7">
        <f ca="1">IFERROR(__xludf.DUMMYFUNCTION("""COMPUTED_VALUE"""),1785)</f>
        <v>1785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 ESCOLAR COM. PE. GIULIANO MORETTI")</f>
        <v>A. ESCOLAR COM. PE. GIULIANO MORETTI</v>
      </c>
      <c r="D115" t="str">
        <f ca="1">IFERROR(__xludf.DUMMYFUNCTION("""COMPUTED_VALUE"""),"00900202000190")</f>
        <v>00900202000190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IFERROR(__xludf.DUMMYFUNCTION("""COMPUTED_VALUE"""),"217484")</f>
        <v>217484</v>
      </c>
      <c r="H115" s="7">
        <f ca="1">IFERROR(__xludf.DUMMYFUNCTION("""COMPUTED_VALUE"""),1218)</f>
        <v>1218</v>
      </c>
      <c r="I115" t="str">
        <v>EJA</v>
      </c>
    </row>
    <row r="116" spans="1:9" ht="12.75">
      <c r="I116" t="str">
        <v/>
      </c>
    </row>
    <row r="117" spans="1:9" ht="12.75">
      <c r="I117" t="str">
        <v/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35" t="str">
        <f ca="1">IFERROR(__xludf.DUMMYFUNCTION("QUERY(REP_EST_TI!A5:Z1000,""SELECT A,B,C,D,E,F,G,H WHERE H&gt;0 label H 'FUND INTEGRAL'"")"),"")</f>
        <v/>
      </c>
      <c r="B1" s="236" t="str">
        <f ca="1">IFERROR(__xludf.DUMMYFUNCTION("""COMPUTED_VALUE"""),"")</f>
        <v/>
      </c>
      <c r="C1" s="236" t="str">
        <f ca="1">IFERROR(__xludf.DUMMYFUNCTION("""COMPUTED_VALUE"""),"")</f>
        <v/>
      </c>
      <c r="D1" s="236" t="str">
        <f ca="1">IFERROR(__xludf.DUMMYFUNCTION("""COMPUTED_VALUE"""),"")</f>
        <v/>
      </c>
      <c r="E1" s="236" t="str">
        <f ca="1">IFERROR(__xludf.DUMMYFUNCTION("""COMPUTED_VALUE"""),"")</f>
        <v/>
      </c>
      <c r="F1" s="236" t="str">
        <f ca="1">IFERROR(__xludf.DUMMYFUNCTION("""COMPUTED_VALUE"""),"")</f>
        <v/>
      </c>
      <c r="G1" s="236" t="str">
        <f ca="1">IFERROR(__xludf.DUMMYFUNCTION("""COMPUTED_VALUE"""),"")</f>
        <v/>
      </c>
      <c r="H1" s="236" t="str">
        <f ca="1">IFERROR(__xludf.DUMMYFUNCTION("""COMPUTED_VALUE"""),"FUND INTEGRAL")</f>
        <v>FUND INTEGRAL</v>
      </c>
      <c r="I1" s="237" t="str">
        <f t="array" ref="I1:I1000">IF(ROW(A1:A1000)=1,"ETAPA",IF(A1:A1000&lt;&gt;"","FUND INTEGRAL",""))</f>
        <v>ETAPA</v>
      </c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IFERROR(__xludf.DUMMYFUNCTION("""COMPUTED_VALUE"""),105840)</f>
        <v>105840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IFERROR(__xludf.DUMMYFUNCTION("""COMPUTED_VALUE"""),60132.8)</f>
        <v>60132.800000000003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IFERROR(__xludf.DUMMYFUNCTION("""COMPUTED_VALUE"""),31752)</f>
        <v>31752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IFERROR(__xludf.DUMMYFUNCTION("""COMPUTED_VALUE"""),16464)</f>
        <v>16464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IFERROR(__xludf.DUMMYFUNCTION("""COMPUTED_VALUE"""),14033.6)</f>
        <v>14033.6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IFERROR(__xludf.DUMMYFUNCTION("""COMPUTED_VALUE"""),49313.6)</f>
        <v>49313.599999999999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IFERROR(__xludf.DUMMYFUNCTION("""COMPUTED_VALUE"""),24696)</f>
        <v>24696</v>
      </c>
      <c r="I8" t="str">
        <v>FUND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IFERROR(__xludf.DUMMYFUNCTION("""COMPUTED_VALUE"""),15288)</f>
        <v>15288</v>
      </c>
      <c r="I9" t="str">
        <v>FUND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IFERROR(__xludf.DUMMYFUNCTION("""COMPUTED_VALUE"""),23049.6)</f>
        <v>23049.599999999999</v>
      </c>
      <c r="I10" t="str">
        <v>FUND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IFERROR(__xludf.DUMMYFUNCTION("""COMPUTED_VALUE"""),16934.4)</f>
        <v>16934.400000000001</v>
      </c>
      <c r="I11" t="str">
        <v>FUND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IFERROR(__xludf.DUMMYFUNCTION("""COMPUTED_VALUE"""),13406.4)</f>
        <v>13406.4</v>
      </c>
      <c r="I12" t="str">
        <v>FUND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IFERROR(__xludf.DUMMYFUNCTION("""COMPUTED_VALUE"""),2979.2)</f>
        <v>2979.2</v>
      </c>
      <c r="I13" t="str">
        <v>FUND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IFERROR(__xludf.DUMMYFUNCTION("""COMPUTED_VALUE"""),7526.4)</f>
        <v>7526.4</v>
      </c>
      <c r="I14" t="str">
        <v>FUND INTEGRAL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IFERROR(__xludf.DUMMYFUNCTION("""COMPUTED_VALUE"""),"Alianca do Tocantins")</f>
        <v>Alianca do Tocantins</v>
      </c>
      <c r="C15" t="str">
        <f ca="1">IFERROR(__xludf.DUMMYFUNCTION("""COMPUTED_VALUE"""),"A. PAIS E MESTRES ESC. EST.N.SRA.DO CARMO")</f>
        <v>A. PAIS E MESTRES ESC. EST.N.SRA.DO CARMO</v>
      </c>
      <c r="D15" t="str">
        <f ca="1">IFERROR(__xludf.DUMMYFUNCTION("""COMPUTED_VALUE"""),"01034192000110")</f>
        <v>01034192000110</v>
      </c>
      <c r="E15" t="str">
        <f ca="1">IFERROR(__xludf.DUMMYFUNCTION("""COMPUTED_VALUE"""),"001")</f>
        <v>001</v>
      </c>
      <c r="F15" t="str">
        <f ca="1">IFERROR(__xludf.DUMMYFUNCTION("""COMPUTED_VALUE"""),"3972")</f>
        <v>3972</v>
      </c>
      <c r="G15" t="str">
        <f ca="1">IFERROR(__xludf.DUMMYFUNCTION("""COMPUTED_VALUE"""),"243590")</f>
        <v>243590</v>
      </c>
      <c r="H15" s="7">
        <f ca="1">IFERROR(__xludf.DUMMYFUNCTION("""COMPUTED_VALUE"""),9486.4)</f>
        <v>9486.4</v>
      </c>
      <c r="I15" t="str">
        <v>FUND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IFERROR(__xludf.DUMMYFUNCTION("""COMPUTED_VALUE"""),"A.A.  ESCOLAR DO COL. EST. JOSE SEABRA")</f>
        <v>A.A.  ESCOLAR DO COL. EST. JOSE SEABRA</v>
      </c>
      <c r="D16" t="str">
        <f ca="1">IFERROR(__xludf.DUMMYFUNCTION("""COMPUTED_VALUE"""),"01910570000181")</f>
        <v>01910570000181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IFERROR(__xludf.DUMMYFUNCTION("""COMPUTED_VALUE"""),"66982")</f>
        <v>66982</v>
      </c>
      <c r="H16" s="7">
        <f ca="1">IFERROR(__xludf.DUMMYFUNCTION("""COMPUTED_VALUE"""),49862.4)</f>
        <v>49862.400000000001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 EDUCACIONAL PRES. COSTA E SILVA")</f>
        <v>A. EDUCACIONAL PRES. COSTA E SILVA</v>
      </c>
      <c r="D17" t="str">
        <f ca="1">IFERROR(__xludf.DUMMYFUNCTION("""COMPUTED_VALUE"""),"01888719000173")</f>
        <v>01888719000173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IFERROR(__xludf.DUMMYFUNCTION("""COMPUTED_VALUE"""),"67490")</f>
        <v>67490</v>
      </c>
      <c r="H17" s="7">
        <f ca="1">IFERROR(__xludf.DUMMYFUNCTION("""COMPUTED_VALUE"""),65072)</f>
        <v>65072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IFERROR(__xludf.DUMMYFUNCTION("""COMPUTED_VALUE"""),"APM. DA INSTITUIÇÃO BENEFICENTE IRMÃ DULCE")</f>
        <v>APM. DA INSTITUIÇÃO BENEFICENTE IRMÃ DULCE</v>
      </c>
      <c r="D18" t="str">
        <f ca="1">IFERROR(__xludf.DUMMYFUNCTION("""COMPUTED_VALUE"""),"10807313000100")</f>
        <v>10807313000100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IFERROR(__xludf.DUMMYFUNCTION("""COMPUTED_VALUE"""),"447218")</f>
        <v>447218</v>
      </c>
      <c r="H18" s="7">
        <f ca="1">IFERROR(__xludf.DUMMYFUNCTION("""COMPUTED_VALUE"""),14504)</f>
        <v>14504</v>
      </c>
      <c r="I18" t="str">
        <v>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IFERROR(__xludf.DUMMYFUNCTION("""COMPUTED_VALUE"""),"Sao Salvador do Tocantins")</f>
        <v>Sao Salvador do Tocantins</v>
      </c>
      <c r="C19" t="str">
        <f ca="1">IFERROR(__xludf.DUMMYFUNCTION("""COMPUTED_VALUE"""),"A.A DA ESCOLA ESTADUAL RETIRO")</f>
        <v>A.A DA ESCOLA ESTADUAL RETIRO</v>
      </c>
      <c r="D19" t="str">
        <f ca="1">IFERROR(__xludf.DUMMYFUNCTION("""COMPUTED_VALUE"""),"04205236000115")</f>
        <v>04205236000115</v>
      </c>
      <c r="E19" t="str">
        <f ca="1">IFERROR(__xludf.DUMMYFUNCTION("""COMPUTED_VALUE"""),"001")</f>
        <v>001</v>
      </c>
      <c r="F19" t="str">
        <f ca="1">IFERROR(__xludf.DUMMYFUNCTION("""COMPUTED_VALUE"""),"4608")</f>
        <v>4608</v>
      </c>
      <c r="G19" t="str">
        <f ca="1">IFERROR(__xludf.DUMMYFUNCTION("""COMPUTED_VALUE"""),"73563")</f>
        <v>73563</v>
      </c>
      <c r="H19" s="7">
        <f ca="1">IFERROR(__xludf.DUMMYFUNCTION("""COMPUTED_VALUE"""),5096)</f>
        <v>5096</v>
      </c>
      <c r="I19" t="str">
        <v>FUND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7">
        <f ca="1">IFERROR(__xludf.DUMMYFUNCTION("""COMPUTED_VALUE"""),10662.4)</f>
        <v>10662.4</v>
      </c>
      <c r="I20" t="str">
        <v>FUND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7">
        <f ca="1">IFERROR(__xludf.DUMMYFUNCTION("""COMPUTED_VALUE"""),23128)</f>
        <v>23128</v>
      </c>
      <c r="I21" t="str">
        <v>FUND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7">
        <f ca="1">IFERROR(__xludf.DUMMYFUNCTION("""COMPUTED_VALUE"""),64288)</f>
        <v>64288</v>
      </c>
      <c r="I22" t="str">
        <v>FUND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7">
        <f ca="1">IFERROR(__xludf.DUMMYFUNCTION("""COMPUTED_VALUE"""),10819.2)</f>
        <v>10819.2</v>
      </c>
      <c r="I23" t="str">
        <v>FUND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7">
        <f ca="1">IFERROR(__xludf.DUMMYFUNCTION("""COMPUTED_VALUE"""),38337.6)</f>
        <v>38337.599999999999</v>
      </c>
      <c r="I24" t="str">
        <v>FUND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7">
        <f ca="1">IFERROR(__xludf.DUMMYFUNCTION("""COMPUTED_VALUE"""),31516.8)</f>
        <v>31516.799999999999</v>
      </c>
      <c r="I25" t="str">
        <v>FUND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7">
        <f ca="1">IFERROR(__xludf.DUMMYFUNCTION("""COMPUTED_VALUE"""),8310.4)</f>
        <v>8310.4</v>
      </c>
      <c r="I26" t="str">
        <v>FUND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7">
        <f ca="1">IFERROR(__xludf.DUMMYFUNCTION("""COMPUTED_VALUE"""),10505.6)</f>
        <v>10505.6</v>
      </c>
      <c r="I27" t="str">
        <v>FUND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7">
        <f ca="1">IFERROR(__xludf.DUMMYFUNCTION("""COMPUTED_VALUE"""),19992)</f>
        <v>19992</v>
      </c>
      <c r="I28" t="str">
        <v>FUND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7">
        <f ca="1">IFERROR(__xludf.DUMMYFUNCTION("""COMPUTED_VALUE"""),8624)</f>
        <v>8624</v>
      </c>
      <c r="I29" t="str">
        <v>FUND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7">
        <f ca="1">IFERROR(__xludf.DUMMYFUNCTION("""COMPUTED_VALUE"""),8702.4)</f>
        <v>8702.4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7">
        <f ca="1">IFERROR(__xludf.DUMMYFUNCTION("""COMPUTED_VALUE"""),10819.2)</f>
        <v>10819.2</v>
      </c>
      <c r="I31" t="str">
        <v>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7">
        <f ca="1">IFERROR(__xludf.DUMMYFUNCTION("""COMPUTED_VALUE"""),12152)</f>
        <v>12152</v>
      </c>
      <c r="I32" t="str">
        <v>FUND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7">
        <f ca="1">IFERROR(__xludf.DUMMYFUNCTION("""COMPUTED_VALUE"""),6977.6)</f>
        <v>6977.6</v>
      </c>
      <c r="I33" t="str">
        <v>FUND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7">
        <f ca="1">IFERROR(__xludf.DUMMYFUNCTION("""COMPUTED_VALUE"""),9016)</f>
        <v>9016</v>
      </c>
      <c r="I34" t="str">
        <v>FUND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7">
        <f ca="1">IFERROR(__xludf.DUMMYFUNCTION("""COMPUTED_VALUE"""),12700.8)</f>
        <v>12700.8</v>
      </c>
      <c r="I35" t="str">
        <v>FUND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35" t="str">
        <f ca="1">IFERROR(__xludf.DUMMYFUNCTION("QUERY(REP_EST_TI!A5:Z1000,""SELECT A,B,C,D,E,F,G,K WHERE K&gt;0 label K 'ENS MEDIO INTEGRAL'"")"),"")</f>
        <v/>
      </c>
      <c r="B1" s="236" t="str">
        <f ca="1">IFERROR(__xludf.DUMMYFUNCTION("""COMPUTED_VALUE"""),"")</f>
        <v/>
      </c>
      <c r="C1" s="236" t="str">
        <f ca="1">IFERROR(__xludf.DUMMYFUNCTION("""COMPUTED_VALUE"""),"")</f>
        <v/>
      </c>
      <c r="D1" s="236" t="str">
        <f ca="1">IFERROR(__xludf.DUMMYFUNCTION("""COMPUTED_VALUE"""),"")</f>
        <v/>
      </c>
      <c r="E1" s="236" t="str">
        <f ca="1">IFERROR(__xludf.DUMMYFUNCTION("""COMPUTED_VALUE"""),"")</f>
        <v/>
      </c>
      <c r="F1" s="236" t="str">
        <f ca="1">IFERROR(__xludf.DUMMYFUNCTION("""COMPUTED_VALUE"""),"")</f>
        <v/>
      </c>
      <c r="G1" s="236" t="str">
        <f ca="1">IFERROR(__xludf.DUMMYFUNCTION("""COMPUTED_VALUE"""),"")</f>
        <v/>
      </c>
      <c r="H1" s="236" t="str">
        <f ca="1">IFERROR(__xludf.DUMMYFUNCTION("""COMPUTED_VALUE"""),"ENS MEDIO INTEGRAL")</f>
        <v>ENS MEDIO INTEGRAL</v>
      </c>
      <c r="I1" s="237" t="str">
        <f t="array" ref="I1:I1000">IF(ROW(A1:A1000)=1,"ETAPA",IF(A1:A1000&lt;&gt;"","ENS MEDIO INTEGRAL",""))</f>
        <v>ETAPA</v>
      </c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IFERROR(__xludf.DUMMYFUNCTION("""COMPUTED_VALUE"""),"Guaraí")</f>
        <v>Guaraí</v>
      </c>
      <c r="B4" t="str">
        <f ca="1">IFERROR(__xludf.DUMMYFUNCTION("""COMPUTED_VALUE"""),"Couto Magalhaes")</f>
        <v>Couto Magalhaes</v>
      </c>
      <c r="C4" t="str">
        <f ca="1">IFERROR(__xludf.DUMMYFUNCTION("""COMPUTED_VALUE"""),"A.A. COL. EST. ARCHANGELA MILHOMEM")</f>
        <v>A.A. COL. EST. ARCHANGELA MILHOMEM</v>
      </c>
      <c r="D4" t="str">
        <f ca="1">IFERROR(__xludf.DUMMYFUNCTION("""COMPUTED_VALUE"""),"01138334000199")</f>
        <v>01138334000199</v>
      </c>
      <c r="E4" t="str">
        <f ca="1">IFERROR(__xludf.DUMMYFUNCTION("""COMPUTED_VALUE"""),"001")</f>
        <v>001</v>
      </c>
      <c r="F4" t="str">
        <f ca="1">IFERROR(__xludf.DUMMYFUNCTION("""COMPUTED_VALUE"""),"2094")</f>
        <v>2094</v>
      </c>
      <c r="G4" t="str">
        <f ca="1">IFERROR(__xludf.DUMMYFUNCTION("""COMPUTED_VALUE"""),"50385")</f>
        <v>50385</v>
      </c>
      <c r="H4" s="7">
        <f ca="1">IFERROR(__xludf.DUMMYFUNCTION("""COMPUTED_VALUE"""),31046.4)</f>
        <v>31046.400000000001</v>
      </c>
      <c r="I4" t="str">
        <v>ENS MEDIO INTEGRAL</v>
      </c>
    </row>
    <row r="5" spans="1:26" ht="12.75">
      <c r="A5" t="str">
        <f ca="1">IFERROR(__xludf.DUMMYFUNCTION("""COMPUTED_VALUE"""),"Gurupi")</f>
        <v>Gurupi</v>
      </c>
      <c r="B5" t="str">
        <f ca="1">IFERROR(__xludf.DUMMYFUNCTION("""COMPUTED_VALUE"""),"Alianca do Tocantins")</f>
        <v>Alianca do Tocantins</v>
      </c>
      <c r="C5" t="str">
        <f ca="1">IFERROR(__xludf.DUMMYFUNCTION("""COMPUTED_VALUE"""),"A. PAIS E MESTRES ESC. EST.N.SRA.DO CARMO")</f>
        <v>A. PAIS E MESTRES ESC. EST.N.SRA.DO CARMO</v>
      </c>
      <c r="D5" t="str">
        <f ca="1">IFERROR(__xludf.DUMMYFUNCTION("""COMPUTED_VALUE"""),"01034192000110")</f>
        <v>01034192000110</v>
      </c>
      <c r="E5" t="str">
        <f ca="1">IFERROR(__xludf.DUMMYFUNCTION("""COMPUTED_VALUE"""),"001")</f>
        <v>001</v>
      </c>
      <c r="F5" t="str">
        <f ca="1">IFERROR(__xludf.DUMMYFUNCTION("""COMPUTED_VALUE"""),"3972")</f>
        <v>3972</v>
      </c>
      <c r="G5" t="str">
        <f ca="1">IFERROR(__xludf.DUMMYFUNCTION("""COMPUTED_VALUE"""),"243590")</f>
        <v>243590</v>
      </c>
      <c r="H5" s="7">
        <f ca="1">IFERROR(__xludf.DUMMYFUNCTION("""COMPUTED_VALUE"""),2038.4)</f>
        <v>2038.4</v>
      </c>
      <c r="I5" t="str">
        <v>ENS MEDIO INTEGRAL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IFERROR(__xludf.DUMMYFUNCTION("""COMPUTED_VALUE"""),"Gurupi")</f>
        <v>Gurupi</v>
      </c>
      <c r="C6" t="str">
        <f ca="1">IFERROR(__xludf.DUMMYFUNCTION("""COMPUTED_VALUE"""),"A. EDUCACIONAL PRES. COSTA E SILVA")</f>
        <v>A. EDUCACIONAL PRES. COSTA E SILVA</v>
      </c>
      <c r="D6" t="str">
        <f ca="1">IFERROR(__xludf.DUMMYFUNCTION("""COMPUTED_VALUE"""),"01888719000173")</f>
        <v>01888719000173</v>
      </c>
      <c r="E6" t="str">
        <f ca="1">IFERROR(__xludf.DUMMYFUNCTION("""COMPUTED_VALUE"""),"001")</f>
        <v>001</v>
      </c>
      <c r="F6" t="str">
        <f ca="1">IFERROR(__xludf.DUMMYFUNCTION("""COMPUTED_VALUE"""),"0794")</f>
        <v>0794</v>
      </c>
      <c r="G6" t="str">
        <f ca="1">IFERROR(__xludf.DUMMYFUNCTION("""COMPUTED_VALUE"""),"67490")</f>
        <v>67490</v>
      </c>
      <c r="H6" s="7">
        <f ca="1">IFERROR(__xludf.DUMMYFUNCTION("""COMPUTED_VALUE"""),23520)</f>
        <v>23520</v>
      </c>
      <c r="I6" t="str">
        <v>ENS MEDIO INTEGRAL</v>
      </c>
    </row>
    <row r="7" spans="1:26" ht="12.75">
      <c r="A7" t="str">
        <f ca="1">IFERROR(__xludf.DUMMYFUNCTION("""COMPUTED_VALUE"""),"Paraíso")</f>
        <v>Paraíso</v>
      </c>
      <c r="B7" t="str">
        <f ca="1">IFERROR(__xludf.DUMMYFUNCTION("""COMPUTED_VALUE"""),"Nova Rosalandia")</f>
        <v>Nova Rosalandia</v>
      </c>
      <c r="C7" t="str">
        <f ca="1">IFERROR(__xludf.DUMMYFUNCTION("""COMPUTED_VALUE"""),"ASSOC.COM. ESC EST.REGINA SIQUEIRA CAMPOS")</f>
        <v>ASSOC.COM. ESC EST.REGINA SIQUEIRA CAMPOS</v>
      </c>
      <c r="D7" t="str">
        <f ca="1">IFERROR(__xludf.DUMMYFUNCTION("""COMPUTED_VALUE"""),"01181170000182")</f>
        <v>01181170000182</v>
      </c>
      <c r="E7" t="str">
        <f ca="1">IFERROR(__xludf.DUMMYFUNCTION("""COMPUTED_VALUE"""),"001")</f>
        <v>001</v>
      </c>
      <c r="F7" t="str">
        <f ca="1">IFERROR(__xludf.DUMMYFUNCTION("""COMPUTED_VALUE"""),"0804")</f>
        <v>0804</v>
      </c>
      <c r="G7" t="str">
        <f ca="1">IFERROR(__xludf.DUMMYFUNCTION("""COMPUTED_VALUE"""),"16383X")</f>
        <v>16383X</v>
      </c>
      <c r="H7" s="7">
        <f ca="1">IFERROR(__xludf.DUMMYFUNCTION("""COMPUTED_VALUE"""),1646.4)</f>
        <v>1646.4</v>
      </c>
      <c r="I7" t="str">
        <v>ENS MEDIO INTEGRAL</v>
      </c>
    </row>
    <row r="8" spans="1:26" ht="12.75">
      <c r="A8" t="str">
        <f ca="1">IFERROR(__xludf.DUMMYFUNCTION("""COMPUTED_VALUE"""),"Paraíso")</f>
        <v>Paraíso</v>
      </c>
      <c r="B8" t="str">
        <f ca="1">IFERROR(__xludf.DUMMYFUNCTION("""COMPUTED_VALUE"""),"Paraiso do Tocantins")</f>
        <v>Paraiso do Tocantins</v>
      </c>
      <c r="C8" t="str">
        <f ca="1">IFERROR(__xludf.DUMMYFUNCTION("""COMPUTED_VALUE"""),"ASS. A. ESCOLA EST. DE TEMPO INTEGRAL PROFESSORA RITA ANDRADE SANTOS")</f>
        <v>ASS. A. ESCOLA EST. DE TEMPO INTEGRAL PROFESSORA RITA ANDRADE SANTOS</v>
      </c>
      <c r="D8" t="str">
        <f ca="1">IFERROR(__xludf.DUMMYFUNCTION("""COMPUTED_VALUE"""),"48740961000169")</f>
        <v>48740961000169</v>
      </c>
      <c r="E8" t="str">
        <f ca="1">IFERROR(__xludf.DUMMYFUNCTION("""COMPUTED_VALUE"""),"001")</f>
        <v>001</v>
      </c>
      <c r="F8" t="str">
        <f ca="1">IFERROR(__xludf.DUMMYFUNCTION("""COMPUTED_VALUE"""),"0804")</f>
        <v>0804</v>
      </c>
      <c r="G8" t="str">
        <f ca="1">IFERROR(__xludf.DUMMYFUNCTION("""COMPUTED_VALUE"""),"58858X")</f>
        <v>58858X</v>
      </c>
      <c r="H8" s="7">
        <f ca="1">IFERROR(__xludf.DUMMYFUNCTION("""COMPUTED_VALUE"""),2195.2)</f>
        <v>2195.1999999999998</v>
      </c>
      <c r="I8" t="str">
        <v>ENS MEDIO INTEGRAL</v>
      </c>
    </row>
    <row r="9" spans="1:26" ht="12.75">
      <c r="A9" t="str">
        <f ca="1">IFERROR(__xludf.DUMMYFUNCTION("""COMPUTED_VALUE"""),"Pedro Afonso")</f>
        <v>Pedro Afonso</v>
      </c>
      <c r="B9" t="str">
        <f ca="1">IFERROR(__xludf.DUMMYFUNCTION("""COMPUTED_VALUE"""),"Pedro Afonso")</f>
        <v>Pedro Afonso</v>
      </c>
      <c r="C9" t="str">
        <f ca="1">IFERROR(__xludf.DUMMYFUNCTION("""COMPUTED_VALUE"""),"A.A. AO COLÉGIO DE TEMPO INTEGRAL PROFESSOR ANTONIO BELARMINO FILHO")</f>
        <v>A.A. AO COLÉGIO DE TEMPO INTEGRAL PROFESSOR ANTONIO BELARMINO FILHO</v>
      </c>
      <c r="D9" t="str">
        <f ca="1">IFERROR(__xludf.DUMMYFUNCTION("""COMPUTED_VALUE"""),"47823286000179")</f>
        <v>47823286000179</v>
      </c>
      <c r="E9" t="str">
        <f ca="1">IFERROR(__xludf.DUMMYFUNCTION("""COMPUTED_VALUE"""),"001")</f>
        <v>001</v>
      </c>
      <c r="F9" t="str">
        <f ca="1">IFERROR(__xludf.DUMMYFUNCTION("""COMPUTED_VALUE"""),"1595")</f>
        <v>1595</v>
      </c>
      <c r="G9" t="str">
        <f ca="1">IFERROR(__xludf.DUMMYFUNCTION("""COMPUTED_VALUE"""),"334804")</f>
        <v>334804</v>
      </c>
      <c r="H9" s="7">
        <f ca="1">IFERROR(__xludf.DUMMYFUNCTION("""COMPUTED_VALUE"""),7918.4)</f>
        <v>7918.4</v>
      </c>
      <c r="I9" t="str">
        <v>ENS MEDIO INTEGRAL</v>
      </c>
    </row>
    <row r="10" spans="1:26" ht="12.75">
      <c r="A10" t="str">
        <f ca="1">IFERROR(__xludf.DUMMYFUNCTION("""COMPUTED_VALUE"""),"Pedro Afonso")</f>
        <v>Pedro Afonso</v>
      </c>
      <c r="B10" t="str">
        <f ca="1">IFERROR(__xludf.DUMMYFUNCTION("""COMPUTED_VALUE"""),"Tupirama")</f>
        <v>Tupirama</v>
      </c>
      <c r="C10" t="str">
        <f ca="1">IFERROR(__xludf.DUMMYFUNCTION("""COMPUTED_VALUE"""),"A.A. A ESCOLA EST. MARIA DA GLORIA")</f>
        <v>A.A. A ESCOLA EST. MARIA DA GLORIA</v>
      </c>
      <c r="D10" t="str">
        <f ca="1">IFERROR(__xludf.DUMMYFUNCTION("""COMPUTED_VALUE"""),"02096555000104")</f>
        <v>02096555000104</v>
      </c>
      <c r="E10" t="str">
        <f ca="1">IFERROR(__xludf.DUMMYFUNCTION("""COMPUTED_VALUE"""),"001")</f>
        <v>001</v>
      </c>
      <c r="F10" t="str">
        <f ca="1">IFERROR(__xludf.DUMMYFUNCTION("""COMPUTED_VALUE"""),"2094")</f>
        <v>2094</v>
      </c>
      <c r="G10" t="str">
        <f ca="1">IFERROR(__xludf.DUMMYFUNCTION("""COMPUTED_VALUE"""),"50482")</f>
        <v>50482</v>
      </c>
      <c r="H10" s="7">
        <f ca="1">IFERROR(__xludf.DUMMYFUNCTION("""COMPUTED_VALUE"""),6820.8)</f>
        <v>6820.8</v>
      </c>
      <c r="I10" t="str">
        <v>ENS MEDIO INTEGRAL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35" t="str">
        <f ca="1">IFERROR(__xludf.DUMMYFUNCTION("QUERY(REP_EST_TI!A5:Z1000,""SELECT A,B,C,D,E,F,G,L WHERE L&gt;0 label L 'INTERNATO'"")"),"")</f>
        <v/>
      </c>
      <c r="B1" s="236" t="str">
        <f ca="1">IFERROR(__xludf.DUMMYFUNCTION("""COMPUTED_VALUE"""),"")</f>
        <v/>
      </c>
      <c r="C1" s="236" t="str">
        <f ca="1">IFERROR(__xludf.DUMMYFUNCTION("""COMPUTED_VALUE"""),"")</f>
        <v/>
      </c>
      <c r="D1" s="236" t="str">
        <f ca="1">IFERROR(__xludf.DUMMYFUNCTION("""COMPUTED_VALUE"""),"")</f>
        <v/>
      </c>
      <c r="E1" s="236" t="str">
        <f ca="1">IFERROR(__xludf.DUMMYFUNCTION("""COMPUTED_VALUE"""),"")</f>
        <v/>
      </c>
      <c r="F1" s="236" t="str">
        <f ca="1">IFERROR(__xludf.DUMMYFUNCTION("""COMPUTED_VALUE"""),"")</f>
        <v/>
      </c>
      <c r="G1" s="236" t="str">
        <f ca="1">IFERROR(__xludf.DUMMYFUNCTION("""COMPUTED_VALUE"""),"")</f>
        <v/>
      </c>
      <c r="H1" s="236" t="str">
        <f ca="1">IFERROR(__xludf.DUMMYFUNCTION("""COMPUTED_VALUE"""),"INTERNATO")</f>
        <v>INTERNATO</v>
      </c>
      <c r="I1" s="237" t="str">
        <f t="array" ref="I1:I1000">IF(ROW(A1:A1000)=1,"ETAPA",IF(A1:A1000&lt;&gt;"","INTERNATO",""))</f>
        <v>ETAPA</v>
      </c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IFERROR(__xludf.DUMMYFUNCTION("""COMPUTED_VALUE"""),21432.6)</f>
        <v>21432.6</v>
      </c>
      <c r="I2" t="str">
        <v>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IFERROR(__xludf.DUMMYFUNCTION("""COMPUTED_VALUE"""),22755.6)</f>
        <v>22755.599999999999</v>
      </c>
      <c r="I3" t="str">
        <v>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35" t="str">
        <f ca="1">IFERROR(__xludf.DUMMYFUNCTION("QUERY(REP_EST_TI!A5:Z1000,""SELECT A,B,C,D,E,F,G,N WHERE N&gt;0 label N 'SERVIDORES INTERNATO'"")"),"")</f>
        <v/>
      </c>
      <c r="B1" s="236" t="str">
        <f ca="1">IFERROR(__xludf.DUMMYFUNCTION("""COMPUTED_VALUE"""),"")</f>
        <v/>
      </c>
      <c r="C1" s="236" t="str">
        <f ca="1">IFERROR(__xludf.DUMMYFUNCTION("""COMPUTED_VALUE"""),"")</f>
        <v/>
      </c>
      <c r="D1" s="236" t="str">
        <f ca="1">IFERROR(__xludf.DUMMYFUNCTION("""COMPUTED_VALUE"""),"")</f>
        <v/>
      </c>
      <c r="E1" s="236" t="str">
        <f ca="1">IFERROR(__xludf.DUMMYFUNCTION("""COMPUTED_VALUE"""),"")</f>
        <v/>
      </c>
      <c r="F1" s="236" t="str">
        <f ca="1">IFERROR(__xludf.DUMMYFUNCTION("""COMPUTED_VALUE"""),"")</f>
        <v/>
      </c>
      <c r="G1" s="236" t="str">
        <f ca="1">IFERROR(__xludf.DUMMYFUNCTION("""COMPUTED_VALUE"""),"")</f>
        <v/>
      </c>
      <c r="H1" s="236" t="str">
        <f ca="1">IFERROR(__xludf.DUMMYFUNCTION("""COMPUTED_VALUE"""),"SERVIDORES INTERNATO")</f>
        <v>SERVIDORES INTERNATO</v>
      </c>
      <c r="I1" s="237" t="str">
        <f t="array" ref="I1:I1000">IF(ROW(A1:A1000)=1,"ETAPA",IF(A1:A1000&lt;&gt;"","SERVIDORES INTERNATO",""))</f>
        <v>ETAPA</v>
      </c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IFERROR(__xludf.DUMMYFUNCTION("""COMPUTED_VALUE"""),1780.2)</f>
        <v>1780.2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35" t="str">
        <f ca="1">IFERROR(__xludf.DUMMYFUNCTION("QUERY(REP_EST_TI!A5:Z1000,""SELECT A,B,C,D,E,F,G,O WHERE O&gt;0 label O 'SERVIDORES AGRICOLA'"")"),"")</f>
        <v/>
      </c>
      <c r="B1" s="236" t="str">
        <f ca="1">IFERROR(__xludf.DUMMYFUNCTION("""COMPUTED_VALUE"""),"")</f>
        <v/>
      </c>
      <c r="C1" s="236" t="str">
        <f ca="1">IFERROR(__xludf.DUMMYFUNCTION("""COMPUTED_VALUE"""),"")</f>
        <v/>
      </c>
      <c r="D1" s="236" t="str">
        <f ca="1">IFERROR(__xludf.DUMMYFUNCTION("""COMPUTED_VALUE"""),"")</f>
        <v/>
      </c>
      <c r="E1" s="236" t="str">
        <f ca="1">IFERROR(__xludf.DUMMYFUNCTION("""COMPUTED_VALUE"""),"")</f>
        <v/>
      </c>
      <c r="F1" s="236" t="str">
        <f ca="1">IFERROR(__xludf.DUMMYFUNCTION("""COMPUTED_VALUE"""),"")</f>
        <v/>
      </c>
      <c r="G1" s="236" t="str">
        <f ca="1">IFERROR(__xludf.DUMMYFUNCTION("""COMPUTED_VALUE"""),"")</f>
        <v/>
      </c>
      <c r="H1" s="236" t="str">
        <f ca="1">IFERROR(__xludf.DUMMYFUNCTION("""COMPUTED_VALUE"""),"SERVIDORES AGRICOLA")</f>
        <v>SERVIDORES AGRICOLA</v>
      </c>
      <c r="I1" s="237" t="str">
        <f t="array" ref="I1:I1000">IF(ROW(A1:A1000)=1,"ETAPA",IF(A1:A1000&lt;&gt;"","SERVIDORES AGRICOLA",""))</f>
        <v>ETAPA</v>
      </c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IFERROR(__xludf.DUMMYFUNCTION("""COMPUTED_VALUE"""),2553)</f>
        <v>2553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IFERROR(__xludf.DUMMYFUNCTION("""COMPUTED_VALUE"""),2212.6)</f>
        <v>2212.6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IFERROR(__xludf.DUMMYFUNCTION("""COMPUTED_VALUE"""),3404)</f>
        <v>3404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IFERROR(__xludf.DUMMYFUNCTION("""COMPUTED_VALUE"""),340.4)</f>
        <v>340.4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IFERROR(__xludf.DUMMYFUNCTION("""COMPUTED_VALUE"""),510.599999999999)</f>
        <v>510.599999999999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IFERROR(__xludf.DUMMYFUNCTION("""COMPUTED_VALUE"""),2382.79999999999)</f>
        <v>2382.7999999999902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39" t="str">
        <f ca="1">IFERROR(__xludf.DUMMYFUNCTION("QUERY(REP_EST_TI!A5:Z1000,""SELECT A,B,C,D,E,F,G,P WHERE P&gt;0 label P 'SERVIDORES INTEGRAL'"")"),"")</f>
        <v/>
      </c>
      <c r="B1" s="240" t="str">
        <f ca="1">IFERROR(__xludf.DUMMYFUNCTION("""COMPUTED_VALUE"""),"")</f>
        <v/>
      </c>
      <c r="C1" s="240" t="str">
        <f ca="1">IFERROR(__xludf.DUMMYFUNCTION("""COMPUTED_VALUE"""),"")</f>
        <v/>
      </c>
      <c r="D1" s="240" t="str">
        <f ca="1">IFERROR(__xludf.DUMMYFUNCTION("""COMPUTED_VALUE"""),"")</f>
        <v/>
      </c>
      <c r="E1" s="240" t="str">
        <f ca="1">IFERROR(__xludf.DUMMYFUNCTION("""COMPUTED_VALUE"""),"")</f>
        <v/>
      </c>
      <c r="F1" s="240" t="str">
        <f ca="1">IFERROR(__xludf.DUMMYFUNCTION("""COMPUTED_VALUE"""),"")</f>
        <v/>
      </c>
      <c r="G1" s="240" t="str">
        <f ca="1">IFERROR(__xludf.DUMMYFUNCTION("""COMPUTED_VALUE"""),"")</f>
        <v/>
      </c>
      <c r="H1" s="240" t="str">
        <f ca="1">IFERROR(__xludf.DUMMYFUNCTION("""COMPUTED_VALUE"""),"SERVIDORES INTEGRAL")</f>
        <v>SERVIDORES INTEGRAL</v>
      </c>
      <c r="I1" s="241" t="str">
        <f t="array" ref="I1:I1000">IF(ROW(A1:A1000)=1,"ETAPA",IF(A1:A1000&lt;&gt;"","SERVIDORES INTEGRAL",""))</f>
        <v>ETAPA</v>
      </c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IFERROR(__xludf.DUMMYFUNCTION("""COMPUTED_VALUE"""),8982)</f>
        <v>8982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IFERROR(__xludf.DUMMYFUNCTION("""COMPUTED_VALUE"""),5089.8)</f>
        <v>5089.8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IFERROR(__xludf.DUMMYFUNCTION("""COMPUTED_VALUE"""),1397.2)</f>
        <v>1397.2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IFERROR(__xludf.DUMMYFUNCTION("""COMPUTED_VALUE"""),1197.6)</f>
        <v>1197.5999999999999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IFERROR(__xludf.DUMMYFUNCTION("""COMPUTED_VALUE"""),4491)</f>
        <v>4491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IFERROR(__xludf.DUMMYFUNCTION("""COMPUTED_VALUE"""),1397.2)</f>
        <v>1397.2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IFERROR(__xludf.DUMMYFUNCTION("""COMPUTED_VALUE"""),1097.8)</f>
        <v>1097.8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7">
        <f ca="1">IFERROR(__xludf.DUMMYFUNCTION("""COMPUTED_VALUE"""),2594.79999999999)</f>
        <v>2594.7999999999902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7">
        <f ca="1">IFERROR(__xludf.DUMMYFUNCTION("""COMPUTED_VALUE"""),598.8)</f>
        <v>598.79999999999995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7">
        <f ca="1">IFERROR(__xludf.DUMMYFUNCTION("""COMPUTED_VALUE"""),998)</f>
        <v>998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7">
        <f ca="1">IFERROR(__xludf.DUMMYFUNCTION("""COMPUTED_VALUE"""),4191.59999999999)</f>
        <v>4191.5999999999904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7">
        <f ca="1">IFERROR(__xludf.DUMMYFUNCTION("""COMPUTED_VALUE"""),7485)</f>
        <v>7485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7">
        <f ca="1">IFERROR(__xludf.DUMMYFUNCTION("""COMPUTED_VALUE"""),1197.6)</f>
        <v>1197.5999999999999</v>
      </c>
      <c r="I19" t="str">
        <v>SERVIDORES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IFERROR(__xludf.DUMMYFUNCTION("""COMPUTED_VALUE"""),"Sao Salvador do Tocantins")</f>
        <v>Sao Salvador do Tocantins</v>
      </c>
      <c r="C20" t="str">
        <f ca="1">IFERROR(__xludf.DUMMYFUNCTION("""COMPUTED_VALUE"""),"A.A DA ESCOLA ESTADUAL RETIRO")</f>
        <v>A.A DA ESCOLA ESTADUAL RETIRO</v>
      </c>
      <c r="D20" t="str">
        <f ca="1">IFERROR(__xludf.DUMMYFUNCTION("""COMPUTED_VALUE"""),"04205236000115")</f>
        <v>04205236000115</v>
      </c>
      <c r="E20" t="str">
        <f ca="1">IFERROR(__xludf.DUMMYFUNCTION("""COMPUTED_VALUE"""),"001")</f>
        <v>001</v>
      </c>
      <c r="F20" t="str">
        <f ca="1">IFERROR(__xludf.DUMMYFUNCTION("""COMPUTED_VALUE"""),"4608")</f>
        <v>4608</v>
      </c>
      <c r="G20" t="str">
        <f ca="1">IFERROR(__xludf.DUMMYFUNCTION("""COMPUTED_VALUE"""),"73563")</f>
        <v>73563</v>
      </c>
      <c r="H20" s="7">
        <f ca="1">IFERROR(__xludf.DUMMYFUNCTION("""COMPUTED_VALUE"""),399.2)</f>
        <v>399.2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IFERROR(__xludf.DUMMYFUNCTION("""COMPUTED_VALUE"""),"ASS. APOIO AO CEM XERENTE WARA")</f>
        <v>ASS. APOIO AO CEM XERENTE WARA</v>
      </c>
      <c r="D21" t="str">
        <f ca="1">IFERROR(__xludf.DUMMYFUNCTION("""COMPUTED_VALUE"""),"07674098000101")</f>
        <v>07674098000101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IFERROR(__xludf.DUMMYFUNCTION("""COMPUTED_VALUE"""),"183407")</f>
        <v>183407</v>
      </c>
      <c r="H21" s="7">
        <f ca="1">IFERROR(__xludf.DUMMYFUNCTION("""COMPUTED_VALUE"""),898.199999999999)</f>
        <v>898.19999999999902</v>
      </c>
      <c r="I21" t="str">
        <v>SERVIDORES INTEGRAL</v>
      </c>
    </row>
    <row r="22" spans="1:9" ht="12.75">
      <c r="A22" t="str">
        <f ca="1">IFERROR(__xludf.DUMMYFUNCTION("""COMPUTED_VALUE"""),"Miracema")</f>
        <v>Miracema</v>
      </c>
      <c r="B22" t="str">
        <f ca="1">IFERROR(__xludf.DUMMYFUNCTION("""COMPUTED_VALUE"""),"Tocantinia")</f>
        <v>Tocantinia</v>
      </c>
      <c r="C22" t="str">
        <f ca="1">IFERROR(__xludf.DUMMYFUNCTION("""COMPUTED_VALUE"""),"A.COM.DO COLEGIO FREI ANTONIO CONVENIADO")</f>
        <v>A.COM.DO COLEGIO FREI ANTONIO CONVENIADO</v>
      </c>
      <c r="D22" t="str">
        <f ca="1">IFERROR(__xludf.DUMMYFUNCTION("""COMPUTED_VALUE"""),"01066427000155")</f>
        <v>01066427000155</v>
      </c>
      <c r="E22" t="str">
        <f ca="1">IFERROR(__xludf.DUMMYFUNCTION("""COMPUTED_VALUE"""),"001")</f>
        <v>001</v>
      </c>
      <c r="F22" t="str">
        <f ca="1">IFERROR(__xludf.DUMMYFUNCTION("""COMPUTED_VALUE"""),"0862")</f>
        <v>0862</v>
      </c>
      <c r="G22" t="str">
        <f ca="1">IFERROR(__xludf.DUMMYFUNCTION("""COMPUTED_VALUE"""),"68985")</f>
        <v>68985</v>
      </c>
      <c r="H22" s="7">
        <f ca="1">IFERROR(__xludf.DUMMYFUNCTION("""COMPUTED_VALUE"""),1996)</f>
        <v>1996</v>
      </c>
      <c r="I22" t="str">
        <v>SERVIDORES INTEGRAL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IFERROR(__xludf.DUMMYFUNCTION("""COMPUTED_VALUE"""),"ASSOCIAÇÃO DE APOIO A ESC. ESTADUAL DA 403 SUL")</f>
        <v>ASSOCIAÇÃO DE APOIO A ESC. ESTADUAL DA 403 SUL</v>
      </c>
      <c r="D23" t="str">
        <f ca="1">IFERROR(__xludf.DUMMYFUNCTION("""COMPUTED_VALUE"""),"11332101000186")</f>
        <v>11332101000186</v>
      </c>
      <c r="E23" t="str">
        <f ca="1">IFERROR(__xludf.DUMMYFUNCTION("""COMPUTED_VALUE"""),"001")</f>
        <v>001</v>
      </c>
      <c r="F23" t="str">
        <f ca="1">IFERROR(__xludf.DUMMYFUNCTION("""COMPUTED_VALUE"""),"1505")</f>
        <v>1505</v>
      </c>
      <c r="G23" t="str">
        <f ca="1">IFERROR(__xludf.DUMMYFUNCTION("""COMPUTED_VALUE"""),"467588")</f>
        <v>467588</v>
      </c>
      <c r="H23" s="7">
        <f ca="1">IFERROR(__xludf.DUMMYFUNCTION("""COMPUTED_VALUE"""),5489)</f>
        <v>5489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IFERROR(__xludf.DUMMYFUNCTION("""COMPUTED_VALUE"""),"Nova Rosalandia")</f>
        <v>Nova Rosalandia</v>
      </c>
      <c r="C24" t="str">
        <f ca="1">IFERROR(__xludf.DUMMYFUNCTION("""COMPUTED_VALUE"""),"ASSOC.COM. ESC EST.REGINA SIQUEIRA CAMPOS")</f>
        <v>ASSOC.COM. ESC EST.REGINA SIQUEIRA CAMPOS</v>
      </c>
      <c r="D24" t="str">
        <f ca="1">IFERROR(__xludf.DUMMYFUNCTION("""COMPUTED_VALUE"""),"01181170000182")</f>
        <v>01181170000182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IFERROR(__xludf.DUMMYFUNCTION("""COMPUTED_VALUE"""),"16383X")</f>
        <v>16383X</v>
      </c>
      <c r="H24" s="7">
        <f ca="1">IFERROR(__xludf.DUMMYFUNCTION("""COMPUTED_VALUE"""),1097.8)</f>
        <v>1097.8</v>
      </c>
      <c r="I24" t="str">
        <v>SERVIDORES INTEGRAL</v>
      </c>
    </row>
    <row r="25" spans="1:9" ht="12.75">
      <c r="A25" t="str">
        <f ca="1">IFERROR(__xludf.DUMMYFUNCTION("""COMPUTED_VALUE"""),"Paraíso")</f>
        <v>Paraíso</v>
      </c>
      <c r="B25" t="str">
        <f ca="1">IFERROR(__xludf.DUMMYFUNCTION("""COMPUTED_VALUE"""),"Paraiso do Tocantins")</f>
        <v>Paraiso do Tocantins</v>
      </c>
      <c r="C25" t="str">
        <f ca="1">IFERROR(__xludf.DUMMYFUNCTION("""COMPUTED_VALUE"""),"ASS. A. ESCOLA EST. DE TEMPO INTEGRAL PROFESSORA RITA ANDRADE SANTOS")</f>
        <v>ASS. A. ESCOLA EST. DE TEMPO INTEGRAL PROFESSORA RITA ANDRADE SANTOS</v>
      </c>
      <c r="D25" t="str">
        <f ca="1">IFERROR(__xludf.DUMMYFUNCTION("""COMPUTED_VALUE"""),"48740961000169")</f>
        <v>48740961000169</v>
      </c>
      <c r="E25" t="str">
        <f ca="1">IFERROR(__xludf.DUMMYFUNCTION("""COMPUTED_VALUE"""),"001")</f>
        <v>001</v>
      </c>
      <c r="F25" t="str">
        <f ca="1">IFERROR(__xludf.DUMMYFUNCTION("""COMPUTED_VALUE"""),"0804")</f>
        <v>0804</v>
      </c>
      <c r="G25" t="str">
        <f ca="1">IFERROR(__xludf.DUMMYFUNCTION("""COMPUTED_VALUE"""),"58858X")</f>
        <v>58858X</v>
      </c>
      <c r="H25" s="7">
        <f ca="1">IFERROR(__xludf.DUMMYFUNCTION("""COMPUTED_VALUE"""),3393.2)</f>
        <v>3393.2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IFERROR(__xludf.DUMMYFUNCTION("""COMPUTED_VALUE"""),"Pedro Afonso")</f>
        <v>Pedro Afonso</v>
      </c>
      <c r="C26" t="str">
        <f ca="1">IFERROR(__xludf.DUMMYFUNCTION("""COMPUTED_VALUE"""),"A.A. AO COLÉGIO DE TEMPO INTEGRAL PROFESSOR ANTONIO BELARMINO FILHO")</f>
        <v>A.A. AO COLÉGIO DE TEMPO INTEGRAL PROFESSOR ANTONIO BELARMINO FILHO</v>
      </c>
      <c r="D26" t="str">
        <f ca="1">IFERROR(__xludf.DUMMYFUNCTION("""COMPUTED_VALUE"""),"47823286000179")</f>
        <v>47823286000179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IFERROR(__xludf.DUMMYFUNCTION("""COMPUTED_VALUE"""),"334804")</f>
        <v>334804</v>
      </c>
      <c r="H26" s="7">
        <f ca="1">IFERROR(__xludf.DUMMYFUNCTION("""COMPUTED_VALUE"""),3393.2)</f>
        <v>3393.2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IFERROR(__xludf.DUMMYFUNCTION("""COMPUTED_VALUE"""),"Santa Maria do Tocantins")</f>
        <v>Santa Maria do Tocantins</v>
      </c>
      <c r="C27" t="str">
        <f ca="1">IFERROR(__xludf.DUMMYFUNCTION("""COMPUTED_VALUE"""),"A. A.AS ESC.DO COL. EST. SANTA MARIA")</f>
        <v>A. A.AS ESC.DO COL. EST. SANTA MARIA</v>
      </c>
      <c r="D27" t="str">
        <f ca="1">IFERROR(__xludf.DUMMYFUNCTION("""COMPUTED_VALUE"""),"02087933000193")</f>
        <v>02087933000193</v>
      </c>
      <c r="E27" t="str">
        <f ca="1">IFERROR(__xludf.DUMMYFUNCTION("""COMPUTED_VALUE"""),"001")</f>
        <v>001</v>
      </c>
      <c r="F27" t="str">
        <f ca="1">IFERROR(__xludf.DUMMYFUNCTION("""COMPUTED_VALUE"""),"1595")</f>
        <v>1595</v>
      </c>
      <c r="G27" t="str">
        <f ca="1">IFERROR(__xludf.DUMMYFUNCTION("""COMPUTED_VALUE"""),"83089")</f>
        <v>83089</v>
      </c>
      <c r="H27" s="7">
        <f ca="1">IFERROR(__xludf.DUMMYFUNCTION("""COMPUTED_VALUE"""),698.6)</f>
        <v>698.6</v>
      </c>
      <c r="I27" t="str">
        <v>SERVIDORES INTEGRAL</v>
      </c>
    </row>
    <row r="28" spans="1:9" ht="12.75">
      <c r="A28" t="str">
        <f ca="1">IFERROR(__xludf.DUMMYFUNCTION("""COMPUTED_VALUE"""),"Pedro Afonso")</f>
        <v>Pedro Afonso</v>
      </c>
      <c r="B28" t="str">
        <f ca="1">IFERROR(__xludf.DUMMYFUNCTION("""COMPUTED_VALUE"""),"Tupirama")</f>
        <v>Tupirama</v>
      </c>
      <c r="C28" t="str">
        <f ca="1">IFERROR(__xludf.DUMMYFUNCTION("""COMPUTED_VALUE"""),"A.A. A ESCOLA EST. MARIA DA GLORIA")</f>
        <v>A.A. A ESCOLA EST. MARIA DA GLORIA</v>
      </c>
      <c r="D28" t="str">
        <f ca="1">IFERROR(__xludf.DUMMYFUNCTION("""COMPUTED_VALUE"""),"02096555000104")</f>
        <v>02096555000104</v>
      </c>
      <c r="E28" t="str">
        <f ca="1">IFERROR(__xludf.DUMMYFUNCTION("""COMPUTED_VALUE"""),"001")</f>
        <v>001</v>
      </c>
      <c r="F28" t="str">
        <f ca="1">IFERROR(__xludf.DUMMYFUNCTION("""COMPUTED_VALUE"""),"2094")</f>
        <v>2094</v>
      </c>
      <c r="G28" t="str">
        <f ca="1">IFERROR(__xludf.DUMMYFUNCTION("""COMPUTED_VALUE"""),"50482")</f>
        <v>50482</v>
      </c>
      <c r="H28" s="7">
        <f ca="1">IFERROR(__xludf.DUMMYFUNCTION("""COMPUTED_VALUE"""),1497)</f>
        <v>1497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IFERROR(__xludf.DUMMYFUNCTION("""COMPUTED_VALUE"""),"Brejinho de Nazare")</f>
        <v>Brejinho de Nazare</v>
      </c>
      <c r="C29" t="str">
        <f ca="1">IFERROR(__xludf.DUMMYFUNCTION("""COMPUTED_VALUE"""),"AS.DE APOIO A ESC. EST. JONAS PEREIRA LIMA")</f>
        <v>AS.DE APOIO A ESC. EST. JONAS PEREIRA LIMA</v>
      </c>
      <c r="D29" t="str">
        <f ca="1">IFERROR(__xludf.DUMMYFUNCTION("""COMPUTED_VALUE"""),"01148459000108")</f>
        <v>01148459000108</v>
      </c>
      <c r="E29" t="str">
        <f ca="1">IFERROR(__xludf.DUMMYFUNCTION("""COMPUTED_VALUE"""),"001")</f>
        <v>001</v>
      </c>
      <c r="F29" t="str">
        <f ca="1">IFERROR(__xludf.DUMMYFUNCTION("""COMPUTED_VALUE"""),"3976")</f>
        <v>3976</v>
      </c>
      <c r="G29" t="str">
        <f ca="1">IFERROR(__xludf.DUMMYFUNCTION("""COMPUTED_VALUE"""),"80489")</f>
        <v>80489</v>
      </c>
      <c r="H29" s="7">
        <f ca="1">IFERROR(__xludf.DUMMYFUNCTION("""COMPUTED_VALUE"""),1696.6)</f>
        <v>1696.6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IFERROR(__xludf.DUMMYFUNCTION("""COMPUTED_VALUE"""),"Monte do Carmo")</f>
        <v>Monte do Carmo</v>
      </c>
      <c r="C30" t="str">
        <f ca="1">IFERROR(__xludf.DUMMYFUNCTION("""COMPUTED_VALUE"""),"A.APOIO DA ESCOLA ESTADUAL MESTRA BELA")</f>
        <v>A.APOIO DA ESCOLA ESTADUAL MESTRA BELA</v>
      </c>
      <c r="D30" t="str">
        <f ca="1">IFERROR(__xludf.DUMMYFUNCTION("""COMPUTED_VALUE"""),"01071442000191")</f>
        <v>01071442000191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IFERROR(__xludf.DUMMYFUNCTION("""COMPUTED_VALUE"""),"31286X")</f>
        <v>31286X</v>
      </c>
      <c r="H30" s="7">
        <f ca="1">IFERROR(__xludf.DUMMYFUNCTION("""COMPUTED_VALUE"""),698.6)</f>
        <v>698.6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IFERROR(__xludf.DUMMYFUNCTION("""COMPUTED_VALUE"""),"Pindorama do Tocantins")</f>
        <v>Pindorama do Tocantins</v>
      </c>
      <c r="C31" t="str">
        <f ca="1">IFERROR(__xludf.DUMMYFUNCTION("""COMPUTED_VALUE"""),"A.A. DO COL. EST. MANOEL DOS SANTOS ROSAL")</f>
        <v>A.A. DO COL. EST. MANOEL DOS SANTOS ROSAL</v>
      </c>
      <c r="D31" t="str">
        <f ca="1">IFERROR(__xludf.DUMMYFUNCTION("""COMPUTED_VALUE"""),"01034136000185")</f>
        <v>01034136000185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IFERROR(__xludf.DUMMYFUNCTION("""COMPUTED_VALUE"""),"312991")</f>
        <v>312991</v>
      </c>
      <c r="H31" s="7">
        <f ca="1">IFERROR(__xludf.DUMMYFUNCTION("""COMPUTED_VALUE"""),698.6)</f>
        <v>698.6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IFERROR(__xludf.DUMMYFUNCTION("""COMPUTED_VALUE"""),"Porto Nacional")</f>
        <v>Porto Nacional</v>
      </c>
      <c r="C32" t="str">
        <f ca="1">IFERROR(__xludf.DUMMYFUNCTION("""COMPUTED_VALUE"""),"A.A.  A ESCOLA D. PEDRO II")</f>
        <v>A.A.  A ESCOLA D. PEDRO II</v>
      </c>
      <c r="D32" t="str">
        <f ca="1">IFERROR(__xludf.DUMMYFUNCTION("""COMPUTED_VALUE"""),"01133697000131")</f>
        <v>01133697000131</v>
      </c>
      <c r="E32" t="str">
        <f ca="1">IFERROR(__xludf.DUMMYFUNCTION("""COMPUTED_VALUE"""),"001")</f>
        <v>001</v>
      </c>
      <c r="F32" t="str">
        <f ca="1">IFERROR(__xludf.DUMMYFUNCTION("""COMPUTED_VALUE"""),"1117")</f>
        <v>1117</v>
      </c>
      <c r="G32" t="str">
        <f ca="1">IFERROR(__xludf.DUMMYFUNCTION("""COMPUTED_VALUE"""),"0313092")</f>
        <v>0313092</v>
      </c>
      <c r="H32" s="7">
        <f ca="1">IFERROR(__xludf.DUMMYFUNCTION("""COMPUTED_VALUE"""),898.199999999999)</f>
        <v>898.19999999999902</v>
      </c>
      <c r="I32" t="str">
        <v>SERVIDORES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IFERROR(__xludf.DUMMYFUNCTION("""COMPUTED_VALUE"""),"Silvanopolis")</f>
        <v>Silvanopolis</v>
      </c>
      <c r="C33" t="str">
        <f ca="1">IFERROR(__xludf.DUMMYFUNCTION("""COMPUTED_VALUE"""),"A.A. A ESC. EST. JOAO PIRES QUERIDO")</f>
        <v>A.A. A ESC. EST. JOAO PIRES QUERIDO</v>
      </c>
      <c r="D33" t="str">
        <f ca="1">IFERROR(__xludf.DUMMYFUNCTION("""COMPUTED_VALUE"""),"01284632000197")</f>
        <v>01284632000197</v>
      </c>
      <c r="E33" t="str">
        <f ca="1">IFERROR(__xludf.DUMMYFUNCTION("""COMPUTED_VALUE"""),"001")</f>
        <v>001</v>
      </c>
      <c r="F33" t="str">
        <f ca="1">IFERROR(__xludf.DUMMYFUNCTION("""COMPUTED_VALUE"""),"3980")</f>
        <v>3980</v>
      </c>
      <c r="G33" t="str">
        <f ca="1">IFERROR(__xludf.DUMMYFUNCTION("""COMPUTED_VALUE"""),"051187")</f>
        <v>051187</v>
      </c>
      <c r="H33" s="7">
        <f ca="1">IFERROR(__xludf.DUMMYFUNCTION("""COMPUTED_VALUE"""),998)</f>
        <v>998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IFERROR(__xludf.DUMMYFUNCTION("""COMPUTED_VALUE"""),"Aguiarnopolis")</f>
        <v>Aguiarnopolis</v>
      </c>
      <c r="C34" t="str">
        <f ca="1">IFERROR(__xludf.DUMMYFUNCTION("""COMPUTED_VALUE"""),"A.A. DA ESC. EST. NAZARÉ NUNES DA SILVA (AGUIARNOPOLIS)")</f>
        <v>A.A. DA ESC. EST. NAZARÉ NUNES DA SILVA (AGUIARNOPOLIS)</v>
      </c>
      <c r="D34" t="str">
        <f ca="1">IFERROR(__xludf.DUMMYFUNCTION("""COMPUTED_VALUE"""),"01213519000110")</f>
        <v>01213519000110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IFERROR(__xludf.DUMMYFUNCTION("""COMPUTED_VALUE"""),"217727")</f>
        <v>217727</v>
      </c>
      <c r="H34" s="7">
        <f ca="1">IFERROR(__xludf.DUMMYFUNCTION("""COMPUTED_VALUE"""),598.8)</f>
        <v>598.79999999999995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IFERROR(__xludf.DUMMYFUNCTION("""COMPUTED_VALUE"""),"A.A. ESC. E. E.PROF.ALDENORA A.CORREIA")</f>
        <v>A.A. ESC. E. E.PROF.ALDENORA A.CORREIA</v>
      </c>
      <c r="D35" t="str">
        <f ca="1">IFERROR(__xludf.DUMMYFUNCTION("""COMPUTED_VALUE"""),"01213527000167")</f>
        <v>01213527000167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IFERROR(__xludf.DUMMYFUNCTION("""COMPUTED_VALUE"""),"58319")</f>
        <v>58319</v>
      </c>
      <c r="H35" s="7">
        <f ca="1">IFERROR(__xludf.DUMMYFUNCTION("""COMPUTED_VALUE"""),798.4)</f>
        <v>798.4</v>
      </c>
      <c r="I35" t="str">
        <v>SERVIDORES INTEGRAL</v>
      </c>
    </row>
    <row r="36" spans="1:9" ht="12.75">
      <c r="A36" t="str">
        <f ca="1">IFERROR(__xludf.DUMMYFUNCTION("""COMPUTED_VALUE"""),"Tocantinópolis")</f>
        <v>Tocantinópolis</v>
      </c>
      <c r="B36" t="str">
        <f ca="1">IFERROR(__xludf.DUMMYFUNCTION("""COMPUTED_VALUE"""),"Tocantinopolis")</f>
        <v>Tocantinopolis</v>
      </c>
      <c r="C36" t="str">
        <f ca="1">IFERROR(__xludf.DUMMYFUNCTION("""COMPUTED_VALUE"""),"A. PAIS DA ESC. EST. XV DE NOVEMBRO")</f>
        <v>A. PAIS DA ESC. EST. XV DE NOVEMBRO</v>
      </c>
      <c r="D36" t="str">
        <f ca="1">IFERROR(__xludf.DUMMYFUNCTION("""COMPUTED_VALUE"""),"01213520000145")</f>
        <v>01213520000145</v>
      </c>
      <c r="E36" t="str">
        <f ca="1">IFERROR(__xludf.DUMMYFUNCTION("""COMPUTED_VALUE"""),"001")</f>
        <v>001</v>
      </c>
      <c r="F36" t="str">
        <f ca="1">IFERROR(__xludf.DUMMYFUNCTION("""COMPUTED_VALUE"""),"0810")</f>
        <v>0810</v>
      </c>
      <c r="G36" t="str">
        <f ca="1">IFERROR(__xludf.DUMMYFUNCTION("""COMPUTED_VALUE"""),"58238")</f>
        <v>58238</v>
      </c>
      <c r="H36" s="7">
        <f ca="1">IFERROR(__xludf.DUMMYFUNCTION("""COMPUTED_VALUE"""),1097.8)</f>
        <v>1097.8</v>
      </c>
      <c r="I36" t="str">
        <v>SERVIDORES INTEGRAL</v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35" t="str">
        <f ca="1">IFERROR(__xludf.DUMMYFUNCTION("QUERY(REP_EST_TI!A5:Z1000,""SELECT A,B,C,D,E,F,G,M WHERE M&gt;0 label M 'AGRICOLA'"")"),"")</f>
        <v/>
      </c>
      <c r="B1" s="236" t="str">
        <f ca="1">IFERROR(__xludf.DUMMYFUNCTION("""COMPUTED_VALUE"""),"")</f>
        <v/>
      </c>
      <c r="C1" s="236" t="str">
        <f ca="1">IFERROR(__xludf.DUMMYFUNCTION("""COMPUTED_VALUE"""),"")</f>
        <v/>
      </c>
      <c r="D1" s="236" t="str">
        <f ca="1">IFERROR(__xludf.DUMMYFUNCTION("""COMPUTED_VALUE"""),"")</f>
        <v/>
      </c>
      <c r="E1" s="236" t="str">
        <f ca="1">IFERROR(__xludf.DUMMYFUNCTION("""COMPUTED_VALUE"""),"")</f>
        <v/>
      </c>
      <c r="F1" s="236" t="str">
        <f ca="1">IFERROR(__xludf.DUMMYFUNCTION("""COMPUTED_VALUE"""),"")</f>
        <v/>
      </c>
      <c r="G1" s="236" t="str">
        <f ca="1">IFERROR(__xludf.DUMMYFUNCTION("""COMPUTED_VALUE"""),"")</f>
        <v/>
      </c>
      <c r="H1" s="236" t="str">
        <f ca="1">IFERROR(__xludf.DUMMYFUNCTION("""COMPUTED_VALUE"""),"AGRICOLA")</f>
        <v>AGRICOLA</v>
      </c>
      <c r="I1" s="237" t="str">
        <f t="array" ref="I1:I1000">IF(ROW(A1:A1000)=1,"ETAPA",IF(A1:A1000&lt;&gt;"","AGRICOLA",""))</f>
        <v>ETAPA</v>
      </c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IFERROR(__xludf.DUMMYFUNCTION("""COMPUTED_VALUE"""),32884.8)</f>
        <v>32884.800000000003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IFERROR(__xludf.DUMMYFUNCTION("""COMPUTED_VALUE"""),28272)</f>
        <v>28272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IFERROR(__xludf.DUMMYFUNCTION("""COMPUTED_VALUE"""),43747.2)</f>
        <v>43747.199999999997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IFERROR(__xludf.DUMMYFUNCTION("""COMPUTED_VALUE"""),28569.6)</f>
        <v>28569.599999999999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IFERROR(__xludf.DUMMYFUNCTION("""COMPUTED_VALUE"""),5208)</f>
        <v>5208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IFERROR(__xludf.DUMMYFUNCTION("""COMPUTED_VALUE"""),6993.6)</f>
        <v>6993.6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IFERROR(__xludf.DUMMYFUNCTION("""COMPUTED_VALUE"""),34521.6)</f>
        <v>34521.599999999999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IFERROR(__xludf.DUMMYFUNCTION("""COMPUTED_VALUE"""),32140.8)</f>
        <v>32140.799999999999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357"/>
      <c r="B1" s="356"/>
      <c r="C1" s="356"/>
      <c r="D1" s="2" t="str">
        <f>SUBSTITUTE(H4,".",",")</f>
        <v>27,4</v>
      </c>
      <c r="E1" s="3"/>
      <c r="F1" s="132"/>
      <c r="G1" s="132"/>
      <c r="H1" s="132" t="str">
        <f t="shared" ref="H1:T1" si="0">SUBSTITUTE(H4,".",",")</f>
        <v>27,4</v>
      </c>
      <c r="I1" s="132" t="str">
        <f t="shared" si="0"/>
        <v>14,4</v>
      </c>
      <c r="J1" s="132" t="str">
        <f t="shared" si="0"/>
        <v>10</v>
      </c>
      <c r="K1" s="132" t="str">
        <f t="shared" si="0"/>
        <v>27,4</v>
      </c>
      <c r="L1" s="132" t="str">
        <f t="shared" si="0"/>
        <v>17,2</v>
      </c>
      <c r="M1" s="132" t="str">
        <f t="shared" si="0"/>
        <v>27,4</v>
      </c>
      <c r="N1" s="132" t="str">
        <f t="shared" si="0"/>
        <v>27,4</v>
      </c>
      <c r="O1" s="132" t="str">
        <f t="shared" si="0"/>
        <v>17,2</v>
      </c>
      <c r="P1" s="132" t="str">
        <f t="shared" si="0"/>
        <v>13,6</v>
      </c>
      <c r="Q1" s="132" t="str">
        <f t="shared" si="0"/>
        <v>10</v>
      </c>
      <c r="R1" s="132" t="str">
        <f t="shared" si="0"/>
        <v>27,4</v>
      </c>
      <c r="S1" s="132" t="str">
        <f t="shared" si="0"/>
        <v>51,2</v>
      </c>
      <c r="T1" s="132" t="str">
        <f t="shared" si="0"/>
        <v>8,2</v>
      </c>
      <c r="U1" s="61"/>
      <c r="V1" s="61"/>
      <c r="W1" s="61"/>
    </row>
    <row r="2" spans="1:25" ht="12.75">
      <c r="A2" s="356" t="str">
        <f>"select K * " &amp; H4 &amp; ", L * " &amp; I$4 &amp; ", M * " &amp; J$4 &amp; " where AA='FE'"</f>
        <v>select K * 27.4, L * 14.4, M * 10 where AA='FE'</v>
      </c>
      <c r="B2" s="356"/>
      <c r="C2" s="356"/>
      <c r="D2" s="356"/>
      <c r="E2" s="356"/>
      <c r="F2" s="356"/>
      <c r="G2" s="356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61"/>
      <c r="V2" s="61"/>
      <c r="W2" s="61"/>
    </row>
    <row r="3" spans="1:25" ht="12.75">
      <c r="D3" s="2"/>
      <c r="E3" s="6"/>
      <c r="F3" s="7"/>
      <c r="G3" s="7"/>
      <c r="H3" s="7">
        <f t="shared" ref="H3:T3" ca="1" si="1">SUBTOTAL(9,H7:H430)</f>
        <v>0</v>
      </c>
      <c r="I3" s="7">
        <f t="shared" ca="1" si="1"/>
        <v>3268.7999999999993</v>
      </c>
      <c r="J3" s="7">
        <f t="shared" ca="1" si="1"/>
        <v>682690</v>
      </c>
      <c r="K3" s="7">
        <f t="shared" ca="1" si="1"/>
        <v>293645.7999999997</v>
      </c>
      <c r="L3" s="7">
        <f t="shared" ca="1" si="1"/>
        <v>12917.2</v>
      </c>
      <c r="M3" s="7">
        <f t="shared" ca="1" si="1"/>
        <v>0</v>
      </c>
      <c r="N3" s="7">
        <f t="shared" ca="1" si="1"/>
        <v>0</v>
      </c>
      <c r="O3" s="7">
        <f t="shared" ca="1" si="1"/>
        <v>98934.399999999878</v>
      </c>
      <c r="P3" s="7">
        <f t="shared" ca="1" si="1"/>
        <v>66422.399999999892</v>
      </c>
      <c r="Q3" s="7">
        <f t="shared" ca="1" si="1"/>
        <v>605610</v>
      </c>
      <c r="R3" s="7">
        <f t="shared" ca="1" si="1"/>
        <v>55375.399999999972</v>
      </c>
      <c r="S3" s="7">
        <f t="shared" ca="1" si="1"/>
        <v>304640</v>
      </c>
      <c r="T3" s="7">
        <f t="shared" ca="1" si="1"/>
        <v>57818.199999999852</v>
      </c>
      <c r="U3" s="61"/>
      <c r="V3" s="61"/>
      <c r="W3" s="61"/>
    </row>
    <row r="4" spans="1:25" ht="18.75" customHeight="1">
      <c r="A4" s="8"/>
      <c r="B4" s="8"/>
      <c r="C4" s="8"/>
      <c r="D4" s="8"/>
      <c r="E4" s="9"/>
      <c r="F4" s="9"/>
      <c r="G4" s="9"/>
      <c r="H4" s="9" t="str">
        <f t="shared" ref="H4:T4" si="2">VLOOKUP(H5,iParam,8,0)</f>
        <v>27.4</v>
      </c>
      <c r="I4" s="9" t="str">
        <f t="shared" si="2"/>
        <v>14.4</v>
      </c>
      <c r="J4" s="9" t="str">
        <f t="shared" si="2"/>
        <v>10</v>
      </c>
      <c r="K4" s="9" t="str">
        <f t="shared" si="2"/>
        <v>27.4</v>
      </c>
      <c r="L4" s="9" t="str">
        <f t="shared" si="2"/>
        <v>17.2</v>
      </c>
      <c r="M4" s="9" t="str">
        <f t="shared" si="2"/>
        <v>27.4</v>
      </c>
      <c r="N4" s="9" t="str">
        <f t="shared" si="2"/>
        <v>27.4</v>
      </c>
      <c r="O4" s="9" t="str">
        <f t="shared" si="2"/>
        <v>17.2</v>
      </c>
      <c r="P4" s="9" t="str">
        <f t="shared" si="2"/>
        <v>13.6</v>
      </c>
      <c r="Q4" s="9" t="str">
        <f t="shared" si="2"/>
        <v>10</v>
      </c>
      <c r="R4" s="9" t="str">
        <f t="shared" si="2"/>
        <v>27.4</v>
      </c>
      <c r="S4" s="9" t="str">
        <f t="shared" si="2"/>
        <v>51.2</v>
      </c>
      <c r="T4" s="9" t="str">
        <f t="shared" si="2"/>
        <v>8.2</v>
      </c>
      <c r="U4" s="133"/>
      <c r="V4" s="134"/>
      <c r="W4" s="61"/>
    </row>
    <row r="5" spans="1:25" ht="60" customHeight="1">
      <c r="A5" s="12" t="s">
        <v>5</v>
      </c>
      <c r="B5" s="13" t="s">
        <v>6</v>
      </c>
      <c r="C5" s="13" t="s">
        <v>7</v>
      </c>
      <c r="D5" s="13" t="s">
        <v>9</v>
      </c>
      <c r="E5" s="14" t="s">
        <v>1</v>
      </c>
      <c r="F5" s="14" t="s">
        <v>2</v>
      </c>
      <c r="G5" s="15" t="s">
        <v>3</v>
      </c>
      <c r="H5" s="16" t="s">
        <v>10</v>
      </c>
      <c r="I5" s="17" t="s">
        <v>11</v>
      </c>
      <c r="J5" s="18" t="s">
        <v>12</v>
      </c>
      <c r="K5" s="18" t="s">
        <v>13</v>
      </c>
      <c r="L5" s="19" t="s">
        <v>69</v>
      </c>
      <c r="M5" s="20" t="s">
        <v>14</v>
      </c>
      <c r="N5" s="20" t="s">
        <v>15</v>
      </c>
      <c r="O5" s="21" t="s">
        <v>16</v>
      </c>
      <c r="P5" s="22" t="s">
        <v>17</v>
      </c>
      <c r="Q5" s="23" t="s">
        <v>18</v>
      </c>
      <c r="R5" s="24" t="s">
        <v>19</v>
      </c>
      <c r="S5" s="25" t="s">
        <v>20</v>
      </c>
      <c r="T5" s="26" t="s">
        <v>21</v>
      </c>
    </row>
    <row r="6" spans="1:25" ht="9.75" customHeight="1">
      <c r="A6" s="29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1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CRECHE27.4())")</f>
        <v>product(ED. INF. CRECHE27.4())</v>
      </c>
      <c r="I6" s="30" t="str">
        <f ca="1">IFERROR(__xludf.DUMMYFUNCTION("""COMPUTED_VALUE"""),"product(ED. INF. PRÉ ESCOLA14.4())")</f>
        <v>product(ED. INF. PRÉ ESCOLA14.4())</v>
      </c>
      <c r="J6" s="30" t="str">
        <f ca="1">IFERROR(__xludf.DUMMYFUNCTION("""COMPUTED_VALUE"""),"product(E. F.  PARCIAL10())")</f>
        <v>product(E. F.  PARCIAL10())</v>
      </c>
      <c r="K6" s="30" t="str">
        <f ca="1">IFERROR(__xludf.DUMMYFUNCTION("""COMPUTED_VALUE"""),"product(E. F. INTEGRAL27.4())")</f>
        <v>product(E. F. INTEGRAL27.4())</v>
      </c>
      <c r="L6" s="30" t="str">
        <f ca="1">IFERROR(__xludf.DUMMYFUNCTION("""COMPUTED_VALUE"""),"product(FUND/MÉDIO
Quilombola 
(parcial)17.2())")</f>
        <v>product(FUND/MÉDIO
Quilombola 
(parcial)17.2())</v>
      </c>
      <c r="M6" s="30" t="str">
        <f ca="1">IFERROR(__xludf.DUMMYFUNCTION("""COMPUTED_VALUE"""),"product(FUND/MÉDIO
QUILOMBOLA INTEGRAL27.4())")</f>
        <v>product(FUND/MÉDIO
QUILOMBOLA INTEGRAL27.4())</v>
      </c>
      <c r="N6" s="30" t="str">
        <f ca="1">IFERROR(__xludf.DUMMYFUNCTION("""COMPUTED_VALUE"""),"product(FUND/MÉDIO
INDÍGENA INTEGRAL27.4())")</f>
        <v>product(FUND/MÉDIO
INDÍGENA INTEGRAL27.4())</v>
      </c>
      <c r="O6" s="30" t="str">
        <f ca="1">IFERROR(__xludf.DUMMYFUNCTION("""COMPUTED_VALUE"""),"product(FUND/MÉDIO
INDIGENA (parcial)17.2())")</f>
        <v>product(FUND/MÉDIO
INDIGENA (parcial)17.2())</v>
      </c>
      <c r="P6" s="30" t="str">
        <f ca="1">IFERROR(__xludf.DUMMYFUNCTION("""COMPUTED_VALUE"""),"product(AEE13.6())")</f>
        <v>product(AEE13.6())</v>
      </c>
      <c r="Q6" s="30" t="str">
        <f ca="1">IFERROR(__xludf.DUMMYFUNCTION("""COMPUTED_VALUE"""),"product(E. M. PARCIAL 10())")</f>
        <v>product(E. M. PARCIAL 10())</v>
      </c>
      <c r="R6" s="30" t="str">
        <f ca="1">IFERROR(__xludf.DUMMYFUNCTION("""COMPUTED_VALUE"""),"product(E. M. INTEGRAL27.4())")</f>
        <v>product(E. M. INTEGRAL27.4())</v>
      </c>
      <c r="S6" s="30" t="str">
        <f ca="1">IFERROR(__xludf.DUMMYFUNCTION("""COMPUTED_VALUE"""),"product(E. M. JOVEM EM AÇÃO51.2())")</f>
        <v>product(E. M. JOVEM EM AÇÃO51.2())</v>
      </c>
      <c r="T6" s="30" t="str">
        <f ca="1">IFERROR(__xludf.DUMMYFUNCTION("""COMPUTED_VALUE"""),"product(EJA 1º E 2º SEGM8.2())")</f>
        <v>product(EJA 1º E 2º SEGM8.2())</v>
      </c>
      <c r="U6" s="135"/>
      <c r="V6" s="135"/>
      <c r="W6" s="135"/>
      <c r="X6" s="32"/>
      <c r="Y6" s="32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0" t="str">
        <f ca="1">IFERROR(__xludf.DUMMYFUNCTION("""COMPUTED_VALUE"""),"ASSOC. DE APOIO DO CENTRO DE ENSINO MÉDIO CABO APARICIO ARAÚJO PAZ")</f>
        <v>ASSOC. DE APOIO DO CENTRO DE ENSINO MÉDIO CABO APARICIO ARAÚJO PAZ</v>
      </c>
      <c r="D7" s="136" t="str">
        <f ca="1">IFERROR(__xludf.DUMMYFUNCTION("""COMPUTED_VALUE"""),"05537116000188")</f>
        <v>05537116000188</v>
      </c>
      <c r="E7" s="6" t="str">
        <f ca="1">IFERROR(__xludf.DUMMYFUNCTION("""COMPUTED_VALUE"""),"001")</f>
        <v>001</v>
      </c>
      <c r="F7" s="7" t="str">
        <f ca="1">IFERROR(__xludf.DUMMYFUNCTION("""COMPUTED_VALUE"""),"3973")</f>
        <v>3973</v>
      </c>
      <c r="G7" s="7" t="str">
        <f ca="1">IFERROR(__xludf.DUMMYFUNCTION("""COMPUTED_VALUE"""),"114510")</f>
        <v>114510</v>
      </c>
      <c r="H7" s="7">
        <f ca="1">IFERROR(__xludf.DUMMYFUNCTION("""COMPUTED_VALUE"""),0)</f>
        <v>0</v>
      </c>
      <c r="I7" s="7">
        <f ca="1">IFERROR(__xludf.DUMMYFUNCTION("""COMPUTED_VALUE"""),0)</f>
        <v>0</v>
      </c>
      <c r="J7" s="7">
        <f ca="1">IFERROR(__xludf.DUMMYFUNCTION("""COMPUTED_VALUE"""),0)</f>
        <v>0</v>
      </c>
      <c r="K7" s="7">
        <f ca="1">IFERROR(__xludf.DUMMYFUNCTION("""COMPUTED_VALUE"""),0)</f>
        <v>0</v>
      </c>
      <c r="L7" s="7">
        <f ca="1">IFERROR(__xludf.DUMMYFUNCTION("""COMPUTED_VALUE"""),0)</f>
        <v>0</v>
      </c>
      <c r="M7" s="7">
        <f ca="1">IFERROR(__xludf.DUMMYFUNCTION("""COMPUTED_VALUE"""),0)</f>
        <v>0</v>
      </c>
      <c r="N7" s="7">
        <f ca="1">IFERROR(__xludf.DUMMYFUNCTION("""COMPUTED_VALUE"""),0)</f>
        <v>0</v>
      </c>
      <c r="O7" s="7">
        <f ca="1">IFERROR(__xludf.DUMMYFUNCTION("""COMPUTED_VALUE"""),0)</f>
        <v>0</v>
      </c>
      <c r="P7" s="7">
        <f ca="1">IFERROR(__xludf.DUMMYFUNCTION("""COMPUTED_VALUE"""),0)</f>
        <v>0</v>
      </c>
      <c r="Q7" s="7">
        <f ca="1">IFERROR(__xludf.DUMMYFUNCTION("""COMPUTED_VALUE"""),3940)</f>
        <v>3940</v>
      </c>
      <c r="R7" s="7">
        <f ca="1">IFERROR(__xludf.DUMMYFUNCTION("""COMPUTED_VALUE"""),0)</f>
        <v>0</v>
      </c>
      <c r="S7" s="7">
        <f ca="1">IFERROR(__xludf.DUMMYFUNCTION("""COMPUTED_VALUE"""),0)</f>
        <v>0</v>
      </c>
      <c r="T7" s="7">
        <f ca="1">IFERROR(__xludf.DUMMYFUNCTION("""COMPUTED_VALUE"""),0)</f>
        <v>0</v>
      </c>
      <c r="U7" s="61"/>
      <c r="V7" s="61"/>
      <c r="W7" s="61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0" t="str">
        <f ca="1">IFERROR(__xludf.DUMMYFUNCTION("""COMPUTED_VALUE"""),"ASS. APOIO COL. EST. GETULIO VARGAS")</f>
        <v>ASS. APOIO COL. EST. GETULIO VARGAS</v>
      </c>
      <c r="D8" s="136" t="str">
        <f ca="1">IFERROR(__xludf.DUMMYFUNCTION("""COMPUTED_VALUE"""),"01296368000101")</f>
        <v>01296368000101</v>
      </c>
      <c r="E8" s="6" t="str">
        <f ca="1">IFERROR(__xludf.DUMMYFUNCTION("""COMPUTED_VALUE"""),"001")</f>
        <v>001</v>
      </c>
      <c r="F8" s="7" t="str">
        <f ca="1">IFERROR(__xludf.DUMMYFUNCTION("""COMPUTED_VALUE"""),"3973")</f>
        <v>3973</v>
      </c>
      <c r="G8" s="7" t="str">
        <f ca="1">IFERROR(__xludf.DUMMYFUNCTION("""COMPUTED_VALUE"""),"55778")</f>
        <v>55778</v>
      </c>
      <c r="H8" s="7">
        <f ca="1">IFERROR(__xludf.DUMMYFUNCTION("""COMPUTED_VALUE"""),0)</f>
        <v>0</v>
      </c>
      <c r="I8" s="7">
        <f ca="1">IFERROR(__xludf.DUMMYFUNCTION("""COMPUTED_VALUE"""),0)</f>
        <v>0</v>
      </c>
      <c r="J8" s="7">
        <f ca="1">IFERROR(__xludf.DUMMYFUNCTION("""COMPUTED_VALUE"""),3060)</f>
        <v>3060</v>
      </c>
      <c r="K8" s="7">
        <f ca="1">IFERROR(__xludf.DUMMYFUNCTION("""COMPUTED_VALUE"""),0)</f>
        <v>0</v>
      </c>
      <c r="L8" s="7">
        <f ca="1">IFERROR(__xludf.DUMMYFUNCTION("""COMPUTED_VALUE"""),0)</f>
        <v>0</v>
      </c>
      <c r="M8" s="7">
        <f ca="1">IFERROR(__xludf.DUMMYFUNCTION("""COMPUTED_VALUE"""),0)</f>
        <v>0</v>
      </c>
      <c r="N8" s="7">
        <f ca="1">IFERROR(__xludf.DUMMYFUNCTION("""COMPUTED_VALUE"""),0)</f>
        <v>0</v>
      </c>
      <c r="O8" s="7">
        <f ca="1">IFERROR(__xludf.DUMMYFUNCTION("""COMPUTED_VALUE"""),0)</f>
        <v>0</v>
      </c>
      <c r="P8" s="7">
        <f ca="1">IFERROR(__xludf.DUMMYFUNCTION("""COMPUTED_VALUE"""),190.4)</f>
        <v>190.4</v>
      </c>
      <c r="Q8" s="7">
        <f ca="1">IFERROR(__xludf.DUMMYFUNCTION("""COMPUTED_VALUE"""),0)</f>
        <v>0</v>
      </c>
      <c r="R8" s="7">
        <f ca="1">IFERROR(__xludf.DUMMYFUNCTION("""COMPUTED_VALUE"""),0)</f>
        <v>0</v>
      </c>
      <c r="S8" s="7">
        <f ca="1">IFERROR(__xludf.DUMMYFUNCTION("""COMPUTED_VALUE"""),0)</f>
        <v>0</v>
      </c>
      <c r="T8" s="7">
        <f ca="1">IFERROR(__xludf.DUMMYFUNCTION("""COMPUTED_VALUE"""),262.4)</f>
        <v>262.39999999999998</v>
      </c>
      <c r="U8" s="61"/>
      <c r="V8" s="61"/>
      <c r="W8" s="61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0" t="str">
        <f ca="1">IFERROR(__xludf.DUMMYFUNCTION("""COMPUTED_VALUE"""),"A.A. ESC. EST. PRES. COSTA E SILVA")</f>
        <v>A.A. ESC. EST. PRES. COSTA E SILVA</v>
      </c>
      <c r="D9" s="136" t="str">
        <f ca="1">IFERROR(__xludf.DUMMYFUNCTION("""COMPUTED_VALUE"""),"02026325000179")</f>
        <v>02026325000179</v>
      </c>
      <c r="E9" s="6" t="str">
        <f ca="1">IFERROR(__xludf.DUMMYFUNCTION("""COMPUTED_VALUE"""),"001")</f>
        <v>001</v>
      </c>
      <c r="F9" s="7" t="str">
        <f ca="1">IFERROR(__xludf.DUMMYFUNCTION("""COMPUTED_VALUE"""),"3973")</f>
        <v>3973</v>
      </c>
      <c r="G9" s="7" t="str">
        <f ca="1">IFERROR(__xludf.DUMMYFUNCTION("""COMPUTED_VALUE"""),"55786")</f>
        <v>55786</v>
      </c>
      <c r="H9" s="7">
        <f ca="1">IFERROR(__xludf.DUMMYFUNCTION("""COMPUTED_VALUE"""),0)</f>
        <v>0</v>
      </c>
      <c r="I9" s="7">
        <f ca="1">IFERROR(__xludf.DUMMYFUNCTION("""COMPUTED_VALUE"""),0)</f>
        <v>0</v>
      </c>
      <c r="J9" s="7">
        <f ca="1">IFERROR(__xludf.DUMMYFUNCTION("""COMPUTED_VALUE"""),470)</f>
        <v>470</v>
      </c>
      <c r="K9" s="7">
        <f ca="1">IFERROR(__xludf.DUMMYFUNCTION("""COMPUTED_VALUE"""),0)</f>
        <v>0</v>
      </c>
      <c r="L9" s="7">
        <f ca="1">IFERROR(__xludf.DUMMYFUNCTION("""COMPUTED_VALUE"""),0)</f>
        <v>0</v>
      </c>
      <c r="M9" s="7">
        <f ca="1">IFERROR(__xludf.DUMMYFUNCTION("""COMPUTED_VALUE"""),0)</f>
        <v>0</v>
      </c>
      <c r="N9" s="7">
        <f ca="1">IFERROR(__xludf.DUMMYFUNCTION("""COMPUTED_VALUE"""),0)</f>
        <v>0</v>
      </c>
      <c r="O9" s="7">
        <f ca="1">IFERROR(__xludf.DUMMYFUNCTION("""COMPUTED_VALUE"""),0)</f>
        <v>0</v>
      </c>
      <c r="P9" s="7">
        <f ca="1">IFERROR(__xludf.DUMMYFUNCTION("""COMPUTED_VALUE"""),0)</f>
        <v>0</v>
      </c>
      <c r="Q9" s="7">
        <f ca="1">IFERROR(__xludf.DUMMYFUNCTION("""COMPUTED_VALUE"""),320)</f>
        <v>320</v>
      </c>
      <c r="R9" s="7">
        <f ca="1">IFERROR(__xludf.DUMMYFUNCTION("""COMPUTED_VALUE"""),0)</f>
        <v>0</v>
      </c>
      <c r="S9" s="7">
        <f ca="1">IFERROR(__xludf.DUMMYFUNCTION("""COMPUTED_VALUE"""),0)</f>
        <v>0</v>
      </c>
      <c r="T9" s="7">
        <f ca="1">IFERROR(__xludf.DUMMYFUNCTION("""COMPUTED_VALUE"""),0)</f>
        <v>0</v>
      </c>
      <c r="U9" s="61"/>
      <c r="V9" s="61"/>
      <c r="W9" s="61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0" t="str">
        <f ca="1">IFERROR(__xludf.DUMMYFUNCTION("""COMPUTED_VALUE"""),"A.A. DA ESC.PAR.SAO PEDRO/CONVENIADA")</f>
        <v>A.A. DA ESC.PAR.SAO PEDRO/CONVENIADA</v>
      </c>
      <c r="D10" s="136" t="str">
        <f ca="1">IFERROR(__xludf.DUMMYFUNCTION("""COMPUTED_VALUE"""),"01911081000144")</f>
        <v>01911081000144</v>
      </c>
      <c r="E10" s="6" t="str">
        <f ca="1">IFERROR(__xludf.DUMMYFUNCTION("""COMPUTED_VALUE"""),"001")</f>
        <v>001</v>
      </c>
      <c r="F10" s="7" t="str">
        <f ca="1">IFERROR(__xludf.DUMMYFUNCTION("""COMPUTED_VALUE"""),"3973")</f>
        <v>3973</v>
      </c>
      <c r="G10" s="7" t="str">
        <f ca="1">IFERROR(__xludf.DUMMYFUNCTION("""COMPUTED_VALUE"""),"67350")</f>
        <v>67350</v>
      </c>
      <c r="H10" s="7">
        <f ca="1">IFERROR(__xludf.DUMMYFUNCTION("""COMPUTED_VALUE"""),0)</f>
        <v>0</v>
      </c>
      <c r="I10" s="7">
        <f ca="1">IFERROR(__xludf.DUMMYFUNCTION("""COMPUTED_VALUE"""),0)</f>
        <v>0</v>
      </c>
      <c r="J10" s="7">
        <f ca="1">IFERROR(__xludf.DUMMYFUNCTION("""COMPUTED_VALUE"""),3320)</f>
        <v>3320</v>
      </c>
      <c r="K10" s="7">
        <f ca="1">IFERROR(__xludf.DUMMYFUNCTION("""COMPUTED_VALUE"""),0)</f>
        <v>0</v>
      </c>
      <c r="L10" s="7">
        <f ca="1">IFERROR(__xludf.DUMMYFUNCTION("""COMPUTED_VALUE"""),0)</f>
        <v>0</v>
      </c>
      <c r="M10" s="7">
        <f ca="1">IFERROR(__xludf.DUMMYFUNCTION("""COMPUTED_VALUE"""),0)</f>
        <v>0</v>
      </c>
      <c r="N10" s="7">
        <f ca="1">IFERROR(__xludf.DUMMYFUNCTION("""COMPUTED_VALUE"""),0)</f>
        <v>0</v>
      </c>
      <c r="O10" s="7">
        <f ca="1">IFERROR(__xludf.DUMMYFUNCTION("""COMPUTED_VALUE"""),0)</f>
        <v>0</v>
      </c>
      <c r="P10" s="7">
        <f ca="1">IFERROR(__xludf.DUMMYFUNCTION("""COMPUTED_VALUE"""),285.599999999999)</f>
        <v>285.599999999999</v>
      </c>
      <c r="Q10" s="7">
        <f ca="1">IFERROR(__xludf.DUMMYFUNCTION("""COMPUTED_VALUE"""),0)</f>
        <v>0</v>
      </c>
      <c r="R10" s="7">
        <f ca="1">IFERROR(__xludf.DUMMYFUNCTION("""COMPUTED_VALUE"""),0)</f>
        <v>0</v>
      </c>
      <c r="S10" s="7">
        <f ca="1">IFERROR(__xludf.DUMMYFUNCTION("""COMPUTED_VALUE"""),0)</f>
        <v>0</v>
      </c>
      <c r="T10" s="7">
        <f ca="1">IFERROR(__xludf.DUMMYFUNCTION("""COMPUTED_VALUE"""),0)</f>
        <v>0</v>
      </c>
      <c r="U10" s="61"/>
      <c r="V10" s="61"/>
      <c r="W10" s="61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IFERROR(__xludf.DUMMYFUNCTION("""COMPUTED_VALUE"""),"Aragominas")</f>
        <v>Aragominas</v>
      </c>
      <c r="C11" s="60" t="str">
        <f ca="1">IFERROR(__xludf.DUMMYFUNCTION("""COMPUTED_VALUE"""),"ASSOCIAÇÃO DE APOIO DO COL. EST.GETULIO VARGAS")</f>
        <v>ASSOCIAÇÃO DE APOIO DO COL. EST.GETULIO VARGAS</v>
      </c>
      <c r="D11" s="136" t="str">
        <f ca="1">IFERROR(__xludf.DUMMYFUNCTION("""COMPUTED_VALUE"""),"01918914000107")</f>
        <v>01918914000107</v>
      </c>
      <c r="E11" s="6" t="str">
        <f ca="1">IFERROR(__xludf.DUMMYFUNCTION("""COMPUTED_VALUE"""),"001")</f>
        <v>001</v>
      </c>
      <c r="F11" s="7" t="str">
        <f ca="1">IFERROR(__xludf.DUMMYFUNCTION("""COMPUTED_VALUE"""),"0638")</f>
        <v>0638</v>
      </c>
      <c r="G11" s="7" t="str">
        <f ca="1">IFERROR(__xludf.DUMMYFUNCTION("""COMPUTED_VALUE"""),"83224")</f>
        <v>83224</v>
      </c>
      <c r="H11" s="7">
        <f ca="1">IFERROR(__xludf.DUMMYFUNCTION("""COMPUTED_VALUE"""),0)</f>
        <v>0</v>
      </c>
      <c r="I11" s="7">
        <f ca="1">IFERROR(__xludf.DUMMYFUNCTION("""COMPUTED_VALUE"""),0)</f>
        <v>0</v>
      </c>
      <c r="J11" s="7">
        <f ca="1">IFERROR(__xludf.DUMMYFUNCTION("""COMPUTED_VALUE"""),1590)</f>
        <v>1590</v>
      </c>
      <c r="K11" s="7">
        <f ca="1">IFERROR(__xludf.DUMMYFUNCTION("""COMPUTED_VALUE"""),0)</f>
        <v>0</v>
      </c>
      <c r="L11" s="7">
        <f ca="1">IFERROR(__xludf.DUMMYFUNCTION("""COMPUTED_VALUE"""),0)</f>
        <v>0</v>
      </c>
      <c r="M11" s="7">
        <f ca="1">IFERROR(__xludf.DUMMYFUNCTION("""COMPUTED_VALUE"""),0)</f>
        <v>0</v>
      </c>
      <c r="N11" s="7">
        <f ca="1">IFERROR(__xludf.DUMMYFUNCTION("""COMPUTED_VALUE"""),0)</f>
        <v>0</v>
      </c>
      <c r="O11" s="7">
        <f ca="1">IFERROR(__xludf.DUMMYFUNCTION("""COMPUTED_VALUE"""),0)</f>
        <v>0</v>
      </c>
      <c r="P11" s="7">
        <f ca="1">IFERROR(__xludf.DUMMYFUNCTION("""COMPUTED_VALUE"""),176.799999999999)</f>
        <v>176.79999999999899</v>
      </c>
      <c r="Q11" s="7">
        <f ca="1">IFERROR(__xludf.DUMMYFUNCTION("""COMPUTED_VALUE"""),1100)</f>
        <v>1100</v>
      </c>
      <c r="R11" s="7">
        <f ca="1">IFERROR(__xludf.DUMMYFUNCTION("""COMPUTED_VALUE"""),0)</f>
        <v>0</v>
      </c>
      <c r="S11" s="7">
        <f ca="1">IFERROR(__xludf.DUMMYFUNCTION("""COMPUTED_VALUE"""),0)</f>
        <v>0</v>
      </c>
      <c r="T11" s="7">
        <f ca="1">IFERROR(__xludf.DUMMYFUNCTION("""COMPUTED_VALUE"""),0)</f>
        <v>0</v>
      </c>
      <c r="U11" s="61"/>
      <c r="V11" s="61"/>
      <c r="W11" s="61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0" t="str">
        <f ca="1">IFERROR(__xludf.DUMMYFUNCTION("""COMPUTED_VALUE"""),"A.A.DA ESCOLA EST. JOSÉ DOMINGOS CARVALHO BARBOSA")</f>
        <v>A.A.DA ESCOLA EST. JOSÉ DOMINGOS CARVALHO BARBOSA</v>
      </c>
      <c r="D12" s="136" t="str">
        <f ca="1">IFERROR(__xludf.DUMMYFUNCTION("""COMPUTED_VALUE"""),"43927472000105")</f>
        <v>43927472000105</v>
      </c>
      <c r="E12" s="6" t="str">
        <f ca="1">IFERROR(__xludf.DUMMYFUNCTION("""COMPUTED_VALUE"""),"001")</f>
        <v>001</v>
      </c>
      <c r="F12" s="7" t="str">
        <f ca="1">IFERROR(__xludf.DUMMYFUNCTION("""COMPUTED_VALUE"""),"0638")</f>
        <v>0638</v>
      </c>
      <c r="G12" s="7" t="str">
        <f ca="1">IFERROR(__xludf.DUMMYFUNCTION("""COMPUTED_VALUE"""),"1098985")</f>
        <v>1098985</v>
      </c>
      <c r="H12" s="7">
        <f ca="1">IFERROR(__xludf.DUMMYFUNCTION("""COMPUTED_VALUE"""),0)</f>
        <v>0</v>
      </c>
      <c r="I12" s="7">
        <f ca="1">IFERROR(__xludf.DUMMYFUNCTION("""COMPUTED_VALUE"""),0)</f>
        <v>0</v>
      </c>
      <c r="J12" s="7">
        <f ca="1">IFERROR(__xludf.DUMMYFUNCTION("""COMPUTED_VALUE"""),0)</f>
        <v>0</v>
      </c>
      <c r="K12" s="7">
        <f ca="1">IFERROR(__xludf.DUMMYFUNCTION("""COMPUTED_VALUE"""),0)</f>
        <v>0</v>
      </c>
      <c r="L12" s="7">
        <f ca="1">IFERROR(__xludf.DUMMYFUNCTION("""COMPUTED_VALUE"""),0)</f>
        <v>0</v>
      </c>
      <c r="M12" s="7">
        <f ca="1">IFERROR(__xludf.DUMMYFUNCTION("""COMPUTED_VALUE"""),0)</f>
        <v>0</v>
      </c>
      <c r="N12" s="7">
        <f ca="1">IFERROR(__xludf.DUMMYFUNCTION("""COMPUTED_VALUE"""),0)</f>
        <v>0</v>
      </c>
      <c r="O12" s="7">
        <f ca="1">IFERROR(__xludf.DUMMYFUNCTION("""COMPUTED_VALUE"""),0)</f>
        <v>0</v>
      </c>
      <c r="P12" s="7">
        <f ca="1">IFERROR(__xludf.DUMMYFUNCTION("""COMPUTED_VALUE"""),0)</f>
        <v>0</v>
      </c>
      <c r="Q12" s="7">
        <f ca="1">IFERROR(__xludf.DUMMYFUNCTION("""COMPUTED_VALUE"""),0)</f>
        <v>0</v>
      </c>
      <c r="R12" s="7">
        <f ca="1">IFERROR(__xludf.DUMMYFUNCTION("""COMPUTED_VALUE"""),0)</f>
        <v>0</v>
      </c>
      <c r="S12" s="7">
        <f ca="1">IFERROR(__xludf.DUMMYFUNCTION("""COMPUTED_VALUE"""),0)</f>
        <v>0</v>
      </c>
      <c r="T12" s="7">
        <f ca="1">IFERROR(__xludf.DUMMYFUNCTION("""COMPUTED_VALUE"""),0)</f>
        <v>0</v>
      </c>
      <c r="U12" s="61"/>
      <c r="V12" s="61"/>
      <c r="W12" s="61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s="60" t="str">
        <f ca="1">IFERROR(__xludf.DUMMYFUNCTION("""COMPUTED_VALUE"""),"A.A. DAS ESCOLAS ISOLADAS E REUNIDAS DA DRE ARAGUAINA")</f>
        <v>A.A. DAS ESCOLAS ISOLADAS E REUNIDAS DA DRE ARAGUAINA</v>
      </c>
      <c r="D13" s="136" t="str">
        <f ca="1">IFERROR(__xludf.DUMMYFUNCTION("""COMPUTED_VALUE"""),"02629601000193")</f>
        <v>02629601000193</v>
      </c>
      <c r="E13" s="6" t="str">
        <f ca="1">IFERROR(__xludf.DUMMYFUNCTION("""COMPUTED_VALUE"""),"001")</f>
        <v>001</v>
      </c>
      <c r="F13" s="7" t="str">
        <f ca="1">IFERROR(__xludf.DUMMYFUNCTION("""COMPUTED_VALUE"""),"0638")</f>
        <v>0638</v>
      </c>
      <c r="G13" s="7" t="str">
        <f ca="1">IFERROR(__xludf.DUMMYFUNCTION("""COMPUTED_VALUE"""),"352403")</f>
        <v>352403</v>
      </c>
      <c r="H13" s="7">
        <f ca="1">IFERROR(__xludf.DUMMYFUNCTION("""COMPUTED_VALUE"""),0)</f>
        <v>0</v>
      </c>
      <c r="I13" s="7">
        <f ca="1">IFERROR(__xludf.DUMMYFUNCTION("""COMPUTED_VALUE"""),0)</f>
        <v>0</v>
      </c>
      <c r="J13" s="7">
        <f ca="1">IFERROR(__xludf.DUMMYFUNCTION("""COMPUTED_VALUE"""),0)</f>
        <v>0</v>
      </c>
      <c r="K13" s="7">
        <f ca="1">IFERROR(__xludf.DUMMYFUNCTION("""COMPUTED_VALUE"""),0)</f>
        <v>0</v>
      </c>
      <c r="L13" s="7">
        <f ca="1">IFERROR(__xludf.DUMMYFUNCTION("""COMPUTED_VALUE"""),0)</f>
        <v>0</v>
      </c>
      <c r="M13" s="7">
        <f ca="1">IFERROR(__xludf.DUMMYFUNCTION("""COMPUTED_VALUE"""),0)</f>
        <v>0</v>
      </c>
      <c r="N13" s="7">
        <f ca="1">IFERROR(__xludf.DUMMYFUNCTION("""COMPUTED_VALUE"""),0)</f>
        <v>0</v>
      </c>
      <c r="O13" s="7">
        <f ca="1">IFERROR(__xludf.DUMMYFUNCTION("""COMPUTED_VALUE"""),8858)</f>
        <v>8858</v>
      </c>
      <c r="P13" s="7">
        <f ca="1">IFERROR(__xludf.DUMMYFUNCTION("""COMPUTED_VALUE"""),0)</f>
        <v>0</v>
      </c>
      <c r="Q13" s="7">
        <f ca="1">IFERROR(__xludf.DUMMYFUNCTION("""COMPUTED_VALUE"""),0)</f>
        <v>0</v>
      </c>
      <c r="R13" s="7">
        <f ca="1">IFERROR(__xludf.DUMMYFUNCTION("""COMPUTED_VALUE"""),0)</f>
        <v>0</v>
      </c>
      <c r="S13" s="7">
        <f ca="1">IFERROR(__xludf.DUMMYFUNCTION("""COMPUTED_VALUE"""),0)</f>
        <v>0</v>
      </c>
      <c r="T13" s="7">
        <f ca="1">IFERROR(__xludf.DUMMYFUNCTION("""COMPUTED_VALUE"""),0)</f>
        <v>0</v>
      </c>
      <c r="U13" s="61"/>
      <c r="V13" s="61"/>
      <c r="W13" s="61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0" t="str">
        <f ca="1">IFERROR(__xludf.DUMMYFUNCTION("""COMPUTED_VALUE"""),"A.A. DO CAIC JORGE HUMBERTO CAMARGO")</f>
        <v>A.A. DO CAIC JORGE HUMBERTO CAMARGO</v>
      </c>
      <c r="D14" s="136" t="str">
        <f ca="1">IFERROR(__xludf.DUMMYFUNCTION("""COMPUTED_VALUE"""),"01071395000186")</f>
        <v>01071395000186</v>
      </c>
      <c r="E14" s="6" t="str">
        <f ca="1">IFERROR(__xludf.DUMMYFUNCTION("""COMPUTED_VALUE"""),"001")</f>
        <v>001</v>
      </c>
      <c r="F14" s="7" t="str">
        <f ca="1">IFERROR(__xludf.DUMMYFUNCTION("""COMPUTED_VALUE"""),"0638")</f>
        <v>0638</v>
      </c>
      <c r="G14" s="7" t="str">
        <f ca="1">IFERROR(__xludf.DUMMYFUNCTION("""COMPUTED_VALUE"""),"55099X")</f>
        <v>55099X</v>
      </c>
      <c r="H14" s="7">
        <f ca="1">IFERROR(__xludf.DUMMYFUNCTION("""COMPUTED_VALUE"""),0)</f>
        <v>0</v>
      </c>
      <c r="I14" s="7">
        <f ca="1">IFERROR(__xludf.DUMMYFUNCTION("""COMPUTED_VALUE"""),0)</f>
        <v>0</v>
      </c>
      <c r="J14" s="7">
        <f ca="1">IFERROR(__xludf.DUMMYFUNCTION("""COMPUTED_VALUE"""),0)</f>
        <v>0</v>
      </c>
      <c r="K14" s="7">
        <f ca="1">IFERROR(__xludf.DUMMYFUNCTION("""COMPUTED_VALUE"""),36990)</f>
        <v>36990</v>
      </c>
      <c r="L14" s="7">
        <f ca="1">IFERROR(__xludf.DUMMYFUNCTION("""COMPUTED_VALUE"""),0)</f>
        <v>0</v>
      </c>
      <c r="M14" s="7">
        <f ca="1">IFERROR(__xludf.DUMMYFUNCTION("""COMPUTED_VALUE"""),0)</f>
        <v>0</v>
      </c>
      <c r="N14" s="7">
        <f ca="1">IFERROR(__xludf.DUMMYFUNCTION("""COMPUTED_VALUE"""),0)</f>
        <v>0</v>
      </c>
      <c r="O14" s="7">
        <f ca="1">IFERROR(__xludf.DUMMYFUNCTION("""COMPUTED_VALUE"""),0)</f>
        <v>0</v>
      </c>
      <c r="P14" s="7">
        <f ca="1">IFERROR(__xludf.DUMMYFUNCTION("""COMPUTED_VALUE"""),598.4)</f>
        <v>598.4</v>
      </c>
      <c r="Q14" s="7">
        <f ca="1">IFERROR(__xludf.DUMMYFUNCTION("""COMPUTED_VALUE"""),0)</f>
        <v>0</v>
      </c>
      <c r="R14" s="7">
        <f ca="1">IFERROR(__xludf.DUMMYFUNCTION("""COMPUTED_VALUE"""),0)</f>
        <v>0</v>
      </c>
      <c r="S14" s="7">
        <f ca="1">IFERROR(__xludf.DUMMYFUNCTION("""COMPUTED_VALUE"""),0)</f>
        <v>0</v>
      </c>
      <c r="T14" s="7">
        <f ca="1">IFERROR(__xludf.DUMMYFUNCTION("""COMPUTED_VALUE"""),0)</f>
        <v>0</v>
      </c>
      <c r="U14" s="61"/>
      <c r="V14" s="61"/>
      <c r="W14" s="61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0" t="str">
        <f ca="1">IFERROR(__xludf.DUMMYFUNCTION("""COMPUTED_VALUE"""),"ASSOC. A. COL. EST. BENJAMIM JOSÉ DE ALMEIDA")</f>
        <v>ASSOC. A. COL. EST. BENJAMIM JOSÉ DE ALMEIDA</v>
      </c>
      <c r="D15" s="136" t="str">
        <f ca="1">IFERROR(__xludf.DUMMYFUNCTION("""COMPUTED_VALUE"""),"01136023000190")</f>
        <v>01136023000190</v>
      </c>
      <c r="E15" s="6" t="str">
        <f ca="1">IFERROR(__xludf.DUMMYFUNCTION("""COMPUTED_VALUE"""),"001")</f>
        <v>001</v>
      </c>
      <c r="F15" s="7" t="str">
        <f ca="1">IFERROR(__xludf.DUMMYFUNCTION("""COMPUTED_VALUE"""),"0638")</f>
        <v>0638</v>
      </c>
      <c r="G15" s="7" t="str">
        <f ca="1">IFERROR(__xludf.DUMMYFUNCTION("""COMPUTED_VALUE"""),"55149X")</f>
        <v>55149X</v>
      </c>
      <c r="H15" s="7">
        <f ca="1">IFERROR(__xludf.DUMMYFUNCTION("""COMPUTED_VALUE"""),0)</f>
        <v>0</v>
      </c>
      <c r="I15" s="7">
        <f ca="1">IFERROR(__xludf.DUMMYFUNCTION("""COMPUTED_VALUE"""),0)</f>
        <v>0</v>
      </c>
      <c r="J15" s="7">
        <f ca="1">IFERROR(__xludf.DUMMYFUNCTION("""COMPUTED_VALUE"""),0)</f>
        <v>0</v>
      </c>
      <c r="K15" s="7">
        <f ca="1">IFERROR(__xludf.DUMMYFUNCTION("""COMPUTED_VALUE"""),0)</f>
        <v>0</v>
      </c>
      <c r="L15" s="7">
        <f ca="1">IFERROR(__xludf.DUMMYFUNCTION("""COMPUTED_VALUE"""),0)</f>
        <v>0</v>
      </c>
      <c r="M15" s="7">
        <f ca="1">IFERROR(__xludf.DUMMYFUNCTION("""COMPUTED_VALUE"""),0)</f>
        <v>0</v>
      </c>
      <c r="N15" s="7">
        <f ca="1">IFERROR(__xludf.DUMMYFUNCTION("""COMPUTED_VALUE"""),0)</f>
        <v>0</v>
      </c>
      <c r="O15" s="7">
        <f ca="1">IFERROR(__xludf.DUMMYFUNCTION("""COMPUTED_VALUE"""),0)</f>
        <v>0</v>
      </c>
      <c r="P15" s="7">
        <f ca="1">IFERROR(__xludf.DUMMYFUNCTION("""COMPUTED_VALUE"""),176.799999999999)</f>
        <v>176.79999999999899</v>
      </c>
      <c r="Q15" s="7">
        <f ca="1">IFERROR(__xludf.DUMMYFUNCTION("""COMPUTED_VALUE"""),0)</f>
        <v>0</v>
      </c>
      <c r="R15" s="7">
        <f ca="1">IFERROR(__xludf.DUMMYFUNCTION("""COMPUTED_VALUE"""),0)</f>
        <v>0</v>
      </c>
      <c r="S15" s="7">
        <f ca="1">IFERROR(__xludf.DUMMYFUNCTION("""COMPUTED_VALUE"""),11571.2)</f>
        <v>11571.2</v>
      </c>
      <c r="T15" s="7">
        <f ca="1">IFERROR(__xludf.DUMMYFUNCTION("""COMPUTED_VALUE"""),0)</f>
        <v>0</v>
      </c>
      <c r="U15" s="61"/>
      <c r="V15" s="61"/>
      <c r="W15" s="61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0" t="str">
        <f ca="1">IFERROR(__xludf.DUMMYFUNCTION("""COMPUTED_VALUE"""),"ASSOC. DE PAIS, ALUNOS E MESTRES COL. EST. POLIVALENTE CASTELO BRANCO")</f>
        <v>ASSOC. DE PAIS, ALUNOS E MESTRES COL. EST. POLIVALENTE CASTELO BRANCO</v>
      </c>
      <c r="D16" s="136" t="str">
        <f ca="1">IFERROR(__xludf.DUMMYFUNCTION("""COMPUTED_VALUE"""),"00918900000112")</f>
        <v>00918900000112</v>
      </c>
      <c r="E16" s="6" t="str">
        <f ca="1">IFERROR(__xludf.DUMMYFUNCTION("""COMPUTED_VALUE"""),"001")</f>
        <v>001</v>
      </c>
      <c r="F16" s="7" t="str">
        <f ca="1">IFERROR(__xludf.DUMMYFUNCTION("""COMPUTED_VALUE"""),"0638")</f>
        <v>0638</v>
      </c>
      <c r="G16" s="7" t="str">
        <f ca="1">IFERROR(__xludf.DUMMYFUNCTION("""COMPUTED_VALUE"""),"12599")</f>
        <v>12599</v>
      </c>
      <c r="H16" s="7">
        <f ca="1">IFERROR(__xludf.DUMMYFUNCTION("""COMPUTED_VALUE"""),0)</f>
        <v>0</v>
      </c>
      <c r="I16" s="7">
        <f ca="1">IFERROR(__xludf.DUMMYFUNCTION("""COMPUTED_VALUE"""),0)</f>
        <v>0</v>
      </c>
      <c r="J16" s="7">
        <f ca="1">IFERROR(__xludf.DUMMYFUNCTION("""COMPUTED_VALUE"""),0)</f>
        <v>0</v>
      </c>
      <c r="K16" s="7">
        <f ca="1">IFERROR(__xludf.DUMMYFUNCTION("""COMPUTED_VALUE"""),0)</f>
        <v>0</v>
      </c>
      <c r="L16" s="7">
        <f ca="1">IFERROR(__xludf.DUMMYFUNCTION("""COMPUTED_VALUE"""),0)</f>
        <v>0</v>
      </c>
      <c r="M16" s="7">
        <f ca="1">IFERROR(__xludf.DUMMYFUNCTION("""COMPUTED_VALUE"""),0)</f>
        <v>0</v>
      </c>
      <c r="N16" s="7">
        <f ca="1">IFERROR(__xludf.DUMMYFUNCTION("""COMPUTED_VALUE"""),0)</f>
        <v>0</v>
      </c>
      <c r="O16" s="7">
        <f ca="1">IFERROR(__xludf.DUMMYFUNCTION("""COMPUTED_VALUE"""),0)</f>
        <v>0</v>
      </c>
      <c r="P16" s="7">
        <f ca="1">IFERROR(__xludf.DUMMYFUNCTION("""COMPUTED_VALUE"""),176.799999999999)</f>
        <v>176.79999999999899</v>
      </c>
      <c r="Q16" s="7">
        <f ca="1">IFERROR(__xludf.DUMMYFUNCTION("""COMPUTED_VALUE"""),0)</f>
        <v>0</v>
      </c>
      <c r="R16" s="7">
        <f ca="1">IFERROR(__xludf.DUMMYFUNCTION("""COMPUTED_VALUE"""),0)</f>
        <v>0</v>
      </c>
      <c r="S16" s="7">
        <f ca="1">IFERROR(__xludf.DUMMYFUNCTION("""COMPUTED_VALUE"""),7065.6)</f>
        <v>7065.6</v>
      </c>
      <c r="T16" s="7">
        <f ca="1">IFERROR(__xludf.DUMMYFUNCTION("""COMPUTED_VALUE"""),0)</f>
        <v>0</v>
      </c>
      <c r="U16" s="61"/>
      <c r="V16" s="61"/>
      <c r="W16" s="61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0" t="str">
        <f ca="1">IFERROR(__xludf.DUMMYFUNCTION("""COMPUTED_VALUE"""),"ASSOC. A.  DO COLÉGIO DA POLICIA MILITAR - UNIDADE III")</f>
        <v>ASSOC. A.  DO COLÉGIO DA POLICIA MILITAR - UNIDADE III</v>
      </c>
      <c r="D17" s="136" t="str">
        <f ca="1">IFERROR(__xludf.DUMMYFUNCTION("""COMPUTED_VALUE"""),"02480178000102")</f>
        <v>02480178000102</v>
      </c>
      <c r="E17" s="6" t="str">
        <f ca="1">IFERROR(__xludf.DUMMYFUNCTION("""COMPUTED_VALUE"""),"001")</f>
        <v>001</v>
      </c>
      <c r="F17" s="7" t="str">
        <f ca="1">IFERROR(__xludf.DUMMYFUNCTION("""COMPUTED_VALUE"""),"0638")</f>
        <v>0638</v>
      </c>
      <c r="G17" s="7" t="str">
        <f ca="1">IFERROR(__xludf.DUMMYFUNCTION("""COMPUTED_VALUE"""),"552291")</f>
        <v>552291</v>
      </c>
      <c r="H17" s="7">
        <f ca="1">IFERROR(__xludf.DUMMYFUNCTION("""COMPUTED_VALUE"""),0)</f>
        <v>0</v>
      </c>
      <c r="I17" s="7">
        <f ca="1">IFERROR(__xludf.DUMMYFUNCTION("""COMPUTED_VALUE"""),0)</f>
        <v>0</v>
      </c>
      <c r="J17" s="7">
        <f ca="1">IFERROR(__xludf.DUMMYFUNCTION("""COMPUTED_VALUE"""),0)</f>
        <v>0</v>
      </c>
      <c r="K17" s="7">
        <f ca="1">IFERROR(__xludf.DUMMYFUNCTION("""COMPUTED_VALUE"""),0)</f>
        <v>0</v>
      </c>
      <c r="L17" s="7">
        <f ca="1">IFERROR(__xludf.DUMMYFUNCTION("""COMPUTED_VALUE"""),0)</f>
        <v>0</v>
      </c>
      <c r="M17" s="7">
        <f ca="1">IFERROR(__xludf.DUMMYFUNCTION("""COMPUTED_VALUE"""),0)</f>
        <v>0</v>
      </c>
      <c r="N17" s="7">
        <f ca="1">IFERROR(__xludf.DUMMYFUNCTION("""COMPUTED_VALUE"""),0)</f>
        <v>0</v>
      </c>
      <c r="O17" s="7">
        <f ca="1">IFERROR(__xludf.DUMMYFUNCTION("""COMPUTED_VALUE"""),0)</f>
        <v>0</v>
      </c>
      <c r="P17" s="7">
        <f ca="1">IFERROR(__xludf.DUMMYFUNCTION("""COMPUTED_VALUE"""),0)</f>
        <v>0</v>
      </c>
      <c r="Q17" s="7">
        <f ca="1">IFERROR(__xludf.DUMMYFUNCTION("""COMPUTED_VALUE"""),16400)</f>
        <v>16400</v>
      </c>
      <c r="R17" s="7">
        <f ca="1">IFERROR(__xludf.DUMMYFUNCTION("""COMPUTED_VALUE"""),0)</f>
        <v>0</v>
      </c>
      <c r="S17" s="7">
        <f ca="1">IFERROR(__xludf.DUMMYFUNCTION("""COMPUTED_VALUE"""),0)</f>
        <v>0</v>
      </c>
      <c r="T17" s="7">
        <f ca="1">IFERROR(__xludf.DUMMYFUNCTION("""COMPUTED_VALUE"""),0)</f>
        <v>0</v>
      </c>
      <c r="U17" s="61"/>
      <c r="V17" s="61"/>
      <c r="W17" s="61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0" t="str">
        <f ca="1">IFERROR(__xludf.DUMMYFUNCTION("""COMPUTED_VALUE"""),"ASSOC. APOIO COL. EST. CEM PAULO FREIRE")</f>
        <v>ASSOC. APOIO COL. EST. CEM PAULO FREIRE</v>
      </c>
      <c r="D18" s="136" t="str">
        <f ca="1">IFERROR(__xludf.DUMMYFUNCTION("""COMPUTED_VALUE"""),"01738420000132")</f>
        <v>01738420000132</v>
      </c>
      <c r="E18" s="6" t="str">
        <f ca="1">IFERROR(__xludf.DUMMYFUNCTION("""COMPUTED_VALUE"""),"001")</f>
        <v>001</v>
      </c>
      <c r="F18" s="7" t="str">
        <f ca="1">IFERROR(__xludf.DUMMYFUNCTION("""COMPUTED_VALUE"""),"0638")</f>
        <v>0638</v>
      </c>
      <c r="G18" s="7" t="str">
        <f ca="1">IFERROR(__xludf.DUMMYFUNCTION("""COMPUTED_VALUE"""),"551589")</f>
        <v>551589</v>
      </c>
      <c r="H18" s="7">
        <f ca="1">IFERROR(__xludf.DUMMYFUNCTION("""COMPUTED_VALUE"""),0)</f>
        <v>0</v>
      </c>
      <c r="I18" s="7">
        <f ca="1">IFERROR(__xludf.DUMMYFUNCTION("""COMPUTED_VALUE"""),0)</f>
        <v>0</v>
      </c>
      <c r="J18" s="7">
        <f ca="1">IFERROR(__xludf.DUMMYFUNCTION("""COMPUTED_VALUE"""),0)</f>
        <v>0</v>
      </c>
      <c r="K18" s="7">
        <f ca="1">IFERROR(__xludf.DUMMYFUNCTION("""COMPUTED_VALUE"""),0)</f>
        <v>0</v>
      </c>
      <c r="L18" s="7">
        <f ca="1">IFERROR(__xludf.DUMMYFUNCTION("""COMPUTED_VALUE"""),0)</f>
        <v>0</v>
      </c>
      <c r="M18" s="7">
        <f ca="1">IFERROR(__xludf.DUMMYFUNCTION("""COMPUTED_VALUE"""),0)</f>
        <v>0</v>
      </c>
      <c r="N18" s="7">
        <f ca="1">IFERROR(__xludf.DUMMYFUNCTION("""COMPUTED_VALUE"""),0)</f>
        <v>0</v>
      </c>
      <c r="O18" s="7">
        <f ca="1">IFERROR(__xludf.DUMMYFUNCTION("""COMPUTED_VALUE"""),0)</f>
        <v>0</v>
      </c>
      <c r="P18" s="7">
        <f ca="1">IFERROR(__xludf.DUMMYFUNCTION("""COMPUTED_VALUE"""),136)</f>
        <v>136</v>
      </c>
      <c r="Q18" s="7">
        <f ca="1">IFERROR(__xludf.DUMMYFUNCTION("""COMPUTED_VALUE"""),0)</f>
        <v>0</v>
      </c>
      <c r="R18" s="7">
        <f ca="1">IFERROR(__xludf.DUMMYFUNCTION("""COMPUTED_VALUE"""),0)</f>
        <v>0</v>
      </c>
      <c r="S18" s="7">
        <f ca="1">IFERROR(__xludf.DUMMYFUNCTION("""COMPUTED_VALUE"""),10649.6)</f>
        <v>10649.6</v>
      </c>
      <c r="T18" s="7">
        <f ca="1">IFERROR(__xludf.DUMMYFUNCTION("""COMPUTED_VALUE"""),0)</f>
        <v>0</v>
      </c>
      <c r="U18" s="61"/>
      <c r="V18" s="61"/>
      <c r="W18" s="61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0" t="str">
        <f ca="1">IFERROR(__xludf.DUMMYFUNCTION("""COMPUTED_VALUE"""),"A. APOIO DO COLEGIO DE APLICACAO")</f>
        <v>A. APOIO DO COLEGIO DE APLICACAO</v>
      </c>
      <c r="D19" s="136" t="str">
        <f ca="1">IFERROR(__xludf.DUMMYFUNCTION("""COMPUTED_VALUE"""),"01086986000127")</f>
        <v>01086986000127</v>
      </c>
      <c r="E19" s="6" t="str">
        <f ca="1">IFERROR(__xludf.DUMMYFUNCTION("""COMPUTED_VALUE"""),"001")</f>
        <v>001</v>
      </c>
      <c r="F19" s="7" t="str">
        <f ca="1">IFERROR(__xludf.DUMMYFUNCTION("""COMPUTED_VALUE"""),"0638")</f>
        <v>0638</v>
      </c>
      <c r="G19" s="7" t="str">
        <f ca="1">IFERROR(__xludf.DUMMYFUNCTION("""COMPUTED_VALUE"""),"0465275")</f>
        <v>0465275</v>
      </c>
      <c r="H19" s="7">
        <f ca="1">IFERROR(__xludf.DUMMYFUNCTION("""COMPUTED_VALUE"""),0)</f>
        <v>0</v>
      </c>
      <c r="I19" s="7">
        <f ca="1">IFERROR(__xludf.DUMMYFUNCTION("""COMPUTED_VALUE"""),0)</f>
        <v>0</v>
      </c>
      <c r="J19" s="7">
        <f ca="1">IFERROR(__xludf.DUMMYFUNCTION("""COMPUTED_VALUE"""),5240)</f>
        <v>5240</v>
      </c>
      <c r="K19" s="7">
        <f ca="1">IFERROR(__xludf.DUMMYFUNCTION("""COMPUTED_VALUE"""),0)</f>
        <v>0</v>
      </c>
      <c r="L19" s="7">
        <f ca="1">IFERROR(__xludf.DUMMYFUNCTION("""COMPUTED_VALUE"""),0)</f>
        <v>0</v>
      </c>
      <c r="M19" s="7">
        <f ca="1">IFERROR(__xludf.DUMMYFUNCTION("""COMPUTED_VALUE"""),0)</f>
        <v>0</v>
      </c>
      <c r="N19" s="7">
        <f ca="1">IFERROR(__xludf.DUMMYFUNCTION("""COMPUTED_VALUE"""),0)</f>
        <v>0</v>
      </c>
      <c r="O19" s="7">
        <f ca="1">IFERROR(__xludf.DUMMYFUNCTION("""COMPUTED_VALUE"""),0)</f>
        <v>0</v>
      </c>
      <c r="P19" s="7">
        <f ca="1">IFERROR(__xludf.DUMMYFUNCTION("""COMPUTED_VALUE"""),326.4)</f>
        <v>326.39999999999998</v>
      </c>
      <c r="Q19" s="7">
        <f ca="1">IFERROR(__xludf.DUMMYFUNCTION("""COMPUTED_VALUE"""),5080)</f>
        <v>5080</v>
      </c>
      <c r="R19" s="7">
        <f ca="1">IFERROR(__xludf.DUMMYFUNCTION("""COMPUTED_VALUE"""),0)</f>
        <v>0</v>
      </c>
      <c r="S19" s="7">
        <f ca="1">IFERROR(__xludf.DUMMYFUNCTION("""COMPUTED_VALUE"""),0)</f>
        <v>0</v>
      </c>
      <c r="T19" s="7">
        <f ca="1">IFERROR(__xludf.DUMMYFUNCTION("""COMPUTED_VALUE"""),0)</f>
        <v>0</v>
      </c>
      <c r="U19" s="61"/>
      <c r="V19" s="61"/>
      <c r="W19" s="61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0" t="str">
        <f ca="1">IFERROR(__xludf.DUMMYFUNCTION("""COMPUTED_VALUE"""),"A.A. C.E. ADEMAR V. FERREIRA SOBRINHO")</f>
        <v>A.A. C.E. ADEMAR V. FERREIRA SOBRINHO</v>
      </c>
      <c r="D20" s="136" t="str">
        <f ca="1">IFERROR(__xludf.DUMMYFUNCTION("""COMPUTED_VALUE"""),"01143808000190")</f>
        <v>01143808000190</v>
      </c>
      <c r="E20" s="6" t="str">
        <f ca="1">IFERROR(__xludf.DUMMYFUNCTION("""COMPUTED_VALUE"""),"001")</f>
        <v>001</v>
      </c>
      <c r="F20" s="7" t="str">
        <f ca="1">IFERROR(__xludf.DUMMYFUNCTION("""COMPUTED_VALUE"""),"0638")</f>
        <v>0638</v>
      </c>
      <c r="G20" s="7" t="str">
        <f ca="1">IFERROR(__xludf.DUMMYFUNCTION("""COMPUTED_VALUE"""),"0464244")</f>
        <v>0464244</v>
      </c>
      <c r="H20" s="7">
        <f ca="1">IFERROR(__xludf.DUMMYFUNCTION("""COMPUTED_VALUE"""),0)</f>
        <v>0</v>
      </c>
      <c r="I20" s="7">
        <f ca="1">IFERROR(__xludf.DUMMYFUNCTION("""COMPUTED_VALUE"""),0)</f>
        <v>0</v>
      </c>
      <c r="J20" s="7">
        <f ca="1">IFERROR(__xludf.DUMMYFUNCTION("""COMPUTED_VALUE"""),4120)</f>
        <v>4120</v>
      </c>
      <c r="K20" s="7">
        <f ca="1">IFERROR(__xludf.DUMMYFUNCTION("""COMPUTED_VALUE"""),0)</f>
        <v>0</v>
      </c>
      <c r="L20" s="7">
        <f ca="1">IFERROR(__xludf.DUMMYFUNCTION("""COMPUTED_VALUE"""),0)</f>
        <v>0</v>
      </c>
      <c r="M20" s="7">
        <f ca="1">IFERROR(__xludf.DUMMYFUNCTION("""COMPUTED_VALUE"""),0)</f>
        <v>0</v>
      </c>
      <c r="N20" s="7">
        <f ca="1">IFERROR(__xludf.DUMMYFUNCTION("""COMPUTED_VALUE"""),0)</f>
        <v>0</v>
      </c>
      <c r="O20" s="7">
        <f ca="1">IFERROR(__xludf.DUMMYFUNCTION("""COMPUTED_VALUE"""),0)</f>
        <v>0</v>
      </c>
      <c r="P20" s="7">
        <f ca="1">IFERROR(__xludf.DUMMYFUNCTION("""COMPUTED_VALUE"""),272)</f>
        <v>272</v>
      </c>
      <c r="Q20" s="7">
        <f ca="1">IFERROR(__xludf.DUMMYFUNCTION("""COMPUTED_VALUE"""),0)</f>
        <v>0</v>
      </c>
      <c r="R20" s="7">
        <f ca="1">IFERROR(__xludf.DUMMYFUNCTION("""COMPUTED_VALUE"""),0)</f>
        <v>0</v>
      </c>
      <c r="S20" s="7">
        <f ca="1">IFERROR(__xludf.DUMMYFUNCTION("""COMPUTED_VALUE"""),0)</f>
        <v>0</v>
      </c>
      <c r="T20" s="7">
        <f ca="1">IFERROR(__xludf.DUMMYFUNCTION("""COMPUTED_VALUE"""),0)</f>
        <v>0</v>
      </c>
      <c r="U20" s="61"/>
      <c r="V20" s="61"/>
      <c r="W20" s="61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0" t="str">
        <f ca="1">IFERROR(__xludf.DUMMYFUNCTION("""COMPUTED_VALUE"""),"A.A. C.E.  ADOLFO BEZERRA DE MENEZES")</f>
        <v>A.A. C.E.  ADOLFO BEZERRA DE MENEZES</v>
      </c>
      <c r="D21" s="136" t="str">
        <f ca="1">IFERROR(__xludf.DUMMYFUNCTION("""COMPUTED_VALUE"""),"01071435000190")</f>
        <v>01071435000190</v>
      </c>
      <c r="E21" s="6" t="str">
        <f ca="1">IFERROR(__xludf.DUMMYFUNCTION("""COMPUTED_VALUE"""),"001")</f>
        <v>001</v>
      </c>
      <c r="F21" s="7" t="str">
        <f ca="1">IFERROR(__xludf.DUMMYFUNCTION("""COMPUTED_VALUE"""),"0638")</f>
        <v>0638</v>
      </c>
      <c r="G21" s="7" t="str">
        <f ca="1">IFERROR(__xludf.DUMMYFUNCTION("""COMPUTED_VALUE"""),"463426")</f>
        <v>463426</v>
      </c>
      <c r="H21" s="7">
        <f ca="1">IFERROR(__xludf.DUMMYFUNCTION("""COMPUTED_VALUE"""),0)</f>
        <v>0</v>
      </c>
      <c r="I21" s="7">
        <f ca="1">IFERROR(__xludf.DUMMYFUNCTION("""COMPUTED_VALUE"""),0)</f>
        <v>0</v>
      </c>
      <c r="J21" s="7">
        <f ca="1">IFERROR(__xludf.DUMMYFUNCTION("""COMPUTED_VALUE"""),5510)</f>
        <v>5510</v>
      </c>
      <c r="K21" s="7">
        <f ca="1">IFERROR(__xludf.DUMMYFUNCTION("""COMPUTED_VALUE"""),0)</f>
        <v>0</v>
      </c>
      <c r="L21" s="7">
        <f ca="1">IFERROR(__xludf.DUMMYFUNCTION("""COMPUTED_VALUE"""),0)</f>
        <v>0</v>
      </c>
      <c r="M21" s="7">
        <f ca="1">IFERROR(__xludf.DUMMYFUNCTION("""COMPUTED_VALUE"""),0)</f>
        <v>0</v>
      </c>
      <c r="N21" s="7">
        <f ca="1">IFERROR(__xludf.DUMMYFUNCTION("""COMPUTED_VALUE"""),0)</f>
        <v>0</v>
      </c>
      <c r="O21" s="7">
        <f ca="1">IFERROR(__xludf.DUMMYFUNCTION("""COMPUTED_VALUE"""),0)</f>
        <v>0</v>
      </c>
      <c r="P21" s="7">
        <f ca="1">IFERROR(__xludf.DUMMYFUNCTION("""COMPUTED_VALUE"""),299.2)</f>
        <v>299.2</v>
      </c>
      <c r="Q21" s="7">
        <f ca="1">IFERROR(__xludf.DUMMYFUNCTION("""COMPUTED_VALUE"""),4370)</f>
        <v>4370</v>
      </c>
      <c r="R21" s="7">
        <f ca="1">IFERROR(__xludf.DUMMYFUNCTION("""COMPUTED_VALUE"""),0)</f>
        <v>0</v>
      </c>
      <c r="S21" s="7">
        <f ca="1">IFERROR(__xludf.DUMMYFUNCTION("""COMPUTED_VALUE"""),0)</f>
        <v>0</v>
      </c>
      <c r="T21" s="7">
        <f ca="1">IFERROR(__xludf.DUMMYFUNCTION("""COMPUTED_VALUE"""),1016.8)</f>
        <v>1016.8</v>
      </c>
      <c r="U21" s="61"/>
      <c r="V21" s="61"/>
      <c r="W21" s="61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0" t="str">
        <f ca="1">IFERROR(__xludf.DUMMYFUNCTION("""COMPUTED_VALUE"""),"A. APOIO ESCOLA EST. CAMPOS BRASIL")</f>
        <v>A. APOIO ESCOLA EST. CAMPOS BRASIL</v>
      </c>
      <c r="D22" s="136" t="str">
        <f ca="1">IFERROR(__xludf.DUMMYFUNCTION("""COMPUTED_VALUE"""),"01291177000157")</f>
        <v>01291177000157</v>
      </c>
      <c r="E22" s="6" t="str">
        <f ca="1">IFERROR(__xludf.DUMMYFUNCTION("""COMPUTED_VALUE"""),"001")</f>
        <v>001</v>
      </c>
      <c r="F22" s="7" t="str">
        <f ca="1">IFERROR(__xludf.DUMMYFUNCTION("""COMPUTED_VALUE"""),"0638")</f>
        <v>0638</v>
      </c>
      <c r="G22" s="7" t="str">
        <f ca="1">IFERROR(__xludf.DUMMYFUNCTION("""COMPUTED_VALUE"""),"466093")</f>
        <v>466093</v>
      </c>
      <c r="H22" s="7">
        <f ca="1">IFERROR(__xludf.DUMMYFUNCTION("""COMPUTED_VALUE"""),0)</f>
        <v>0</v>
      </c>
      <c r="I22" s="7">
        <f ca="1">IFERROR(__xludf.DUMMYFUNCTION("""COMPUTED_VALUE"""),0)</f>
        <v>0</v>
      </c>
      <c r="J22" s="7">
        <f ca="1">IFERROR(__xludf.DUMMYFUNCTION("""COMPUTED_VALUE"""),5590)</f>
        <v>5590</v>
      </c>
      <c r="K22" s="7">
        <f ca="1">IFERROR(__xludf.DUMMYFUNCTION("""COMPUTED_VALUE"""),0)</f>
        <v>0</v>
      </c>
      <c r="L22" s="7">
        <f ca="1">IFERROR(__xludf.DUMMYFUNCTION("""COMPUTED_VALUE"""),0)</f>
        <v>0</v>
      </c>
      <c r="M22" s="7">
        <f ca="1">IFERROR(__xludf.DUMMYFUNCTION("""COMPUTED_VALUE"""),0)</f>
        <v>0</v>
      </c>
      <c r="N22" s="7">
        <f ca="1">IFERROR(__xludf.DUMMYFUNCTION("""COMPUTED_VALUE"""),0)</f>
        <v>0</v>
      </c>
      <c r="O22" s="7">
        <f ca="1">IFERROR(__xludf.DUMMYFUNCTION("""COMPUTED_VALUE"""),0)</f>
        <v>0</v>
      </c>
      <c r="P22" s="7">
        <f ca="1">IFERROR(__xludf.DUMMYFUNCTION("""COMPUTED_VALUE"""),489.599999999999)</f>
        <v>489.599999999999</v>
      </c>
      <c r="Q22" s="7">
        <f ca="1">IFERROR(__xludf.DUMMYFUNCTION("""COMPUTED_VALUE"""),5960)</f>
        <v>5960</v>
      </c>
      <c r="R22" s="7">
        <f ca="1">IFERROR(__xludf.DUMMYFUNCTION("""COMPUTED_VALUE"""),0)</f>
        <v>0</v>
      </c>
      <c r="S22" s="7">
        <f ca="1">IFERROR(__xludf.DUMMYFUNCTION("""COMPUTED_VALUE"""),0)</f>
        <v>0</v>
      </c>
      <c r="T22" s="7">
        <f ca="1">IFERROR(__xludf.DUMMYFUNCTION("""COMPUTED_VALUE"""),0)</f>
        <v>0</v>
      </c>
      <c r="U22" s="61"/>
      <c r="V22" s="61"/>
      <c r="W22" s="61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0" t="str">
        <f ca="1">IFERROR(__xludf.DUMMYFUNCTION("""COMPUTED_VALUE"""),"A.A. COL. ESTADUAL GUILHERME DOURADO")</f>
        <v>A.A. COL. ESTADUAL GUILHERME DOURADO</v>
      </c>
      <c r="D23" s="136" t="str">
        <f ca="1">IFERROR(__xludf.DUMMYFUNCTION("""COMPUTED_VALUE"""),"01257074000170")</f>
        <v>01257074000170</v>
      </c>
      <c r="E23" s="6" t="str">
        <f ca="1">IFERROR(__xludf.DUMMYFUNCTION("""COMPUTED_VALUE"""),"001")</f>
        <v>001</v>
      </c>
      <c r="F23" s="7" t="str">
        <f ca="1">IFERROR(__xludf.DUMMYFUNCTION("""COMPUTED_VALUE"""),"0638")</f>
        <v>0638</v>
      </c>
      <c r="G23" s="7" t="str">
        <f ca="1">IFERROR(__xludf.DUMMYFUNCTION("""COMPUTED_VALUE"""),"0068659")</f>
        <v>0068659</v>
      </c>
      <c r="H23" s="7">
        <f ca="1">IFERROR(__xludf.DUMMYFUNCTION("""COMPUTED_VALUE"""),0)</f>
        <v>0</v>
      </c>
      <c r="I23" s="7">
        <f ca="1">IFERROR(__xludf.DUMMYFUNCTION("""COMPUTED_VALUE"""),0)</f>
        <v>0</v>
      </c>
      <c r="J23" s="7">
        <f ca="1">IFERROR(__xludf.DUMMYFUNCTION("""COMPUTED_VALUE"""),0)</f>
        <v>0</v>
      </c>
      <c r="K23" s="7">
        <f ca="1">IFERROR(__xludf.DUMMYFUNCTION("""COMPUTED_VALUE"""),0)</f>
        <v>0</v>
      </c>
      <c r="L23" s="7">
        <f ca="1">IFERROR(__xludf.DUMMYFUNCTION("""COMPUTED_VALUE"""),0)</f>
        <v>0</v>
      </c>
      <c r="M23" s="7">
        <f ca="1">IFERROR(__xludf.DUMMYFUNCTION("""COMPUTED_VALUE"""),0)</f>
        <v>0</v>
      </c>
      <c r="N23" s="7">
        <f ca="1">IFERROR(__xludf.DUMMYFUNCTION("""COMPUTED_VALUE"""),0)</f>
        <v>0</v>
      </c>
      <c r="O23" s="7">
        <f ca="1">IFERROR(__xludf.DUMMYFUNCTION("""COMPUTED_VALUE"""),0)</f>
        <v>0</v>
      </c>
      <c r="P23" s="7">
        <f ca="1">IFERROR(__xludf.DUMMYFUNCTION("""COMPUTED_VALUE"""),108.8)</f>
        <v>108.8</v>
      </c>
      <c r="Q23" s="7">
        <f ca="1">IFERROR(__xludf.DUMMYFUNCTION("""COMPUTED_VALUE"""),14690)</f>
        <v>14690</v>
      </c>
      <c r="R23" s="7">
        <f ca="1">IFERROR(__xludf.DUMMYFUNCTION("""COMPUTED_VALUE"""),0)</f>
        <v>0</v>
      </c>
      <c r="S23" s="7">
        <f ca="1">IFERROR(__xludf.DUMMYFUNCTION("""COMPUTED_VALUE"""),0)</f>
        <v>0</v>
      </c>
      <c r="T23" s="7">
        <f ca="1">IFERROR(__xludf.DUMMYFUNCTION("""COMPUTED_VALUE"""),0)</f>
        <v>0</v>
      </c>
      <c r="U23" s="61"/>
      <c r="V23" s="61"/>
      <c r="W23" s="61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0" t="str">
        <f ca="1">IFERROR(__xludf.DUMMYFUNCTION("""COMPUTED_VALUE"""),"ASS. APOIO COL. EST. JARDIM PAULISTA")</f>
        <v>ASS. APOIO COL. EST. JARDIM PAULISTA</v>
      </c>
      <c r="D24" s="136" t="str">
        <f ca="1">IFERROR(__xludf.DUMMYFUNCTION("""COMPUTED_VALUE"""),"05502542000186")</f>
        <v>05502542000186</v>
      </c>
      <c r="E24" s="6" t="str">
        <f ca="1">IFERROR(__xludf.DUMMYFUNCTION("""COMPUTED_VALUE"""),"001")</f>
        <v>001</v>
      </c>
      <c r="F24" s="7" t="str">
        <f ca="1">IFERROR(__xludf.DUMMYFUNCTION("""COMPUTED_VALUE"""),"0638")</f>
        <v>0638</v>
      </c>
      <c r="G24" s="7" t="str">
        <f ca="1">IFERROR(__xludf.DUMMYFUNCTION("""COMPUTED_VALUE"""),"243876")</f>
        <v>243876</v>
      </c>
      <c r="H24" s="7">
        <f ca="1">IFERROR(__xludf.DUMMYFUNCTION("""COMPUTED_VALUE"""),0)</f>
        <v>0</v>
      </c>
      <c r="I24" s="7">
        <f ca="1">IFERROR(__xludf.DUMMYFUNCTION("""COMPUTED_VALUE"""),0)</f>
        <v>0</v>
      </c>
      <c r="J24" s="7">
        <f ca="1">IFERROR(__xludf.DUMMYFUNCTION("""COMPUTED_VALUE"""),4350)</f>
        <v>4350</v>
      </c>
      <c r="K24" s="7">
        <f ca="1">IFERROR(__xludf.DUMMYFUNCTION("""COMPUTED_VALUE"""),0)</f>
        <v>0</v>
      </c>
      <c r="L24" s="7">
        <f ca="1">IFERROR(__xludf.DUMMYFUNCTION("""COMPUTED_VALUE"""),0)</f>
        <v>0</v>
      </c>
      <c r="M24" s="7">
        <f ca="1">IFERROR(__xludf.DUMMYFUNCTION("""COMPUTED_VALUE"""),0)</f>
        <v>0</v>
      </c>
      <c r="N24" s="7">
        <f ca="1">IFERROR(__xludf.DUMMYFUNCTION("""COMPUTED_VALUE"""),0)</f>
        <v>0</v>
      </c>
      <c r="O24" s="7">
        <f ca="1">IFERROR(__xludf.DUMMYFUNCTION("""COMPUTED_VALUE"""),0)</f>
        <v>0</v>
      </c>
      <c r="P24" s="7">
        <f ca="1">IFERROR(__xludf.DUMMYFUNCTION("""COMPUTED_VALUE"""),217.6)</f>
        <v>217.6</v>
      </c>
      <c r="Q24" s="7">
        <f ca="1">IFERROR(__xludf.DUMMYFUNCTION("""COMPUTED_VALUE"""),4590)</f>
        <v>4590</v>
      </c>
      <c r="R24" s="7">
        <f ca="1">IFERROR(__xludf.DUMMYFUNCTION("""COMPUTED_VALUE"""),0)</f>
        <v>0</v>
      </c>
      <c r="S24" s="7">
        <f ca="1">IFERROR(__xludf.DUMMYFUNCTION("""COMPUTED_VALUE"""),0)</f>
        <v>0</v>
      </c>
      <c r="T24" s="7">
        <f ca="1">IFERROR(__xludf.DUMMYFUNCTION("""COMPUTED_VALUE"""),0)</f>
        <v>0</v>
      </c>
      <c r="U24" s="61"/>
      <c r="V24" s="61"/>
      <c r="W24" s="61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0" t="str">
        <f ca="1">IFERROR(__xludf.DUMMYFUNCTION("""COMPUTED_VALUE"""),"A.APOIO COL. ESTADUAL JORGE AMADO")</f>
        <v>A.APOIO COL. ESTADUAL JORGE AMADO</v>
      </c>
      <c r="D25" s="136" t="str">
        <f ca="1">IFERROR(__xludf.DUMMYFUNCTION("""COMPUTED_VALUE"""),"01291218000105")</f>
        <v>01291218000105</v>
      </c>
      <c r="E25" s="6" t="str">
        <f ca="1">IFERROR(__xludf.DUMMYFUNCTION("""COMPUTED_VALUE"""),"001")</f>
        <v>001</v>
      </c>
      <c r="F25" s="7" t="str">
        <f ca="1">IFERROR(__xludf.DUMMYFUNCTION("""COMPUTED_VALUE"""),"0638")</f>
        <v>0638</v>
      </c>
      <c r="G25" s="7" t="str">
        <f ca="1">IFERROR(__xludf.DUMMYFUNCTION("""COMPUTED_VALUE"""),"0467006")</f>
        <v>0467006</v>
      </c>
      <c r="H25" s="7">
        <f ca="1">IFERROR(__xludf.DUMMYFUNCTION("""COMPUTED_VALUE"""),0)</f>
        <v>0</v>
      </c>
      <c r="I25" s="7">
        <f ca="1">IFERROR(__xludf.DUMMYFUNCTION("""COMPUTED_VALUE"""),0)</f>
        <v>0</v>
      </c>
      <c r="J25" s="7">
        <f ca="1">IFERROR(__xludf.DUMMYFUNCTION("""COMPUTED_VALUE"""),2250)</f>
        <v>2250</v>
      </c>
      <c r="K25" s="7">
        <f ca="1">IFERROR(__xludf.DUMMYFUNCTION("""COMPUTED_VALUE"""),0)</f>
        <v>0</v>
      </c>
      <c r="L25" s="7">
        <f ca="1">IFERROR(__xludf.DUMMYFUNCTION("""COMPUTED_VALUE"""),0)</f>
        <v>0</v>
      </c>
      <c r="M25" s="7">
        <f ca="1">IFERROR(__xludf.DUMMYFUNCTION("""COMPUTED_VALUE"""),0)</f>
        <v>0</v>
      </c>
      <c r="N25" s="7">
        <f ca="1">IFERROR(__xludf.DUMMYFUNCTION("""COMPUTED_VALUE"""),0)</f>
        <v>0</v>
      </c>
      <c r="O25" s="7">
        <f ca="1">IFERROR(__xludf.DUMMYFUNCTION("""COMPUTED_VALUE"""),0)</f>
        <v>0</v>
      </c>
      <c r="P25" s="7">
        <f ca="1">IFERROR(__xludf.DUMMYFUNCTION("""COMPUTED_VALUE"""),244.799999999999)</f>
        <v>244.79999999999899</v>
      </c>
      <c r="Q25" s="7">
        <f ca="1">IFERROR(__xludf.DUMMYFUNCTION("""COMPUTED_VALUE"""),2970)</f>
        <v>2970</v>
      </c>
      <c r="R25" s="7">
        <f ca="1">IFERROR(__xludf.DUMMYFUNCTION("""COMPUTED_VALUE"""),0)</f>
        <v>0</v>
      </c>
      <c r="S25" s="7">
        <f ca="1">IFERROR(__xludf.DUMMYFUNCTION("""COMPUTED_VALUE"""),0)</f>
        <v>0</v>
      </c>
      <c r="T25" s="7">
        <f ca="1">IFERROR(__xludf.DUMMYFUNCTION("""COMPUTED_VALUE"""),0)</f>
        <v>0</v>
      </c>
      <c r="U25" s="61"/>
      <c r="V25" s="61"/>
      <c r="W25" s="61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0" t="str">
        <f ca="1">IFERROR(__xludf.DUMMYFUNCTION("""COMPUTED_VALUE"""),"A.A. C.E.  PROF. SILVANDIRA SOUSA LIMA")</f>
        <v>A.A. C.E.  PROF. SILVANDIRA SOUSA LIMA</v>
      </c>
      <c r="D26" s="136" t="str">
        <f ca="1">IFERROR(__xludf.DUMMYFUNCTION("""COMPUTED_VALUE"""),"01071403000194")</f>
        <v>01071403000194</v>
      </c>
      <c r="E26" s="6" t="str">
        <f ca="1">IFERROR(__xludf.DUMMYFUNCTION("""COMPUTED_VALUE"""),"001")</f>
        <v>001</v>
      </c>
      <c r="F26" s="7" t="str">
        <f ca="1">IFERROR(__xludf.DUMMYFUNCTION("""COMPUTED_VALUE"""),"0638")</f>
        <v>0638</v>
      </c>
      <c r="G26" s="7" t="str">
        <f ca="1">IFERROR(__xludf.DUMMYFUNCTION("""COMPUTED_VALUE"""),"0463922")</f>
        <v>0463922</v>
      </c>
      <c r="H26" s="7">
        <f ca="1">IFERROR(__xludf.DUMMYFUNCTION("""COMPUTED_VALUE"""),0)</f>
        <v>0</v>
      </c>
      <c r="I26" s="7">
        <f ca="1">IFERROR(__xludf.DUMMYFUNCTION("""COMPUTED_VALUE"""),0)</f>
        <v>0</v>
      </c>
      <c r="J26" s="7">
        <f ca="1">IFERROR(__xludf.DUMMYFUNCTION("""COMPUTED_VALUE"""),5980)</f>
        <v>5980</v>
      </c>
      <c r="K26" s="7">
        <f ca="1">IFERROR(__xludf.DUMMYFUNCTION("""COMPUTED_VALUE"""),0)</f>
        <v>0</v>
      </c>
      <c r="L26" s="7">
        <f ca="1">IFERROR(__xludf.DUMMYFUNCTION("""COMPUTED_VALUE"""),0)</f>
        <v>0</v>
      </c>
      <c r="M26" s="7">
        <f ca="1">IFERROR(__xludf.DUMMYFUNCTION("""COMPUTED_VALUE"""),0)</f>
        <v>0</v>
      </c>
      <c r="N26" s="7">
        <f ca="1">IFERROR(__xludf.DUMMYFUNCTION("""COMPUTED_VALUE"""),0)</f>
        <v>0</v>
      </c>
      <c r="O26" s="7">
        <f ca="1">IFERROR(__xludf.DUMMYFUNCTION("""COMPUTED_VALUE"""),0)</f>
        <v>0</v>
      </c>
      <c r="P26" s="7">
        <f ca="1">IFERROR(__xludf.DUMMYFUNCTION("""COMPUTED_VALUE"""),272)</f>
        <v>272</v>
      </c>
      <c r="Q26" s="7">
        <f ca="1">IFERROR(__xludf.DUMMYFUNCTION("""COMPUTED_VALUE"""),8560)</f>
        <v>8560</v>
      </c>
      <c r="R26" s="7">
        <f ca="1">IFERROR(__xludf.DUMMYFUNCTION("""COMPUTED_VALUE"""),0)</f>
        <v>0</v>
      </c>
      <c r="S26" s="7">
        <f ca="1">IFERROR(__xludf.DUMMYFUNCTION("""COMPUTED_VALUE"""),0)</f>
        <v>0</v>
      </c>
      <c r="T26" s="7">
        <f ca="1">IFERROR(__xludf.DUMMYFUNCTION("""COMPUTED_VALUE"""),0)</f>
        <v>0</v>
      </c>
      <c r="U26" s="61"/>
      <c r="V26" s="61"/>
      <c r="W26" s="61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0" t="str">
        <f ca="1">IFERROR(__xludf.DUMMYFUNCTION("""COMPUTED_VALUE"""),"A.A. COLEGIO ESTADUAL RUI BARBOSA")</f>
        <v>A.A. COLEGIO ESTADUAL RUI BARBOSA</v>
      </c>
      <c r="D27" s="136" t="str">
        <f ca="1">IFERROR(__xludf.DUMMYFUNCTION("""COMPUTED_VALUE"""),"01071440000100")</f>
        <v>01071440000100</v>
      </c>
      <c r="E27" s="6" t="str">
        <f ca="1">IFERROR(__xludf.DUMMYFUNCTION("""COMPUTED_VALUE"""),"001")</f>
        <v>001</v>
      </c>
      <c r="F27" s="7" t="str">
        <f ca="1">IFERROR(__xludf.DUMMYFUNCTION("""COMPUTED_VALUE"""),"0638")</f>
        <v>0638</v>
      </c>
      <c r="G27" s="7" t="str">
        <f ca="1">IFERROR(__xludf.DUMMYFUNCTION("""COMPUTED_VALUE"""),"0463787")</f>
        <v>0463787</v>
      </c>
      <c r="H27" s="7">
        <f ca="1">IFERROR(__xludf.DUMMYFUNCTION("""COMPUTED_VALUE"""),0)</f>
        <v>0</v>
      </c>
      <c r="I27" s="7">
        <f ca="1">IFERROR(__xludf.DUMMYFUNCTION("""COMPUTED_VALUE"""),0)</f>
        <v>0</v>
      </c>
      <c r="J27" s="7">
        <f ca="1">IFERROR(__xludf.DUMMYFUNCTION("""COMPUTED_VALUE"""),0)</f>
        <v>0</v>
      </c>
      <c r="K27" s="7">
        <f ca="1">IFERROR(__xludf.DUMMYFUNCTION("""COMPUTED_VALUE"""),0)</f>
        <v>0</v>
      </c>
      <c r="L27" s="7">
        <f ca="1">IFERROR(__xludf.DUMMYFUNCTION("""COMPUTED_VALUE"""),0)</f>
        <v>0</v>
      </c>
      <c r="M27" s="7">
        <f ca="1">IFERROR(__xludf.DUMMYFUNCTION("""COMPUTED_VALUE"""),0)</f>
        <v>0</v>
      </c>
      <c r="N27" s="7">
        <f ca="1">IFERROR(__xludf.DUMMYFUNCTION("""COMPUTED_VALUE"""),0)</f>
        <v>0</v>
      </c>
      <c r="O27" s="7">
        <f ca="1">IFERROR(__xludf.DUMMYFUNCTION("""COMPUTED_VALUE"""),0)</f>
        <v>0</v>
      </c>
      <c r="P27" s="7">
        <f ca="1">IFERROR(__xludf.DUMMYFUNCTION("""COMPUTED_VALUE"""),176.799999999999)</f>
        <v>176.79999999999899</v>
      </c>
      <c r="Q27" s="7">
        <f ca="1">IFERROR(__xludf.DUMMYFUNCTION("""COMPUTED_VALUE"""),0)</f>
        <v>0</v>
      </c>
      <c r="R27" s="7">
        <f ca="1">IFERROR(__xludf.DUMMYFUNCTION("""COMPUTED_VALUE"""),0)</f>
        <v>0</v>
      </c>
      <c r="S27" s="7">
        <f ca="1">IFERROR(__xludf.DUMMYFUNCTION("""COMPUTED_VALUE"""),7014.4)</f>
        <v>7014.4</v>
      </c>
      <c r="T27" s="7">
        <f ca="1">IFERROR(__xludf.DUMMYFUNCTION("""COMPUTED_VALUE"""),0)</f>
        <v>0</v>
      </c>
      <c r="U27" s="61"/>
      <c r="V27" s="61"/>
      <c r="W27" s="61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0" t="str">
        <f ca="1">IFERROR(__xludf.DUMMYFUNCTION("""COMPUTED_VALUE"""),"A.A.ESCOLA TEMPO INTEGRAL JARDENIR JORGE FREDERICO")</f>
        <v>A.A.ESCOLA TEMPO INTEGRAL JARDENIR JORGE FREDERICO</v>
      </c>
      <c r="D28" s="136" t="str">
        <f ca="1">IFERROR(__xludf.DUMMYFUNCTION("""COMPUTED_VALUE"""),"43361835000180")</f>
        <v>43361835000180</v>
      </c>
      <c r="E28" s="6" t="str">
        <f ca="1">IFERROR(__xludf.DUMMYFUNCTION("""COMPUTED_VALUE"""),"001")</f>
        <v>001</v>
      </c>
      <c r="F28" s="7" t="str">
        <f ca="1">IFERROR(__xludf.DUMMYFUNCTION("""COMPUTED_VALUE"""),"4348")</f>
        <v>4348</v>
      </c>
      <c r="G28" s="7" t="str">
        <f ca="1">IFERROR(__xludf.DUMMYFUNCTION("""COMPUTED_VALUE"""),"434795")</f>
        <v>434795</v>
      </c>
      <c r="H28" s="7">
        <f ca="1">IFERROR(__xludf.DUMMYFUNCTION("""COMPUTED_VALUE"""),0)</f>
        <v>0</v>
      </c>
      <c r="I28" s="7">
        <f ca="1">IFERROR(__xludf.DUMMYFUNCTION("""COMPUTED_VALUE"""),0)</f>
        <v>0</v>
      </c>
      <c r="J28" s="7">
        <f ca="1">IFERROR(__xludf.DUMMYFUNCTION("""COMPUTED_VALUE"""),0)</f>
        <v>0</v>
      </c>
      <c r="K28" s="7">
        <f ca="1">IFERROR(__xludf.DUMMYFUNCTION("""COMPUTED_VALUE"""),21015.8)</f>
        <v>21015.8</v>
      </c>
      <c r="L28" s="7">
        <f ca="1">IFERROR(__xludf.DUMMYFUNCTION("""COMPUTED_VALUE"""),0)</f>
        <v>0</v>
      </c>
      <c r="M28" s="7">
        <f ca="1">IFERROR(__xludf.DUMMYFUNCTION("""COMPUTED_VALUE"""),0)</f>
        <v>0</v>
      </c>
      <c r="N28" s="7">
        <f ca="1">IFERROR(__xludf.DUMMYFUNCTION("""COMPUTED_VALUE"""),0)</f>
        <v>0</v>
      </c>
      <c r="O28" s="7">
        <f ca="1">IFERROR(__xludf.DUMMYFUNCTION("""COMPUTED_VALUE"""),0)</f>
        <v>0</v>
      </c>
      <c r="P28" s="7">
        <f ca="1">IFERROR(__xludf.DUMMYFUNCTION("""COMPUTED_VALUE"""),204)</f>
        <v>204</v>
      </c>
      <c r="Q28" s="7">
        <f ca="1">IFERROR(__xludf.DUMMYFUNCTION("""COMPUTED_VALUE"""),0)</f>
        <v>0</v>
      </c>
      <c r="R28" s="7">
        <f ca="1">IFERROR(__xludf.DUMMYFUNCTION("""COMPUTED_VALUE"""),0)</f>
        <v>0</v>
      </c>
      <c r="S28" s="7">
        <f ca="1">IFERROR(__xludf.DUMMYFUNCTION("""COMPUTED_VALUE"""),0)</f>
        <v>0</v>
      </c>
      <c r="T28" s="7">
        <f ca="1">IFERROR(__xludf.DUMMYFUNCTION("""COMPUTED_VALUE"""),0)</f>
        <v>0</v>
      </c>
      <c r="U28" s="61"/>
      <c r="V28" s="61"/>
      <c r="W28" s="61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0" t="str">
        <f ca="1">IFERROR(__xludf.DUMMYFUNCTION("""COMPUTED_VALUE"""),"A.A. ESCOLA TEMPO INTEGRAL DOMINGOS DA CRUZ MACHADO")</f>
        <v>A.A. ESCOLA TEMPO INTEGRAL DOMINGOS DA CRUZ MACHADO</v>
      </c>
      <c r="D29" s="136" t="str">
        <f ca="1">IFERROR(__xludf.DUMMYFUNCTION("""COMPUTED_VALUE"""),"49868761000159")</f>
        <v>49868761000159</v>
      </c>
      <c r="E29" s="6" t="str">
        <f ca="1">IFERROR(__xludf.DUMMYFUNCTION("""COMPUTED_VALUE"""),"001")</f>
        <v>001</v>
      </c>
      <c r="F29" s="7" t="str">
        <f ca="1">IFERROR(__xludf.DUMMYFUNCTION("""COMPUTED_VALUE"""),"4348")</f>
        <v>4348</v>
      </c>
      <c r="G29" s="7" t="str">
        <f ca="1">IFERROR(__xludf.DUMMYFUNCTION("""COMPUTED_VALUE"""),"460192")</f>
        <v>460192</v>
      </c>
      <c r="H29" s="7">
        <f ca="1">IFERROR(__xludf.DUMMYFUNCTION("""COMPUTED_VALUE"""),0)</f>
        <v>0</v>
      </c>
      <c r="I29" s="7">
        <f ca="1">IFERROR(__xludf.DUMMYFUNCTION("""COMPUTED_VALUE"""),0)</f>
        <v>0</v>
      </c>
      <c r="J29" s="7">
        <f ca="1">IFERROR(__xludf.DUMMYFUNCTION("""COMPUTED_VALUE"""),0)</f>
        <v>0</v>
      </c>
      <c r="K29" s="7">
        <f ca="1">IFERROR(__xludf.DUMMYFUNCTION("""COMPUTED_VALUE"""),11097)</f>
        <v>11097</v>
      </c>
      <c r="L29" s="7">
        <f ca="1">IFERROR(__xludf.DUMMYFUNCTION("""COMPUTED_VALUE"""),0)</f>
        <v>0</v>
      </c>
      <c r="M29" s="7">
        <f ca="1">IFERROR(__xludf.DUMMYFUNCTION("""COMPUTED_VALUE"""),0)</f>
        <v>0</v>
      </c>
      <c r="N29" s="7">
        <f ca="1">IFERROR(__xludf.DUMMYFUNCTION("""COMPUTED_VALUE"""),0)</f>
        <v>0</v>
      </c>
      <c r="O29" s="7">
        <f ca="1">IFERROR(__xludf.DUMMYFUNCTION("""COMPUTED_VALUE"""),0)</f>
        <v>0</v>
      </c>
      <c r="P29" s="7">
        <f ca="1">IFERROR(__xludf.DUMMYFUNCTION("""COMPUTED_VALUE"""),408)</f>
        <v>408</v>
      </c>
      <c r="Q29" s="7">
        <f ca="1">IFERROR(__xludf.DUMMYFUNCTION("""COMPUTED_VALUE"""),0)</f>
        <v>0</v>
      </c>
      <c r="R29" s="7">
        <f ca="1">IFERROR(__xludf.DUMMYFUNCTION("""COMPUTED_VALUE"""),1123.39999999999)</f>
        <v>1123.3999999999901</v>
      </c>
      <c r="S29" s="7">
        <f ca="1">IFERROR(__xludf.DUMMYFUNCTION("""COMPUTED_VALUE"""),0)</f>
        <v>0</v>
      </c>
      <c r="T29" s="7">
        <f ca="1">IFERROR(__xludf.DUMMYFUNCTION("""COMPUTED_VALUE"""),0)</f>
        <v>0</v>
      </c>
      <c r="U29" s="61"/>
      <c r="V29" s="61"/>
      <c r="W29" s="61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0" t="str">
        <f ca="1">IFERROR(__xludf.DUMMYFUNCTION("""COMPUTED_VALUE"""),"A.A. ESC. EST. DEP.FED.JOSE A. DE ASSIS")</f>
        <v>A.A. ESC. EST. DEP.FED.JOSE A. DE ASSIS</v>
      </c>
      <c r="D30" s="136" t="str">
        <f ca="1">IFERROR(__xludf.DUMMYFUNCTION("""COMPUTED_VALUE"""),"01186464000105")</f>
        <v>01186464000105</v>
      </c>
      <c r="E30" s="6" t="str">
        <f ca="1">IFERROR(__xludf.DUMMYFUNCTION("""COMPUTED_VALUE"""),"001")</f>
        <v>001</v>
      </c>
      <c r="F30" s="7" t="str">
        <f ca="1">IFERROR(__xludf.DUMMYFUNCTION("""COMPUTED_VALUE"""),"0638")</f>
        <v>0638</v>
      </c>
      <c r="G30" s="7" t="str">
        <f ca="1">IFERROR(__xludf.DUMMYFUNCTION("""COMPUTED_VALUE"""),"465089")</f>
        <v>465089</v>
      </c>
      <c r="H30" s="7">
        <f ca="1">IFERROR(__xludf.DUMMYFUNCTION("""COMPUTED_VALUE"""),0)</f>
        <v>0</v>
      </c>
      <c r="I30" s="7">
        <f ca="1">IFERROR(__xludf.DUMMYFUNCTION("""COMPUTED_VALUE"""),0)</f>
        <v>0</v>
      </c>
      <c r="J30" s="7">
        <f ca="1">IFERROR(__xludf.DUMMYFUNCTION("""COMPUTED_VALUE"""),1780)</f>
        <v>1780</v>
      </c>
      <c r="K30" s="7">
        <f ca="1">IFERROR(__xludf.DUMMYFUNCTION("""COMPUTED_VALUE"""),0)</f>
        <v>0</v>
      </c>
      <c r="L30" s="7">
        <f ca="1">IFERROR(__xludf.DUMMYFUNCTION("""COMPUTED_VALUE"""),0)</f>
        <v>0</v>
      </c>
      <c r="M30" s="7">
        <f ca="1">IFERROR(__xludf.DUMMYFUNCTION("""COMPUTED_VALUE"""),0)</f>
        <v>0</v>
      </c>
      <c r="N30" s="7">
        <f ca="1">IFERROR(__xludf.DUMMYFUNCTION("""COMPUTED_VALUE"""),0)</f>
        <v>0</v>
      </c>
      <c r="O30" s="7">
        <f ca="1">IFERROR(__xludf.DUMMYFUNCTION("""COMPUTED_VALUE"""),0)</f>
        <v>0</v>
      </c>
      <c r="P30" s="7">
        <f ca="1">IFERROR(__xludf.DUMMYFUNCTION("""COMPUTED_VALUE"""),204)</f>
        <v>204</v>
      </c>
      <c r="Q30" s="7">
        <f ca="1">IFERROR(__xludf.DUMMYFUNCTION("""COMPUTED_VALUE"""),4230)</f>
        <v>4230</v>
      </c>
      <c r="R30" s="7">
        <f ca="1">IFERROR(__xludf.DUMMYFUNCTION("""COMPUTED_VALUE"""),0)</f>
        <v>0</v>
      </c>
      <c r="S30" s="7">
        <f ca="1">IFERROR(__xludf.DUMMYFUNCTION("""COMPUTED_VALUE"""),0)</f>
        <v>0</v>
      </c>
      <c r="T30" s="7">
        <f ca="1">IFERROR(__xludf.DUMMYFUNCTION("""COMPUTED_VALUE"""),0)</f>
        <v>0</v>
      </c>
      <c r="U30" s="61"/>
      <c r="V30" s="61"/>
      <c r="W30" s="61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0" t="str">
        <f ca="1">IFERROR(__xludf.DUMMYFUNCTION("""COMPUTED_VALUE"""),"ASSOCIAÇÃO DE APOIO DA ESCOLA ESPECIAL RAIO DE LUZ APAE ARAGUAÍNA")</f>
        <v>ASSOCIAÇÃO DE APOIO DA ESCOLA ESPECIAL RAIO DE LUZ APAE ARAGUAÍNA</v>
      </c>
      <c r="D31" s="136" t="str">
        <f ca="1">IFERROR(__xludf.DUMMYFUNCTION("""COMPUTED_VALUE"""),"07953043000130")</f>
        <v>07953043000130</v>
      </c>
      <c r="E31" s="6" t="str">
        <f ca="1">IFERROR(__xludf.DUMMYFUNCTION("""COMPUTED_VALUE"""),"001")</f>
        <v>001</v>
      </c>
      <c r="F31" s="7" t="str">
        <f ca="1">IFERROR(__xludf.DUMMYFUNCTION("""COMPUTED_VALUE"""),"0638")</f>
        <v>0638</v>
      </c>
      <c r="G31" s="7" t="str">
        <f ca="1">IFERROR(__xludf.DUMMYFUNCTION("""COMPUTED_VALUE"""),"379921")</f>
        <v>379921</v>
      </c>
      <c r="H31" s="7">
        <f ca="1">IFERROR(__xludf.DUMMYFUNCTION("""COMPUTED_VALUE"""),0)</f>
        <v>0</v>
      </c>
      <c r="I31" s="7">
        <f ca="1">IFERROR(__xludf.DUMMYFUNCTION("""COMPUTED_VALUE"""),288)</f>
        <v>288</v>
      </c>
      <c r="J31" s="7">
        <f ca="1">IFERROR(__xludf.DUMMYFUNCTION("""COMPUTED_VALUE"""),220)</f>
        <v>220</v>
      </c>
      <c r="K31" s="7">
        <f ca="1">IFERROR(__xludf.DUMMYFUNCTION("""COMPUTED_VALUE"""),0)</f>
        <v>0</v>
      </c>
      <c r="L31" s="7">
        <f ca="1">IFERROR(__xludf.DUMMYFUNCTION("""COMPUTED_VALUE"""),0)</f>
        <v>0</v>
      </c>
      <c r="M31" s="7">
        <f ca="1">IFERROR(__xludf.DUMMYFUNCTION("""COMPUTED_VALUE"""),0)</f>
        <v>0</v>
      </c>
      <c r="N31" s="7">
        <f ca="1">IFERROR(__xludf.DUMMYFUNCTION("""COMPUTED_VALUE"""),0)</f>
        <v>0</v>
      </c>
      <c r="O31" s="7">
        <f ca="1">IFERROR(__xludf.DUMMYFUNCTION("""COMPUTED_VALUE"""),0)</f>
        <v>0</v>
      </c>
      <c r="P31" s="7">
        <f ca="1">IFERROR(__xludf.DUMMYFUNCTION("""COMPUTED_VALUE"""),734.4)</f>
        <v>734.4</v>
      </c>
      <c r="Q31" s="7">
        <f ca="1">IFERROR(__xludf.DUMMYFUNCTION("""COMPUTED_VALUE"""),0)</f>
        <v>0</v>
      </c>
      <c r="R31" s="7">
        <f ca="1">IFERROR(__xludf.DUMMYFUNCTION("""COMPUTED_VALUE"""),0)</f>
        <v>0</v>
      </c>
      <c r="S31" s="7">
        <f ca="1">IFERROR(__xludf.DUMMYFUNCTION("""COMPUTED_VALUE"""),0)</f>
        <v>0</v>
      </c>
      <c r="T31" s="7">
        <f ca="1">IFERROR(__xludf.DUMMYFUNCTION("""COMPUTED_VALUE"""),1418.6)</f>
        <v>1418.6</v>
      </c>
      <c r="U31" s="61"/>
      <c r="V31" s="61"/>
      <c r="W31" s="61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0" t="str">
        <f ca="1">IFERROR(__xludf.DUMMYFUNCTION("""COMPUTED_VALUE"""),"A.A.  ESCOLA ESPIRITA ANDRE LUIZ")</f>
        <v>A.A.  ESCOLA ESPIRITA ANDRE LUIZ</v>
      </c>
      <c r="D32" s="136" t="str">
        <f ca="1">IFERROR(__xludf.DUMMYFUNCTION("""COMPUTED_VALUE"""),"01066416000175")</f>
        <v>01066416000175</v>
      </c>
      <c r="E32" s="6" t="str">
        <f ca="1">IFERROR(__xludf.DUMMYFUNCTION("""COMPUTED_VALUE"""),"001")</f>
        <v>001</v>
      </c>
      <c r="F32" s="7" t="str">
        <f ca="1">IFERROR(__xludf.DUMMYFUNCTION("""COMPUTED_VALUE"""),"0638")</f>
        <v>0638</v>
      </c>
      <c r="G32" s="7" t="str">
        <f ca="1">IFERROR(__xludf.DUMMYFUNCTION("""COMPUTED_VALUE"""),"463582")</f>
        <v>463582</v>
      </c>
      <c r="H32" s="7">
        <f ca="1">IFERROR(__xludf.DUMMYFUNCTION("""COMPUTED_VALUE"""),0)</f>
        <v>0</v>
      </c>
      <c r="I32" s="7">
        <f ca="1">IFERROR(__xludf.DUMMYFUNCTION("""COMPUTED_VALUE"""),0)</f>
        <v>0</v>
      </c>
      <c r="J32" s="7">
        <f ca="1">IFERROR(__xludf.DUMMYFUNCTION("""COMPUTED_VALUE"""),0)</f>
        <v>0</v>
      </c>
      <c r="K32" s="7">
        <f ca="1">IFERROR(__xludf.DUMMYFUNCTION("""COMPUTED_VALUE"""),5754)</f>
        <v>5754</v>
      </c>
      <c r="L32" s="7">
        <f ca="1">IFERROR(__xludf.DUMMYFUNCTION("""COMPUTED_VALUE"""),0)</f>
        <v>0</v>
      </c>
      <c r="M32" s="7">
        <f ca="1">IFERROR(__xludf.DUMMYFUNCTION("""COMPUTED_VALUE"""),0)</f>
        <v>0</v>
      </c>
      <c r="N32" s="7">
        <f ca="1">IFERROR(__xludf.DUMMYFUNCTION("""COMPUTED_VALUE"""),0)</f>
        <v>0</v>
      </c>
      <c r="O32" s="7">
        <f ca="1">IFERROR(__xludf.DUMMYFUNCTION("""COMPUTED_VALUE"""),0)</f>
        <v>0</v>
      </c>
      <c r="P32" s="7">
        <f ca="1">IFERROR(__xludf.DUMMYFUNCTION("""COMPUTED_VALUE"""),244.799999999999)</f>
        <v>244.79999999999899</v>
      </c>
      <c r="Q32" s="7">
        <f ca="1">IFERROR(__xludf.DUMMYFUNCTION("""COMPUTED_VALUE"""),0)</f>
        <v>0</v>
      </c>
      <c r="R32" s="7">
        <f ca="1">IFERROR(__xludf.DUMMYFUNCTION("""COMPUTED_VALUE"""),0)</f>
        <v>0</v>
      </c>
      <c r="S32" s="7">
        <f ca="1">IFERROR(__xludf.DUMMYFUNCTION("""COMPUTED_VALUE"""),0)</f>
        <v>0</v>
      </c>
      <c r="T32" s="7">
        <f ca="1">IFERROR(__xludf.DUMMYFUNCTION("""COMPUTED_VALUE"""),0)</f>
        <v>0</v>
      </c>
      <c r="U32" s="61"/>
      <c r="V32" s="61"/>
      <c r="W32" s="61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0" t="str">
        <f ca="1">IFERROR(__xludf.DUMMYFUNCTION("""COMPUTED_VALUE"""),"A.A. ESC. E.FRANCISCO MAXIMO DE SOUZA")</f>
        <v>A.A. ESC. E.FRANCISCO MAXIMO DE SOUZA</v>
      </c>
      <c r="D33" s="136" t="str">
        <f ca="1">IFERROR(__xludf.DUMMYFUNCTION("""COMPUTED_VALUE"""),"01345127000105")</f>
        <v>01345127000105</v>
      </c>
      <c r="E33" s="6" t="str">
        <f ca="1">IFERROR(__xludf.DUMMYFUNCTION("""COMPUTED_VALUE"""),"001")</f>
        <v>001</v>
      </c>
      <c r="F33" s="7" t="str">
        <f ca="1">IFERROR(__xludf.DUMMYFUNCTION("""COMPUTED_VALUE"""),"0638")</f>
        <v>0638</v>
      </c>
      <c r="G33" s="7" t="str">
        <f ca="1">IFERROR(__xludf.DUMMYFUNCTION("""COMPUTED_VALUE"""),"0463167")</f>
        <v>0463167</v>
      </c>
      <c r="H33" s="7">
        <f ca="1">IFERROR(__xludf.DUMMYFUNCTION("""COMPUTED_VALUE"""),0)</f>
        <v>0</v>
      </c>
      <c r="I33" s="7">
        <f ca="1">IFERROR(__xludf.DUMMYFUNCTION("""COMPUTED_VALUE"""),0)</f>
        <v>0</v>
      </c>
      <c r="J33" s="7">
        <f ca="1">IFERROR(__xludf.DUMMYFUNCTION("""COMPUTED_VALUE"""),3300)</f>
        <v>3300</v>
      </c>
      <c r="K33" s="7">
        <f ca="1">IFERROR(__xludf.DUMMYFUNCTION("""COMPUTED_VALUE"""),0)</f>
        <v>0</v>
      </c>
      <c r="L33" s="7">
        <f ca="1">IFERROR(__xludf.DUMMYFUNCTION("""COMPUTED_VALUE"""),0)</f>
        <v>0</v>
      </c>
      <c r="M33" s="7">
        <f ca="1">IFERROR(__xludf.DUMMYFUNCTION("""COMPUTED_VALUE"""),0)</f>
        <v>0</v>
      </c>
      <c r="N33" s="7">
        <f ca="1">IFERROR(__xludf.DUMMYFUNCTION("""COMPUTED_VALUE"""),0)</f>
        <v>0</v>
      </c>
      <c r="O33" s="7">
        <f ca="1">IFERROR(__xludf.DUMMYFUNCTION("""COMPUTED_VALUE"""),0)</f>
        <v>0</v>
      </c>
      <c r="P33" s="7">
        <f ca="1">IFERROR(__xludf.DUMMYFUNCTION("""COMPUTED_VALUE"""),516.8)</f>
        <v>516.79999999999995</v>
      </c>
      <c r="Q33" s="7">
        <f ca="1">IFERROR(__xludf.DUMMYFUNCTION("""COMPUTED_VALUE"""),2840)</f>
        <v>2840</v>
      </c>
      <c r="R33" s="7">
        <f ca="1">IFERROR(__xludf.DUMMYFUNCTION("""COMPUTED_VALUE"""),0)</f>
        <v>0</v>
      </c>
      <c r="S33" s="7">
        <f ca="1">IFERROR(__xludf.DUMMYFUNCTION("""COMPUTED_VALUE"""),0)</f>
        <v>0</v>
      </c>
      <c r="T33" s="7">
        <f ca="1">IFERROR(__xludf.DUMMYFUNCTION("""COMPUTED_VALUE"""),1197.19999999999)</f>
        <v>1197.19999999999</v>
      </c>
      <c r="U33" s="61"/>
      <c r="V33" s="61"/>
      <c r="W33" s="61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0" t="str">
        <f ca="1">IFERROR(__xludf.DUMMYFUNCTION("""COMPUTED_VALUE"""),"ASS. COM. COL EST. SANCHA FERREIRA")</f>
        <v>ASS. COM. COL EST. SANCHA FERREIRA</v>
      </c>
      <c r="D34" s="136" t="str">
        <f ca="1">IFERROR(__xludf.DUMMYFUNCTION("""COMPUTED_VALUE"""),"01338702000142")</f>
        <v>01338702000142</v>
      </c>
      <c r="E34" s="6" t="str">
        <f ca="1">IFERROR(__xludf.DUMMYFUNCTION("""COMPUTED_VALUE"""),"001")</f>
        <v>001</v>
      </c>
      <c r="F34" s="7" t="str">
        <f ca="1">IFERROR(__xludf.DUMMYFUNCTION("""COMPUTED_VALUE"""),"0638")</f>
        <v>0638</v>
      </c>
      <c r="G34" s="7" t="str">
        <f ca="1">IFERROR(__xludf.DUMMYFUNCTION("""COMPUTED_VALUE"""),"0466913")</f>
        <v>0466913</v>
      </c>
      <c r="H34" s="7">
        <f ca="1">IFERROR(__xludf.DUMMYFUNCTION("""COMPUTED_VALUE"""),0)</f>
        <v>0</v>
      </c>
      <c r="I34" s="7">
        <f ca="1">IFERROR(__xludf.DUMMYFUNCTION("""COMPUTED_VALUE"""),0)</f>
        <v>0</v>
      </c>
      <c r="J34" s="7">
        <f ca="1">IFERROR(__xludf.DUMMYFUNCTION("""COMPUTED_VALUE"""),0)</f>
        <v>0</v>
      </c>
      <c r="K34" s="7">
        <f ca="1">IFERROR(__xludf.DUMMYFUNCTION("""COMPUTED_VALUE"""),4904.59999999999)</f>
        <v>4904.5999999999904</v>
      </c>
      <c r="L34" s="7">
        <f ca="1">IFERROR(__xludf.DUMMYFUNCTION("""COMPUTED_VALUE"""),0)</f>
        <v>0</v>
      </c>
      <c r="M34" s="7">
        <f ca="1">IFERROR(__xludf.DUMMYFUNCTION("""COMPUTED_VALUE"""),0)</f>
        <v>0</v>
      </c>
      <c r="N34" s="7">
        <f ca="1">IFERROR(__xludf.DUMMYFUNCTION("""COMPUTED_VALUE"""),0)</f>
        <v>0</v>
      </c>
      <c r="O34" s="7">
        <f ca="1">IFERROR(__xludf.DUMMYFUNCTION("""COMPUTED_VALUE"""),0)</f>
        <v>0</v>
      </c>
      <c r="P34" s="7">
        <f ca="1">IFERROR(__xludf.DUMMYFUNCTION("""COMPUTED_VALUE"""),149.6)</f>
        <v>149.6</v>
      </c>
      <c r="Q34" s="7">
        <f ca="1">IFERROR(__xludf.DUMMYFUNCTION("""COMPUTED_VALUE"""),0)</f>
        <v>0</v>
      </c>
      <c r="R34" s="7">
        <f ca="1">IFERROR(__xludf.DUMMYFUNCTION("""COMPUTED_VALUE"""),0)</f>
        <v>0</v>
      </c>
      <c r="S34" s="7">
        <f ca="1">IFERROR(__xludf.DUMMYFUNCTION("""COMPUTED_VALUE"""),0)</f>
        <v>0</v>
      </c>
      <c r="T34" s="7">
        <f ca="1">IFERROR(__xludf.DUMMYFUNCTION("""COMPUTED_VALUE"""),0)</f>
        <v>0</v>
      </c>
      <c r="U34" s="61"/>
      <c r="V34" s="61"/>
      <c r="W34" s="61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0" t="str">
        <f ca="1">IFERROR(__xludf.DUMMYFUNCTION("""COMPUTED_VALUE"""),"A.A. ESC. HENRIQUE CIRQUEIRA AMORIM")</f>
        <v>A.A. ESC. HENRIQUE CIRQUEIRA AMORIM</v>
      </c>
      <c r="D35" s="136" t="str">
        <f ca="1">IFERROR(__xludf.DUMMYFUNCTION("""COMPUTED_VALUE"""),"01088234000103")</f>
        <v>01088234000103</v>
      </c>
      <c r="E35" s="6" t="str">
        <f ca="1">IFERROR(__xludf.DUMMYFUNCTION("""COMPUTED_VALUE"""),"001")</f>
        <v>001</v>
      </c>
      <c r="F35" s="7" t="str">
        <f ca="1">IFERROR(__xludf.DUMMYFUNCTION("""COMPUTED_VALUE"""),"0638")</f>
        <v>0638</v>
      </c>
      <c r="G35" s="7" t="str">
        <f ca="1">IFERROR(__xludf.DUMMYFUNCTION("""COMPUTED_VALUE"""),"0465194")</f>
        <v>0465194</v>
      </c>
      <c r="H35" s="7">
        <f ca="1">IFERROR(__xludf.DUMMYFUNCTION("""COMPUTED_VALUE"""),0)</f>
        <v>0</v>
      </c>
      <c r="I35" s="7">
        <f ca="1">IFERROR(__xludf.DUMMYFUNCTION("""COMPUTED_VALUE"""),0)</f>
        <v>0</v>
      </c>
      <c r="J35" s="7">
        <f ca="1">IFERROR(__xludf.DUMMYFUNCTION("""COMPUTED_VALUE"""),3080)</f>
        <v>3080</v>
      </c>
      <c r="K35" s="7">
        <f ca="1">IFERROR(__xludf.DUMMYFUNCTION("""COMPUTED_VALUE"""),0)</f>
        <v>0</v>
      </c>
      <c r="L35" s="7">
        <f ca="1">IFERROR(__xludf.DUMMYFUNCTION("""COMPUTED_VALUE"""),0)</f>
        <v>0</v>
      </c>
      <c r="M35" s="7">
        <f ca="1">IFERROR(__xludf.DUMMYFUNCTION("""COMPUTED_VALUE"""),0)</f>
        <v>0</v>
      </c>
      <c r="N35" s="7">
        <f ca="1">IFERROR(__xludf.DUMMYFUNCTION("""COMPUTED_VALUE"""),0)</f>
        <v>0</v>
      </c>
      <c r="O35" s="7">
        <f ca="1">IFERROR(__xludf.DUMMYFUNCTION("""COMPUTED_VALUE"""),0)</f>
        <v>0</v>
      </c>
      <c r="P35" s="7">
        <f ca="1">IFERROR(__xludf.DUMMYFUNCTION("""COMPUTED_VALUE"""),0)</f>
        <v>0</v>
      </c>
      <c r="Q35" s="7">
        <f ca="1">IFERROR(__xludf.DUMMYFUNCTION("""COMPUTED_VALUE"""),2260)</f>
        <v>2260</v>
      </c>
      <c r="R35" s="7">
        <f ca="1">IFERROR(__xludf.DUMMYFUNCTION("""COMPUTED_VALUE"""),0)</f>
        <v>0</v>
      </c>
      <c r="S35" s="7">
        <f ca="1">IFERROR(__xludf.DUMMYFUNCTION("""COMPUTED_VALUE"""),0)</f>
        <v>0</v>
      </c>
      <c r="T35" s="7">
        <f ca="1">IFERROR(__xludf.DUMMYFUNCTION("""COMPUTED_VALUE"""),0)</f>
        <v>0</v>
      </c>
      <c r="U35" s="61"/>
      <c r="V35" s="61"/>
      <c r="W35" s="61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0" t="str">
        <f ca="1">IFERROR(__xludf.DUMMYFUNCTION("""COMPUTED_VALUE"""),"A.A. ESC. EST. JOAO GUILHERME L. KUNZE")</f>
        <v>A.A. ESC. EST. JOAO GUILHERME L. KUNZE</v>
      </c>
      <c r="D36" s="136" t="str">
        <f ca="1">IFERROR(__xludf.DUMMYFUNCTION("""COMPUTED_VALUE"""),"01071400000150")</f>
        <v>01071400000150</v>
      </c>
      <c r="E36" s="6" t="str">
        <f ca="1">IFERROR(__xludf.DUMMYFUNCTION("""COMPUTED_VALUE"""),"001")</f>
        <v>001</v>
      </c>
      <c r="F36" s="7" t="str">
        <f ca="1">IFERROR(__xludf.DUMMYFUNCTION("""COMPUTED_VALUE"""),"0638")</f>
        <v>0638</v>
      </c>
      <c r="G36" s="7" t="str">
        <f ca="1">IFERROR(__xludf.DUMMYFUNCTION("""COMPUTED_VALUE"""),"0463639")</f>
        <v>0463639</v>
      </c>
      <c r="H36" s="7">
        <f ca="1">IFERROR(__xludf.DUMMYFUNCTION("""COMPUTED_VALUE"""),0)</f>
        <v>0</v>
      </c>
      <c r="I36" s="7">
        <f ca="1">IFERROR(__xludf.DUMMYFUNCTION("""COMPUTED_VALUE"""),0)</f>
        <v>0</v>
      </c>
      <c r="J36" s="7">
        <f ca="1">IFERROR(__xludf.DUMMYFUNCTION("""COMPUTED_VALUE"""),3170)</f>
        <v>3170</v>
      </c>
      <c r="K36" s="7">
        <f ca="1">IFERROR(__xludf.DUMMYFUNCTION("""COMPUTED_VALUE"""),0)</f>
        <v>0</v>
      </c>
      <c r="L36" s="7">
        <f ca="1">IFERROR(__xludf.DUMMYFUNCTION("""COMPUTED_VALUE"""),0)</f>
        <v>0</v>
      </c>
      <c r="M36" s="7">
        <f ca="1">IFERROR(__xludf.DUMMYFUNCTION("""COMPUTED_VALUE"""),0)</f>
        <v>0</v>
      </c>
      <c r="N36" s="7">
        <f ca="1">IFERROR(__xludf.DUMMYFUNCTION("""COMPUTED_VALUE"""),0)</f>
        <v>0</v>
      </c>
      <c r="O36" s="7">
        <f ca="1">IFERROR(__xludf.DUMMYFUNCTION("""COMPUTED_VALUE"""),0)</f>
        <v>0</v>
      </c>
      <c r="P36" s="7">
        <f ca="1">IFERROR(__xludf.DUMMYFUNCTION("""COMPUTED_VALUE"""),217.6)</f>
        <v>217.6</v>
      </c>
      <c r="Q36" s="7">
        <f ca="1">IFERROR(__xludf.DUMMYFUNCTION("""COMPUTED_VALUE"""),0)</f>
        <v>0</v>
      </c>
      <c r="R36" s="7">
        <f ca="1">IFERROR(__xludf.DUMMYFUNCTION("""COMPUTED_VALUE"""),0)</f>
        <v>0</v>
      </c>
      <c r="S36" s="7">
        <f ca="1">IFERROR(__xludf.DUMMYFUNCTION("""COMPUTED_VALUE"""),0)</f>
        <v>0</v>
      </c>
      <c r="T36" s="7">
        <f ca="1">IFERROR(__xludf.DUMMYFUNCTION("""COMPUTED_VALUE"""),0)</f>
        <v>0</v>
      </c>
      <c r="U36" s="61"/>
      <c r="V36" s="61"/>
      <c r="W36" s="61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0" t="str">
        <f ca="1">IFERROR(__xludf.DUMMYFUNCTION("""COMPUTED_VALUE"""),"A.A. ESC. EST. MANOEL GOMES DA CUNHA")</f>
        <v>A.A. ESC. EST. MANOEL GOMES DA CUNHA</v>
      </c>
      <c r="D37" s="136" t="str">
        <f ca="1">IFERROR(__xludf.DUMMYFUNCTION("""COMPUTED_VALUE"""),"01443216000194")</f>
        <v>01443216000194</v>
      </c>
      <c r="E37" s="6" t="str">
        <f ca="1">IFERROR(__xludf.DUMMYFUNCTION("""COMPUTED_VALUE"""),"001")</f>
        <v>001</v>
      </c>
      <c r="F37" s="7" t="str">
        <f ca="1">IFERROR(__xludf.DUMMYFUNCTION("""COMPUTED_VALUE"""),"0638")</f>
        <v>0638</v>
      </c>
      <c r="G37" s="7" t="str">
        <f ca="1">IFERROR(__xludf.DUMMYFUNCTION("""COMPUTED_VALUE"""),"0468355")</f>
        <v>0468355</v>
      </c>
      <c r="H37" s="7">
        <f ca="1">IFERROR(__xludf.DUMMYFUNCTION("""COMPUTED_VALUE"""),0)</f>
        <v>0</v>
      </c>
      <c r="I37" s="7">
        <f ca="1">IFERROR(__xludf.DUMMYFUNCTION("""COMPUTED_VALUE"""),0)</f>
        <v>0</v>
      </c>
      <c r="J37" s="7">
        <f ca="1">IFERROR(__xludf.DUMMYFUNCTION("""COMPUTED_VALUE"""),1890)</f>
        <v>1890</v>
      </c>
      <c r="K37" s="7">
        <f ca="1">IFERROR(__xludf.DUMMYFUNCTION("""COMPUTED_VALUE"""),0)</f>
        <v>0</v>
      </c>
      <c r="L37" s="7">
        <f ca="1">IFERROR(__xludf.DUMMYFUNCTION("""COMPUTED_VALUE"""),0)</f>
        <v>0</v>
      </c>
      <c r="M37" s="7">
        <f ca="1">IFERROR(__xludf.DUMMYFUNCTION("""COMPUTED_VALUE"""),0)</f>
        <v>0</v>
      </c>
      <c r="N37" s="7">
        <f ca="1">IFERROR(__xludf.DUMMYFUNCTION("""COMPUTED_VALUE"""),0)</f>
        <v>0</v>
      </c>
      <c r="O37" s="7">
        <f ca="1">IFERROR(__xludf.DUMMYFUNCTION("""COMPUTED_VALUE"""),0)</f>
        <v>0</v>
      </c>
      <c r="P37" s="7">
        <f ca="1">IFERROR(__xludf.DUMMYFUNCTION("""COMPUTED_VALUE"""),149.6)</f>
        <v>149.6</v>
      </c>
      <c r="Q37" s="7">
        <f ca="1">IFERROR(__xludf.DUMMYFUNCTION("""COMPUTED_VALUE"""),1760)</f>
        <v>1760</v>
      </c>
      <c r="R37" s="7">
        <f ca="1">IFERROR(__xludf.DUMMYFUNCTION("""COMPUTED_VALUE"""),0)</f>
        <v>0</v>
      </c>
      <c r="S37" s="7">
        <f ca="1">IFERROR(__xludf.DUMMYFUNCTION("""COMPUTED_VALUE"""),0)</f>
        <v>0</v>
      </c>
      <c r="T37" s="7">
        <f ca="1">IFERROR(__xludf.DUMMYFUNCTION("""COMPUTED_VALUE"""),0)</f>
        <v>0</v>
      </c>
      <c r="U37" s="61"/>
      <c r="V37" s="61"/>
      <c r="W37" s="61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0" t="str">
        <f ca="1">IFERROR(__xludf.DUMMYFUNCTION("""COMPUTED_VALUE"""),"A.A. ESCOLA ESTADUAL MAL. RONDON")</f>
        <v>A.A. ESCOLA ESTADUAL MAL. RONDON</v>
      </c>
      <c r="D38" s="136" t="str">
        <f ca="1">IFERROR(__xludf.DUMMYFUNCTION("""COMPUTED_VALUE"""),"01068349000128")</f>
        <v>01068349000128</v>
      </c>
      <c r="E38" s="6" t="str">
        <f ca="1">IFERROR(__xludf.DUMMYFUNCTION("""COMPUTED_VALUE"""),"001")</f>
        <v>001</v>
      </c>
      <c r="F38" s="7" t="str">
        <f ca="1">IFERROR(__xludf.DUMMYFUNCTION("""COMPUTED_VALUE"""),"0638")</f>
        <v>0638</v>
      </c>
      <c r="G38" s="7" t="str">
        <f ca="1">IFERROR(__xludf.DUMMYFUNCTION("""COMPUTED_VALUE"""),"046368X")</f>
        <v>046368X</v>
      </c>
      <c r="H38" s="7">
        <f ca="1">IFERROR(__xludf.DUMMYFUNCTION("""COMPUTED_VALUE"""),0)</f>
        <v>0</v>
      </c>
      <c r="I38" s="7">
        <f ca="1">IFERROR(__xludf.DUMMYFUNCTION("""COMPUTED_VALUE"""),0)</f>
        <v>0</v>
      </c>
      <c r="J38" s="7">
        <f ca="1">IFERROR(__xludf.DUMMYFUNCTION("""COMPUTED_VALUE"""),4860)</f>
        <v>4860</v>
      </c>
      <c r="K38" s="7">
        <f ca="1">IFERROR(__xludf.DUMMYFUNCTION("""COMPUTED_VALUE"""),0)</f>
        <v>0</v>
      </c>
      <c r="L38" s="7">
        <f ca="1">IFERROR(__xludf.DUMMYFUNCTION("""COMPUTED_VALUE"""),0)</f>
        <v>0</v>
      </c>
      <c r="M38" s="7">
        <f ca="1">IFERROR(__xludf.DUMMYFUNCTION("""COMPUTED_VALUE"""),0)</f>
        <v>0</v>
      </c>
      <c r="N38" s="7">
        <f ca="1">IFERROR(__xludf.DUMMYFUNCTION("""COMPUTED_VALUE"""),0)</f>
        <v>0</v>
      </c>
      <c r="O38" s="7">
        <f ca="1">IFERROR(__xludf.DUMMYFUNCTION("""COMPUTED_VALUE"""),0)</f>
        <v>0</v>
      </c>
      <c r="P38" s="7">
        <f ca="1">IFERROR(__xludf.DUMMYFUNCTION("""COMPUTED_VALUE"""),258.4)</f>
        <v>258.39999999999998</v>
      </c>
      <c r="Q38" s="7">
        <f ca="1">IFERROR(__xludf.DUMMYFUNCTION("""COMPUTED_VALUE"""),0)</f>
        <v>0</v>
      </c>
      <c r="R38" s="7">
        <f ca="1">IFERROR(__xludf.DUMMYFUNCTION("""COMPUTED_VALUE"""),0)</f>
        <v>0</v>
      </c>
      <c r="S38" s="7">
        <f ca="1">IFERROR(__xludf.DUMMYFUNCTION("""COMPUTED_VALUE"""),0)</f>
        <v>0</v>
      </c>
      <c r="T38" s="7">
        <f ca="1">IFERROR(__xludf.DUMMYFUNCTION("""COMPUTED_VALUE"""),844.599999999999)</f>
        <v>844.599999999999</v>
      </c>
      <c r="U38" s="61"/>
      <c r="V38" s="61"/>
      <c r="W38" s="61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0" t="str">
        <f ca="1">IFERROR(__xludf.DUMMYFUNCTION("""COMPUTED_VALUE"""),"A. DE A.DA ESCOLA ESTADUAL MODELO")</f>
        <v>A. DE A.DA ESCOLA ESTADUAL MODELO</v>
      </c>
      <c r="D39" s="136" t="str">
        <f ca="1">IFERROR(__xludf.DUMMYFUNCTION("""COMPUTED_VALUE"""),"01133696000197")</f>
        <v>01133696000197</v>
      </c>
      <c r="E39" s="6" t="str">
        <f ca="1">IFERROR(__xludf.DUMMYFUNCTION("""COMPUTED_VALUE"""),"001")</f>
        <v>001</v>
      </c>
      <c r="F39" s="7" t="str">
        <f ca="1">IFERROR(__xludf.DUMMYFUNCTION("""COMPUTED_VALUE"""),"0638")</f>
        <v>0638</v>
      </c>
      <c r="G39" s="7" t="str">
        <f ca="1">IFERROR(__xludf.DUMMYFUNCTION("""COMPUTED_VALUE"""),"484520")</f>
        <v>484520</v>
      </c>
      <c r="H39" s="7">
        <f ca="1">IFERROR(__xludf.DUMMYFUNCTION("""COMPUTED_VALUE"""),0)</f>
        <v>0</v>
      </c>
      <c r="I39" s="7">
        <f ca="1">IFERROR(__xludf.DUMMYFUNCTION("""COMPUTED_VALUE"""),0)</f>
        <v>0</v>
      </c>
      <c r="J39" s="7">
        <f ca="1">IFERROR(__xludf.DUMMYFUNCTION("""COMPUTED_VALUE"""),9800)</f>
        <v>9800</v>
      </c>
      <c r="K39" s="7">
        <f ca="1">IFERROR(__xludf.DUMMYFUNCTION("""COMPUTED_VALUE"""),0)</f>
        <v>0</v>
      </c>
      <c r="L39" s="7">
        <f ca="1">IFERROR(__xludf.DUMMYFUNCTION("""COMPUTED_VALUE"""),0)</f>
        <v>0</v>
      </c>
      <c r="M39" s="7">
        <f ca="1">IFERROR(__xludf.DUMMYFUNCTION("""COMPUTED_VALUE"""),0)</f>
        <v>0</v>
      </c>
      <c r="N39" s="7">
        <f ca="1">IFERROR(__xludf.DUMMYFUNCTION("""COMPUTED_VALUE"""),0)</f>
        <v>0</v>
      </c>
      <c r="O39" s="7">
        <f ca="1">IFERROR(__xludf.DUMMYFUNCTION("""COMPUTED_VALUE"""),0)</f>
        <v>0</v>
      </c>
      <c r="P39" s="7">
        <f ca="1">IFERROR(__xludf.DUMMYFUNCTION("""COMPUTED_VALUE"""),734.4)</f>
        <v>734.4</v>
      </c>
      <c r="Q39" s="7">
        <f ca="1">IFERROR(__xludf.DUMMYFUNCTION("""COMPUTED_VALUE"""),0)</f>
        <v>0</v>
      </c>
      <c r="R39" s="7">
        <f ca="1">IFERROR(__xludf.DUMMYFUNCTION("""COMPUTED_VALUE"""),0)</f>
        <v>0</v>
      </c>
      <c r="S39" s="7">
        <f ca="1">IFERROR(__xludf.DUMMYFUNCTION("""COMPUTED_VALUE"""),0)</f>
        <v>0</v>
      </c>
      <c r="T39" s="7">
        <f ca="1">IFERROR(__xludf.DUMMYFUNCTION("""COMPUTED_VALUE"""),0)</f>
        <v>0</v>
      </c>
      <c r="U39" s="61"/>
      <c r="V39" s="61"/>
      <c r="W39" s="61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0" t="str">
        <f ca="1">IFERROR(__xludf.DUMMYFUNCTION("""COMPUTED_VALUE"""),"A.A. ESC. E.NORTE GOIANO DE ARAGUAINA")</f>
        <v>A.A. ESC. E.NORTE GOIANO DE ARAGUAINA</v>
      </c>
      <c r="D40" s="136" t="str">
        <f ca="1">IFERROR(__xludf.DUMMYFUNCTION("""COMPUTED_VALUE"""),"01195483000190")</f>
        <v>01195483000190</v>
      </c>
      <c r="E40" s="6" t="str">
        <f ca="1">IFERROR(__xludf.DUMMYFUNCTION("""COMPUTED_VALUE"""),"001")</f>
        <v>001</v>
      </c>
      <c r="F40" s="7" t="str">
        <f ca="1">IFERROR(__xludf.DUMMYFUNCTION("""COMPUTED_VALUE"""),"0638")</f>
        <v>0638</v>
      </c>
      <c r="G40" s="7" t="str">
        <f ca="1">IFERROR(__xludf.DUMMYFUNCTION("""COMPUTED_VALUE"""),"0464724")</f>
        <v>0464724</v>
      </c>
      <c r="H40" s="7">
        <f ca="1">IFERROR(__xludf.DUMMYFUNCTION("""COMPUTED_VALUE"""),0)</f>
        <v>0</v>
      </c>
      <c r="I40" s="7">
        <f ca="1">IFERROR(__xludf.DUMMYFUNCTION("""COMPUTED_VALUE"""),0)</f>
        <v>0</v>
      </c>
      <c r="J40" s="7">
        <f ca="1">IFERROR(__xludf.DUMMYFUNCTION("""COMPUTED_VALUE"""),2630)</f>
        <v>2630</v>
      </c>
      <c r="K40" s="7">
        <f ca="1">IFERROR(__xludf.DUMMYFUNCTION("""COMPUTED_VALUE"""),0)</f>
        <v>0</v>
      </c>
      <c r="L40" s="7">
        <f ca="1">IFERROR(__xludf.DUMMYFUNCTION("""COMPUTED_VALUE"""),0)</f>
        <v>0</v>
      </c>
      <c r="M40" s="7">
        <f ca="1">IFERROR(__xludf.DUMMYFUNCTION("""COMPUTED_VALUE"""),0)</f>
        <v>0</v>
      </c>
      <c r="N40" s="7">
        <f ca="1">IFERROR(__xludf.DUMMYFUNCTION("""COMPUTED_VALUE"""),0)</f>
        <v>0</v>
      </c>
      <c r="O40" s="7">
        <f ca="1">IFERROR(__xludf.DUMMYFUNCTION("""COMPUTED_VALUE"""),0)</f>
        <v>0</v>
      </c>
      <c r="P40" s="7">
        <f ca="1">IFERROR(__xludf.DUMMYFUNCTION("""COMPUTED_VALUE"""),163.2)</f>
        <v>163.19999999999999</v>
      </c>
      <c r="Q40" s="7">
        <f ca="1">IFERROR(__xludf.DUMMYFUNCTION("""COMPUTED_VALUE"""),0)</f>
        <v>0</v>
      </c>
      <c r="R40" s="7">
        <f ca="1">IFERROR(__xludf.DUMMYFUNCTION("""COMPUTED_VALUE"""),0)</f>
        <v>0</v>
      </c>
      <c r="S40" s="7">
        <f ca="1">IFERROR(__xludf.DUMMYFUNCTION("""COMPUTED_VALUE"""),0)</f>
        <v>0</v>
      </c>
      <c r="T40" s="7">
        <f ca="1">IFERROR(__xludf.DUMMYFUNCTION("""COMPUTED_VALUE"""),0)</f>
        <v>0</v>
      </c>
      <c r="U40" s="61"/>
      <c r="V40" s="61"/>
      <c r="W40" s="61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0" t="str">
        <f ca="1">IFERROR(__xludf.DUMMYFUNCTION("""COMPUTED_VALUE"""),"A.A. ESCOLA EST.PROF.ALFREDO NASSER")</f>
        <v>A.A. ESCOLA EST.PROF.ALFREDO NASSER</v>
      </c>
      <c r="D41" s="136" t="str">
        <f ca="1">IFERROR(__xludf.DUMMYFUNCTION("""COMPUTED_VALUE"""),"01223632000187")</f>
        <v>01223632000187</v>
      </c>
      <c r="E41" s="6" t="str">
        <f ca="1">IFERROR(__xludf.DUMMYFUNCTION("""COMPUTED_VALUE"""),"001")</f>
        <v>001</v>
      </c>
      <c r="F41" s="7" t="str">
        <f ca="1">IFERROR(__xludf.DUMMYFUNCTION("""COMPUTED_VALUE"""),"0638")</f>
        <v>0638</v>
      </c>
      <c r="G41" s="7" t="str">
        <f ca="1">IFERROR(__xludf.DUMMYFUNCTION("""COMPUTED_VALUE"""),"0465135")</f>
        <v>0465135</v>
      </c>
      <c r="H41" s="7">
        <f ca="1">IFERROR(__xludf.DUMMYFUNCTION("""COMPUTED_VALUE"""),0)</f>
        <v>0</v>
      </c>
      <c r="I41" s="7">
        <f ca="1">IFERROR(__xludf.DUMMYFUNCTION("""COMPUTED_VALUE"""),0)</f>
        <v>0</v>
      </c>
      <c r="J41" s="7">
        <f ca="1">IFERROR(__xludf.DUMMYFUNCTION("""COMPUTED_VALUE"""),7310)</f>
        <v>7310</v>
      </c>
      <c r="K41" s="7">
        <f ca="1">IFERROR(__xludf.DUMMYFUNCTION("""COMPUTED_VALUE"""),0)</f>
        <v>0</v>
      </c>
      <c r="L41" s="7">
        <f ca="1">IFERROR(__xludf.DUMMYFUNCTION("""COMPUTED_VALUE"""),0)</f>
        <v>0</v>
      </c>
      <c r="M41" s="7">
        <f ca="1">IFERROR(__xludf.DUMMYFUNCTION("""COMPUTED_VALUE"""),0)</f>
        <v>0</v>
      </c>
      <c r="N41" s="7">
        <f ca="1">IFERROR(__xludf.DUMMYFUNCTION("""COMPUTED_VALUE"""),0)</f>
        <v>0</v>
      </c>
      <c r="O41" s="7">
        <f ca="1">IFERROR(__xludf.DUMMYFUNCTION("""COMPUTED_VALUE"""),0)</f>
        <v>0</v>
      </c>
      <c r="P41" s="7">
        <f ca="1">IFERROR(__xludf.DUMMYFUNCTION("""COMPUTED_VALUE"""),0)</f>
        <v>0</v>
      </c>
      <c r="Q41" s="7">
        <f ca="1">IFERROR(__xludf.DUMMYFUNCTION("""COMPUTED_VALUE"""),0)</f>
        <v>0</v>
      </c>
      <c r="R41" s="7">
        <f ca="1">IFERROR(__xludf.DUMMYFUNCTION("""COMPUTED_VALUE"""),0)</f>
        <v>0</v>
      </c>
      <c r="S41" s="7">
        <f ca="1">IFERROR(__xludf.DUMMYFUNCTION("""COMPUTED_VALUE"""),0)</f>
        <v>0</v>
      </c>
      <c r="T41" s="7">
        <f ca="1">IFERROR(__xludf.DUMMYFUNCTION("""COMPUTED_VALUE"""),0)</f>
        <v>0</v>
      </c>
      <c r="U41" s="61"/>
      <c r="V41" s="61"/>
      <c r="W41" s="61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0" t="str">
        <f ca="1">IFERROR(__xludf.DUMMYFUNCTION("""COMPUTED_VALUE"""),"A.A. ESC. EST. DE ARAGUAINA / PROF. JOÃO ALVES BATISTA")</f>
        <v>A.A. ESC. EST. DE ARAGUAINA / PROF. JOÃO ALVES BATISTA</v>
      </c>
      <c r="D42" s="136" t="str">
        <f ca="1">IFERROR(__xludf.DUMMYFUNCTION("""COMPUTED_VALUE"""),"25062332000121")</f>
        <v>25062332000121</v>
      </c>
      <c r="E42" s="6" t="str">
        <f ca="1">IFERROR(__xludf.DUMMYFUNCTION("""COMPUTED_VALUE"""),"001")</f>
        <v>001</v>
      </c>
      <c r="F42" s="7" t="str">
        <f ca="1">IFERROR(__xludf.DUMMYFUNCTION("""COMPUTED_VALUE"""),"0638")</f>
        <v>0638</v>
      </c>
      <c r="G42" s="7" t="str">
        <f ca="1">IFERROR(__xludf.DUMMYFUNCTION("""COMPUTED_VALUE"""),"463116")</f>
        <v>463116</v>
      </c>
      <c r="H42" s="7">
        <f ca="1">IFERROR(__xludf.DUMMYFUNCTION("""COMPUTED_VALUE"""),0)</f>
        <v>0</v>
      </c>
      <c r="I42" s="7">
        <f ca="1">IFERROR(__xludf.DUMMYFUNCTION("""COMPUTED_VALUE"""),0)</f>
        <v>0</v>
      </c>
      <c r="J42" s="7">
        <f ca="1">IFERROR(__xludf.DUMMYFUNCTION("""COMPUTED_VALUE"""),2960)</f>
        <v>2960</v>
      </c>
      <c r="K42" s="7">
        <f ca="1">IFERROR(__xludf.DUMMYFUNCTION("""COMPUTED_VALUE"""),0)</f>
        <v>0</v>
      </c>
      <c r="L42" s="7">
        <f ca="1">IFERROR(__xludf.DUMMYFUNCTION("""COMPUTED_VALUE"""),0)</f>
        <v>0</v>
      </c>
      <c r="M42" s="7">
        <f ca="1">IFERROR(__xludf.DUMMYFUNCTION("""COMPUTED_VALUE"""),0)</f>
        <v>0</v>
      </c>
      <c r="N42" s="7">
        <f ca="1">IFERROR(__xludf.DUMMYFUNCTION("""COMPUTED_VALUE"""),0)</f>
        <v>0</v>
      </c>
      <c r="O42" s="7">
        <f ca="1">IFERROR(__xludf.DUMMYFUNCTION("""COMPUTED_VALUE"""),0)</f>
        <v>0</v>
      </c>
      <c r="P42" s="7">
        <f ca="1">IFERROR(__xludf.DUMMYFUNCTION("""COMPUTED_VALUE"""),149.6)</f>
        <v>149.6</v>
      </c>
      <c r="Q42" s="7">
        <f ca="1">IFERROR(__xludf.DUMMYFUNCTION("""COMPUTED_VALUE"""),0)</f>
        <v>0</v>
      </c>
      <c r="R42" s="7">
        <f ca="1">IFERROR(__xludf.DUMMYFUNCTION("""COMPUTED_VALUE"""),0)</f>
        <v>0</v>
      </c>
      <c r="S42" s="7">
        <f ca="1">IFERROR(__xludf.DUMMYFUNCTION("""COMPUTED_VALUE"""),0)</f>
        <v>0</v>
      </c>
      <c r="T42" s="7">
        <f ca="1">IFERROR(__xludf.DUMMYFUNCTION("""COMPUTED_VALUE"""),0)</f>
        <v>0</v>
      </c>
      <c r="U42" s="61"/>
      <c r="V42" s="61"/>
      <c r="W42" s="61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0" t="str">
        <f ca="1">IFERROR(__xludf.DUMMYFUNCTION("""COMPUTED_VALUE"""),"A.A. ESCOLA ESTADUAL VILA NOVA")</f>
        <v>A.A. ESCOLA ESTADUAL VILA NOVA</v>
      </c>
      <c r="D43" s="136" t="str">
        <f ca="1">IFERROR(__xludf.DUMMYFUNCTION("""COMPUTED_VALUE"""),"01071404000139")</f>
        <v>01071404000139</v>
      </c>
      <c r="E43" s="6" t="str">
        <f ca="1">IFERROR(__xludf.DUMMYFUNCTION("""COMPUTED_VALUE"""),"001")</f>
        <v>001</v>
      </c>
      <c r="F43" s="7" t="str">
        <f ca="1">IFERROR(__xludf.DUMMYFUNCTION("""COMPUTED_VALUE"""),"0638")</f>
        <v>0638</v>
      </c>
      <c r="G43" s="7" t="str">
        <f ca="1">IFERROR(__xludf.DUMMYFUNCTION("""COMPUTED_VALUE"""),"0463744")</f>
        <v>0463744</v>
      </c>
      <c r="H43" s="7">
        <f ca="1">IFERROR(__xludf.DUMMYFUNCTION("""COMPUTED_VALUE"""),0)</f>
        <v>0</v>
      </c>
      <c r="I43" s="7">
        <f ca="1">IFERROR(__xludf.DUMMYFUNCTION("""COMPUTED_VALUE"""),0)</f>
        <v>0</v>
      </c>
      <c r="J43" s="7">
        <f ca="1">IFERROR(__xludf.DUMMYFUNCTION("""COMPUTED_VALUE"""),0)</f>
        <v>0</v>
      </c>
      <c r="K43" s="7">
        <f ca="1">IFERROR(__xludf.DUMMYFUNCTION("""COMPUTED_VALUE"""),0)</f>
        <v>0</v>
      </c>
      <c r="L43" s="7">
        <f ca="1">IFERROR(__xludf.DUMMYFUNCTION("""COMPUTED_VALUE"""),0)</f>
        <v>0</v>
      </c>
      <c r="M43" s="7">
        <f ca="1">IFERROR(__xludf.DUMMYFUNCTION("""COMPUTED_VALUE"""),0)</f>
        <v>0</v>
      </c>
      <c r="N43" s="7">
        <f ca="1">IFERROR(__xludf.DUMMYFUNCTION("""COMPUTED_VALUE"""),0)</f>
        <v>0</v>
      </c>
      <c r="O43" s="7">
        <f ca="1">IFERROR(__xludf.DUMMYFUNCTION("""COMPUTED_VALUE"""),0)</f>
        <v>0</v>
      </c>
      <c r="P43" s="7">
        <f ca="1">IFERROR(__xludf.DUMMYFUNCTION("""COMPUTED_VALUE"""),0)</f>
        <v>0</v>
      </c>
      <c r="Q43" s="7">
        <f ca="1">IFERROR(__xludf.DUMMYFUNCTION("""COMPUTED_VALUE"""),0)</f>
        <v>0</v>
      </c>
      <c r="R43" s="7">
        <f ca="1">IFERROR(__xludf.DUMMYFUNCTION("""COMPUTED_VALUE"""),0)</f>
        <v>0</v>
      </c>
      <c r="S43" s="7">
        <f ca="1">IFERROR(__xludf.DUMMYFUNCTION("""COMPUTED_VALUE"""),0)</f>
        <v>0</v>
      </c>
      <c r="T43" s="7">
        <f ca="1">IFERROR(__xludf.DUMMYFUNCTION("""COMPUTED_VALUE"""),1057.8)</f>
        <v>1057.8</v>
      </c>
      <c r="U43" s="61"/>
      <c r="V43" s="61"/>
      <c r="W43" s="61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0" t="str">
        <f ca="1">IFERROR(__xludf.DUMMYFUNCTION("""COMPUTED_VALUE"""),"A.A. ESC. EST.WELDER M.ABREU SALES")</f>
        <v>A.A. ESC. EST.WELDER M.ABREU SALES</v>
      </c>
      <c r="D44" s="136" t="str">
        <f ca="1">IFERROR(__xludf.DUMMYFUNCTION("""COMPUTED_VALUE"""),"01190182000173")</f>
        <v>01190182000173</v>
      </c>
      <c r="E44" s="6" t="str">
        <f ca="1">IFERROR(__xludf.DUMMYFUNCTION("""COMPUTED_VALUE"""),"001")</f>
        <v>001</v>
      </c>
      <c r="F44" s="7" t="str">
        <f ca="1">IFERROR(__xludf.DUMMYFUNCTION("""COMPUTED_VALUE"""),"0638")</f>
        <v>0638</v>
      </c>
      <c r="G44" s="7" t="str">
        <f ca="1">IFERROR(__xludf.DUMMYFUNCTION("""COMPUTED_VALUE"""),"0465054")</f>
        <v>0465054</v>
      </c>
      <c r="H44" s="7">
        <f ca="1">IFERROR(__xludf.DUMMYFUNCTION("""COMPUTED_VALUE"""),0)</f>
        <v>0</v>
      </c>
      <c r="I44" s="7">
        <f ca="1">IFERROR(__xludf.DUMMYFUNCTION("""COMPUTED_VALUE"""),0)</f>
        <v>0</v>
      </c>
      <c r="J44" s="7">
        <f ca="1">IFERROR(__xludf.DUMMYFUNCTION("""COMPUTED_VALUE"""),5210)</f>
        <v>5210</v>
      </c>
      <c r="K44" s="7">
        <f ca="1">IFERROR(__xludf.DUMMYFUNCTION("""COMPUTED_VALUE"""),0)</f>
        <v>0</v>
      </c>
      <c r="L44" s="7">
        <f ca="1">IFERROR(__xludf.DUMMYFUNCTION("""COMPUTED_VALUE"""),0)</f>
        <v>0</v>
      </c>
      <c r="M44" s="7">
        <f ca="1">IFERROR(__xludf.DUMMYFUNCTION("""COMPUTED_VALUE"""),0)</f>
        <v>0</v>
      </c>
      <c r="N44" s="7">
        <f ca="1">IFERROR(__xludf.DUMMYFUNCTION("""COMPUTED_VALUE"""),0)</f>
        <v>0</v>
      </c>
      <c r="O44" s="7">
        <f ca="1">IFERROR(__xludf.DUMMYFUNCTION("""COMPUTED_VALUE"""),0)</f>
        <v>0</v>
      </c>
      <c r="P44" s="7">
        <f ca="1">IFERROR(__xludf.DUMMYFUNCTION("""COMPUTED_VALUE"""),190.4)</f>
        <v>190.4</v>
      </c>
      <c r="Q44" s="7">
        <f ca="1">IFERROR(__xludf.DUMMYFUNCTION("""COMPUTED_VALUE"""),0)</f>
        <v>0</v>
      </c>
      <c r="R44" s="7">
        <f ca="1">IFERROR(__xludf.DUMMYFUNCTION("""COMPUTED_VALUE"""),0)</f>
        <v>0</v>
      </c>
      <c r="S44" s="7">
        <f ca="1">IFERROR(__xludf.DUMMYFUNCTION("""COMPUTED_VALUE"""),0)</f>
        <v>0</v>
      </c>
      <c r="T44" s="7">
        <f ca="1">IFERROR(__xludf.DUMMYFUNCTION("""COMPUTED_VALUE"""),0)</f>
        <v>0</v>
      </c>
      <c r="U44" s="61"/>
      <c r="V44" s="61"/>
      <c r="W44" s="61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0" t="str">
        <f ca="1">IFERROR(__xludf.DUMMYFUNCTION("""COMPUTED_VALUE"""),"A. DE AP. DA E.PAROQUIAL LUIZ AUGUSTO")</f>
        <v>A. DE AP. DA E.PAROQUIAL LUIZ AUGUSTO</v>
      </c>
      <c r="D45" s="136" t="str">
        <f ca="1">IFERROR(__xludf.DUMMYFUNCTION("""COMPUTED_VALUE"""),"01912262000195")</f>
        <v>01912262000195</v>
      </c>
      <c r="E45" s="6" t="str">
        <f ca="1">IFERROR(__xludf.DUMMYFUNCTION("""COMPUTED_VALUE"""),"001")</f>
        <v>001</v>
      </c>
      <c r="F45" s="7" t="str">
        <f ca="1">IFERROR(__xludf.DUMMYFUNCTION("""COMPUTED_VALUE"""),"0638")</f>
        <v>0638</v>
      </c>
      <c r="G45" s="7" t="str">
        <f ca="1">IFERROR(__xludf.DUMMYFUNCTION("""COMPUTED_VALUE"""),"486000")</f>
        <v>486000</v>
      </c>
      <c r="H45" s="7">
        <f ca="1">IFERROR(__xludf.DUMMYFUNCTION("""COMPUTED_VALUE"""),0)</f>
        <v>0</v>
      </c>
      <c r="I45" s="7">
        <f ca="1">IFERROR(__xludf.DUMMYFUNCTION("""COMPUTED_VALUE"""),0)</f>
        <v>0</v>
      </c>
      <c r="J45" s="7">
        <f ca="1">IFERROR(__xludf.DUMMYFUNCTION("""COMPUTED_VALUE"""),16340)</f>
        <v>16340</v>
      </c>
      <c r="K45" s="7">
        <f ca="1">IFERROR(__xludf.DUMMYFUNCTION("""COMPUTED_VALUE"""),0)</f>
        <v>0</v>
      </c>
      <c r="L45" s="7">
        <f ca="1">IFERROR(__xludf.DUMMYFUNCTION("""COMPUTED_VALUE"""),0)</f>
        <v>0</v>
      </c>
      <c r="M45" s="7">
        <f ca="1">IFERROR(__xludf.DUMMYFUNCTION("""COMPUTED_VALUE"""),0)</f>
        <v>0</v>
      </c>
      <c r="N45" s="7">
        <f ca="1">IFERROR(__xludf.DUMMYFUNCTION("""COMPUTED_VALUE"""),0)</f>
        <v>0</v>
      </c>
      <c r="O45" s="7">
        <f ca="1">IFERROR(__xludf.DUMMYFUNCTION("""COMPUTED_VALUE"""),0)</f>
        <v>0</v>
      </c>
      <c r="P45" s="7">
        <f ca="1">IFERROR(__xludf.DUMMYFUNCTION("""COMPUTED_VALUE"""),571.199999999999)</f>
        <v>571.19999999999902</v>
      </c>
      <c r="Q45" s="7">
        <f ca="1">IFERROR(__xludf.DUMMYFUNCTION("""COMPUTED_VALUE"""),0)</f>
        <v>0</v>
      </c>
      <c r="R45" s="7">
        <f ca="1">IFERROR(__xludf.DUMMYFUNCTION("""COMPUTED_VALUE"""),0)</f>
        <v>0</v>
      </c>
      <c r="S45" s="7">
        <f ca="1">IFERROR(__xludf.DUMMYFUNCTION("""COMPUTED_VALUE"""),0)</f>
        <v>0</v>
      </c>
      <c r="T45" s="7">
        <f ca="1">IFERROR(__xludf.DUMMYFUNCTION("""COMPUTED_VALUE"""),0)</f>
        <v>0</v>
      </c>
      <c r="U45" s="61"/>
      <c r="V45" s="61"/>
      <c r="W45" s="61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IFERROR(__xludf.DUMMYFUNCTION("""COMPUTED_VALUE"""),"Araguana")</f>
        <v>Araguana</v>
      </c>
      <c r="C46" s="60" t="str">
        <f ca="1">IFERROR(__xludf.DUMMYFUNCTION("""COMPUTED_VALUE"""),"ASS. APOIO ESC. EST. MACHADO DE ASSIS")</f>
        <v>ASS. APOIO ESC. EST. MACHADO DE ASSIS</v>
      </c>
      <c r="D46" s="136" t="str">
        <f ca="1">IFERROR(__xludf.DUMMYFUNCTION("""COMPUTED_VALUE"""),"01243663000108")</f>
        <v>01243663000108</v>
      </c>
      <c r="E46" s="6" t="str">
        <f ca="1">IFERROR(__xludf.DUMMYFUNCTION("""COMPUTED_VALUE"""),"001")</f>
        <v>001</v>
      </c>
      <c r="F46" s="7" t="str">
        <f ca="1">IFERROR(__xludf.DUMMYFUNCTION("""COMPUTED_VALUE"""),"3773")</f>
        <v>3773</v>
      </c>
      <c r="G46" s="7" t="str">
        <f ca="1">IFERROR(__xludf.DUMMYFUNCTION("""COMPUTED_VALUE"""),"322091")</f>
        <v>322091</v>
      </c>
      <c r="H46" s="7">
        <f ca="1">IFERROR(__xludf.DUMMYFUNCTION("""COMPUTED_VALUE"""),0)</f>
        <v>0</v>
      </c>
      <c r="I46" s="7">
        <f ca="1">IFERROR(__xludf.DUMMYFUNCTION("""COMPUTED_VALUE"""),0)</f>
        <v>0</v>
      </c>
      <c r="J46" s="7">
        <f ca="1">IFERROR(__xludf.DUMMYFUNCTION("""COMPUTED_VALUE"""),2160)</f>
        <v>2160</v>
      </c>
      <c r="K46" s="7">
        <f ca="1">IFERROR(__xludf.DUMMYFUNCTION("""COMPUTED_VALUE"""),0)</f>
        <v>0</v>
      </c>
      <c r="L46" s="7">
        <f ca="1">IFERROR(__xludf.DUMMYFUNCTION("""COMPUTED_VALUE"""),0)</f>
        <v>0</v>
      </c>
      <c r="M46" s="7">
        <f ca="1">IFERROR(__xludf.DUMMYFUNCTION("""COMPUTED_VALUE"""),0)</f>
        <v>0</v>
      </c>
      <c r="N46" s="7">
        <f ca="1">IFERROR(__xludf.DUMMYFUNCTION("""COMPUTED_VALUE"""),0)</f>
        <v>0</v>
      </c>
      <c r="O46" s="7">
        <f ca="1">IFERROR(__xludf.DUMMYFUNCTION("""COMPUTED_VALUE"""),0)</f>
        <v>0</v>
      </c>
      <c r="P46" s="7">
        <f ca="1">IFERROR(__xludf.DUMMYFUNCTION("""COMPUTED_VALUE"""),108.8)</f>
        <v>108.8</v>
      </c>
      <c r="Q46" s="7">
        <f ca="1">IFERROR(__xludf.DUMMYFUNCTION("""COMPUTED_VALUE"""),2170)</f>
        <v>2170</v>
      </c>
      <c r="R46" s="7">
        <f ca="1">IFERROR(__xludf.DUMMYFUNCTION("""COMPUTED_VALUE"""),0)</f>
        <v>0</v>
      </c>
      <c r="S46" s="7">
        <f ca="1">IFERROR(__xludf.DUMMYFUNCTION("""COMPUTED_VALUE"""),0)</f>
        <v>0</v>
      </c>
      <c r="T46" s="7">
        <f ca="1">IFERROR(__xludf.DUMMYFUNCTION("""COMPUTED_VALUE"""),0)</f>
        <v>0</v>
      </c>
      <c r="U46" s="61"/>
      <c r="V46" s="61"/>
      <c r="W46" s="61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0" t="str">
        <f ca="1">IFERROR(__xludf.DUMMYFUNCTION("""COMPUTED_VALUE"""),"A.A. ESC. EST. SAO PEDRO")</f>
        <v>A.A. ESC. EST. SAO PEDRO</v>
      </c>
      <c r="D47" s="136" t="str">
        <f ca="1">IFERROR(__xludf.DUMMYFUNCTION("""COMPUTED_VALUE"""),"01230353000140")</f>
        <v>01230353000140</v>
      </c>
      <c r="E47" s="6" t="str">
        <f ca="1">IFERROR(__xludf.DUMMYFUNCTION("""COMPUTED_VALUE"""),"001")</f>
        <v>001</v>
      </c>
      <c r="F47" s="7" t="str">
        <f ca="1">IFERROR(__xludf.DUMMYFUNCTION("""COMPUTED_VALUE"""),"0638")</f>
        <v>0638</v>
      </c>
      <c r="G47" s="7" t="str">
        <f ca="1">IFERROR(__xludf.DUMMYFUNCTION("""COMPUTED_VALUE"""),"73903")</f>
        <v>73903</v>
      </c>
      <c r="H47" s="7">
        <f ca="1">IFERROR(__xludf.DUMMYFUNCTION("""COMPUTED_VALUE"""),0)</f>
        <v>0</v>
      </c>
      <c r="I47" s="7">
        <f ca="1">IFERROR(__xludf.DUMMYFUNCTION("""COMPUTED_VALUE"""),0)</f>
        <v>0</v>
      </c>
      <c r="J47" s="7">
        <f ca="1">IFERROR(__xludf.DUMMYFUNCTION("""COMPUTED_VALUE"""),620)</f>
        <v>620</v>
      </c>
      <c r="K47" s="7">
        <f ca="1">IFERROR(__xludf.DUMMYFUNCTION("""COMPUTED_VALUE"""),0)</f>
        <v>0</v>
      </c>
      <c r="L47" s="7">
        <f ca="1">IFERROR(__xludf.DUMMYFUNCTION("""COMPUTED_VALUE"""),0)</f>
        <v>0</v>
      </c>
      <c r="M47" s="7">
        <f ca="1">IFERROR(__xludf.DUMMYFUNCTION("""COMPUTED_VALUE"""),0)</f>
        <v>0</v>
      </c>
      <c r="N47" s="7">
        <f ca="1">IFERROR(__xludf.DUMMYFUNCTION("""COMPUTED_VALUE"""),0)</f>
        <v>0</v>
      </c>
      <c r="O47" s="7">
        <f ca="1">IFERROR(__xludf.DUMMYFUNCTION("""COMPUTED_VALUE"""),0)</f>
        <v>0</v>
      </c>
      <c r="P47" s="7">
        <f ca="1">IFERROR(__xludf.DUMMYFUNCTION("""COMPUTED_VALUE"""),0)</f>
        <v>0</v>
      </c>
      <c r="Q47" s="7">
        <f ca="1">IFERROR(__xludf.DUMMYFUNCTION("""COMPUTED_VALUE"""),510)</f>
        <v>510</v>
      </c>
      <c r="R47" s="7">
        <f ca="1">IFERROR(__xludf.DUMMYFUNCTION("""COMPUTED_VALUE"""),0)</f>
        <v>0</v>
      </c>
      <c r="S47" s="7">
        <f ca="1">IFERROR(__xludf.DUMMYFUNCTION("""COMPUTED_VALUE"""),0)</f>
        <v>0</v>
      </c>
      <c r="T47" s="7">
        <f ca="1">IFERROR(__xludf.DUMMYFUNCTION("""COMPUTED_VALUE"""),0)</f>
        <v>0</v>
      </c>
      <c r="U47" s="61"/>
      <c r="V47" s="61"/>
      <c r="W47" s="61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IFERROR(__xludf.DUMMYFUNCTION("""COMPUTED_VALUE"""),"Babaculandia")</f>
        <v>Babaculandia</v>
      </c>
      <c r="C48" s="60" t="str">
        <f ca="1">IFERROR(__xludf.DUMMYFUNCTION("""COMPUTED_VALUE"""),"A.PAIS E M.C.E.LEOPOLDO DE BULHOES")</f>
        <v>A.PAIS E M.C.E.LEOPOLDO DE BULHOES</v>
      </c>
      <c r="D48" s="136" t="str">
        <f ca="1">IFERROR(__xludf.DUMMYFUNCTION("""COMPUTED_VALUE"""),"01146116000104")</f>
        <v>01146116000104</v>
      </c>
      <c r="E48" s="6" t="str">
        <f ca="1">IFERROR(__xludf.DUMMYFUNCTION("""COMPUTED_VALUE"""),"001")</f>
        <v>001</v>
      </c>
      <c r="F48" s="7" t="str">
        <f ca="1">IFERROR(__xludf.DUMMYFUNCTION("""COMPUTED_VALUE"""),"0638")</f>
        <v>0638</v>
      </c>
      <c r="G48" s="7" t="str">
        <f ca="1">IFERROR(__xludf.DUMMYFUNCTION("""COMPUTED_VALUE"""),"465232")</f>
        <v>465232</v>
      </c>
      <c r="H48" s="7">
        <f ca="1">IFERROR(__xludf.DUMMYFUNCTION("""COMPUTED_VALUE"""),0)</f>
        <v>0</v>
      </c>
      <c r="I48" s="7">
        <f ca="1">IFERROR(__xludf.DUMMYFUNCTION("""COMPUTED_VALUE"""),0)</f>
        <v>0</v>
      </c>
      <c r="J48" s="7">
        <f ca="1">IFERROR(__xludf.DUMMYFUNCTION("""COMPUTED_VALUE"""),2640)</f>
        <v>2640</v>
      </c>
      <c r="K48" s="7">
        <f ca="1">IFERROR(__xludf.DUMMYFUNCTION("""COMPUTED_VALUE"""),0)</f>
        <v>0</v>
      </c>
      <c r="L48" s="7">
        <f ca="1">IFERROR(__xludf.DUMMYFUNCTION("""COMPUTED_VALUE"""),0)</f>
        <v>0</v>
      </c>
      <c r="M48" s="7">
        <f ca="1">IFERROR(__xludf.DUMMYFUNCTION("""COMPUTED_VALUE"""),0)</f>
        <v>0</v>
      </c>
      <c r="N48" s="7">
        <f ca="1">IFERROR(__xludf.DUMMYFUNCTION("""COMPUTED_VALUE"""),0)</f>
        <v>0</v>
      </c>
      <c r="O48" s="7">
        <f ca="1">IFERROR(__xludf.DUMMYFUNCTION("""COMPUTED_VALUE"""),0)</f>
        <v>0</v>
      </c>
      <c r="P48" s="7">
        <f ca="1">IFERROR(__xludf.DUMMYFUNCTION("""COMPUTED_VALUE"""),435.2)</f>
        <v>435.2</v>
      </c>
      <c r="Q48" s="7">
        <f ca="1">IFERROR(__xludf.DUMMYFUNCTION("""COMPUTED_VALUE"""),4660)</f>
        <v>4660</v>
      </c>
      <c r="R48" s="7">
        <f ca="1">IFERROR(__xludf.DUMMYFUNCTION("""COMPUTED_VALUE"""),0)</f>
        <v>0</v>
      </c>
      <c r="S48" s="7">
        <f ca="1">IFERROR(__xludf.DUMMYFUNCTION("""COMPUTED_VALUE"""),0)</f>
        <v>0</v>
      </c>
      <c r="T48" s="7">
        <f ca="1">IFERROR(__xludf.DUMMYFUNCTION("""COMPUTED_VALUE"""),0)</f>
        <v>0</v>
      </c>
      <c r="U48" s="61"/>
      <c r="V48" s="61"/>
      <c r="W48" s="61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0" t="str">
        <f ca="1">IFERROR(__xludf.DUMMYFUNCTION("""COMPUTED_VALUE"""),"A.A. ESCOLA ESTADUAL RUI BARBOSA")</f>
        <v>A.A. ESCOLA ESTADUAL RUI BARBOSA</v>
      </c>
      <c r="D49" s="136" t="str">
        <f ca="1">IFERROR(__xludf.DUMMYFUNCTION("""COMPUTED_VALUE"""),"01181184000104")</f>
        <v>01181184000104</v>
      </c>
      <c r="E49" s="6" t="str">
        <f ca="1">IFERROR(__xludf.DUMMYFUNCTION("""COMPUTED_VALUE"""),"001")</f>
        <v>001</v>
      </c>
      <c r="F49" s="7" t="str">
        <f ca="1">IFERROR(__xludf.DUMMYFUNCTION("""COMPUTED_VALUE"""),"0638")</f>
        <v>0638</v>
      </c>
      <c r="G49" s="7" t="str">
        <f ca="1">IFERROR(__xludf.DUMMYFUNCTION("""COMPUTED_VALUE"""),"477117")</f>
        <v>477117</v>
      </c>
      <c r="H49" s="7">
        <f ca="1">IFERROR(__xludf.DUMMYFUNCTION("""COMPUTED_VALUE"""),0)</f>
        <v>0</v>
      </c>
      <c r="I49" s="7">
        <f ca="1">IFERROR(__xludf.DUMMYFUNCTION("""COMPUTED_VALUE"""),0)</f>
        <v>0</v>
      </c>
      <c r="J49" s="7">
        <f ca="1">IFERROR(__xludf.DUMMYFUNCTION("""COMPUTED_VALUE"""),1550)</f>
        <v>1550</v>
      </c>
      <c r="K49" s="7">
        <f ca="1">IFERROR(__xludf.DUMMYFUNCTION("""COMPUTED_VALUE"""),0)</f>
        <v>0</v>
      </c>
      <c r="L49" s="7">
        <f ca="1">IFERROR(__xludf.DUMMYFUNCTION("""COMPUTED_VALUE"""),0)</f>
        <v>0</v>
      </c>
      <c r="M49" s="7">
        <f ca="1">IFERROR(__xludf.DUMMYFUNCTION("""COMPUTED_VALUE"""),0)</f>
        <v>0</v>
      </c>
      <c r="N49" s="7">
        <f ca="1">IFERROR(__xludf.DUMMYFUNCTION("""COMPUTED_VALUE"""),0)</f>
        <v>0</v>
      </c>
      <c r="O49" s="7">
        <f ca="1">IFERROR(__xludf.DUMMYFUNCTION("""COMPUTED_VALUE"""),0)</f>
        <v>0</v>
      </c>
      <c r="P49" s="7">
        <f ca="1">IFERROR(__xludf.DUMMYFUNCTION("""COMPUTED_VALUE"""),258.4)</f>
        <v>258.39999999999998</v>
      </c>
      <c r="Q49" s="7">
        <f ca="1">IFERROR(__xludf.DUMMYFUNCTION("""COMPUTED_VALUE"""),1030)</f>
        <v>1030</v>
      </c>
      <c r="R49" s="7">
        <f ca="1">IFERROR(__xludf.DUMMYFUNCTION("""COMPUTED_VALUE"""),0)</f>
        <v>0</v>
      </c>
      <c r="S49" s="7">
        <f ca="1">IFERROR(__xludf.DUMMYFUNCTION("""COMPUTED_VALUE"""),0)</f>
        <v>0</v>
      </c>
      <c r="T49" s="7">
        <f ca="1">IFERROR(__xludf.DUMMYFUNCTION("""COMPUTED_VALUE"""),0)</f>
        <v>0</v>
      </c>
      <c r="U49" s="61"/>
      <c r="V49" s="61"/>
      <c r="W49" s="61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IFERROR(__xludf.DUMMYFUNCTION("""COMPUTED_VALUE"""),"Barra do Ouro")</f>
        <v>Barra do Ouro</v>
      </c>
      <c r="C50" s="60" t="str">
        <f ca="1">IFERROR(__xludf.DUMMYFUNCTION("""COMPUTED_VALUE"""),"A.A. A ESCOLA ESTADUAL BREJAO")</f>
        <v>A.A. A ESCOLA ESTADUAL BREJAO</v>
      </c>
      <c r="D50" s="136" t="str">
        <f ca="1">IFERROR(__xludf.DUMMYFUNCTION("""COMPUTED_VALUE"""),"02392799000134")</f>
        <v>02392799000134</v>
      </c>
      <c r="E50" s="6" t="str">
        <f ca="1">IFERROR(__xludf.DUMMYFUNCTION("""COMPUTED_VALUE"""),"001")</f>
        <v>001</v>
      </c>
      <c r="F50" s="7" t="str">
        <f ca="1">IFERROR(__xludf.DUMMYFUNCTION("""COMPUTED_VALUE"""),"0638")</f>
        <v>0638</v>
      </c>
      <c r="G50" s="7" t="str">
        <f ca="1">IFERROR(__xludf.DUMMYFUNCTION("""COMPUTED_VALUE"""),"83615")</f>
        <v>83615</v>
      </c>
      <c r="H50" s="7">
        <f ca="1">IFERROR(__xludf.DUMMYFUNCTION("""COMPUTED_VALUE"""),0)</f>
        <v>0</v>
      </c>
      <c r="I50" s="7">
        <f ca="1">IFERROR(__xludf.DUMMYFUNCTION("""COMPUTED_VALUE"""),0)</f>
        <v>0</v>
      </c>
      <c r="J50" s="7">
        <f ca="1">IFERROR(__xludf.DUMMYFUNCTION("""COMPUTED_VALUE"""),1290)</f>
        <v>1290</v>
      </c>
      <c r="K50" s="7">
        <f ca="1">IFERROR(__xludf.DUMMYFUNCTION("""COMPUTED_VALUE"""),0)</f>
        <v>0</v>
      </c>
      <c r="L50" s="7">
        <f ca="1">IFERROR(__xludf.DUMMYFUNCTION("""COMPUTED_VALUE"""),0)</f>
        <v>0</v>
      </c>
      <c r="M50" s="7">
        <f ca="1">IFERROR(__xludf.DUMMYFUNCTION("""COMPUTED_VALUE"""),0)</f>
        <v>0</v>
      </c>
      <c r="N50" s="7">
        <f ca="1">IFERROR(__xludf.DUMMYFUNCTION("""COMPUTED_VALUE"""),0)</f>
        <v>0</v>
      </c>
      <c r="O50" s="7">
        <f ca="1">IFERROR(__xludf.DUMMYFUNCTION("""COMPUTED_VALUE"""),0)</f>
        <v>0</v>
      </c>
      <c r="P50" s="7">
        <f ca="1">IFERROR(__xludf.DUMMYFUNCTION("""COMPUTED_VALUE"""),136)</f>
        <v>136</v>
      </c>
      <c r="Q50" s="7">
        <f ca="1">IFERROR(__xludf.DUMMYFUNCTION("""COMPUTED_VALUE"""),720)</f>
        <v>720</v>
      </c>
      <c r="R50" s="7">
        <f ca="1">IFERROR(__xludf.DUMMYFUNCTION("""COMPUTED_VALUE"""),0)</f>
        <v>0</v>
      </c>
      <c r="S50" s="7">
        <f ca="1">IFERROR(__xludf.DUMMYFUNCTION("""COMPUTED_VALUE"""),0)</f>
        <v>0</v>
      </c>
      <c r="T50" s="7">
        <f ca="1">IFERROR(__xludf.DUMMYFUNCTION("""COMPUTED_VALUE"""),0)</f>
        <v>0</v>
      </c>
      <c r="U50" s="61"/>
      <c r="V50" s="61"/>
      <c r="W50" s="61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0" t="str">
        <f ca="1">IFERROR(__xludf.DUMMYFUNCTION("""COMPUTED_VALUE"""),"A.COM. ESC. EST. BARRA DO OURO/PROF. VICENTE JOSÉ VIEIRA")</f>
        <v>A.COM. ESC. EST. BARRA DO OURO/PROF. VICENTE JOSÉ VIEIRA</v>
      </c>
      <c r="D51" s="136" t="str">
        <f ca="1">IFERROR(__xludf.DUMMYFUNCTION("""COMPUTED_VALUE"""),"01341481000161")</f>
        <v>01341481000161</v>
      </c>
      <c r="E51" s="6" t="str">
        <f ca="1">IFERROR(__xludf.DUMMYFUNCTION("""COMPUTED_VALUE"""),"001")</f>
        <v>001</v>
      </c>
      <c r="F51" s="7" t="str">
        <f ca="1">IFERROR(__xludf.DUMMYFUNCTION("""COMPUTED_VALUE"""),"0638")</f>
        <v>0638</v>
      </c>
      <c r="G51" s="7" t="str">
        <f ca="1">IFERROR(__xludf.DUMMYFUNCTION("""COMPUTED_VALUE"""),"0069973")</f>
        <v>0069973</v>
      </c>
      <c r="H51" s="7">
        <f ca="1">IFERROR(__xludf.DUMMYFUNCTION("""COMPUTED_VALUE"""),0)</f>
        <v>0</v>
      </c>
      <c r="I51" s="7">
        <f ca="1">IFERROR(__xludf.DUMMYFUNCTION("""COMPUTED_VALUE"""),0)</f>
        <v>0</v>
      </c>
      <c r="J51" s="7">
        <f ca="1">IFERROR(__xludf.DUMMYFUNCTION("""COMPUTED_VALUE"""),2550)</f>
        <v>2550</v>
      </c>
      <c r="K51" s="7">
        <f ca="1">IFERROR(__xludf.DUMMYFUNCTION("""COMPUTED_VALUE"""),0)</f>
        <v>0</v>
      </c>
      <c r="L51" s="7">
        <f ca="1">IFERROR(__xludf.DUMMYFUNCTION("""COMPUTED_VALUE"""),0)</f>
        <v>0</v>
      </c>
      <c r="M51" s="7">
        <f ca="1">IFERROR(__xludf.DUMMYFUNCTION("""COMPUTED_VALUE"""),0)</f>
        <v>0</v>
      </c>
      <c r="N51" s="7">
        <f ca="1">IFERROR(__xludf.DUMMYFUNCTION("""COMPUTED_VALUE"""),0)</f>
        <v>0</v>
      </c>
      <c r="O51" s="7">
        <f ca="1">IFERROR(__xludf.DUMMYFUNCTION("""COMPUTED_VALUE"""),0)</f>
        <v>0</v>
      </c>
      <c r="P51" s="7">
        <f ca="1">IFERROR(__xludf.DUMMYFUNCTION("""COMPUTED_VALUE"""),0)</f>
        <v>0</v>
      </c>
      <c r="Q51" s="7">
        <f ca="1">IFERROR(__xludf.DUMMYFUNCTION("""COMPUTED_VALUE"""),1270)</f>
        <v>1270</v>
      </c>
      <c r="R51" s="7">
        <f ca="1">IFERROR(__xludf.DUMMYFUNCTION("""COMPUTED_VALUE"""),0)</f>
        <v>0</v>
      </c>
      <c r="S51" s="7">
        <f ca="1">IFERROR(__xludf.DUMMYFUNCTION("""COMPUTED_VALUE"""),0)</f>
        <v>0</v>
      </c>
      <c r="T51" s="7">
        <f ca="1">IFERROR(__xludf.DUMMYFUNCTION("""COMPUTED_VALUE"""),0)</f>
        <v>0</v>
      </c>
      <c r="U51" s="61"/>
      <c r="V51" s="61"/>
      <c r="W51" s="61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IFERROR(__xludf.DUMMYFUNCTION("""COMPUTED_VALUE"""),"Campos Lindos")</f>
        <v>Campos Lindos</v>
      </c>
      <c r="C52" s="60" t="str">
        <f ca="1">IFERROR(__xludf.DUMMYFUNCTION("""COMPUTED_VALUE"""),"A.A. DA ESC. EST. MANOEL ALVES GRANDE")</f>
        <v>A.A. DA ESC. EST. MANOEL ALVES GRANDE</v>
      </c>
      <c r="D52" s="136" t="str">
        <f ca="1">IFERROR(__xludf.DUMMYFUNCTION("""COMPUTED_VALUE"""),"02199744000102")</f>
        <v>02199744000102</v>
      </c>
      <c r="E52" s="6" t="str">
        <f ca="1">IFERROR(__xludf.DUMMYFUNCTION("""COMPUTED_VALUE"""),"001")</f>
        <v>001</v>
      </c>
      <c r="F52" s="7" t="str">
        <f ca="1">IFERROR(__xludf.DUMMYFUNCTION("""COMPUTED_VALUE"""),"2064")</f>
        <v>2064</v>
      </c>
      <c r="G52" s="7" t="str">
        <f ca="1">IFERROR(__xludf.DUMMYFUNCTION("""COMPUTED_VALUE"""),"0130117")</f>
        <v>0130117</v>
      </c>
      <c r="H52" s="7">
        <f ca="1">IFERROR(__xludf.DUMMYFUNCTION("""COMPUTED_VALUE"""),0)</f>
        <v>0</v>
      </c>
      <c r="I52" s="7">
        <f ca="1">IFERROR(__xludf.DUMMYFUNCTION("""COMPUTED_VALUE"""),0)</f>
        <v>0</v>
      </c>
      <c r="J52" s="7">
        <f ca="1">IFERROR(__xludf.DUMMYFUNCTION("""COMPUTED_VALUE"""),1710)</f>
        <v>1710</v>
      </c>
      <c r="K52" s="7">
        <f ca="1">IFERROR(__xludf.DUMMYFUNCTION("""COMPUTED_VALUE"""),0)</f>
        <v>0</v>
      </c>
      <c r="L52" s="7">
        <f ca="1">IFERROR(__xludf.DUMMYFUNCTION("""COMPUTED_VALUE"""),0)</f>
        <v>0</v>
      </c>
      <c r="M52" s="7">
        <f ca="1">IFERROR(__xludf.DUMMYFUNCTION("""COMPUTED_VALUE"""),0)</f>
        <v>0</v>
      </c>
      <c r="N52" s="7">
        <f ca="1">IFERROR(__xludf.DUMMYFUNCTION("""COMPUTED_VALUE"""),0)</f>
        <v>0</v>
      </c>
      <c r="O52" s="7">
        <f ca="1">IFERROR(__xludf.DUMMYFUNCTION("""COMPUTED_VALUE"""),0)</f>
        <v>0</v>
      </c>
      <c r="P52" s="7">
        <f ca="1">IFERROR(__xludf.DUMMYFUNCTION("""COMPUTED_VALUE"""),0)</f>
        <v>0</v>
      </c>
      <c r="Q52" s="7">
        <f ca="1">IFERROR(__xludf.DUMMYFUNCTION("""COMPUTED_VALUE"""),4600)</f>
        <v>4600</v>
      </c>
      <c r="R52" s="7">
        <f ca="1">IFERROR(__xludf.DUMMYFUNCTION("""COMPUTED_VALUE"""),0)</f>
        <v>0</v>
      </c>
      <c r="S52" s="7">
        <f ca="1">IFERROR(__xludf.DUMMYFUNCTION("""COMPUTED_VALUE"""),0)</f>
        <v>0</v>
      </c>
      <c r="T52" s="7">
        <f ca="1">IFERROR(__xludf.DUMMYFUNCTION("""COMPUTED_VALUE"""),98.3999999999999)</f>
        <v>98.399999999999906</v>
      </c>
      <c r="U52" s="61"/>
      <c r="V52" s="61"/>
      <c r="W52" s="61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IFERROR(__xludf.DUMMYFUNCTION("""COMPUTED_VALUE"""),"Carmolandia")</f>
        <v>Carmolandia</v>
      </c>
      <c r="C53" s="60" t="str">
        <f ca="1">IFERROR(__xludf.DUMMYFUNCTION("""COMPUTED_VALUE"""),"A.A. E. EST. BARTOLOMEU BUENO DA SILVA")</f>
        <v>A.A. E. EST. BARTOLOMEU BUENO DA SILVA</v>
      </c>
      <c r="D53" s="136" t="str">
        <f ca="1">IFERROR(__xludf.DUMMYFUNCTION("""COMPUTED_VALUE"""),"01181172000171")</f>
        <v>01181172000171</v>
      </c>
      <c r="E53" s="6" t="str">
        <f ca="1">IFERROR(__xludf.DUMMYFUNCTION("""COMPUTED_VALUE"""),"001")</f>
        <v>001</v>
      </c>
      <c r="F53" s="7" t="str">
        <f ca="1">IFERROR(__xludf.DUMMYFUNCTION("""COMPUTED_VALUE"""),"0638")</f>
        <v>0638</v>
      </c>
      <c r="G53" s="7" t="str">
        <f ca="1">IFERROR(__xludf.DUMMYFUNCTION("""COMPUTED_VALUE"""),"0465038")</f>
        <v>0465038</v>
      </c>
      <c r="H53" s="7">
        <f ca="1">IFERROR(__xludf.DUMMYFUNCTION("""COMPUTED_VALUE"""),0)</f>
        <v>0</v>
      </c>
      <c r="I53" s="7">
        <f ca="1">IFERROR(__xludf.DUMMYFUNCTION("""COMPUTED_VALUE"""),0)</f>
        <v>0</v>
      </c>
      <c r="J53" s="7">
        <f ca="1">IFERROR(__xludf.DUMMYFUNCTION("""COMPUTED_VALUE"""),290)</f>
        <v>290</v>
      </c>
      <c r="K53" s="7">
        <f ca="1">IFERROR(__xludf.DUMMYFUNCTION("""COMPUTED_VALUE"""),0)</f>
        <v>0</v>
      </c>
      <c r="L53" s="7">
        <f ca="1">IFERROR(__xludf.DUMMYFUNCTION("""COMPUTED_VALUE"""),0)</f>
        <v>0</v>
      </c>
      <c r="M53" s="7">
        <f ca="1">IFERROR(__xludf.DUMMYFUNCTION("""COMPUTED_VALUE"""),0)</f>
        <v>0</v>
      </c>
      <c r="N53" s="7">
        <f ca="1">IFERROR(__xludf.DUMMYFUNCTION("""COMPUTED_VALUE"""),0)</f>
        <v>0</v>
      </c>
      <c r="O53" s="7">
        <f ca="1">IFERROR(__xludf.DUMMYFUNCTION("""COMPUTED_VALUE"""),0)</f>
        <v>0</v>
      </c>
      <c r="P53" s="7">
        <f ca="1">IFERROR(__xludf.DUMMYFUNCTION("""COMPUTED_VALUE"""),0)</f>
        <v>0</v>
      </c>
      <c r="Q53" s="7">
        <f ca="1">IFERROR(__xludf.DUMMYFUNCTION("""COMPUTED_VALUE"""),870)</f>
        <v>870</v>
      </c>
      <c r="R53" s="7">
        <f ca="1">IFERROR(__xludf.DUMMYFUNCTION("""COMPUTED_VALUE"""),0)</f>
        <v>0</v>
      </c>
      <c r="S53" s="7">
        <f ca="1">IFERROR(__xludf.DUMMYFUNCTION("""COMPUTED_VALUE"""),0)</f>
        <v>0</v>
      </c>
      <c r="T53" s="7">
        <f ca="1">IFERROR(__xludf.DUMMYFUNCTION("""COMPUTED_VALUE"""),65.6)</f>
        <v>65.599999999999994</v>
      </c>
      <c r="U53" s="61"/>
      <c r="V53" s="61"/>
      <c r="W53" s="61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IFERROR(__xludf.DUMMYFUNCTION("""COMPUTED_VALUE"""),"Filadelfia")</f>
        <v>Filadelfia</v>
      </c>
      <c r="C54" s="60" t="str">
        <f ca="1">IFERROR(__xludf.DUMMYFUNCTION("""COMPUTED_VALUE"""),"A.A. DO COL.MUNICIPAL DE FILADELFIA")</f>
        <v>A.A. DO COL.MUNICIPAL DE FILADELFIA</v>
      </c>
      <c r="D54" s="136" t="str">
        <f ca="1">IFERROR(__xludf.DUMMYFUNCTION("""COMPUTED_VALUE"""),"02189621000190")</f>
        <v>02189621000190</v>
      </c>
      <c r="E54" s="6" t="str">
        <f ca="1">IFERROR(__xludf.DUMMYFUNCTION("""COMPUTED_VALUE"""),"001")</f>
        <v>001</v>
      </c>
      <c r="F54" s="7" t="str">
        <f ca="1">IFERROR(__xludf.DUMMYFUNCTION("""COMPUTED_VALUE"""),"2064")</f>
        <v>2064</v>
      </c>
      <c r="G54" s="7" t="str">
        <f ca="1">IFERROR(__xludf.DUMMYFUNCTION("""COMPUTED_VALUE"""),"54127")</f>
        <v>54127</v>
      </c>
      <c r="H54" s="7">
        <f ca="1">IFERROR(__xludf.DUMMYFUNCTION("""COMPUTED_VALUE"""),0)</f>
        <v>0</v>
      </c>
      <c r="I54" s="7">
        <f ca="1">IFERROR(__xludf.DUMMYFUNCTION("""COMPUTED_VALUE"""),0)</f>
        <v>0</v>
      </c>
      <c r="J54" s="7">
        <f ca="1">IFERROR(__xludf.DUMMYFUNCTION("""COMPUTED_VALUE"""),0)</f>
        <v>0</v>
      </c>
      <c r="K54" s="7">
        <f ca="1">IFERROR(__xludf.DUMMYFUNCTION("""COMPUTED_VALUE"""),0)</f>
        <v>0</v>
      </c>
      <c r="L54" s="7">
        <f ca="1">IFERROR(__xludf.DUMMYFUNCTION("""COMPUTED_VALUE"""),0)</f>
        <v>0</v>
      </c>
      <c r="M54" s="7">
        <f ca="1">IFERROR(__xludf.DUMMYFUNCTION("""COMPUTED_VALUE"""),0)</f>
        <v>0</v>
      </c>
      <c r="N54" s="7">
        <f ca="1">IFERROR(__xludf.DUMMYFUNCTION("""COMPUTED_VALUE"""),0)</f>
        <v>0</v>
      </c>
      <c r="O54" s="7">
        <f ca="1">IFERROR(__xludf.DUMMYFUNCTION("""COMPUTED_VALUE"""),0)</f>
        <v>0</v>
      </c>
      <c r="P54" s="7">
        <f ca="1">IFERROR(__xludf.DUMMYFUNCTION("""COMPUTED_VALUE"""),272)</f>
        <v>272</v>
      </c>
      <c r="Q54" s="7">
        <f ca="1">IFERROR(__xludf.DUMMYFUNCTION("""COMPUTED_VALUE"""),2140)</f>
        <v>2140</v>
      </c>
      <c r="R54" s="7">
        <f ca="1">IFERROR(__xludf.DUMMYFUNCTION("""COMPUTED_VALUE"""),0)</f>
        <v>0</v>
      </c>
      <c r="S54" s="7">
        <f ca="1">IFERROR(__xludf.DUMMYFUNCTION("""COMPUTED_VALUE"""),0)</f>
        <v>0</v>
      </c>
      <c r="T54" s="7">
        <f ca="1">IFERROR(__xludf.DUMMYFUNCTION("""COMPUTED_VALUE"""),0)</f>
        <v>0</v>
      </c>
      <c r="U54" s="61"/>
      <c r="V54" s="61"/>
      <c r="W54" s="61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0" t="str">
        <f ca="1">IFERROR(__xludf.DUMMYFUNCTION("""COMPUTED_VALUE"""),"A.P. E M. ESC. EST. ADEUVALDO O.MORAES")</f>
        <v>A.P. E M. ESC. EST. ADEUVALDO O.MORAES</v>
      </c>
      <c r="D55" s="136" t="str">
        <f ca="1">IFERROR(__xludf.DUMMYFUNCTION("""COMPUTED_VALUE"""),"01912087000136")</f>
        <v>01912087000136</v>
      </c>
      <c r="E55" s="6" t="str">
        <f ca="1">IFERROR(__xludf.DUMMYFUNCTION("""COMPUTED_VALUE"""),"001")</f>
        <v>001</v>
      </c>
      <c r="F55" s="7" t="str">
        <f ca="1">IFERROR(__xludf.DUMMYFUNCTION("""COMPUTED_VALUE"""),"2064")</f>
        <v>2064</v>
      </c>
      <c r="G55" s="7" t="str">
        <f ca="1">IFERROR(__xludf.DUMMYFUNCTION("""COMPUTED_VALUE"""),"127434")</f>
        <v>127434</v>
      </c>
      <c r="H55" s="7">
        <f ca="1">IFERROR(__xludf.DUMMYFUNCTION("""COMPUTED_VALUE"""),0)</f>
        <v>0</v>
      </c>
      <c r="I55" s="7">
        <f ca="1">IFERROR(__xludf.DUMMYFUNCTION("""COMPUTED_VALUE"""),0)</f>
        <v>0</v>
      </c>
      <c r="J55" s="7">
        <f ca="1">IFERROR(__xludf.DUMMYFUNCTION("""COMPUTED_VALUE"""),2800)</f>
        <v>2800</v>
      </c>
      <c r="K55" s="7">
        <f ca="1">IFERROR(__xludf.DUMMYFUNCTION("""COMPUTED_VALUE"""),0)</f>
        <v>0</v>
      </c>
      <c r="L55" s="7">
        <f ca="1">IFERROR(__xludf.DUMMYFUNCTION("""COMPUTED_VALUE"""),0)</f>
        <v>0</v>
      </c>
      <c r="M55" s="7">
        <f ca="1">IFERROR(__xludf.DUMMYFUNCTION("""COMPUTED_VALUE"""),0)</f>
        <v>0</v>
      </c>
      <c r="N55" s="7">
        <f ca="1">IFERROR(__xludf.DUMMYFUNCTION("""COMPUTED_VALUE"""),0)</f>
        <v>0</v>
      </c>
      <c r="O55" s="7">
        <f ca="1">IFERROR(__xludf.DUMMYFUNCTION("""COMPUTED_VALUE"""),0)</f>
        <v>0</v>
      </c>
      <c r="P55" s="7">
        <f ca="1">IFERROR(__xludf.DUMMYFUNCTION("""COMPUTED_VALUE"""),435.2)</f>
        <v>435.2</v>
      </c>
      <c r="Q55" s="7">
        <f ca="1">IFERROR(__xludf.DUMMYFUNCTION("""COMPUTED_VALUE"""),0)</f>
        <v>0</v>
      </c>
      <c r="R55" s="7">
        <f ca="1">IFERROR(__xludf.DUMMYFUNCTION("""COMPUTED_VALUE"""),0)</f>
        <v>0</v>
      </c>
      <c r="S55" s="7">
        <f ca="1">IFERROR(__xludf.DUMMYFUNCTION("""COMPUTED_VALUE"""),0)</f>
        <v>0</v>
      </c>
      <c r="T55" s="7">
        <f ca="1">IFERROR(__xludf.DUMMYFUNCTION("""COMPUTED_VALUE"""),0)</f>
        <v>0</v>
      </c>
      <c r="U55" s="61"/>
      <c r="V55" s="61"/>
      <c r="W55" s="61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0" t="str">
        <f ca="1">IFERROR(__xludf.DUMMYFUNCTION("""COMPUTED_VALUE"""),"A.A. ESC EST PROFESSOR JOSÉ FRANCISCO DOS MONTES")</f>
        <v>A.A. ESC EST PROFESSOR JOSÉ FRANCISCO DOS MONTES</v>
      </c>
      <c r="D56" s="136" t="str">
        <f ca="1">IFERROR(__xludf.DUMMYFUNCTION("""COMPUTED_VALUE"""),"27853677000129")</f>
        <v>27853677000129</v>
      </c>
      <c r="E56" s="6" t="str">
        <f ca="1">IFERROR(__xludf.DUMMYFUNCTION("""COMPUTED_VALUE"""),"001")</f>
        <v>001</v>
      </c>
      <c r="F56" s="7" t="str">
        <f ca="1">IFERROR(__xludf.DUMMYFUNCTION("""COMPUTED_VALUE"""),"2064")</f>
        <v>2064</v>
      </c>
      <c r="G56" s="7" t="str">
        <f ca="1">IFERROR(__xludf.DUMMYFUNCTION("""COMPUTED_VALUE"""),"198315")</f>
        <v>198315</v>
      </c>
      <c r="H56" s="7">
        <f ca="1">IFERROR(__xludf.DUMMYFUNCTION("""COMPUTED_VALUE"""),0)</f>
        <v>0</v>
      </c>
      <c r="I56" s="7">
        <f ca="1">IFERROR(__xludf.DUMMYFUNCTION("""COMPUTED_VALUE"""),0)</f>
        <v>0</v>
      </c>
      <c r="J56" s="7">
        <f ca="1">IFERROR(__xludf.DUMMYFUNCTION("""COMPUTED_VALUE"""),530)</f>
        <v>530</v>
      </c>
      <c r="K56" s="7">
        <f ca="1">IFERROR(__xludf.DUMMYFUNCTION("""COMPUTED_VALUE"""),0)</f>
        <v>0</v>
      </c>
      <c r="L56" s="7">
        <f ca="1">IFERROR(__xludf.DUMMYFUNCTION("""COMPUTED_VALUE"""),0)</f>
        <v>0</v>
      </c>
      <c r="M56" s="7">
        <f ca="1">IFERROR(__xludf.DUMMYFUNCTION("""COMPUTED_VALUE"""),0)</f>
        <v>0</v>
      </c>
      <c r="N56" s="7">
        <f ca="1">IFERROR(__xludf.DUMMYFUNCTION("""COMPUTED_VALUE"""),0)</f>
        <v>0</v>
      </c>
      <c r="O56" s="7">
        <f ca="1">IFERROR(__xludf.DUMMYFUNCTION("""COMPUTED_VALUE"""),0)</f>
        <v>0</v>
      </c>
      <c r="P56" s="7">
        <f ca="1">IFERROR(__xludf.DUMMYFUNCTION("""COMPUTED_VALUE"""),0)</f>
        <v>0</v>
      </c>
      <c r="Q56" s="7">
        <f ca="1">IFERROR(__xludf.DUMMYFUNCTION("""COMPUTED_VALUE"""),970)</f>
        <v>970</v>
      </c>
      <c r="R56" s="7">
        <f ca="1">IFERROR(__xludf.DUMMYFUNCTION("""COMPUTED_VALUE"""),0)</f>
        <v>0</v>
      </c>
      <c r="S56" s="7">
        <f ca="1">IFERROR(__xludf.DUMMYFUNCTION("""COMPUTED_VALUE"""),0)</f>
        <v>0</v>
      </c>
      <c r="T56" s="7">
        <f ca="1">IFERROR(__xludf.DUMMYFUNCTION("""COMPUTED_VALUE"""),180.399999999999)</f>
        <v>180.39999999999901</v>
      </c>
      <c r="U56" s="61"/>
      <c r="V56" s="61"/>
      <c r="W56" s="61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IFERROR(__xludf.DUMMYFUNCTION("""COMPUTED_VALUE"""),"Goiatins")</f>
        <v>Goiatins</v>
      </c>
      <c r="C57" s="60" t="str">
        <f ca="1">IFERROR(__xludf.DUMMYFUNCTION("""COMPUTED_VALUE"""),"ASS. COM.COL. EST. ADA ASSIS TEIXEIRA")</f>
        <v>ASS. COM.COL. EST. ADA ASSIS TEIXEIRA</v>
      </c>
      <c r="D57" s="136" t="str">
        <f ca="1">IFERROR(__xludf.DUMMYFUNCTION("""COMPUTED_VALUE"""),"01440731000110")</f>
        <v>01440731000110</v>
      </c>
      <c r="E57" s="6" t="str">
        <f ca="1">IFERROR(__xludf.DUMMYFUNCTION("""COMPUTED_VALUE"""),"001")</f>
        <v>001</v>
      </c>
      <c r="F57" s="7" t="str">
        <f ca="1">IFERROR(__xludf.DUMMYFUNCTION("""COMPUTED_VALUE"""),"2064")</f>
        <v>2064</v>
      </c>
      <c r="G57" s="7" t="str">
        <f ca="1">IFERROR(__xludf.DUMMYFUNCTION("""COMPUTED_VALUE"""),"0013323")</f>
        <v>0013323</v>
      </c>
      <c r="H57" s="7">
        <f ca="1">IFERROR(__xludf.DUMMYFUNCTION("""COMPUTED_VALUE"""),0)</f>
        <v>0</v>
      </c>
      <c r="I57" s="7">
        <f ca="1">IFERROR(__xludf.DUMMYFUNCTION("""COMPUTED_VALUE"""),0)</f>
        <v>0</v>
      </c>
      <c r="J57" s="7">
        <f ca="1">IFERROR(__xludf.DUMMYFUNCTION("""COMPUTED_VALUE"""),2110)</f>
        <v>2110</v>
      </c>
      <c r="K57" s="7">
        <f ca="1">IFERROR(__xludf.DUMMYFUNCTION("""COMPUTED_VALUE"""),0)</f>
        <v>0</v>
      </c>
      <c r="L57" s="7">
        <f ca="1">IFERROR(__xludf.DUMMYFUNCTION("""COMPUTED_VALUE"""),0)</f>
        <v>0</v>
      </c>
      <c r="M57" s="7">
        <f ca="1">IFERROR(__xludf.DUMMYFUNCTION("""COMPUTED_VALUE"""),0)</f>
        <v>0</v>
      </c>
      <c r="N57" s="7">
        <f ca="1">IFERROR(__xludf.DUMMYFUNCTION("""COMPUTED_VALUE"""),0)</f>
        <v>0</v>
      </c>
      <c r="O57" s="7">
        <f ca="1">IFERROR(__xludf.DUMMYFUNCTION("""COMPUTED_VALUE"""),0)</f>
        <v>0</v>
      </c>
      <c r="P57" s="7">
        <f ca="1">IFERROR(__xludf.DUMMYFUNCTION("""COMPUTED_VALUE"""),190.4)</f>
        <v>190.4</v>
      </c>
      <c r="Q57" s="7">
        <f ca="1">IFERROR(__xludf.DUMMYFUNCTION("""COMPUTED_VALUE"""),4630)</f>
        <v>4630</v>
      </c>
      <c r="R57" s="7">
        <f ca="1">IFERROR(__xludf.DUMMYFUNCTION("""COMPUTED_VALUE"""),0)</f>
        <v>0</v>
      </c>
      <c r="S57" s="7">
        <f ca="1">IFERROR(__xludf.DUMMYFUNCTION("""COMPUTED_VALUE"""),0)</f>
        <v>0</v>
      </c>
      <c r="T57" s="7">
        <f ca="1">IFERROR(__xludf.DUMMYFUNCTION("""COMPUTED_VALUE"""),0)</f>
        <v>0</v>
      </c>
      <c r="U57" s="61"/>
      <c r="V57" s="61"/>
      <c r="W57" s="61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IFERROR(__xludf.DUMMYFUNCTION("""COMPUTED_VALUE"""),"Muricilandia")</f>
        <v>Muricilandia</v>
      </c>
      <c r="C58" s="60" t="str">
        <f ca="1">IFERROR(__xludf.DUMMYFUNCTION("""COMPUTED_VALUE"""),"A.A. DA ESC. EST. MAL. COSTA E SILVA")</f>
        <v>A.A. DA ESC. EST. MAL. COSTA E SILVA</v>
      </c>
      <c r="D58" s="136" t="str">
        <f ca="1">IFERROR(__xludf.DUMMYFUNCTION("""COMPUTED_VALUE"""),"02032269000185")</f>
        <v>02032269000185</v>
      </c>
      <c r="E58" s="6" t="str">
        <f ca="1">IFERROR(__xludf.DUMMYFUNCTION("""COMPUTED_VALUE"""),"001")</f>
        <v>001</v>
      </c>
      <c r="F58" s="7" t="str">
        <f ca="1">IFERROR(__xludf.DUMMYFUNCTION("""COMPUTED_VALUE"""),"0638")</f>
        <v>0638</v>
      </c>
      <c r="G58" s="7" t="str">
        <f ca="1">IFERROR(__xludf.DUMMYFUNCTION("""COMPUTED_VALUE"""),"83550")</f>
        <v>83550</v>
      </c>
      <c r="H58" s="7">
        <f ca="1">IFERROR(__xludf.DUMMYFUNCTION("""COMPUTED_VALUE"""),0)</f>
        <v>0</v>
      </c>
      <c r="I58" s="7">
        <f ca="1">IFERROR(__xludf.DUMMYFUNCTION("""COMPUTED_VALUE"""),0)</f>
        <v>0</v>
      </c>
      <c r="J58" s="7">
        <f ca="1">IFERROR(__xludf.DUMMYFUNCTION("""COMPUTED_VALUE"""),0)</f>
        <v>0</v>
      </c>
      <c r="K58" s="7">
        <f ca="1">IFERROR(__xludf.DUMMYFUNCTION("""COMPUTED_VALUE"""),0)</f>
        <v>0</v>
      </c>
      <c r="L58" s="7">
        <f ca="1">IFERROR(__xludf.DUMMYFUNCTION("""COMPUTED_VALUE"""),4128)</f>
        <v>4128</v>
      </c>
      <c r="M58" s="7">
        <f ca="1">IFERROR(__xludf.DUMMYFUNCTION("""COMPUTED_VALUE"""),0)</f>
        <v>0</v>
      </c>
      <c r="N58" s="7">
        <f ca="1">IFERROR(__xludf.DUMMYFUNCTION("""COMPUTED_VALUE"""),0)</f>
        <v>0</v>
      </c>
      <c r="O58" s="7">
        <f ca="1">IFERROR(__xludf.DUMMYFUNCTION("""COMPUTED_VALUE"""),0)</f>
        <v>0</v>
      </c>
      <c r="P58" s="7">
        <f ca="1">IFERROR(__xludf.DUMMYFUNCTION("""COMPUTED_VALUE"""),0)</f>
        <v>0</v>
      </c>
      <c r="Q58" s="7">
        <f ca="1">IFERROR(__xludf.DUMMYFUNCTION("""COMPUTED_VALUE"""),0)</f>
        <v>0</v>
      </c>
      <c r="R58" s="7">
        <f ca="1">IFERROR(__xludf.DUMMYFUNCTION("""COMPUTED_VALUE"""),0)</f>
        <v>0</v>
      </c>
      <c r="S58" s="7">
        <f ca="1">IFERROR(__xludf.DUMMYFUNCTION("""COMPUTED_VALUE"""),0)</f>
        <v>0</v>
      </c>
      <c r="T58" s="7">
        <f ca="1">IFERROR(__xludf.DUMMYFUNCTION("""COMPUTED_VALUE"""),0)</f>
        <v>0</v>
      </c>
      <c r="U58" s="61"/>
      <c r="V58" s="61"/>
      <c r="W58" s="61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0" t="str">
        <f ca="1">IFERROR(__xludf.DUMMYFUNCTION("""COMPUTED_VALUE"""),"A.COM. DE AP. COL. EST. DE MURICILANDIA")</f>
        <v>A.COM. DE AP. COL. EST. DE MURICILANDIA</v>
      </c>
      <c r="D59" s="136" t="str">
        <f ca="1">IFERROR(__xludf.DUMMYFUNCTION("""COMPUTED_VALUE"""),"01911084000188")</f>
        <v>01911084000188</v>
      </c>
      <c r="E59" s="6" t="str">
        <f ca="1">IFERROR(__xludf.DUMMYFUNCTION("""COMPUTED_VALUE"""),"001")</f>
        <v>001</v>
      </c>
      <c r="F59" s="7" t="str">
        <f ca="1">IFERROR(__xludf.DUMMYFUNCTION("""COMPUTED_VALUE"""),"0638")</f>
        <v>0638</v>
      </c>
      <c r="G59" s="7" t="str">
        <f ca="1">IFERROR(__xludf.DUMMYFUNCTION("""COMPUTED_VALUE"""),"8350X")</f>
        <v>8350X</v>
      </c>
      <c r="H59" s="7">
        <f ca="1">IFERROR(__xludf.DUMMYFUNCTION("""COMPUTED_VALUE"""),0)</f>
        <v>0</v>
      </c>
      <c r="I59" s="7">
        <f ca="1">IFERROR(__xludf.DUMMYFUNCTION("""COMPUTED_VALUE"""),0)</f>
        <v>0</v>
      </c>
      <c r="J59" s="7">
        <f ca="1">IFERROR(__xludf.DUMMYFUNCTION("""COMPUTED_VALUE"""),0)</f>
        <v>0</v>
      </c>
      <c r="K59" s="7">
        <f ca="1">IFERROR(__xludf.DUMMYFUNCTION("""COMPUTED_VALUE"""),0)</f>
        <v>0</v>
      </c>
      <c r="L59" s="7">
        <f ca="1">IFERROR(__xludf.DUMMYFUNCTION("""COMPUTED_VALUE"""),1892)</f>
        <v>1892</v>
      </c>
      <c r="M59" s="7">
        <f ca="1">IFERROR(__xludf.DUMMYFUNCTION("""COMPUTED_VALUE"""),0)</f>
        <v>0</v>
      </c>
      <c r="N59" s="7">
        <f ca="1">IFERROR(__xludf.DUMMYFUNCTION("""COMPUTED_VALUE"""),0)</f>
        <v>0</v>
      </c>
      <c r="O59" s="7">
        <f ca="1">IFERROR(__xludf.DUMMYFUNCTION("""COMPUTED_VALUE"""),0)</f>
        <v>0</v>
      </c>
      <c r="P59" s="7">
        <f ca="1">IFERROR(__xludf.DUMMYFUNCTION("""COMPUTED_VALUE"""),190.4)</f>
        <v>190.4</v>
      </c>
      <c r="Q59" s="7">
        <f ca="1">IFERROR(__xludf.DUMMYFUNCTION("""COMPUTED_VALUE"""),0)</f>
        <v>0</v>
      </c>
      <c r="R59" s="7">
        <f ca="1">IFERROR(__xludf.DUMMYFUNCTION("""COMPUTED_VALUE"""),0)</f>
        <v>0</v>
      </c>
      <c r="S59" s="7">
        <f ca="1">IFERROR(__xludf.DUMMYFUNCTION("""COMPUTED_VALUE"""),0)</f>
        <v>0</v>
      </c>
      <c r="T59" s="7">
        <f ca="1">IFERROR(__xludf.DUMMYFUNCTION("""COMPUTED_VALUE"""),0)</f>
        <v>0</v>
      </c>
      <c r="U59" s="61"/>
      <c r="V59" s="61"/>
      <c r="W59" s="61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IFERROR(__xludf.DUMMYFUNCTION("""COMPUTED_VALUE"""),"Nova Olinda")</f>
        <v>Nova Olinda</v>
      </c>
      <c r="C60" s="60" t="str">
        <f ca="1">IFERROR(__xludf.DUMMYFUNCTION("""COMPUTED_VALUE"""),"A.A. ESC. COL. E. HELIO DE SOUZA BUENO")</f>
        <v>A.A. ESC. COL. E. HELIO DE SOUZA BUENO</v>
      </c>
      <c r="D60" s="136" t="str">
        <f ca="1">IFERROR(__xludf.DUMMYFUNCTION("""COMPUTED_VALUE"""),"01186466000196")</f>
        <v>01186466000196</v>
      </c>
      <c r="E60" s="6" t="str">
        <f ca="1">IFERROR(__xludf.DUMMYFUNCTION("""COMPUTED_VALUE"""),"001")</f>
        <v>001</v>
      </c>
      <c r="F60" s="7" t="str">
        <f ca="1">IFERROR(__xludf.DUMMYFUNCTION("""COMPUTED_VALUE"""),"0638")</f>
        <v>0638</v>
      </c>
      <c r="G60" s="7" t="str">
        <f ca="1">IFERROR(__xludf.DUMMYFUNCTION("""COMPUTED_VALUE"""),"0462985")</f>
        <v>0462985</v>
      </c>
      <c r="H60" s="7">
        <f ca="1">IFERROR(__xludf.DUMMYFUNCTION("""COMPUTED_VALUE"""),0)</f>
        <v>0</v>
      </c>
      <c r="I60" s="7">
        <f ca="1">IFERROR(__xludf.DUMMYFUNCTION("""COMPUTED_VALUE"""),0)</f>
        <v>0</v>
      </c>
      <c r="J60" s="7">
        <f ca="1">IFERROR(__xludf.DUMMYFUNCTION("""COMPUTED_VALUE"""),6220)</f>
        <v>6220</v>
      </c>
      <c r="K60" s="7">
        <f ca="1">IFERROR(__xludf.DUMMYFUNCTION("""COMPUTED_VALUE"""),0)</f>
        <v>0</v>
      </c>
      <c r="L60" s="7">
        <f ca="1">IFERROR(__xludf.DUMMYFUNCTION("""COMPUTED_VALUE"""),0)</f>
        <v>0</v>
      </c>
      <c r="M60" s="7">
        <f ca="1">IFERROR(__xludf.DUMMYFUNCTION("""COMPUTED_VALUE"""),0)</f>
        <v>0</v>
      </c>
      <c r="N60" s="7">
        <f ca="1">IFERROR(__xludf.DUMMYFUNCTION("""COMPUTED_VALUE"""),0)</f>
        <v>0</v>
      </c>
      <c r="O60" s="7">
        <f ca="1">IFERROR(__xludf.DUMMYFUNCTION("""COMPUTED_VALUE"""),0)</f>
        <v>0</v>
      </c>
      <c r="P60" s="7">
        <f ca="1">IFERROR(__xludf.DUMMYFUNCTION("""COMPUTED_VALUE"""),598.4)</f>
        <v>598.4</v>
      </c>
      <c r="Q60" s="7">
        <f ca="1">IFERROR(__xludf.DUMMYFUNCTION("""COMPUTED_VALUE"""),7480)</f>
        <v>7480</v>
      </c>
      <c r="R60" s="7">
        <f ca="1">IFERROR(__xludf.DUMMYFUNCTION("""COMPUTED_VALUE"""),0)</f>
        <v>0</v>
      </c>
      <c r="S60" s="7">
        <f ca="1">IFERROR(__xludf.DUMMYFUNCTION("""COMPUTED_VALUE"""),0)</f>
        <v>0</v>
      </c>
      <c r="T60" s="7">
        <f ca="1">IFERROR(__xludf.DUMMYFUNCTION("""COMPUTED_VALUE"""),852.8)</f>
        <v>852.8</v>
      </c>
      <c r="U60" s="61"/>
      <c r="V60" s="61"/>
      <c r="W60" s="61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0" t="str">
        <f ca="1">IFERROR(__xludf.DUMMYFUNCTION("""COMPUTED_VALUE"""),"ASSOCIAÇÃO DE APOIO A ESCOLA ESPECIAL RENASCER")</f>
        <v>ASSOCIAÇÃO DE APOIO A ESCOLA ESPECIAL RENASCER</v>
      </c>
      <c r="D61" s="136" t="str">
        <f ca="1">IFERROR(__xludf.DUMMYFUNCTION("""COMPUTED_VALUE"""),"07951646000101")</f>
        <v>07951646000101</v>
      </c>
      <c r="E61" s="6" t="str">
        <f ca="1">IFERROR(__xludf.DUMMYFUNCTION("""COMPUTED_VALUE"""),"001")</f>
        <v>001</v>
      </c>
      <c r="F61" s="7" t="str">
        <f ca="1">IFERROR(__xludf.DUMMYFUNCTION("""COMPUTED_VALUE"""),"0638")</f>
        <v>0638</v>
      </c>
      <c r="G61" s="7" t="str">
        <f ca="1">IFERROR(__xludf.DUMMYFUNCTION("""COMPUTED_VALUE"""),"541028")</f>
        <v>541028</v>
      </c>
      <c r="H61" s="7">
        <f ca="1">IFERROR(__xludf.DUMMYFUNCTION("""COMPUTED_VALUE"""),0)</f>
        <v>0</v>
      </c>
      <c r="I61" s="7">
        <f ca="1">IFERROR(__xludf.DUMMYFUNCTION("""COMPUTED_VALUE"""),0)</f>
        <v>0</v>
      </c>
      <c r="J61" s="7">
        <f ca="1">IFERROR(__xludf.DUMMYFUNCTION("""COMPUTED_VALUE"""),100)</f>
        <v>100</v>
      </c>
      <c r="K61" s="7">
        <f ca="1">IFERROR(__xludf.DUMMYFUNCTION("""COMPUTED_VALUE"""),0)</f>
        <v>0</v>
      </c>
      <c r="L61" s="7">
        <f ca="1">IFERROR(__xludf.DUMMYFUNCTION("""COMPUTED_VALUE"""),0)</f>
        <v>0</v>
      </c>
      <c r="M61" s="7">
        <f ca="1">IFERROR(__xludf.DUMMYFUNCTION("""COMPUTED_VALUE"""),0)</f>
        <v>0</v>
      </c>
      <c r="N61" s="7">
        <f ca="1">IFERROR(__xludf.DUMMYFUNCTION("""COMPUTED_VALUE"""),0)</f>
        <v>0</v>
      </c>
      <c r="O61" s="7">
        <f ca="1">IFERROR(__xludf.DUMMYFUNCTION("""COMPUTED_VALUE"""),0)</f>
        <v>0</v>
      </c>
      <c r="P61" s="7">
        <f ca="1">IFERROR(__xludf.DUMMYFUNCTION("""COMPUTED_VALUE"""),136)</f>
        <v>136</v>
      </c>
      <c r="Q61" s="7">
        <f ca="1">IFERROR(__xludf.DUMMYFUNCTION("""COMPUTED_VALUE"""),0)</f>
        <v>0</v>
      </c>
      <c r="R61" s="7">
        <f ca="1">IFERROR(__xludf.DUMMYFUNCTION("""COMPUTED_VALUE"""),0)</f>
        <v>0</v>
      </c>
      <c r="S61" s="7">
        <f ca="1">IFERROR(__xludf.DUMMYFUNCTION("""COMPUTED_VALUE"""),0)</f>
        <v>0</v>
      </c>
      <c r="T61" s="7">
        <f ca="1">IFERROR(__xludf.DUMMYFUNCTION("""COMPUTED_VALUE"""),393.599999999999)</f>
        <v>393.599999999999</v>
      </c>
      <c r="U61" s="61"/>
      <c r="V61" s="61"/>
      <c r="W61" s="61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0" t="str">
        <f ca="1">IFERROR(__xludf.DUMMYFUNCTION("""COMPUTED_VALUE"""),"A.A. E. E. PROFA. HAMEDY CURY QUEIROZ")</f>
        <v>A.A. E. E. PROFA. HAMEDY CURY QUEIROZ</v>
      </c>
      <c r="D62" s="136" t="str">
        <f ca="1">IFERROR(__xludf.DUMMYFUNCTION("""COMPUTED_VALUE"""),"01431375000179")</f>
        <v>01431375000179</v>
      </c>
      <c r="E62" s="6" t="str">
        <f ca="1">IFERROR(__xludf.DUMMYFUNCTION("""COMPUTED_VALUE"""),"001")</f>
        <v>001</v>
      </c>
      <c r="F62" s="7" t="str">
        <f ca="1">IFERROR(__xludf.DUMMYFUNCTION("""COMPUTED_VALUE"""),"0638")</f>
        <v>0638</v>
      </c>
      <c r="G62" s="7" t="str">
        <f ca="1">IFERROR(__xludf.DUMMYFUNCTION("""COMPUTED_VALUE"""),"0468010")</f>
        <v>0468010</v>
      </c>
      <c r="H62" s="7">
        <f ca="1">IFERROR(__xludf.DUMMYFUNCTION("""COMPUTED_VALUE"""),0)</f>
        <v>0</v>
      </c>
      <c r="I62" s="7">
        <f ca="1">IFERROR(__xludf.DUMMYFUNCTION("""COMPUTED_VALUE"""),0)</f>
        <v>0</v>
      </c>
      <c r="J62" s="7">
        <f ca="1">IFERROR(__xludf.DUMMYFUNCTION("""COMPUTED_VALUE"""),4100)</f>
        <v>4100</v>
      </c>
      <c r="K62" s="7">
        <f ca="1">IFERROR(__xludf.DUMMYFUNCTION("""COMPUTED_VALUE"""),0)</f>
        <v>0</v>
      </c>
      <c r="L62" s="7">
        <f ca="1">IFERROR(__xludf.DUMMYFUNCTION("""COMPUTED_VALUE"""),0)</f>
        <v>0</v>
      </c>
      <c r="M62" s="7">
        <f ca="1">IFERROR(__xludf.DUMMYFUNCTION("""COMPUTED_VALUE"""),0)</f>
        <v>0</v>
      </c>
      <c r="N62" s="7">
        <f ca="1">IFERROR(__xludf.DUMMYFUNCTION("""COMPUTED_VALUE"""),0)</f>
        <v>0</v>
      </c>
      <c r="O62" s="7">
        <f ca="1">IFERROR(__xludf.DUMMYFUNCTION("""COMPUTED_VALUE"""),0)</f>
        <v>0</v>
      </c>
      <c r="P62" s="7">
        <f ca="1">IFERROR(__xludf.DUMMYFUNCTION("""COMPUTED_VALUE"""),353.599999999999)</f>
        <v>353.599999999999</v>
      </c>
      <c r="Q62" s="7">
        <f ca="1">IFERROR(__xludf.DUMMYFUNCTION("""COMPUTED_VALUE"""),0)</f>
        <v>0</v>
      </c>
      <c r="R62" s="7">
        <f ca="1">IFERROR(__xludf.DUMMYFUNCTION("""COMPUTED_VALUE"""),0)</f>
        <v>0</v>
      </c>
      <c r="S62" s="7">
        <f ca="1">IFERROR(__xludf.DUMMYFUNCTION("""COMPUTED_VALUE"""),0)</f>
        <v>0</v>
      </c>
      <c r="T62" s="7">
        <f ca="1">IFERROR(__xludf.DUMMYFUNCTION("""COMPUTED_VALUE"""),0)</f>
        <v>0</v>
      </c>
      <c r="U62" s="61"/>
      <c r="V62" s="61"/>
      <c r="W62" s="61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IFERROR(__xludf.DUMMYFUNCTION("""COMPUTED_VALUE"""),"Piraque")</f>
        <v>Piraque</v>
      </c>
      <c r="C63" s="60" t="str">
        <f ca="1">IFERROR(__xludf.DUMMYFUNCTION("""COMPUTED_VALUE"""),"A.A.  ESCOLA ESTADUAL SAO JOSE")</f>
        <v>A.A.  ESCOLA ESTADUAL SAO JOSE</v>
      </c>
      <c r="D63" s="136" t="str">
        <f ca="1">IFERROR(__xludf.DUMMYFUNCTION("""COMPUTED_VALUE"""),"01243654000109")</f>
        <v>01243654000109</v>
      </c>
      <c r="E63" s="6" t="str">
        <f ca="1">IFERROR(__xludf.DUMMYFUNCTION("""COMPUTED_VALUE"""),"001")</f>
        <v>001</v>
      </c>
      <c r="F63" s="7" t="str">
        <f ca="1">IFERROR(__xludf.DUMMYFUNCTION("""COMPUTED_VALUE"""),"0638")</f>
        <v>0638</v>
      </c>
      <c r="G63" s="7" t="str">
        <f ca="1">IFERROR(__xludf.DUMMYFUNCTION("""COMPUTED_VALUE"""),"465283")</f>
        <v>465283</v>
      </c>
      <c r="H63" s="7">
        <f ca="1">IFERROR(__xludf.DUMMYFUNCTION("""COMPUTED_VALUE"""),0)</f>
        <v>0</v>
      </c>
      <c r="I63" s="7">
        <f ca="1">IFERROR(__xludf.DUMMYFUNCTION("""COMPUTED_VALUE"""),0)</f>
        <v>0</v>
      </c>
      <c r="J63" s="7">
        <f ca="1">IFERROR(__xludf.DUMMYFUNCTION("""COMPUTED_VALUE"""),1280)</f>
        <v>1280</v>
      </c>
      <c r="K63" s="7">
        <f ca="1">IFERROR(__xludf.DUMMYFUNCTION("""COMPUTED_VALUE"""),0)</f>
        <v>0</v>
      </c>
      <c r="L63" s="7">
        <f ca="1">IFERROR(__xludf.DUMMYFUNCTION("""COMPUTED_VALUE"""),0)</f>
        <v>0</v>
      </c>
      <c r="M63" s="7">
        <f ca="1">IFERROR(__xludf.DUMMYFUNCTION("""COMPUTED_VALUE"""),0)</f>
        <v>0</v>
      </c>
      <c r="N63" s="7">
        <f ca="1">IFERROR(__xludf.DUMMYFUNCTION("""COMPUTED_VALUE"""),0)</f>
        <v>0</v>
      </c>
      <c r="O63" s="7">
        <f ca="1">IFERROR(__xludf.DUMMYFUNCTION("""COMPUTED_VALUE"""),0)</f>
        <v>0</v>
      </c>
      <c r="P63" s="7">
        <f ca="1">IFERROR(__xludf.DUMMYFUNCTION("""COMPUTED_VALUE"""),0)</f>
        <v>0</v>
      </c>
      <c r="Q63" s="7">
        <f ca="1">IFERROR(__xludf.DUMMYFUNCTION("""COMPUTED_VALUE"""),830)</f>
        <v>830</v>
      </c>
      <c r="R63" s="7">
        <f ca="1">IFERROR(__xludf.DUMMYFUNCTION("""COMPUTED_VALUE"""),0)</f>
        <v>0</v>
      </c>
      <c r="S63" s="7">
        <f ca="1">IFERROR(__xludf.DUMMYFUNCTION("""COMPUTED_VALUE"""),0)</f>
        <v>0</v>
      </c>
      <c r="T63" s="7">
        <f ca="1">IFERROR(__xludf.DUMMYFUNCTION("""COMPUTED_VALUE"""),0)</f>
        <v>0</v>
      </c>
      <c r="U63" s="61"/>
      <c r="V63" s="61"/>
      <c r="W63" s="61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IFERROR(__xludf.DUMMYFUNCTION("""COMPUTED_VALUE"""),"Riachinho")</f>
        <v>Riachinho</v>
      </c>
      <c r="C64" s="60" t="str">
        <f ca="1">IFERROR(__xludf.DUMMYFUNCTION("""COMPUTED_VALUE"""),"ASSOC. DE APOIO ESC. EST. JOAO XXIII")</f>
        <v>ASSOC. DE APOIO ESC. EST. JOAO XXIII</v>
      </c>
      <c r="D64" s="136" t="str">
        <f ca="1">IFERROR(__xludf.DUMMYFUNCTION("""COMPUTED_VALUE"""),"01136006000153")</f>
        <v>01136006000153</v>
      </c>
      <c r="E64" s="6" t="str">
        <f ca="1">IFERROR(__xludf.DUMMYFUNCTION("""COMPUTED_VALUE"""),"001")</f>
        <v>001</v>
      </c>
      <c r="F64" s="7" t="str">
        <f ca="1">IFERROR(__xludf.DUMMYFUNCTION("""COMPUTED_VALUE"""),"3973")</f>
        <v>3973</v>
      </c>
      <c r="G64" s="7" t="str">
        <f ca="1">IFERROR(__xludf.DUMMYFUNCTION("""COMPUTED_VALUE"""),"51969")</f>
        <v>51969</v>
      </c>
      <c r="H64" s="7">
        <f ca="1">IFERROR(__xludf.DUMMYFUNCTION("""COMPUTED_VALUE"""),0)</f>
        <v>0</v>
      </c>
      <c r="I64" s="7">
        <f ca="1">IFERROR(__xludf.DUMMYFUNCTION("""COMPUTED_VALUE"""),0)</f>
        <v>0</v>
      </c>
      <c r="J64" s="7">
        <f ca="1">IFERROR(__xludf.DUMMYFUNCTION("""COMPUTED_VALUE"""),0)</f>
        <v>0</v>
      </c>
      <c r="K64" s="7">
        <f ca="1">IFERROR(__xludf.DUMMYFUNCTION("""COMPUTED_VALUE"""),0)</f>
        <v>0</v>
      </c>
      <c r="L64" s="7">
        <f ca="1">IFERROR(__xludf.DUMMYFUNCTION("""COMPUTED_VALUE"""),0)</f>
        <v>0</v>
      </c>
      <c r="M64" s="7">
        <f ca="1">IFERROR(__xludf.DUMMYFUNCTION("""COMPUTED_VALUE"""),0)</f>
        <v>0</v>
      </c>
      <c r="N64" s="7">
        <f ca="1">IFERROR(__xludf.DUMMYFUNCTION("""COMPUTED_VALUE"""),0)</f>
        <v>0</v>
      </c>
      <c r="O64" s="7">
        <f ca="1">IFERROR(__xludf.DUMMYFUNCTION("""COMPUTED_VALUE"""),0)</f>
        <v>0</v>
      </c>
      <c r="P64" s="7">
        <f ca="1">IFERROR(__xludf.DUMMYFUNCTION("""COMPUTED_VALUE"""),68)</f>
        <v>68</v>
      </c>
      <c r="Q64" s="7">
        <f ca="1">IFERROR(__xludf.DUMMYFUNCTION("""COMPUTED_VALUE"""),1920)</f>
        <v>1920</v>
      </c>
      <c r="R64" s="7">
        <f ca="1">IFERROR(__xludf.DUMMYFUNCTION("""COMPUTED_VALUE"""),0)</f>
        <v>0</v>
      </c>
      <c r="S64" s="7">
        <f ca="1">IFERROR(__xludf.DUMMYFUNCTION("""COMPUTED_VALUE"""),0)</f>
        <v>0</v>
      </c>
      <c r="T64" s="7">
        <f ca="1">IFERROR(__xludf.DUMMYFUNCTION("""COMPUTED_VALUE"""),0)</f>
        <v>0</v>
      </c>
      <c r="U64" s="61"/>
      <c r="V64" s="61"/>
      <c r="W64" s="61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IFERROR(__xludf.DUMMYFUNCTION("""COMPUTED_VALUE"""),"Santa Fe do Araguaia")</f>
        <v>Santa Fe do Araguaia</v>
      </c>
      <c r="C65" s="60" t="str">
        <f ca="1">IFERROR(__xludf.DUMMYFUNCTION("""COMPUTED_VALUE"""),"A.A. ESC. EST. ANAIDES BRITO MIRANDA")</f>
        <v>A.A. ESC. EST. ANAIDES BRITO MIRANDA</v>
      </c>
      <c r="D65" s="136" t="str">
        <f ca="1">IFERROR(__xludf.DUMMYFUNCTION("""COMPUTED_VALUE"""),"01919025000156")</f>
        <v>01919025000156</v>
      </c>
      <c r="E65" s="6" t="str">
        <f ca="1">IFERROR(__xludf.DUMMYFUNCTION("""COMPUTED_VALUE"""),"001")</f>
        <v>001</v>
      </c>
      <c r="F65" s="7" t="str">
        <f ca="1">IFERROR(__xludf.DUMMYFUNCTION("""COMPUTED_VALUE"""),"4791")</f>
        <v>4791</v>
      </c>
      <c r="G65" s="7" t="str">
        <f ca="1">IFERROR(__xludf.DUMMYFUNCTION("""COMPUTED_VALUE"""),"54682")</f>
        <v>54682</v>
      </c>
      <c r="H65" s="7">
        <f ca="1">IFERROR(__xludf.DUMMYFUNCTION("""COMPUTED_VALUE"""),0)</f>
        <v>0</v>
      </c>
      <c r="I65" s="7">
        <f ca="1">IFERROR(__xludf.DUMMYFUNCTION("""COMPUTED_VALUE"""),0)</f>
        <v>0</v>
      </c>
      <c r="J65" s="7">
        <f ca="1">IFERROR(__xludf.DUMMYFUNCTION("""COMPUTED_VALUE"""),0)</f>
        <v>0</v>
      </c>
      <c r="K65" s="7">
        <f ca="1">IFERROR(__xludf.DUMMYFUNCTION("""COMPUTED_VALUE"""),0)</f>
        <v>0</v>
      </c>
      <c r="L65" s="7">
        <f ca="1">IFERROR(__xludf.DUMMYFUNCTION("""COMPUTED_VALUE"""),0)</f>
        <v>0</v>
      </c>
      <c r="M65" s="7">
        <f ca="1">IFERROR(__xludf.DUMMYFUNCTION("""COMPUTED_VALUE"""),0)</f>
        <v>0</v>
      </c>
      <c r="N65" s="7">
        <f ca="1">IFERROR(__xludf.DUMMYFUNCTION("""COMPUTED_VALUE"""),0)</f>
        <v>0</v>
      </c>
      <c r="O65" s="7">
        <f ca="1">IFERROR(__xludf.DUMMYFUNCTION("""COMPUTED_VALUE"""),0)</f>
        <v>0</v>
      </c>
      <c r="P65" s="7">
        <f ca="1">IFERROR(__xludf.DUMMYFUNCTION("""COMPUTED_VALUE"""),0)</f>
        <v>0</v>
      </c>
      <c r="Q65" s="7">
        <f ca="1">IFERROR(__xludf.DUMMYFUNCTION("""COMPUTED_VALUE"""),2280)</f>
        <v>2280</v>
      </c>
      <c r="R65" s="7">
        <f ca="1">IFERROR(__xludf.DUMMYFUNCTION("""COMPUTED_VALUE"""),0)</f>
        <v>0</v>
      </c>
      <c r="S65" s="7">
        <f ca="1">IFERROR(__xludf.DUMMYFUNCTION("""COMPUTED_VALUE"""),0)</f>
        <v>0</v>
      </c>
      <c r="T65" s="7">
        <f ca="1">IFERROR(__xludf.DUMMYFUNCTION("""COMPUTED_VALUE"""),0)</f>
        <v>0</v>
      </c>
      <c r="U65" s="61"/>
      <c r="V65" s="61"/>
      <c r="W65" s="61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0" t="str">
        <f ca="1">IFERROR(__xludf.DUMMYFUNCTION("""COMPUTED_VALUE"""),"A. DE AP. DA ESCOLA EST. CASTRO ALVES")</f>
        <v>A. DE AP. DA ESCOLA EST. CASTRO ALVES</v>
      </c>
      <c r="D66" s="136" t="str">
        <f ca="1">IFERROR(__xludf.DUMMYFUNCTION("""COMPUTED_VALUE"""),"01673181000180")</f>
        <v>01673181000180</v>
      </c>
      <c r="E66" s="6" t="str">
        <f ca="1">IFERROR(__xludf.DUMMYFUNCTION("""COMPUTED_VALUE"""),"001")</f>
        <v>001</v>
      </c>
      <c r="F66" s="7" t="str">
        <f ca="1">IFERROR(__xludf.DUMMYFUNCTION("""COMPUTED_VALUE"""),"4791")</f>
        <v>4791</v>
      </c>
      <c r="G66" s="7" t="str">
        <f ca="1">IFERROR(__xludf.DUMMYFUNCTION("""COMPUTED_VALUE"""),"54739")</f>
        <v>54739</v>
      </c>
      <c r="H66" s="7">
        <f ca="1">IFERROR(__xludf.DUMMYFUNCTION("""COMPUTED_VALUE"""),0)</f>
        <v>0</v>
      </c>
      <c r="I66" s="7">
        <f ca="1">IFERROR(__xludf.DUMMYFUNCTION("""COMPUTED_VALUE"""),0)</f>
        <v>0</v>
      </c>
      <c r="J66" s="7">
        <f ca="1">IFERROR(__xludf.DUMMYFUNCTION("""COMPUTED_VALUE"""),3760)</f>
        <v>3760</v>
      </c>
      <c r="K66" s="7">
        <f ca="1">IFERROR(__xludf.DUMMYFUNCTION("""COMPUTED_VALUE"""),0)</f>
        <v>0</v>
      </c>
      <c r="L66" s="7">
        <f ca="1">IFERROR(__xludf.DUMMYFUNCTION("""COMPUTED_VALUE"""),0)</f>
        <v>0</v>
      </c>
      <c r="M66" s="7">
        <f ca="1">IFERROR(__xludf.DUMMYFUNCTION("""COMPUTED_VALUE"""),0)</f>
        <v>0</v>
      </c>
      <c r="N66" s="7">
        <f ca="1">IFERROR(__xludf.DUMMYFUNCTION("""COMPUTED_VALUE"""),0)</f>
        <v>0</v>
      </c>
      <c r="O66" s="7">
        <f ca="1">IFERROR(__xludf.DUMMYFUNCTION("""COMPUTED_VALUE"""),0)</f>
        <v>0</v>
      </c>
      <c r="P66" s="7">
        <f ca="1">IFERROR(__xludf.DUMMYFUNCTION("""COMPUTED_VALUE"""),285.599999999999)</f>
        <v>285.599999999999</v>
      </c>
      <c r="Q66" s="7">
        <f ca="1">IFERROR(__xludf.DUMMYFUNCTION("""COMPUTED_VALUE"""),790)</f>
        <v>790</v>
      </c>
      <c r="R66" s="7">
        <f ca="1">IFERROR(__xludf.DUMMYFUNCTION("""COMPUTED_VALUE"""),0)</f>
        <v>0</v>
      </c>
      <c r="S66" s="7">
        <f ca="1">IFERROR(__xludf.DUMMYFUNCTION("""COMPUTED_VALUE"""),0)</f>
        <v>0</v>
      </c>
      <c r="T66" s="7">
        <f ca="1">IFERROR(__xludf.DUMMYFUNCTION("""COMPUTED_VALUE"""),155.799999999999)</f>
        <v>155.79999999999899</v>
      </c>
      <c r="U66" s="61"/>
      <c r="V66" s="61"/>
      <c r="W66" s="61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IFERROR(__xludf.DUMMYFUNCTION("""COMPUTED_VALUE"""),"Wanderlandia")</f>
        <v>Wanderlandia</v>
      </c>
      <c r="C67" s="60" t="str">
        <f ca="1">IFERROR(__xludf.DUMMYFUNCTION("""COMPUTED_VALUE"""),"A.A. COL. ESTADUAL JOSE LUIZ SIQUEIRA")</f>
        <v>A.A. COL. ESTADUAL JOSE LUIZ SIQUEIRA</v>
      </c>
      <c r="D67" s="136" t="str">
        <f ca="1">IFERROR(__xludf.DUMMYFUNCTION("""COMPUTED_VALUE"""),"01257082000117")</f>
        <v>01257082000117</v>
      </c>
      <c r="E67" s="6" t="str">
        <f ca="1">IFERROR(__xludf.DUMMYFUNCTION("""COMPUTED_VALUE"""),"001")</f>
        <v>001</v>
      </c>
      <c r="F67" s="7" t="str">
        <f ca="1">IFERROR(__xludf.DUMMYFUNCTION("""COMPUTED_VALUE"""),"0638")</f>
        <v>0638</v>
      </c>
      <c r="G67" s="7" t="str">
        <f ca="1">IFERROR(__xludf.DUMMYFUNCTION("""COMPUTED_VALUE"""),"0465291")</f>
        <v>0465291</v>
      </c>
      <c r="H67" s="7">
        <f ca="1">IFERROR(__xludf.DUMMYFUNCTION("""COMPUTED_VALUE"""),0)</f>
        <v>0</v>
      </c>
      <c r="I67" s="7">
        <f ca="1">IFERROR(__xludf.DUMMYFUNCTION("""COMPUTED_VALUE"""),0)</f>
        <v>0</v>
      </c>
      <c r="J67" s="7">
        <f ca="1">IFERROR(__xludf.DUMMYFUNCTION("""COMPUTED_VALUE"""),1230)</f>
        <v>1230</v>
      </c>
      <c r="K67" s="7">
        <f ca="1">IFERROR(__xludf.DUMMYFUNCTION("""COMPUTED_VALUE"""),0)</f>
        <v>0</v>
      </c>
      <c r="L67" s="7">
        <f ca="1">IFERROR(__xludf.DUMMYFUNCTION("""COMPUTED_VALUE"""),0)</f>
        <v>0</v>
      </c>
      <c r="M67" s="7">
        <f ca="1">IFERROR(__xludf.DUMMYFUNCTION("""COMPUTED_VALUE"""),0)</f>
        <v>0</v>
      </c>
      <c r="N67" s="7">
        <f ca="1">IFERROR(__xludf.DUMMYFUNCTION("""COMPUTED_VALUE"""),0)</f>
        <v>0</v>
      </c>
      <c r="O67" s="7">
        <f ca="1">IFERROR(__xludf.DUMMYFUNCTION("""COMPUTED_VALUE"""),0)</f>
        <v>0</v>
      </c>
      <c r="P67" s="7">
        <f ca="1">IFERROR(__xludf.DUMMYFUNCTION("""COMPUTED_VALUE"""),312.8)</f>
        <v>312.8</v>
      </c>
      <c r="Q67" s="7">
        <f ca="1">IFERROR(__xludf.DUMMYFUNCTION("""COMPUTED_VALUE"""),2880)</f>
        <v>2880</v>
      </c>
      <c r="R67" s="7">
        <f ca="1">IFERROR(__xludf.DUMMYFUNCTION("""COMPUTED_VALUE"""),0)</f>
        <v>0</v>
      </c>
      <c r="S67" s="7">
        <f ca="1">IFERROR(__xludf.DUMMYFUNCTION("""COMPUTED_VALUE"""),0)</f>
        <v>0</v>
      </c>
      <c r="T67" s="7">
        <f ca="1">IFERROR(__xludf.DUMMYFUNCTION("""COMPUTED_VALUE"""),0)</f>
        <v>0</v>
      </c>
      <c r="U67" s="61"/>
      <c r="V67" s="61"/>
      <c r="W67" s="61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0" t="str">
        <f ca="1">IFERROR(__xludf.DUMMYFUNCTION("""COMPUTED_VALUE"""),"ASSOCIAÇÃO DE APOIO DA ESCOLA ESPECIAL MORADA DO SOL")</f>
        <v>ASSOCIAÇÃO DE APOIO DA ESCOLA ESPECIAL MORADA DO SOL</v>
      </c>
      <c r="D68" s="136" t="str">
        <f ca="1">IFERROR(__xludf.DUMMYFUNCTION("""COMPUTED_VALUE"""),"07941368000101")</f>
        <v>07941368000101</v>
      </c>
      <c r="E68" s="6" t="str">
        <f ca="1">IFERROR(__xludf.DUMMYFUNCTION("""COMPUTED_VALUE"""),"001")</f>
        <v>001</v>
      </c>
      <c r="F68" s="7" t="str">
        <f ca="1">IFERROR(__xludf.DUMMYFUNCTION("""COMPUTED_VALUE"""),"0638")</f>
        <v>0638</v>
      </c>
      <c r="G68" s="7" t="str">
        <f ca="1">IFERROR(__xludf.DUMMYFUNCTION("""COMPUTED_VALUE"""),"537349")</f>
        <v>537349</v>
      </c>
      <c r="H68" s="7">
        <f ca="1">IFERROR(__xludf.DUMMYFUNCTION("""COMPUTED_VALUE"""),0)</f>
        <v>0</v>
      </c>
      <c r="I68" s="7">
        <f ca="1">IFERROR(__xludf.DUMMYFUNCTION("""COMPUTED_VALUE"""),0)</f>
        <v>0</v>
      </c>
      <c r="J68" s="7">
        <f ca="1">IFERROR(__xludf.DUMMYFUNCTION("""COMPUTED_VALUE"""),40)</f>
        <v>40</v>
      </c>
      <c r="K68" s="7">
        <f ca="1">IFERROR(__xludf.DUMMYFUNCTION("""COMPUTED_VALUE"""),0)</f>
        <v>0</v>
      </c>
      <c r="L68" s="7">
        <f ca="1">IFERROR(__xludf.DUMMYFUNCTION("""COMPUTED_VALUE"""),0)</f>
        <v>0</v>
      </c>
      <c r="M68" s="7">
        <f ca="1">IFERROR(__xludf.DUMMYFUNCTION("""COMPUTED_VALUE"""),0)</f>
        <v>0</v>
      </c>
      <c r="N68" s="7">
        <f ca="1">IFERROR(__xludf.DUMMYFUNCTION("""COMPUTED_VALUE"""),0)</f>
        <v>0</v>
      </c>
      <c r="O68" s="7">
        <f ca="1">IFERROR(__xludf.DUMMYFUNCTION("""COMPUTED_VALUE"""),0)</f>
        <v>0</v>
      </c>
      <c r="P68" s="7">
        <f ca="1">IFERROR(__xludf.DUMMYFUNCTION("""COMPUTED_VALUE"""),122.399999999999)</f>
        <v>122.399999999999</v>
      </c>
      <c r="Q68" s="7">
        <f ca="1">IFERROR(__xludf.DUMMYFUNCTION("""COMPUTED_VALUE"""),0)</f>
        <v>0</v>
      </c>
      <c r="R68" s="7">
        <f ca="1">IFERROR(__xludf.DUMMYFUNCTION("""COMPUTED_VALUE"""),0)</f>
        <v>0</v>
      </c>
      <c r="S68" s="7">
        <f ca="1">IFERROR(__xludf.DUMMYFUNCTION("""COMPUTED_VALUE"""),0)</f>
        <v>0</v>
      </c>
      <c r="T68" s="7">
        <f ca="1">IFERROR(__xludf.DUMMYFUNCTION("""COMPUTED_VALUE"""),754.4)</f>
        <v>754.4</v>
      </c>
      <c r="U68" s="61"/>
      <c r="V68" s="61"/>
      <c r="W68" s="61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0" t="str">
        <f ca="1">IFERROR(__xludf.DUMMYFUNCTION("""COMPUTED_VALUE"""),"A.APOIO ESCOLA ESTADUAL D. PEDRO II")</f>
        <v>A.APOIO ESCOLA ESTADUAL D. PEDRO II</v>
      </c>
      <c r="D69" s="136" t="str">
        <f ca="1">IFERROR(__xludf.DUMMYFUNCTION("""COMPUTED_VALUE"""),"01186465000141")</f>
        <v>01186465000141</v>
      </c>
      <c r="E69" s="6" t="str">
        <f ca="1">IFERROR(__xludf.DUMMYFUNCTION("""COMPUTED_VALUE"""),"001")</f>
        <v>001</v>
      </c>
      <c r="F69" s="7" t="str">
        <f ca="1">IFERROR(__xludf.DUMMYFUNCTION("""COMPUTED_VALUE"""),"0638")</f>
        <v>0638</v>
      </c>
      <c r="G69" s="7" t="str">
        <f ca="1">IFERROR(__xludf.DUMMYFUNCTION("""COMPUTED_VALUE"""),"0463108")</f>
        <v>0463108</v>
      </c>
      <c r="H69" s="7">
        <f ca="1">IFERROR(__xludf.DUMMYFUNCTION("""COMPUTED_VALUE"""),0)</f>
        <v>0</v>
      </c>
      <c r="I69" s="7">
        <f ca="1">IFERROR(__xludf.DUMMYFUNCTION("""COMPUTED_VALUE"""),0)</f>
        <v>0</v>
      </c>
      <c r="J69" s="7">
        <f ca="1">IFERROR(__xludf.DUMMYFUNCTION("""COMPUTED_VALUE"""),2540)</f>
        <v>2540</v>
      </c>
      <c r="K69" s="7">
        <f ca="1">IFERROR(__xludf.DUMMYFUNCTION("""COMPUTED_VALUE"""),0)</f>
        <v>0</v>
      </c>
      <c r="L69" s="7">
        <f ca="1">IFERROR(__xludf.DUMMYFUNCTION("""COMPUTED_VALUE"""),0)</f>
        <v>0</v>
      </c>
      <c r="M69" s="7">
        <f ca="1">IFERROR(__xludf.DUMMYFUNCTION("""COMPUTED_VALUE"""),0)</f>
        <v>0</v>
      </c>
      <c r="N69" s="7">
        <f ca="1">IFERROR(__xludf.DUMMYFUNCTION("""COMPUTED_VALUE"""),0)</f>
        <v>0</v>
      </c>
      <c r="O69" s="7">
        <f ca="1">IFERROR(__xludf.DUMMYFUNCTION("""COMPUTED_VALUE"""),0)</f>
        <v>0</v>
      </c>
      <c r="P69" s="7">
        <f ca="1">IFERROR(__xludf.DUMMYFUNCTION("""COMPUTED_VALUE"""),258.4)</f>
        <v>258.39999999999998</v>
      </c>
      <c r="Q69" s="7">
        <f ca="1">IFERROR(__xludf.DUMMYFUNCTION("""COMPUTED_VALUE"""),0)</f>
        <v>0</v>
      </c>
      <c r="R69" s="7">
        <f ca="1">IFERROR(__xludf.DUMMYFUNCTION("""COMPUTED_VALUE"""),0)</f>
        <v>0</v>
      </c>
      <c r="S69" s="7">
        <f ca="1">IFERROR(__xludf.DUMMYFUNCTION("""COMPUTED_VALUE"""),0)</f>
        <v>0</v>
      </c>
      <c r="T69" s="7">
        <f ca="1">IFERROR(__xludf.DUMMYFUNCTION("""COMPUTED_VALUE"""),508.4)</f>
        <v>508.4</v>
      </c>
      <c r="U69" s="61"/>
      <c r="V69" s="61"/>
      <c r="W69" s="61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IFERROR(__xludf.DUMMYFUNCTION("""COMPUTED_VALUE"""),"Xambioa")</f>
        <v>Xambioa</v>
      </c>
      <c r="C70" s="60" t="str">
        <f ca="1">IFERROR(__xludf.DUMMYFUNCTION("""COMPUTED_VALUE"""),"A.A. COL. MUL. PROFA. JULIANA BARROS")</f>
        <v>A.A. COL. MUL. PROFA. JULIANA BARROS</v>
      </c>
      <c r="D70" s="136" t="str">
        <f ca="1">IFERROR(__xludf.DUMMYFUNCTION("""COMPUTED_VALUE"""),"01136047000140")</f>
        <v>01136047000140</v>
      </c>
      <c r="E70" s="6" t="str">
        <f ca="1">IFERROR(__xludf.DUMMYFUNCTION("""COMPUTED_VALUE"""),"001")</f>
        <v>001</v>
      </c>
      <c r="F70" s="7" t="str">
        <f ca="1">IFERROR(__xludf.DUMMYFUNCTION("""COMPUTED_VALUE"""),"3773")</f>
        <v>3773</v>
      </c>
      <c r="G70" s="7" t="str">
        <f ca="1">IFERROR(__xludf.DUMMYFUNCTION("""COMPUTED_VALUE"""),"0330027")</f>
        <v>0330027</v>
      </c>
      <c r="H70" s="7">
        <f ca="1">IFERROR(__xludf.DUMMYFUNCTION("""COMPUTED_VALUE"""),0)</f>
        <v>0</v>
      </c>
      <c r="I70" s="7">
        <f ca="1">IFERROR(__xludf.DUMMYFUNCTION("""COMPUTED_VALUE"""),0)</f>
        <v>0</v>
      </c>
      <c r="J70" s="7">
        <f ca="1">IFERROR(__xludf.DUMMYFUNCTION("""COMPUTED_VALUE"""),1300)</f>
        <v>1300</v>
      </c>
      <c r="K70" s="7">
        <f ca="1">IFERROR(__xludf.DUMMYFUNCTION("""COMPUTED_VALUE"""),0)</f>
        <v>0</v>
      </c>
      <c r="L70" s="7">
        <f ca="1">IFERROR(__xludf.DUMMYFUNCTION("""COMPUTED_VALUE"""),0)</f>
        <v>0</v>
      </c>
      <c r="M70" s="7">
        <f ca="1">IFERROR(__xludf.DUMMYFUNCTION("""COMPUTED_VALUE"""),0)</f>
        <v>0</v>
      </c>
      <c r="N70" s="7">
        <f ca="1">IFERROR(__xludf.DUMMYFUNCTION("""COMPUTED_VALUE"""),0)</f>
        <v>0</v>
      </c>
      <c r="O70" s="7">
        <f ca="1">IFERROR(__xludf.DUMMYFUNCTION("""COMPUTED_VALUE"""),0)</f>
        <v>0</v>
      </c>
      <c r="P70" s="7">
        <f ca="1">IFERROR(__xludf.DUMMYFUNCTION("""COMPUTED_VALUE"""),0)</f>
        <v>0</v>
      </c>
      <c r="Q70" s="7">
        <f ca="1">IFERROR(__xludf.DUMMYFUNCTION("""COMPUTED_VALUE"""),0)</f>
        <v>0</v>
      </c>
      <c r="R70" s="7">
        <f ca="1">IFERROR(__xludf.DUMMYFUNCTION("""COMPUTED_VALUE"""),0)</f>
        <v>0</v>
      </c>
      <c r="S70" s="7">
        <f ca="1">IFERROR(__xludf.DUMMYFUNCTION("""COMPUTED_VALUE"""),0)</f>
        <v>0</v>
      </c>
      <c r="T70" s="7">
        <f ca="1">IFERROR(__xludf.DUMMYFUNCTION("""COMPUTED_VALUE"""),500.199999999999)</f>
        <v>500.19999999999902</v>
      </c>
      <c r="U70" s="61"/>
      <c r="V70" s="61"/>
      <c r="W70" s="61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0" t="str">
        <f ca="1">IFERROR(__xludf.DUMMYFUNCTION("""COMPUTED_VALUE"""),"A. COM. DA ESC. EST. EURICO MOTA")</f>
        <v>A. COM. DA ESC. EST. EURICO MOTA</v>
      </c>
      <c r="D71" s="136" t="str">
        <f ca="1">IFERROR(__xludf.DUMMYFUNCTION("""COMPUTED_VALUE"""),"01718086000155")</f>
        <v>01718086000155</v>
      </c>
      <c r="E71" s="6" t="str">
        <f ca="1">IFERROR(__xludf.DUMMYFUNCTION("""COMPUTED_VALUE"""),"001")</f>
        <v>001</v>
      </c>
      <c r="F71" s="7" t="str">
        <f ca="1">IFERROR(__xludf.DUMMYFUNCTION("""COMPUTED_VALUE"""),"3773")</f>
        <v>3773</v>
      </c>
      <c r="G71" s="7" t="str">
        <f ca="1">IFERROR(__xludf.DUMMYFUNCTION("""COMPUTED_VALUE"""),"0324744")</f>
        <v>0324744</v>
      </c>
      <c r="H71" s="7">
        <f ca="1">IFERROR(__xludf.DUMMYFUNCTION("""COMPUTED_VALUE"""),0)</f>
        <v>0</v>
      </c>
      <c r="I71" s="7">
        <f ca="1">IFERROR(__xludf.DUMMYFUNCTION("""COMPUTED_VALUE"""),0)</f>
        <v>0</v>
      </c>
      <c r="J71" s="7">
        <f ca="1">IFERROR(__xludf.DUMMYFUNCTION("""COMPUTED_VALUE"""),0)</f>
        <v>0</v>
      </c>
      <c r="K71" s="7">
        <f ca="1">IFERROR(__xludf.DUMMYFUNCTION("""COMPUTED_VALUE"""),0)</f>
        <v>0</v>
      </c>
      <c r="L71" s="7">
        <f ca="1">IFERROR(__xludf.DUMMYFUNCTION("""COMPUTED_VALUE"""),0)</f>
        <v>0</v>
      </c>
      <c r="M71" s="7">
        <f ca="1">IFERROR(__xludf.DUMMYFUNCTION("""COMPUTED_VALUE"""),0)</f>
        <v>0</v>
      </c>
      <c r="N71" s="7">
        <f ca="1">IFERROR(__xludf.DUMMYFUNCTION("""COMPUTED_VALUE"""),0)</f>
        <v>0</v>
      </c>
      <c r="O71" s="7">
        <f ca="1">IFERROR(__xludf.DUMMYFUNCTION("""COMPUTED_VALUE"""),0)</f>
        <v>0</v>
      </c>
      <c r="P71" s="7">
        <f ca="1">IFERROR(__xludf.DUMMYFUNCTION("""COMPUTED_VALUE"""),0)</f>
        <v>0</v>
      </c>
      <c r="Q71" s="7">
        <f ca="1">IFERROR(__xludf.DUMMYFUNCTION("""COMPUTED_VALUE"""),4630)</f>
        <v>4630</v>
      </c>
      <c r="R71" s="7">
        <f ca="1">IFERROR(__xludf.DUMMYFUNCTION("""COMPUTED_VALUE"""),0)</f>
        <v>0</v>
      </c>
      <c r="S71" s="7">
        <f ca="1">IFERROR(__xludf.DUMMYFUNCTION("""COMPUTED_VALUE"""),0)</f>
        <v>0</v>
      </c>
      <c r="T71" s="7">
        <f ca="1">IFERROR(__xludf.DUMMYFUNCTION("""COMPUTED_VALUE"""),0)</f>
        <v>0</v>
      </c>
      <c r="U71" s="61"/>
      <c r="V71" s="61"/>
      <c r="W71" s="61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0" t="str">
        <f ca="1">IFERROR(__xludf.DUMMYFUNCTION("""COMPUTED_VALUE"""),"AS. DE A. A ESC.PAROQUIAL SAO MIGUEL")</f>
        <v>AS. DE A. A ESC.PAROQUIAL SAO MIGUEL</v>
      </c>
      <c r="D72" s="136" t="str">
        <f ca="1">IFERROR(__xludf.DUMMYFUNCTION("""COMPUTED_VALUE"""),"01133698000186")</f>
        <v>01133698000186</v>
      </c>
      <c r="E72" s="6" t="str">
        <f ca="1">IFERROR(__xludf.DUMMYFUNCTION("""COMPUTED_VALUE"""),"001")</f>
        <v>001</v>
      </c>
      <c r="F72" s="7" t="str">
        <f ca="1">IFERROR(__xludf.DUMMYFUNCTION("""COMPUTED_VALUE"""),"3773")</f>
        <v>3773</v>
      </c>
      <c r="G72" s="7" t="str">
        <f ca="1">IFERROR(__xludf.DUMMYFUNCTION("""COMPUTED_VALUE"""),"330035")</f>
        <v>330035</v>
      </c>
      <c r="H72" s="7">
        <f ca="1">IFERROR(__xludf.DUMMYFUNCTION("""COMPUTED_VALUE"""),0)</f>
        <v>0</v>
      </c>
      <c r="I72" s="7">
        <f ca="1">IFERROR(__xludf.DUMMYFUNCTION("""COMPUTED_VALUE"""),0)</f>
        <v>0</v>
      </c>
      <c r="J72" s="7">
        <f ca="1">IFERROR(__xludf.DUMMYFUNCTION("""COMPUTED_VALUE"""),2780)</f>
        <v>2780</v>
      </c>
      <c r="K72" s="7">
        <f ca="1">IFERROR(__xludf.DUMMYFUNCTION("""COMPUTED_VALUE"""),0)</f>
        <v>0</v>
      </c>
      <c r="L72" s="7">
        <f ca="1">IFERROR(__xludf.DUMMYFUNCTION("""COMPUTED_VALUE"""),0)</f>
        <v>0</v>
      </c>
      <c r="M72" s="7">
        <f ca="1">IFERROR(__xludf.DUMMYFUNCTION("""COMPUTED_VALUE"""),0)</f>
        <v>0</v>
      </c>
      <c r="N72" s="7">
        <f ca="1">IFERROR(__xludf.DUMMYFUNCTION("""COMPUTED_VALUE"""),0)</f>
        <v>0</v>
      </c>
      <c r="O72" s="7">
        <f ca="1">IFERROR(__xludf.DUMMYFUNCTION("""COMPUTED_VALUE"""),0)</f>
        <v>0</v>
      </c>
      <c r="P72" s="7">
        <f ca="1">IFERROR(__xludf.DUMMYFUNCTION("""COMPUTED_VALUE"""),136)</f>
        <v>136</v>
      </c>
      <c r="Q72" s="7">
        <f ca="1">IFERROR(__xludf.DUMMYFUNCTION("""COMPUTED_VALUE"""),0)</f>
        <v>0</v>
      </c>
      <c r="R72" s="7">
        <f ca="1">IFERROR(__xludf.DUMMYFUNCTION("""COMPUTED_VALUE"""),0)</f>
        <v>0</v>
      </c>
      <c r="S72" s="7">
        <f ca="1">IFERROR(__xludf.DUMMYFUNCTION("""COMPUTED_VALUE"""),0)</f>
        <v>0</v>
      </c>
      <c r="T72" s="7">
        <f ca="1">IFERROR(__xludf.DUMMYFUNCTION("""COMPUTED_VALUE"""),0)</f>
        <v>0</v>
      </c>
      <c r="U72" s="61"/>
      <c r="V72" s="61"/>
      <c r="W72" s="61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0" t="str">
        <f ca="1">IFERROR(__xludf.DUMMYFUNCTION("""COMPUTED_VALUE"""),"ASSOC. APOIO AO CEM PROFESSORA ANTONINA MILHOMEM")</f>
        <v>ASSOC. APOIO AO CEM PROFESSORA ANTONINA MILHOMEM</v>
      </c>
      <c r="D73" s="136" t="str">
        <f ca="1">IFERROR(__xludf.DUMMYFUNCTION("""COMPUTED_VALUE"""),"04675931000140")</f>
        <v>04675931000140</v>
      </c>
      <c r="E73" s="6" t="str">
        <f ca="1">IFERROR(__xludf.DUMMYFUNCTION("""COMPUTED_VALUE"""),"001")</f>
        <v>001</v>
      </c>
      <c r="F73" s="7" t="str">
        <f ca="1">IFERROR(__xludf.DUMMYFUNCTION("""COMPUTED_VALUE"""),"1305")</f>
        <v>1305</v>
      </c>
      <c r="G73" s="7" t="str">
        <f ca="1">IFERROR(__xludf.DUMMYFUNCTION("""COMPUTED_VALUE"""),"209082")</f>
        <v>209082</v>
      </c>
      <c r="H73" s="7">
        <f ca="1">IFERROR(__xludf.DUMMYFUNCTION("""COMPUTED_VALUE"""),0)</f>
        <v>0</v>
      </c>
      <c r="I73" s="7">
        <f ca="1">IFERROR(__xludf.DUMMYFUNCTION("""COMPUTED_VALUE"""),0)</f>
        <v>0</v>
      </c>
      <c r="J73" s="7">
        <f ca="1">IFERROR(__xludf.DUMMYFUNCTION("""COMPUTED_VALUE"""),2030)</f>
        <v>2030</v>
      </c>
      <c r="K73" s="7">
        <f ca="1">IFERROR(__xludf.DUMMYFUNCTION("""COMPUTED_VALUE"""),0)</f>
        <v>0</v>
      </c>
      <c r="L73" s="7">
        <f ca="1">IFERROR(__xludf.DUMMYFUNCTION("""COMPUTED_VALUE"""),0)</f>
        <v>0</v>
      </c>
      <c r="M73" s="7">
        <f ca="1">IFERROR(__xludf.DUMMYFUNCTION("""COMPUTED_VALUE"""),0)</f>
        <v>0</v>
      </c>
      <c r="N73" s="7">
        <f ca="1">IFERROR(__xludf.DUMMYFUNCTION("""COMPUTED_VALUE"""),0)</f>
        <v>0</v>
      </c>
      <c r="O73" s="7">
        <f ca="1">IFERROR(__xludf.DUMMYFUNCTION("""COMPUTED_VALUE"""),0)</f>
        <v>0</v>
      </c>
      <c r="P73" s="7">
        <f ca="1">IFERROR(__xludf.DUMMYFUNCTION("""COMPUTED_VALUE"""),204)</f>
        <v>204</v>
      </c>
      <c r="Q73" s="7">
        <f ca="1">IFERROR(__xludf.DUMMYFUNCTION("""COMPUTED_VALUE"""),3610)</f>
        <v>3610</v>
      </c>
      <c r="R73" s="7">
        <f ca="1">IFERROR(__xludf.DUMMYFUNCTION("""COMPUTED_VALUE"""),0)</f>
        <v>0</v>
      </c>
      <c r="S73" s="7">
        <f ca="1">IFERROR(__xludf.DUMMYFUNCTION("""COMPUTED_VALUE"""),0)</f>
        <v>0</v>
      </c>
      <c r="T73" s="7">
        <f ca="1">IFERROR(__xludf.DUMMYFUNCTION("""COMPUTED_VALUE"""),0)</f>
        <v>0</v>
      </c>
      <c r="U73" s="61"/>
      <c r="V73" s="61"/>
      <c r="W73" s="61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0" t="str">
        <f ca="1">IFERROR(__xludf.DUMMYFUNCTION("""COMPUTED_VALUE"""),"A.A. E. EST. ATANAZIO DE MOURA SEIXAS")</f>
        <v>A.A. E. EST. ATANAZIO DE MOURA SEIXAS</v>
      </c>
      <c r="D74" s="136" t="str">
        <f ca="1">IFERROR(__xludf.DUMMYFUNCTION("""COMPUTED_VALUE"""),"01068353000196")</f>
        <v>01068353000196</v>
      </c>
      <c r="E74" s="6" t="str">
        <f ca="1">IFERROR(__xludf.DUMMYFUNCTION("""COMPUTED_VALUE"""),"001")</f>
        <v>001</v>
      </c>
      <c r="F74" s="7" t="str">
        <f ca="1">IFERROR(__xludf.DUMMYFUNCTION("""COMPUTED_VALUE"""),"1305")</f>
        <v>1305</v>
      </c>
      <c r="G74" s="7" t="str">
        <f ca="1">IFERROR(__xludf.DUMMYFUNCTION("""COMPUTED_VALUE"""),"109215")</f>
        <v>109215</v>
      </c>
      <c r="H74" s="7">
        <f ca="1">IFERROR(__xludf.DUMMYFUNCTION("""COMPUTED_VALUE"""),0)</f>
        <v>0</v>
      </c>
      <c r="I74" s="7">
        <f ca="1">IFERROR(__xludf.DUMMYFUNCTION("""COMPUTED_VALUE"""),0)</f>
        <v>0</v>
      </c>
      <c r="J74" s="7">
        <f ca="1">IFERROR(__xludf.DUMMYFUNCTION("""COMPUTED_VALUE"""),720)</f>
        <v>720</v>
      </c>
      <c r="K74" s="7">
        <f ca="1">IFERROR(__xludf.DUMMYFUNCTION("""COMPUTED_VALUE"""),0)</f>
        <v>0</v>
      </c>
      <c r="L74" s="7">
        <f ca="1">IFERROR(__xludf.DUMMYFUNCTION("""COMPUTED_VALUE"""),0)</f>
        <v>0</v>
      </c>
      <c r="M74" s="7">
        <f ca="1">IFERROR(__xludf.DUMMYFUNCTION("""COMPUTED_VALUE"""),0)</f>
        <v>0</v>
      </c>
      <c r="N74" s="7">
        <f ca="1">IFERROR(__xludf.DUMMYFUNCTION("""COMPUTED_VALUE"""),0)</f>
        <v>0</v>
      </c>
      <c r="O74" s="7">
        <f ca="1">IFERROR(__xludf.DUMMYFUNCTION("""COMPUTED_VALUE"""),0)</f>
        <v>0</v>
      </c>
      <c r="P74" s="7">
        <f ca="1">IFERROR(__xludf.DUMMYFUNCTION("""COMPUTED_VALUE"""),0)</f>
        <v>0</v>
      </c>
      <c r="Q74" s="7">
        <f ca="1">IFERROR(__xludf.DUMMYFUNCTION("""COMPUTED_VALUE"""),330)</f>
        <v>330</v>
      </c>
      <c r="R74" s="7">
        <f ca="1">IFERROR(__xludf.DUMMYFUNCTION("""COMPUTED_VALUE"""),0)</f>
        <v>0</v>
      </c>
      <c r="S74" s="7">
        <f ca="1">IFERROR(__xludf.DUMMYFUNCTION("""COMPUTED_VALUE"""),0)</f>
        <v>0</v>
      </c>
      <c r="T74" s="7">
        <f ca="1">IFERROR(__xludf.DUMMYFUNCTION("""COMPUTED_VALUE"""),98.3999999999999)</f>
        <v>98.399999999999906</v>
      </c>
      <c r="U74" s="61"/>
      <c r="V74" s="61"/>
      <c r="W74" s="61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0" t="str">
        <f ca="1">IFERROR(__xludf.DUMMYFUNCTION("""COMPUTED_VALUE"""),"A.A. COL. EST. LEONIDAS G. DUARTE")</f>
        <v>A.A. COL. EST. LEONIDAS G. DUARTE</v>
      </c>
      <c r="D75" s="136" t="str">
        <f ca="1">IFERROR(__xludf.DUMMYFUNCTION("""COMPUTED_VALUE"""),"01190189000195")</f>
        <v>01190189000195</v>
      </c>
      <c r="E75" s="6" t="str">
        <f ca="1">IFERROR(__xludf.DUMMYFUNCTION("""COMPUTED_VALUE"""),"001")</f>
        <v>001</v>
      </c>
      <c r="F75" s="7" t="str">
        <f ca="1">IFERROR(__xludf.DUMMYFUNCTION("""COMPUTED_VALUE"""),"1305")</f>
        <v>1305</v>
      </c>
      <c r="G75" s="7" t="str">
        <f ca="1">IFERROR(__xludf.DUMMYFUNCTION("""COMPUTED_VALUE"""),"0019143")</f>
        <v>0019143</v>
      </c>
      <c r="H75" s="7">
        <f ca="1">IFERROR(__xludf.DUMMYFUNCTION("""COMPUTED_VALUE"""),0)</f>
        <v>0</v>
      </c>
      <c r="I75" s="7">
        <f ca="1">IFERROR(__xludf.DUMMYFUNCTION("""COMPUTED_VALUE"""),0)</f>
        <v>0</v>
      </c>
      <c r="J75" s="7">
        <f ca="1">IFERROR(__xludf.DUMMYFUNCTION("""COMPUTED_VALUE"""),4480)</f>
        <v>4480</v>
      </c>
      <c r="K75" s="7">
        <f ca="1">IFERROR(__xludf.DUMMYFUNCTION("""COMPUTED_VALUE"""),0)</f>
        <v>0</v>
      </c>
      <c r="L75" s="7">
        <f ca="1">IFERROR(__xludf.DUMMYFUNCTION("""COMPUTED_VALUE"""),0)</f>
        <v>0</v>
      </c>
      <c r="M75" s="7">
        <f ca="1">IFERROR(__xludf.DUMMYFUNCTION("""COMPUTED_VALUE"""),0)</f>
        <v>0</v>
      </c>
      <c r="N75" s="7">
        <f ca="1">IFERROR(__xludf.DUMMYFUNCTION("""COMPUTED_VALUE"""),0)</f>
        <v>0</v>
      </c>
      <c r="O75" s="7">
        <f ca="1">IFERROR(__xludf.DUMMYFUNCTION("""COMPUTED_VALUE"""),0)</f>
        <v>0</v>
      </c>
      <c r="P75" s="7">
        <f ca="1">IFERROR(__xludf.DUMMYFUNCTION("""COMPUTED_VALUE"""),217.6)</f>
        <v>217.6</v>
      </c>
      <c r="Q75" s="7">
        <f ca="1">IFERROR(__xludf.DUMMYFUNCTION("""COMPUTED_VALUE"""),0)</f>
        <v>0</v>
      </c>
      <c r="R75" s="7">
        <f ca="1">IFERROR(__xludf.DUMMYFUNCTION("""COMPUTED_VALUE"""),0)</f>
        <v>0</v>
      </c>
      <c r="S75" s="7">
        <f ca="1">IFERROR(__xludf.DUMMYFUNCTION("""COMPUTED_VALUE"""),0)</f>
        <v>0</v>
      </c>
      <c r="T75" s="7">
        <f ca="1">IFERROR(__xludf.DUMMYFUNCTION("""COMPUTED_VALUE"""),0)</f>
        <v>0</v>
      </c>
      <c r="U75" s="61"/>
      <c r="V75" s="61"/>
      <c r="W75" s="61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0" t="str">
        <f ca="1">IFERROR(__xludf.DUMMYFUNCTION("""COMPUTED_VALUE"""),"A.A. A ESC. EST. OSVALDO FRANCO")</f>
        <v>A.A. A ESC. EST. OSVALDO FRANCO</v>
      </c>
      <c r="D76" s="136" t="str">
        <f ca="1">IFERROR(__xludf.DUMMYFUNCTION("""COMPUTED_VALUE"""),"01392733000181")</f>
        <v>01392733000181</v>
      </c>
      <c r="E76" s="6" t="str">
        <f ca="1">IFERROR(__xludf.DUMMYFUNCTION("""COMPUTED_VALUE"""),"001")</f>
        <v>001</v>
      </c>
      <c r="F76" s="7" t="str">
        <f ca="1">IFERROR(__xludf.DUMMYFUNCTION("""COMPUTED_VALUE"""),"1305")</f>
        <v>1305</v>
      </c>
      <c r="G76" s="7" t="str">
        <f ca="1">IFERROR(__xludf.DUMMYFUNCTION("""COMPUTED_VALUE"""),"109738")</f>
        <v>109738</v>
      </c>
      <c r="H76" s="7">
        <f ca="1">IFERROR(__xludf.DUMMYFUNCTION("""COMPUTED_VALUE"""),0)</f>
        <v>0</v>
      </c>
      <c r="I76" s="7">
        <f ca="1">IFERROR(__xludf.DUMMYFUNCTION("""COMPUTED_VALUE"""),0)</f>
        <v>0</v>
      </c>
      <c r="J76" s="7">
        <f ca="1">IFERROR(__xludf.DUMMYFUNCTION("""COMPUTED_VALUE"""),3530)</f>
        <v>3530</v>
      </c>
      <c r="K76" s="7">
        <f ca="1">IFERROR(__xludf.DUMMYFUNCTION("""COMPUTED_VALUE"""),0)</f>
        <v>0</v>
      </c>
      <c r="L76" s="7">
        <f ca="1">IFERROR(__xludf.DUMMYFUNCTION("""COMPUTED_VALUE"""),0)</f>
        <v>0</v>
      </c>
      <c r="M76" s="7">
        <f ca="1">IFERROR(__xludf.DUMMYFUNCTION("""COMPUTED_VALUE"""),0)</f>
        <v>0</v>
      </c>
      <c r="N76" s="7">
        <f ca="1">IFERROR(__xludf.DUMMYFUNCTION("""COMPUTED_VALUE"""),0)</f>
        <v>0</v>
      </c>
      <c r="O76" s="7">
        <f ca="1">IFERROR(__xludf.DUMMYFUNCTION("""COMPUTED_VALUE"""),0)</f>
        <v>0</v>
      </c>
      <c r="P76" s="7">
        <f ca="1">IFERROR(__xludf.DUMMYFUNCTION("""COMPUTED_VALUE"""),299.2)</f>
        <v>299.2</v>
      </c>
      <c r="Q76" s="7">
        <f ca="1">IFERROR(__xludf.DUMMYFUNCTION("""COMPUTED_VALUE"""),0)</f>
        <v>0</v>
      </c>
      <c r="R76" s="7">
        <f ca="1">IFERROR(__xludf.DUMMYFUNCTION("""COMPUTED_VALUE"""),0)</f>
        <v>0</v>
      </c>
      <c r="S76" s="7">
        <f ca="1">IFERROR(__xludf.DUMMYFUNCTION("""COMPUTED_VALUE"""),0)</f>
        <v>0</v>
      </c>
      <c r="T76" s="7">
        <f ca="1">IFERROR(__xludf.DUMMYFUNCTION("""COMPUTED_VALUE"""),1500.6)</f>
        <v>1500.6</v>
      </c>
      <c r="U76" s="61"/>
      <c r="V76" s="61"/>
      <c r="W76" s="61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0" t="str">
        <f ca="1">IFERROR(__xludf.DUMMYFUNCTION("""COMPUTED_VALUE"""),"A.A. ESC. ESTADUAL ALDINAR GONÇALVES DE CARVALHO")</f>
        <v>A.A. ESC. ESTADUAL ALDINAR GONÇALVES DE CARVALHO</v>
      </c>
      <c r="D77" s="136" t="str">
        <f ca="1">IFERROR(__xludf.DUMMYFUNCTION("""COMPUTED_VALUE"""),"09465471000140")</f>
        <v>09465471000140</v>
      </c>
      <c r="E77" s="6" t="str">
        <f ca="1">IFERROR(__xludf.DUMMYFUNCTION("""COMPUTED_VALUE"""),"001")</f>
        <v>001</v>
      </c>
      <c r="F77" s="7" t="str">
        <f ca="1">IFERROR(__xludf.DUMMYFUNCTION("""COMPUTED_VALUE"""),"1305")</f>
        <v>1305</v>
      </c>
      <c r="G77" s="7" t="str">
        <f ca="1">IFERROR(__xludf.DUMMYFUNCTION("""COMPUTED_VALUE"""),"196657")</f>
        <v>196657</v>
      </c>
      <c r="H77" s="7">
        <f ca="1">IFERROR(__xludf.DUMMYFUNCTION("""COMPUTED_VALUE"""),0)</f>
        <v>0</v>
      </c>
      <c r="I77" s="7">
        <f ca="1">IFERROR(__xludf.DUMMYFUNCTION("""COMPUTED_VALUE"""),0)</f>
        <v>0</v>
      </c>
      <c r="J77" s="7">
        <f ca="1">IFERROR(__xludf.DUMMYFUNCTION("""COMPUTED_VALUE"""),0)</f>
        <v>0</v>
      </c>
      <c r="K77" s="7">
        <f ca="1">IFERROR(__xludf.DUMMYFUNCTION("""COMPUTED_VALUE"""),17234.6)</f>
        <v>17234.599999999999</v>
      </c>
      <c r="L77" s="7">
        <f ca="1">IFERROR(__xludf.DUMMYFUNCTION("""COMPUTED_VALUE"""),0)</f>
        <v>0</v>
      </c>
      <c r="M77" s="7">
        <f ca="1">IFERROR(__xludf.DUMMYFUNCTION("""COMPUTED_VALUE"""),0)</f>
        <v>0</v>
      </c>
      <c r="N77" s="7">
        <f ca="1">IFERROR(__xludf.DUMMYFUNCTION("""COMPUTED_VALUE"""),0)</f>
        <v>0</v>
      </c>
      <c r="O77" s="7">
        <f ca="1">IFERROR(__xludf.DUMMYFUNCTION("""COMPUTED_VALUE"""),0)</f>
        <v>0</v>
      </c>
      <c r="P77" s="7">
        <f ca="1">IFERROR(__xludf.DUMMYFUNCTION("""COMPUTED_VALUE"""),408)</f>
        <v>408</v>
      </c>
      <c r="Q77" s="7">
        <f ca="1">IFERROR(__xludf.DUMMYFUNCTION("""COMPUTED_VALUE"""),0)</f>
        <v>0</v>
      </c>
      <c r="R77" s="7">
        <f ca="1">IFERROR(__xludf.DUMMYFUNCTION("""COMPUTED_VALUE"""),1370)</f>
        <v>1370</v>
      </c>
      <c r="S77" s="7">
        <f ca="1">IFERROR(__xludf.DUMMYFUNCTION("""COMPUTED_VALUE"""),0)</f>
        <v>0</v>
      </c>
      <c r="T77" s="7">
        <f ca="1">IFERROR(__xludf.DUMMYFUNCTION("""COMPUTED_VALUE"""),0)</f>
        <v>0</v>
      </c>
      <c r="U77" s="61"/>
      <c r="V77" s="61"/>
      <c r="W77" s="61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0" t="str">
        <f ca="1">IFERROR(__xludf.DUMMYFUNCTION("""COMPUTED_VALUE"""),"ASSOC. DE APOIO ESC. EST. FREI SAVINO")</f>
        <v>ASSOC. DE APOIO ESC. EST. FREI SAVINO</v>
      </c>
      <c r="D78" s="136" t="str">
        <f ca="1">IFERROR(__xludf.DUMMYFUNCTION("""COMPUTED_VALUE"""),"01181389000181")</f>
        <v>01181389000181</v>
      </c>
      <c r="E78" s="6" t="str">
        <f ca="1">IFERROR(__xludf.DUMMYFUNCTION("""COMPUTED_VALUE"""),"001")</f>
        <v>001</v>
      </c>
      <c r="F78" s="7" t="str">
        <f ca="1">IFERROR(__xludf.DUMMYFUNCTION("""COMPUTED_VALUE"""),"1305")</f>
        <v>1305</v>
      </c>
      <c r="G78" s="7" t="str">
        <f ca="1">IFERROR(__xludf.DUMMYFUNCTION("""COMPUTED_VALUE"""),"0019437")</f>
        <v>0019437</v>
      </c>
      <c r="H78" s="7">
        <f ca="1">IFERROR(__xludf.DUMMYFUNCTION("""COMPUTED_VALUE"""),0)</f>
        <v>0</v>
      </c>
      <c r="I78" s="7">
        <f ca="1">IFERROR(__xludf.DUMMYFUNCTION("""COMPUTED_VALUE"""),0)</f>
        <v>0</v>
      </c>
      <c r="J78" s="7">
        <f ca="1">IFERROR(__xludf.DUMMYFUNCTION("""COMPUTED_VALUE"""),530)</f>
        <v>530</v>
      </c>
      <c r="K78" s="7">
        <f ca="1">IFERROR(__xludf.DUMMYFUNCTION("""COMPUTED_VALUE"""),0)</f>
        <v>0</v>
      </c>
      <c r="L78" s="7">
        <f ca="1">IFERROR(__xludf.DUMMYFUNCTION("""COMPUTED_VALUE"""),0)</f>
        <v>0</v>
      </c>
      <c r="M78" s="7">
        <f ca="1">IFERROR(__xludf.DUMMYFUNCTION("""COMPUTED_VALUE"""),0)</f>
        <v>0</v>
      </c>
      <c r="N78" s="7">
        <f ca="1">IFERROR(__xludf.DUMMYFUNCTION("""COMPUTED_VALUE"""),0)</f>
        <v>0</v>
      </c>
      <c r="O78" s="7">
        <f ca="1">IFERROR(__xludf.DUMMYFUNCTION("""COMPUTED_VALUE"""),0)</f>
        <v>0</v>
      </c>
      <c r="P78" s="7">
        <f ca="1">IFERROR(__xludf.DUMMYFUNCTION("""COMPUTED_VALUE"""),190.4)</f>
        <v>190.4</v>
      </c>
      <c r="Q78" s="7">
        <f ca="1">IFERROR(__xludf.DUMMYFUNCTION("""COMPUTED_VALUE"""),360)</f>
        <v>360</v>
      </c>
      <c r="R78" s="7">
        <f ca="1">IFERROR(__xludf.DUMMYFUNCTION("""COMPUTED_VALUE"""),0)</f>
        <v>0</v>
      </c>
      <c r="S78" s="7">
        <f ca="1">IFERROR(__xludf.DUMMYFUNCTION("""COMPUTED_VALUE"""),0)</f>
        <v>0</v>
      </c>
      <c r="T78" s="7">
        <f ca="1">IFERROR(__xludf.DUMMYFUNCTION("""COMPUTED_VALUE"""),0)</f>
        <v>0</v>
      </c>
      <c r="U78" s="61"/>
      <c r="V78" s="61"/>
      <c r="W78" s="61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0" t="str">
        <f ca="1">IFERROR(__xludf.DUMMYFUNCTION("""COMPUTED_VALUE"""),"ASSOC. APOIO ESC. EST. DENISE GOMIDE AMUI")</f>
        <v>ASSOC. APOIO ESC. EST. DENISE GOMIDE AMUI</v>
      </c>
      <c r="D79" s="136" t="str">
        <f ca="1">IFERROR(__xludf.DUMMYFUNCTION("""COMPUTED_VALUE"""),"01136000000186")</f>
        <v>01136000000186</v>
      </c>
      <c r="E79" s="6" t="str">
        <f ca="1">IFERROR(__xludf.DUMMYFUNCTION("""COMPUTED_VALUE"""),"001")</f>
        <v>001</v>
      </c>
      <c r="F79" s="7" t="str">
        <f ca="1">IFERROR(__xludf.DUMMYFUNCTION("""COMPUTED_VALUE"""),"1305")</f>
        <v>1305</v>
      </c>
      <c r="G79" s="7" t="str">
        <f ca="1">IFERROR(__xludf.DUMMYFUNCTION("""COMPUTED_VALUE"""),"0109223")</f>
        <v>0109223</v>
      </c>
      <c r="H79" s="7">
        <f ca="1">IFERROR(__xludf.DUMMYFUNCTION("""COMPUTED_VALUE"""),0)</f>
        <v>0</v>
      </c>
      <c r="I79" s="7">
        <f ca="1">IFERROR(__xludf.DUMMYFUNCTION("""COMPUTED_VALUE"""),0)</f>
        <v>0</v>
      </c>
      <c r="J79" s="7">
        <f ca="1">IFERROR(__xludf.DUMMYFUNCTION("""COMPUTED_VALUE"""),0)</f>
        <v>0</v>
      </c>
      <c r="K79" s="7">
        <f ca="1">IFERROR(__xludf.DUMMYFUNCTION("""COMPUTED_VALUE"""),0)</f>
        <v>0</v>
      </c>
      <c r="L79" s="7">
        <f ca="1">IFERROR(__xludf.DUMMYFUNCTION("""COMPUTED_VALUE"""),0)</f>
        <v>0</v>
      </c>
      <c r="M79" s="7">
        <f ca="1">IFERROR(__xludf.DUMMYFUNCTION("""COMPUTED_VALUE"""),0)</f>
        <v>0</v>
      </c>
      <c r="N79" s="7">
        <f ca="1">IFERROR(__xludf.DUMMYFUNCTION("""COMPUTED_VALUE"""),0)</f>
        <v>0</v>
      </c>
      <c r="O79" s="7">
        <f ca="1">IFERROR(__xludf.DUMMYFUNCTION("""COMPUTED_VALUE"""),0)</f>
        <v>0</v>
      </c>
      <c r="P79" s="7">
        <f ca="1">IFERROR(__xludf.DUMMYFUNCTION("""COMPUTED_VALUE"""),149.6)</f>
        <v>149.6</v>
      </c>
      <c r="Q79" s="7">
        <f ca="1">IFERROR(__xludf.DUMMYFUNCTION("""COMPUTED_VALUE"""),6020)</f>
        <v>6020</v>
      </c>
      <c r="R79" s="7">
        <f ca="1">IFERROR(__xludf.DUMMYFUNCTION("""COMPUTED_VALUE"""),0)</f>
        <v>0</v>
      </c>
      <c r="S79" s="7">
        <f ca="1">IFERROR(__xludf.DUMMYFUNCTION("""COMPUTED_VALUE"""),0)</f>
        <v>0</v>
      </c>
      <c r="T79" s="7">
        <f ca="1">IFERROR(__xludf.DUMMYFUNCTION("""COMPUTED_VALUE"""),0)</f>
        <v>0</v>
      </c>
      <c r="U79" s="61"/>
      <c r="V79" s="61"/>
      <c r="W79" s="61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0" t="str">
        <f ca="1">IFERROR(__xludf.DUMMYFUNCTION("""COMPUTED_VALUE"""),"A.A.  A ESC. EST. SANTA GERTRUDES")</f>
        <v>A.A.  A ESC. EST. SANTA GERTRUDES</v>
      </c>
      <c r="D80" s="136" t="str">
        <f ca="1">IFERROR(__xludf.DUMMYFUNCTION("""COMPUTED_VALUE"""),"03713455000142")</f>
        <v>03713455000142</v>
      </c>
      <c r="E80" s="6" t="str">
        <f ca="1">IFERROR(__xludf.DUMMYFUNCTION("""COMPUTED_VALUE"""),"001")</f>
        <v>001</v>
      </c>
      <c r="F80" s="7" t="str">
        <f ca="1">IFERROR(__xludf.DUMMYFUNCTION("""COMPUTED_VALUE"""),"1305")</f>
        <v>1305</v>
      </c>
      <c r="G80" s="7" t="str">
        <f ca="1">IFERROR(__xludf.DUMMYFUNCTION("""COMPUTED_VALUE"""),"78271")</f>
        <v>78271</v>
      </c>
      <c r="H80" s="7">
        <f ca="1">IFERROR(__xludf.DUMMYFUNCTION("""COMPUTED_VALUE"""),0)</f>
        <v>0</v>
      </c>
      <c r="I80" s="7">
        <f ca="1">IFERROR(__xludf.DUMMYFUNCTION("""COMPUTED_VALUE"""),0)</f>
        <v>0</v>
      </c>
      <c r="J80" s="7">
        <f ca="1">IFERROR(__xludf.DUMMYFUNCTION("""COMPUTED_VALUE"""),950)</f>
        <v>950</v>
      </c>
      <c r="K80" s="7">
        <f ca="1">IFERROR(__xludf.DUMMYFUNCTION("""COMPUTED_VALUE"""),0)</f>
        <v>0</v>
      </c>
      <c r="L80" s="7">
        <f ca="1">IFERROR(__xludf.DUMMYFUNCTION("""COMPUTED_VALUE"""),0)</f>
        <v>0</v>
      </c>
      <c r="M80" s="7">
        <f ca="1">IFERROR(__xludf.DUMMYFUNCTION("""COMPUTED_VALUE"""),0)</f>
        <v>0</v>
      </c>
      <c r="N80" s="7">
        <f ca="1">IFERROR(__xludf.DUMMYFUNCTION("""COMPUTED_VALUE"""),0)</f>
        <v>0</v>
      </c>
      <c r="O80" s="7">
        <f ca="1">IFERROR(__xludf.DUMMYFUNCTION("""COMPUTED_VALUE"""),0)</f>
        <v>0</v>
      </c>
      <c r="P80" s="7">
        <f ca="1">IFERROR(__xludf.DUMMYFUNCTION("""COMPUTED_VALUE"""),204)</f>
        <v>204</v>
      </c>
      <c r="Q80" s="7">
        <f ca="1">IFERROR(__xludf.DUMMYFUNCTION("""COMPUTED_VALUE"""),520)</f>
        <v>520</v>
      </c>
      <c r="R80" s="7">
        <f ca="1">IFERROR(__xludf.DUMMYFUNCTION("""COMPUTED_VALUE"""),0)</f>
        <v>0</v>
      </c>
      <c r="S80" s="7">
        <f ca="1">IFERROR(__xludf.DUMMYFUNCTION("""COMPUTED_VALUE"""),0)</f>
        <v>0</v>
      </c>
      <c r="T80" s="7">
        <f ca="1">IFERROR(__xludf.DUMMYFUNCTION("""COMPUTED_VALUE"""),0)</f>
        <v>0</v>
      </c>
      <c r="U80" s="61"/>
      <c r="V80" s="61"/>
      <c r="W80" s="61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0" t="str">
        <f ca="1">IFERROR(__xludf.DUMMYFUNCTION("""COMPUTED_VALUE"""),"A.A.  A ESCOLA ISOLADA BOA SORTE")</f>
        <v>A.A.  A ESCOLA ISOLADA BOA SORTE</v>
      </c>
      <c r="D81" s="136" t="str">
        <f ca="1">IFERROR(__xludf.DUMMYFUNCTION("""COMPUTED_VALUE"""),"03765304000138")</f>
        <v>03765304000138</v>
      </c>
      <c r="E81" s="6" t="str">
        <f ca="1">IFERROR(__xludf.DUMMYFUNCTION("""COMPUTED_VALUE"""),"001")</f>
        <v>001</v>
      </c>
      <c r="F81" s="7" t="str">
        <f ca="1">IFERROR(__xludf.DUMMYFUNCTION("""COMPUTED_VALUE"""),"1305")</f>
        <v>1305</v>
      </c>
      <c r="G81" s="7" t="str">
        <f ca="1">IFERROR(__xludf.DUMMYFUNCTION("""COMPUTED_VALUE"""),"78964")</f>
        <v>78964</v>
      </c>
      <c r="H81" s="7">
        <f ca="1">IFERROR(__xludf.DUMMYFUNCTION("""COMPUTED_VALUE"""),0)</f>
        <v>0</v>
      </c>
      <c r="I81" s="7">
        <f ca="1">IFERROR(__xludf.DUMMYFUNCTION("""COMPUTED_VALUE"""),0)</f>
        <v>0</v>
      </c>
      <c r="J81" s="7">
        <f ca="1">IFERROR(__xludf.DUMMYFUNCTION("""COMPUTED_VALUE"""),570)</f>
        <v>570</v>
      </c>
      <c r="K81" s="7">
        <f ca="1">IFERROR(__xludf.DUMMYFUNCTION("""COMPUTED_VALUE"""),0)</f>
        <v>0</v>
      </c>
      <c r="L81" s="7">
        <f ca="1">IFERROR(__xludf.DUMMYFUNCTION("""COMPUTED_VALUE"""),0)</f>
        <v>0</v>
      </c>
      <c r="M81" s="7">
        <f ca="1">IFERROR(__xludf.DUMMYFUNCTION("""COMPUTED_VALUE"""),0)</f>
        <v>0</v>
      </c>
      <c r="N81" s="7">
        <f ca="1">IFERROR(__xludf.DUMMYFUNCTION("""COMPUTED_VALUE"""),0)</f>
        <v>0</v>
      </c>
      <c r="O81" s="7">
        <f ca="1">IFERROR(__xludf.DUMMYFUNCTION("""COMPUTED_VALUE"""),0)</f>
        <v>0</v>
      </c>
      <c r="P81" s="7">
        <f ca="1">IFERROR(__xludf.DUMMYFUNCTION("""COMPUTED_VALUE"""),108.8)</f>
        <v>108.8</v>
      </c>
      <c r="Q81" s="7">
        <f ca="1">IFERROR(__xludf.DUMMYFUNCTION("""COMPUTED_VALUE"""),310)</f>
        <v>310</v>
      </c>
      <c r="R81" s="7">
        <f ca="1">IFERROR(__xludf.DUMMYFUNCTION("""COMPUTED_VALUE"""),0)</f>
        <v>0</v>
      </c>
      <c r="S81" s="7">
        <f ca="1">IFERROR(__xludf.DUMMYFUNCTION("""COMPUTED_VALUE"""),0)</f>
        <v>0</v>
      </c>
      <c r="T81" s="7">
        <f ca="1">IFERROR(__xludf.DUMMYFUNCTION("""COMPUTED_VALUE"""),49.1999999999999)</f>
        <v>49.199999999999903</v>
      </c>
      <c r="U81" s="61"/>
      <c r="V81" s="61"/>
      <c r="W81" s="61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0" t="str">
        <f ca="1">IFERROR(__xludf.DUMMYFUNCTION("""COMPUTED_VALUE"""),"A.A. CENTRO EST. DE EDUCACAO LA SALLE")</f>
        <v>A.A. CENTRO EST. DE EDUCACAO LA SALLE</v>
      </c>
      <c r="D82" s="136" t="str">
        <f ca="1">IFERROR(__xludf.DUMMYFUNCTION("""COMPUTED_VALUE"""),"01223753000129")</f>
        <v>01223753000129</v>
      </c>
      <c r="E82" s="6" t="str">
        <f ca="1">IFERROR(__xludf.DUMMYFUNCTION("""COMPUTED_VALUE"""),"001")</f>
        <v>001</v>
      </c>
      <c r="F82" s="7" t="str">
        <f ca="1">IFERROR(__xludf.DUMMYFUNCTION("""COMPUTED_VALUE"""),"3975")</f>
        <v>3975</v>
      </c>
      <c r="G82" s="7" t="str">
        <f ca="1">IFERROR(__xludf.DUMMYFUNCTION("""COMPUTED_VALUE"""),"19216")</f>
        <v>19216</v>
      </c>
      <c r="H82" s="7">
        <f ca="1">IFERROR(__xludf.DUMMYFUNCTION("""COMPUTED_VALUE"""),0)</f>
        <v>0</v>
      </c>
      <c r="I82" s="7">
        <f ca="1">IFERROR(__xludf.DUMMYFUNCTION("""COMPUTED_VALUE"""),0)</f>
        <v>0</v>
      </c>
      <c r="J82" s="7">
        <f ca="1">IFERROR(__xludf.DUMMYFUNCTION("""COMPUTED_VALUE"""),4930)</f>
        <v>4930</v>
      </c>
      <c r="K82" s="7">
        <f ca="1">IFERROR(__xludf.DUMMYFUNCTION("""COMPUTED_VALUE"""),0)</f>
        <v>0</v>
      </c>
      <c r="L82" s="7">
        <f ca="1">IFERROR(__xludf.DUMMYFUNCTION("""COMPUTED_VALUE"""),0)</f>
        <v>0</v>
      </c>
      <c r="M82" s="7">
        <f ca="1">IFERROR(__xludf.DUMMYFUNCTION("""COMPUTED_VALUE"""),0)</f>
        <v>0</v>
      </c>
      <c r="N82" s="7">
        <f ca="1">IFERROR(__xludf.DUMMYFUNCTION("""COMPUTED_VALUE"""),0)</f>
        <v>0</v>
      </c>
      <c r="O82" s="7">
        <f ca="1">IFERROR(__xludf.DUMMYFUNCTION("""COMPUTED_VALUE"""),0)</f>
        <v>0</v>
      </c>
      <c r="P82" s="7">
        <f ca="1">IFERROR(__xludf.DUMMYFUNCTION("""COMPUTED_VALUE"""),544)</f>
        <v>544</v>
      </c>
      <c r="Q82" s="7">
        <f ca="1">IFERROR(__xludf.DUMMYFUNCTION("""COMPUTED_VALUE"""),2200)</f>
        <v>2200</v>
      </c>
      <c r="R82" s="7">
        <f ca="1">IFERROR(__xludf.DUMMYFUNCTION("""COMPUTED_VALUE"""),0)</f>
        <v>0</v>
      </c>
      <c r="S82" s="7">
        <f ca="1">IFERROR(__xludf.DUMMYFUNCTION("""COMPUTED_VALUE"""),0)</f>
        <v>0</v>
      </c>
      <c r="T82" s="7">
        <f ca="1">IFERROR(__xludf.DUMMYFUNCTION("""COMPUTED_VALUE"""),0)</f>
        <v>0</v>
      </c>
      <c r="U82" s="61"/>
      <c r="V82" s="61"/>
      <c r="W82" s="61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0" t="str">
        <f ca="1">IFERROR(__xludf.DUMMYFUNCTION("""COMPUTED_VALUE"""),"ASSOC. DE APOIO COL. EST. MANOEL VICENTE SOUZA")</f>
        <v>ASSOC. DE APOIO COL. EST. MANOEL VICENTE SOUZA</v>
      </c>
      <c r="D83" s="136" t="str">
        <f ca="1">IFERROR(__xludf.DUMMYFUNCTION("""COMPUTED_VALUE"""),"01223642000112")</f>
        <v>01223642000112</v>
      </c>
      <c r="E83" s="6" t="str">
        <f ca="1">IFERROR(__xludf.DUMMYFUNCTION("""COMPUTED_VALUE"""),"001")</f>
        <v>001</v>
      </c>
      <c r="F83" s="7" t="str">
        <f ca="1">IFERROR(__xludf.DUMMYFUNCTION("""COMPUTED_VALUE"""),"3975")</f>
        <v>3975</v>
      </c>
      <c r="G83" s="7" t="str">
        <f ca="1">IFERROR(__xludf.DUMMYFUNCTION("""COMPUTED_VALUE"""),"139297")</f>
        <v>139297</v>
      </c>
      <c r="H83" s="7">
        <f ca="1">IFERROR(__xludf.DUMMYFUNCTION("""COMPUTED_VALUE"""),0)</f>
        <v>0</v>
      </c>
      <c r="I83" s="7">
        <f ca="1">IFERROR(__xludf.DUMMYFUNCTION("""COMPUTED_VALUE"""),0)</f>
        <v>0</v>
      </c>
      <c r="J83" s="7">
        <f ca="1">IFERROR(__xludf.DUMMYFUNCTION("""COMPUTED_VALUE"""),0)</f>
        <v>0</v>
      </c>
      <c r="K83" s="7">
        <f ca="1">IFERROR(__xludf.DUMMYFUNCTION("""COMPUTED_VALUE"""),0)</f>
        <v>0</v>
      </c>
      <c r="L83" s="7">
        <f ca="1">IFERROR(__xludf.DUMMYFUNCTION("""COMPUTED_VALUE"""),0)</f>
        <v>0</v>
      </c>
      <c r="M83" s="7">
        <f ca="1">IFERROR(__xludf.DUMMYFUNCTION("""COMPUTED_VALUE"""),0)</f>
        <v>0</v>
      </c>
      <c r="N83" s="7">
        <f ca="1">IFERROR(__xludf.DUMMYFUNCTION("""COMPUTED_VALUE"""),0)</f>
        <v>0</v>
      </c>
      <c r="O83" s="7">
        <f ca="1">IFERROR(__xludf.DUMMYFUNCTION("""COMPUTED_VALUE"""),0)</f>
        <v>0</v>
      </c>
      <c r="P83" s="7">
        <f ca="1">IFERROR(__xludf.DUMMYFUNCTION("""COMPUTED_VALUE"""),0)</f>
        <v>0</v>
      </c>
      <c r="Q83" s="7">
        <f ca="1">IFERROR(__xludf.DUMMYFUNCTION("""COMPUTED_VALUE"""),1210)</f>
        <v>1210</v>
      </c>
      <c r="R83" s="7">
        <f ca="1">IFERROR(__xludf.DUMMYFUNCTION("""COMPUTED_VALUE"""),0)</f>
        <v>0</v>
      </c>
      <c r="S83" s="7">
        <f ca="1">IFERROR(__xludf.DUMMYFUNCTION("""COMPUTED_VALUE"""),15155.2)</f>
        <v>15155.2</v>
      </c>
      <c r="T83" s="7">
        <f ca="1">IFERROR(__xludf.DUMMYFUNCTION("""COMPUTED_VALUE"""),0)</f>
        <v>0</v>
      </c>
      <c r="U83" s="61"/>
      <c r="V83" s="61"/>
      <c r="W83" s="61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0" t="str">
        <f ca="1">IFERROR(__xludf.DUMMYFUNCTION("""COMPUTED_VALUE"""),"A.A. ESCOLA ESTADUAL AUGUSTINOPOLIS")</f>
        <v>A.A. ESCOLA ESTADUAL AUGUSTINOPOLIS</v>
      </c>
      <c r="D84" s="136" t="str">
        <f ca="1">IFERROR(__xludf.DUMMYFUNCTION("""COMPUTED_VALUE"""),"01133692000109")</f>
        <v>01133692000109</v>
      </c>
      <c r="E84" s="6" t="str">
        <f ca="1">IFERROR(__xludf.DUMMYFUNCTION("""COMPUTED_VALUE"""),"001")</f>
        <v>001</v>
      </c>
      <c r="F84" s="7" t="str">
        <f ca="1">IFERROR(__xludf.DUMMYFUNCTION("""COMPUTED_VALUE"""),"3975")</f>
        <v>3975</v>
      </c>
      <c r="G84" s="7" t="str">
        <f ca="1">IFERROR(__xludf.DUMMYFUNCTION("""COMPUTED_VALUE"""),"019151")</f>
        <v>019151</v>
      </c>
      <c r="H84" s="7">
        <f ca="1">IFERROR(__xludf.DUMMYFUNCTION("""COMPUTED_VALUE"""),0)</f>
        <v>0</v>
      </c>
      <c r="I84" s="7">
        <f ca="1">IFERROR(__xludf.DUMMYFUNCTION("""COMPUTED_VALUE"""),0)</f>
        <v>0</v>
      </c>
      <c r="J84" s="7">
        <f ca="1">IFERROR(__xludf.DUMMYFUNCTION("""COMPUTED_VALUE"""),0)</f>
        <v>0</v>
      </c>
      <c r="K84" s="7">
        <f ca="1">IFERROR(__xludf.DUMMYFUNCTION("""COMPUTED_VALUE"""),8631)</f>
        <v>8631</v>
      </c>
      <c r="L84" s="7">
        <f ca="1">IFERROR(__xludf.DUMMYFUNCTION("""COMPUTED_VALUE"""),0)</f>
        <v>0</v>
      </c>
      <c r="M84" s="7">
        <f ca="1">IFERROR(__xludf.DUMMYFUNCTION("""COMPUTED_VALUE"""),0)</f>
        <v>0</v>
      </c>
      <c r="N84" s="7">
        <f ca="1">IFERROR(__xludf.DUMMYFUNCTION("""COMPUTED_VALUE"""),0)</f>
        <v>0</v>
      </c>
      <c r="O84" s="7">
        <f ca="1">IFERROR(__xludf.DUMMYFUNCTION("""COMPUTED_VALUE"""),0)</f>
        <v>0</v>
      </c>
      <c r="P84" s="7">
        <f ca="1">IFERROR(__xludf.DUMMYFUNCTION("""COMPUTED_VALUE"""),176.799999999999)</f>
        <v>176.79999999999899</v>
      </c>
      <c r="Q84" s="7">
        <f ca="1">IFERROR(__xludf.DUMMYFUNCTION("""COMPUTED_VALUE"""),0)</f>
        <v>0</v>
      </c>
      <c r="R84" s="7">
        <f ca="1">IFERROR(__xludf.DUMMYFUNCTION("""COMPUTED_VALUE"""),0)</f>
        <v>0</v>
      </c>
      <c r="S84" s="7">
        <f ca="1">IFERROR(__xludf.DUMMYFUNCTION("""COMPUTED_VALUE"""),0)</f>
        <v>0</v>
      </c>
      <c r="T84" s="7">
        <f ca="1">IFERROR(__xludf.DUMMYFUNCTION("""COMPUTED_VALUE"""),0)</f>
        <v>0</v>
      </c>
      <c r="U84" s="61"/>
      <c r="V84" s="61"/>
      <c r="W84" s="61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0" t="str">
        <f ca="1">IFERROR(__xludf.DUMMYFUNCTION("""COMPUTED_VALUE"""),"ASSOC. DE AP.ESC. EST. FAZ.DEZESSEIS")</f>
        <v>ASSOC. DE AP.ESC. EST. FAZ.DEZESSEIS</v>
      </c>
      <c r="D85" s="136" t="str">
        <f ca="1">IFERROR(__xludf.DUMMYFUNCTION("""COMPUTED_VALUE"""),"01133695000142")</f>
        <v>01133695000142</v>
      </c>
      <c r="E85" s="6" t="str">
        <f ca="1">IFERROR(__xludf.DUMMYFUNCTION("""COMPUTED_VALUE"""),"001")</f>
        <v>001</v>
      </c>
      <c r="F85" s="7" t="str">
        <f ca="1">IFERROR(__xludf.DUMMYFUNCTION("""COMPUTED_VALUE"""),"3975")</f>
        <v>3975</v>
      </c>
      <c r="G85" s="7" t="str">
        <f ca="1">IFERROR(__xludf.DUMMYFUNCTION("""COMPUTED_VALUE"""),"0019615")</f>
        <v>0019615</v>
      </c>
      <c r="H85" s="7">
        <f ca="1">IFERROR(__xludf.DUMMYFUNCTION("""COMPUTED_VALUE"""),0)</f>
        <v>0</v>
      </c>
      <c r="I85" s="7">
        <f ca="1">IFERROR(__xludf.DUMMYFUNCTION("""COMPUTED_VALUE"""),0)</f>
        <v>0</v>
      </c>
      <c r="J85" s="7">
        <f ca="1">IFERROR(__xludf.DUMMYFUNCTION("""COMPUTED_VALUE"""),1040)</f>
        <v>1040</v>
      </c>
      <c r="K85" s="7">
        <f ca="1">IFERROR(__xludf.DUMMYFUNCTION("""COMPUTED_VALUE"""),0)</f>
        <v>0</v>
      </c>
      <c r="L85" s="7">
        <f ca="1">IFERROR(__xludf.DUMMYFUNCTION("""COMPUTED_VALUE"""),0)</f>
        <v>0</v>
      </c>
      <c r="M85" s="7">
        <f ca="1">IFERROR(__xludf.DUMMYFUNCTION("""COMPUTED_VALUE"""),0)</f>
        <v>0</v>
      </c>
      <c r="N85" s="7">
        <f ca="1">IFERROR(__xludf.DUMMYFUNCTION("""COMPUTED_VALUE"""),0)</f>
        <v>0</v>
      </c>
      <c r="O85" s="7">
        <f ca="1">IFERROR(__xludf.DUMMYFUNCTION("""COMPUTED_VALUE"""),0)</f>
        <v>0</v>
      </c>
      <c r="P85" s="7">
        <f ca="1">IFERROR(__xludf.DUMMYFUNCTION("""COMPUTED_VALUE"""),95.2)</f>
        <v>95.2</v>
      </c>
      <c r="Q85" s="7">
        <f ca="1">IFERROR(__xludf.DUMMYFUNCTION("""COMPUTED_VALUE"""),440)</f>
        <v>440</v>
      </c>
      <c r="R85" s="7">
        <f ca="1">IFERROR(__xludf.DUMMYFUNCTION("""COMPUTED_VALUE"""),0)</f>
        <v>0</v>
      </c>
      <c r="S85" s="7">
        <f ca="1">IFERROR(__xludf.DUMMYFUNCTION("""COMPUTED_VALUE"""),0)</f>
        <v>0</v>
      </c>
      <c r="T85" s="7">
        <f ca="1">IFERROR(__xludf.DUMMYFUNCTION("""COMPUTED_VALUE"""),1221.8)</f>
        <v>1221.8</v>
      </c>
      <c r="U85" s="61"/>
      <c r="V85" s="61"/>
      <c r="W85" s="61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0" t="str">
        <f ca="1">IFERROR(__xludf.DUMMYFUNCTION("""COMPUTED_VALUE"""),"A.A. DA ESCOLA EST. SANTA GENOVEVA")</f>
        <v>A.A. DA ESCOLA EST. SANTA GENOVEVA</v>
      </c>
      <c r="D86" s="136" t="str">
        <f ca="1">IFERROR(__xludf.DUMMYFUNCTION("""COMPUTED_VALUE"""),"01068357000174")</f>
        <v>01068357000174</v>
      </c>
      <c r="E86" s="6" t="str">
        <f ca="1">IFERROR(__xludf.DUMMYFUNCTION("""COMPUTED_VALUE"""),"001")</f>
        <v>001</v>
      </c>
      <c r="F86" s="7" t="str">
        <f ca="1">IFERROR(__xludf.DUMMYFUNCTION("""COMPUTED_VALUE"""),"3975")</f>
        <v>3975</v>
      </c>
      <c r="G86" s="7" t="str">
        <f ca="1">IFERROR(__xludf.DUMMYFUNCTION("""COMPUTED_VALUE"""),"0019461")</f>
        <v>0019461</v>
      </c>
      <c r="H86" s="7">
        <f ca="1">IFERROR(__xludf.DUMMYFUNCTION("""COMPUTED_VALUE"""),0)</f>
        <v>0</v>
      </c>
      <c r="I86" s="7">
        <f ca="1">IFERROR(__xludf.DUMMYFUNCTION("""COMPUTED_VALUE"""),0)</f>
        <v>0</v>
      </c>
      <c r="J86" s="7">
        <f ca="1">IFERROR(__xludf.DUMMYFUNCTION("""COMPUTED_VALUE"""),5340)</f>
        <v>5340</v>
      </c>
      <c r="K86" s="7">
        <f ca="1">IFERROR(__xludf.DUMMYFUNCTION("""COMPUTED_VALUE"""),0)</f>
        <v>0</v>
      </c>
      <c r="L86" s="7">
        <f ca="1">IFERROR(__xludf.DUMMYFUNCTION("""COMPUTED_VALUE"""),0)</f>
        <v>0</v>
      </c>
      <c r="M86" s="7">
        <f ca="1">IFERROR(__xludf.DUMMYFUNCTION("""COMPUTED_VALUE"""),0)</f>
        <v>0</v>
      </c>
      <c r="N86" s="7">
        <f ca="1">IFERROR(__xludf.DUMMYFUNCTION("""COMPUTED_VALUE"""),0)</f>
        <v>0</v>
      </c>
      <c r="O86" s="7">
        <f ca="1">IFERROR(__xludf.DUMMYFUNCTION("""COMPUTED_VALUE"""),0)</f>
        <v>0</v>
      </c>
      <c r="P86" s="7">
        <f ca="1">IFERROR(__xludf.DUMMYFUNCTION("""COMPUTED_VALUE"""),244.799999999999)</f>
        <v>244.79999999999899</v>
      </c>
      <c r="Q86" s="7">
        <f ca="1">IFERROR(__xludf.DUMMYFUNCTION("""COMPUTED_VALUE"""),1530)</f>
        <v>1530</v>
      </c>
      <c r="R86" s="7">
        <f ca="1">IFERROR(__xludf.DUMMYFUNCTION("""COMPUTED_VALUE"""),0)</f>
        <v>0</v>
      </c>
      <c r="S86" s="7">
        <f ca="1">IFERROR(__xludf.DUMMYFUNCTION("""COMPUTED_VALUE"""),0)</f>
        <v>0</v>
      </c>
      <c r="T86" s="7">
        <f ca="1">IFERROR(__xludf.DUMMYFUNCTION("""COMPUTED_VALUE"""),0)</f>
        <v>0</v>
      </c>
      <c r="U86" s="61"/>
      <c r="V86" s="61"/>
      <c r="W86" s="61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0" t="str">
        <f ca="1">IFERROR(__xludf.DUMMYFUNCTION("""COMPUTED_VALUE"""),"ASSOC. DE APOIO COLÉGIO. EST. MAL. RIBAS JUNIOR")</f>
        <v>ASSOC. DE APOIO COLÉGIO. EST. MAL. RIBAS JUNIOR</v>
      </c>
      <c r="D87" s="136" t="str">
        <f ca="1">IFERROR(__xludf.DUMMYFUNCTION("""COMPUTED_VALUE"""),"01086979000125")</f>
        <v>01086979000125</v>
      </c>
      <c r="E87" s="6" t="str">
        <f ca="1">IFERROR(__xludf.DUMMYFUNCTION("""COMPUTED_VALUE"""),"001")</f>
        <v>001</v>
      </c>
      <c r="F87" s="7" t="str">
        <f ca="1">IFERROR(__xludf.DUMMYFUNCTION("""COMPUTED_VALUE"""),"1305")</f>
        <v>1305</v>
      </c>
      <c r="G87" s="7" t="str">
        <f ca="1">IFERROR(__xludf.DUMMYFUNCTION("""COMPUTED_VALUE"""),"209201")</f>
        <v>209201</v>
      </c>
      <c r="H87" s="7">
        <f ca="1">IFERROR(__xludf.DUMMYFUNCTION("""COMPUTED_VALUE"""),0)</f>
        <v>0</v>
      </c>
      <c r="I87" s="7">
        <f ca="1">IFERROR(__xludf.DUMMYFUNCTION("""COMPUTED_VALUE"""),0)</f>
        <v>0</v>
      </c>
      <c r="J87" s="7">
        <f ca="1">IFERROR(__xludf.DUMMYFUNCTION("""COMPUTED_VALUE"""),0)</f>
        <v>0</v>
      </c>
      <c r="K87" s="7">
        <f ca="1">IFERROR(__xludf.DUMMYFUNCTION("""COMPUTED_VALUE"""),0)</f>
        <v>0</v>
      </c>
      <c r="L87" s="7">
        <f ca="1">IFERROR(__xludf.DUMMYFUNCTION("""COMPUTED_VALUE"""),0)</f>
        <v>0</v>
      </c>
      <c r="M87" s="7">
        <f ca="1">IFERROR(__xludf.DUMMYFUNCTION("""COMPUTED_VALUE"""),0)</f>
        <v>0</v>
      </c>
      <c r="N87" s="7">
        <f ca="1">IFERROR(__xludf.DUMMYFUNCTION("""COMPUTED_VALUE"""),0)</f>
        <v>0</v>
      </c>
      <c r="O87" s="7">
        <f ca="1">IFERROR(__xludf.DUMMYFUNCTION("""COMPUTED_VALUE"""),0)</f>
        <v>0</v>
      </c>
      <c r="P87" s="7">
        <f ca="1">IFERROR(__xludf.DUMMYFUNCTION("""COMPUTED_VALUE"""),176.799999999999)</f>
        <v>176.79999999999899</v>
      </c>
      <c r="Q87" s="7">
        <f ca="1">IFERROR(__xludf.DUMMYFUNCTION("""COMPUTED_VALUE"""),5940)</f>
        <v>5940</v>
      </c>
      <c r="R87" s="7">
        <f ca="1">IFERROR(__xludf.DUMMYFUNCTION("""COMPUTED_VALUE"""),0)</f>
        <v>0</v>
      </c>
      <c r="S87" s="7">
        <f ca="1">IFERROR(__xludf.DUMMYFUNCTION("""COMPUTED_VALUE"""),0)</f>
        <v>0</v>
      </c>
      <c r="T87" s="7">
        <f ca="1">IFERROR(__xludf.DUMMYFUNCTION("""COMPUTED_VALUE"""),0)</f>
        <v>0</v>
      </c>
      <c r="U87" s="61"/>
      <c r="V87" s="61"/>
      <c r="W87" s="61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0" t="str">
        <f ca="1">IFERROR(__xludf.DUMMYFUNCTION("""COMPUTED_VALUE"""),"A.A. ESC. EST. SAO FRANCISCO DE ASSIS")</f>
        <v>A.A. ESC. EST. SAO FRANCISCO DE ASSIS</v>
      </c>
      <c r="D88" s="136" t="str">
        <f ca="1">IFERROR(__xludf.DUMMYFUNCTION("""COMPUTED_VALUE"""),"01086980000150")</f>
        <v>01086980000150</v>
      </c>
      <c r="E88" s="6" t="str">
        <f ca="1">IFERROR(__xludf.DUMMYFUNCTION("""COMPUTED_VALUE"""),"001")</f>
        <v>001</v>
      </c>
      <c r="F88" s="7" t="str">
        <f ca="1">IFERROR(__xludf.DUMMYFUNCTION("""COMPUTED_VALUE"""),"1305")</f>
        <v>1305</v>
      </c>
      <c r="G88" s="7" t="str">
        <f ca="1">IFERROR(__xludf.DUMMYFUNCTION("""COMPUTED_VALUE"""),"19399")</f>
        <v>19399</v>
      </c>
      <c r="H88" s="7">
        <f ca="1">IFERROR(__xludf.DUMMYFUNCTION("""COMPUTED_VALUE"""),0)</f>
        <v>0</v>
      </c>
      <c r="I88" s="7">
        <f ca="1">IFERROR(__xludf.DUMMYFUNCTION("""COMPUTED_VALUE"""),0)</f>
        <v>0</v>
      </c>
      <c r="J88" s="7">
        <f ca="1">IFERROR(__xludf.DUMMYFUNCTION("""COMPUTED_VALUE"""),2160)</f>
        <v>2160</v>
      </c>
      <c r="K88" s="7">
        <f ca="1">IFERROR(__xludf.DUMMYFUNCTION("""COMPUTED_VALUE"""),0)</f>
        <v>0</v>
      </c>
      <c r="L88" s="7">
        <f ca="1">IFERROR(__xludf.DUMMYFUNCTION("""COMPUTED_VALUE"""),0)</f>
        <v>0</v>
      </c>
      <c r="M88" s="7">
        <f ca="1">IFERROR(__xludf.DUMMYFUNCTION("""COMPUTED_VALUE"""),0)</f>
        <v>0</v>
      </c>
      <c r="N88" s="7">
        <f ca="1">IFERROR(__xludf.DUMMYFUNCTION("""COMPUTED_VALUE"""),0)</f>
        <v>0</v>
      </c>
      <c r="O88" s="7">
        <f ca="1">IFERROR(__xludf.DUMMYFUNCTION("""COMPUTED_VALUE"""),0)</f>
        <v>0</v>
      </c>
      <c r="P88" s="7">
        <f ca="1">IFERROR(__xludf.DUMMYFUNCTION("""COMPUTED_VALUE"""),190.4)</f>
        <v>190.4</v>
      </c>
      <c r="Q88" s="7">
        <f ca="1">IFERROR(__xludf.DUMMYFUNCTION("""COMPUTED_VALUE"""),0)</f>
        <v>0</v>
      </c>
      <c r="R88" s="7">
        <f ca="1">IFERROR(__xludf.DUMMYFUNCTION("""COMPUTED_VALUE"""),0)</f>
        <v>0</v>
      </c>
      <c r="S88" s="7">
        <f ca="1">IFERROR(__xludf.DUMMYFUNCTION("""COMPUTED_VALUE"""),0)</f>
        <v>0</v>
      </c>
      <c r="T88" s="7">
        <f ca="1">IFERROR(__xludf.DUMMYFUNCTION("""COMPUTED_VALUE"""),0)</f>
        <v>0</v>
      </c>
      <c r="U88" s="61"/>
      <c r="V88" s="61"/>
      <c r="W88" s="61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0" t="str">
        <f ca="1">IFERROR(__xludf.DUMMYFUNCTION("""COMPUTED_VALUE"""),"A. DE APOIO DO COLEGIO EST. BURITI")</f>
        <v>A. DE APOIO DO COLEGIO EST. BURITI</v>
      </c>
      <c r="D89" s="136" t="str">
        <f ca="1">IFERROR(__xludf.DUMMYFUNCTION("""COMPUTED_VALUE"""),"01206217000115")</f>
        <v>01206217000115</v>
      </c>
      <c r="E89" s="6" t="str">
        <f ca="1">IFERROR(__xludf.DUMMYFUNCTION("""COMPUTED_VALUE"""),"001")</f>
        <v>001</v>
      </c>
      <c r="F89" s="7" t="str">
        <f ca="1">IFERROR(__xludf.DUMMYFUNCTION("""COMPUTED_VALUE"""),"1305")</f>
        <v>1305</v>
      </c>
      <c r="G89" s="7" t="str">
        <f ca="1">IFERROR(__xludf.DUMMYFUNCTION("""COMPUTED_VALUE"""),"209406")</f>
        <v>209406</v>
      </c>
      <c r="H89" s="7">
        <f ca="1">IFERROR(__xludf.DUMMYFUNCTION("""COMPUTED_VALUE"""),0)</f>
        <v>0</v>
      </c>
      <c r="I89" s="7">
        <f ca="1">IFERROR(__xludf.DUMMYFUNCTION("""COMPUTED_VALUE"""),0)</f>
        <v>0</v>
      </c>
      <c r="J89" s="7">
        <f ca="1">IFERROR(__xludf.DUMMYFUNCTION("""COMPUTED_VALUE"""),0)</f>
        <v>0</v>
      </c>
      <c r="K89" s="7">
        <f ca="1">IFERROR(__xludf.DUMMYFUNCTION("""COMPUTED_VALUE"""),0)</f>
        <v>0</v>
      </c>
      <c r="L89" s="7">
        <f ca="1">IFERROR(__xludf.DUMMYFUNCTION("""COMPUTED_VALUE"""),0)</f>
        <v>0</v>
      </c>
      <c r="M89" s="7">
        <f ca="1">IFERROR(__xludf.DUMMYFUNCTION("""COMPUTED_VALUE"""),0)</f>
        <v>0</v>
      </c>
      <c r="N89" s="7">
        <f ca="1">IFERROR(__xludf.DUMMYFUNCTION("""COMPUTED_VALUE"""),0)</f>
        <v>0</v>
      </c>
      <c r="O89" s="7">
        <f ca="1">IFERROR(__xludf.DUMMYFUNCTION("""COMPUTED_VALUE"""),0)</f>
        <v>0</v>
      </c>
      <c r="P89" s="7">
        <f ca="1">IFERROR(__xludf.DUMMYFUNCTION("""COMPUTED_VALUE"""),0)</f>
        <v>0</v>
      </c>
      <c r="Q89" s="7">
        <f ca="1">IFERROR(__xludf.DUMMYFUNCTION("""COMPUTED_VALUE"""),0)</f>
        <v>0</v>
      </c>
      <c r="R89" s="7">
        <f ca="1">IFERROR(__xludf.DUMMYFUNCTION("""COMPUTED_VALUE"""),0)</f>
        <v>0</v>
      </c>
      <c r="S89" s="7">
        <f ca="1">IFERROR(__xludf.DUMMYFUNCTION("""COMPUTED_VALUE"""),8857.6)</f>
        <v>8857.6</v>
      </c>
      <c r="T89" s="7">
        <f ca="1">IFERROR(__xludf.DUMMYFUNCTION("""COMPUTED_VALUE"""),0)</f>
        <v>0</v>
      </c>
      <c r="U89" s="61"/>
      <c r="V89" s="61"/>
      <c r="W89" s="61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0" t="str">
        <f ca="1">IFERROR(__xludf.DUMMYFUNCTION("""COMPUTED_VALUE"""),"A.A. DA ESCOLA ESTADUAL DARCYNOPOLIS")</f>
        <v>A.A. DA ESCOLA ESTADUAL DARCYNOPOLIS</v>
      </c>
      <c r="D90" s="136" t="str">
        <f ca="1">IFERROR(__xludf.DUMMYFUNCTION("""COMPUTED_VALUE"""),"01190184000162")</f>
        <v>01190184000162</v>
      </c>
      <c r="E90" s="6" t="str">
        <f ca="1">IFERROR(__xludf.DUMMYFUNCTION("""COMPUTED_VALUE"""),"001")</f>
        <v>001</v>
      </c>
      <c r="F90" s="7" t="str">
        <f ca="1">IFERROR(__xludf.DUMMYFUNCTION("""COMPUTED_VALUE"""),"3975")</f>
        <v>3975</v>
      </c>
      <c r="G90" s="7" t="str">
        <f ca="1">IFERROR(__xludf.DUMMYFUNCTION("""COMPUTED_VALUE"""),"0019275")</f>
        <v>0019275</v>
      </c>
      <c r="H90" s="7">
        <f ca="1">IFERROR(__xludf.DUMMYFUNCTION("""COMPUTED_VALUE"""),0)</f>
        <v>0</v>
      </c>
      <c r="I90" s="7">
        <f ca="1">IFERROR(__xludf.DUMMYFUNCTION("""COMPUTED_VALUE"""),0)</f>
        <v>0</v>
      </c>
      <c r="J90" s="7">
        <f ca="1">IFERROR(__xludf.DUMMYFUNCTION("""COMPUTED_VALUE"""),1000)</f>
        <v>1000</v>
      </c>
      <c r="K90" s="7">
        <f ca="1">IFERROR(__xludf.DUMMYFUNCTION("""COMPUTED_VALUE"""),0)</f>
        <v>0</v>
      </c>
      <c r="L90" s="7">
        <f ca="1">IFERROR(__xludf.DUMMYFUNCTION("""COMPUTED_VALUE"""),0)</f>
        <v>0</v>
      </c>
      <c r="M90" s="7">
        <f ca="1">IFERROR(__xludf.DUMMYFUNCTION("""COMPUTED_VALUE"""),0)</f>
        <v>0</v>
      </c>
      <c r="N90" s="7">
        <f ca="1">IFERROR(__xludf.DUMMYFUNCTION("""COMPUTED_VALUE"""),0)</f>
        <v>0</v>
      </c>
      <c r="O90" s="7">
        <f ca="1">IFERROR(__xludf.DUMMYFUNCTION("""COMPUTED_VALUE"""),0)</f>
        <v>0</v>
      </c>
      <c r="P90" s="7">
        <f ca="1">IFERROR(__xludf.DUMMYFUNCTION("""COMPUTED_VALUE"""),217.6)</f>
        <v>217.6</v>
      </c>
      <c r="Q90" s="7">
        <f ca="1">IFERROR(__xludf.DUMMYFUNCTION("""COMPUTED_VALUE"""),430)</f>
        <v>430</v>
      </c>
      <c r="R90" s="7">
        <f ca="1">IFERROR(__xludf.DUMMYFUNCTION("""COMPUTED_VALUE"""),0)</f>
        <v>0</v>
      </c>
      <c r="S90" s="7">
        <f ca="1">IFERROR(__xludf.DUMMYFUNCTION("""COMPUTED_VALUE"""),0)</f>
        <v>0</v>
      </c>
      <c r="T90" s="7">
        <f ca="1">IFERROR(__xludf.DUMMYFUNCTION("""COMPUTED_VALUE"""),0)</f>
        <v>0</v>
      </c>
      <c r="U90" s="61"/>
      <c r="V90" s="61"/>
      <c r="W90" s="61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0" t="str">
        <f ca="1">IFERROR(__xludf.DUMMYFUNCTION("""COMPUTED_VALUE"""),"A.A. ESC. ESTADUAL MINISTRO NEY BRAGA")</f>
        <v>A.A. ESC. ESTADUAL MINISTRO NEY BRAGA</v>
      </c>
      <c r="D91" s="136" t="str">
        <f ca="1">IFERROR(__xludf.DUMMYFUNCTION("""COMPUTED_VALUE"""),"01206220000139")</f>
        <v>01206220000139</v>
      </c>
      <c r="E91" s="6" t="str">
        <f ca="1">IFERROR(__xludf.DUMMYFUNCTION("""COMPUTED_VALUE"""),"001")</f>
        <v>001</v>
      </c>
      <c r="F91" s="7" t="str">
        <f ca="1">IFERROR(__xludf.DUMMYFUNCTION("""COMPUTED_VALUE"""),"1305")</f>
        <v>1305</v>
      </c>
      <c r="G91" s="7" t="str">
        <f ca="1">IFERROR(__xludf.DUMMYFUNCTION("""COMPUTED_VALUE"""),"10941X")</f>
        <v>10941X</v>
      </c>
      <c r="H91" s="7">
        <f ca="1">IFERROR(__xludf.DUMMYFUNCTION("""COMPUTED_VALUE"""),0)</f>
        <v>0</v>
      </c>
      <c r="I91" s="7">
        <f ca="1">IFERROR(__xludf.DUMMYFUNCTION("""COMPUTED_VALUE"""),0)</f>
        <v>0</v>
      </c>
      <c r="J91" s="7">
        <f ca="1">IFERROR(__xludf.DUMMYFUNCTION("""COMPUTED_VALUE"""),550)</f>
        <v>550</v>
      </c>
      <c r="K91" s="7">
        <f ca="1">IFERROR(__xludf.DUMMYFUNCTION("""COMPUTED_VALUE"""),0)</f>
        <v>0</v>
      </c>
      <c r="L91" s="7">
        <f ca="1">IFERROR(__xludf.DUMMYFUNCTION("""COMPUTED_VALUE"""),0)</f>
        <v>0</v>
      </c>
      <c r="M91" s="7">
        <f ca="1">IFERROR(__xludf.DUMMYFUNCTION("""COMPUTED_VALUE"""),0)</f>
        <v>0</v>
      </c>
      <c r="N91" s="7">
        <f ca="1">IFERROR(__xludf.DUMMYFUNCTION("""COMPUTED_VALUE"""),0)</f>
        <v>0</v>
      </c>
      <c r="O91" s="7">
        <f ca="1">IFERROR(__xludf.DUMMYFUNCTION("""COMPUTED_VALUE"""),0)</f>
        <v>0</v>
      </c>
      <c r="P91" s="7">
        <f ca="1">IFERROR(__xludf.DUMMYFUNCTION("""COMPUTED_VALUE"""),176.799999999999)</f>
        <v>176.79999999999899</v>
      </c>
      <c r="Q91" s="7">
        <f ca="1">IFERROR(__xludf.DUMMYFUNCTION("""COMPUTED_VALUE"""),510)</f>
        <v>510</v>
      </c>
      <c r="R91" s="7">
        <f ca="1">IFERROR(__xludf.DUMMYFUNCTION("""COMPUTED_VALUE"""),0)</f>
        <v>0</v>
      </c>
      <c r="S91" s="7">
        <f ca="1">IFERROR(__xludf.DUMMYFUNCTION("""COMPUTED_VALUE"""),0)</f>
        <v>0</v>
      </c>
      <c r="T91" s="7">
        <f ca="1">IFERROR(__xludf.DUMMYFUNCTION("""COMPUTED_VALUE"""),82)</f>
        <v>82</v>
      </c>
      <c r="U91" s="61"/>
      <c r="V91" s="61"/>
      <c r="W91" s="61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0" t="str">
        <f ca="1">IFERROR(__xludf.DUMMYFUNCTION("""COMPUTED_VALUE"""),"A.A. ESC. E.PRES.TANCREDO DE A.NEVES")</f>
        <v>A.A. ESC. E.PRES.TANCREDO DE A.NEVES</v>
      </c>
      <c r="D92" s="136" t="str">
        <f ca="1">IFERROR(__xludf.DUMMYFUNCTION("""COMPUTED_VALUE"""),"01112478000176")</f>
        <v>01112478000176</v>
      </c>
      <c r="E92" s="6" t="str">
        <f ca="1">IFERROR(__xludf.DUMMYFUNCTION("""COMPUTED_VALUE"""),"001")</f>
        <v>001</v>
      </c>
      <c r="F92" s="7" t="str">
        <f ca="1">IFERROR(__xludf.DUMMYFUNCTION("""COMPUTED_VALUE"""),"1305")</f>
        <v>1305</v>
      </c>
      <c r="G92" s="7" t="str">
        <f ca="1">IFERROR(__xludf.DUMMYFUNCTION("""COMPUTED_VALUE"""),"10924X")</f>
        <v>10924X</v>
      </c>
      <c r="H92" s="7">
        <f ca="1">IFERROR(__xludf.DUMMYFUNCTION("""COMPUTED_VALUE"""),0)</f>
        <v>0</v>
      </c>
      <c r="I92" s="7">
        <f ca="1">IFERROR(__xludf.DUMMYFUNCTION("""COMPUTED_VALUE"""),0)</f>
        <v>0</v>
      </c>
      <c r="J92" s="7">
        <f ca="1">IFERROR(__xludf.DUMMYFUNCTION("""COMPUTED_VALUE"""),1720)</f>
        <v>1720</v>
      </c>
      <c r="K92" s="7">
        <f ca="1">IFERROR(__xludf.DUMMYFUNCTION("""COMPUTED_VALUE"""),0)</f>
        <v>0</v>
      </c>
      <c r="L92" s="7">
        <f ca="1">IFERROR(__xludf.DUMMYFUNCTION("""COMPUTED_VALUE"""),0)</f>
        <v>0</v>
      </c>
      <c r="M92" s="7">
        <f ca="1">IFERROR(__xludf.DUMMYFUNCTION("""COMPUTED_VALUE"""),0)</f>
        <v>0</v>
      </c>
      <c r="N92" s="7">
        <f ca="1">IFERROR(__xludf.DUMMYFUNCTION("""COMPUTED_VALUE"""),0)</f>
        <v>0</v>
      </c>
      <c r="O92" s="7">
        <f ca="1">IFERROR(__xludf.DUMMYFUNCTION("""COMPUTED_VALUE"""),0)</f>
        <v>0</v>
      </c>
      <c r="P92" s="7">
        <f ca="1">IFERROR(__xludf.DUMMYFUNCTION("""COMPUTED_VALUE"""),489.599999999999)</f>
        <v>489.599999999999</v>
      </c>
      <c r="Q92" s="7">
        <f ca="1">IFERROR(__xludf.DUMMYFUNCTION("""COMPUTED_VALUE"""),0)</f>
        <v>0</v>
      </c>
      <c r="R92" s="7">
        <f ca="1">IFERROR(__xludf.DUMMYFUNCTION("""COMPUTED_VALUE"""),0)</f>
        <v>0</v>
      </c>
      <c r="S92" s="7">
        <f ca="1">IFERROR(__xludf.DUMMYFUNCTION("""COMPUTED_VALUE"""),0)</f>
        <v>0</v>
      </c>
      <c r="T92" s="7">
        <f ca="1">IFERROR(__xludf.DUMMYFUNCTION("""COMPUTED_VALUE"""),0)</f>
        <v>0</v>
      </c>
      <c r="U92" s="61"/>
      <c r="V92" s="61"/>
      <c r="W92" s="61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0" t="str">
        <f ca="1">IFERROR(__xludf.DUMMYFUNCTION("""COMPUTED_VALUE"""),"A.A. ESC. EST. VICENTE CARLOS DE SOUSA")</f>
        <v>A.A. ESC. EST. VICENTE CARLOS DE SOUSA</v>
      </c>
      <c r="D93" s="136" t="str">
        <f ca="1">IFERROR(__xludf.DUMMYFUNCTION("""COMPUTED_VALUE"""),"01206288000118")</f>
        <v>01206288000118</v>
      </c>
      <c r="E93" s="6" t="str">
        <f ca="1">IFERROR(__xludf.DUMMYFUNCTION("""COMPUTED_VALUE"""),"001")</f>
        <v>001</v>
      </c>
      <c r="F93" s="7" t="str">
        <f ca="1">IFERROR(__xludf.DUMMYFUNCTION("""COMPUTED_VALUE"""),"1305")</f>
        <v>1305</v>
      </c>
      <c r="G93" s="7" t="str">
        <f ca="1">IFERROR(__xludf.DUMMYFUNCTION("""COMPUTED_VALUE"""),"0109614")</f>
        <v>0109614</v>
      </c>
      <c r="H93" s="7">
        <f ca="1">IFERROR(__xludf.DUMMYFUNCTION("""COMPUTED_VALUE"""),0)</f>
        <v>0</v>
      </c>
      <c r="I93" s="7">
        <f ca="1">IFERROR(__xludf.DUMMYFUNCTION("""COMPUTED_VALUE"""),0)</f>
        <v>0</v>
      </c>
      <c r="J93" s="7">
        <f ca="1">IFERROR(__xludf.DUMMYFUNCTION("""COMPUTED_VALUE"""),3770)</f>
        <v>3770</v>
      </c>
      <c r="K93" s="7">
        <f ca="1">IFERROR(__xludf.DUMMYFUNCTION("""COMPUTED_VALUE"""),0)</f>
        <v>0</v>
      </c>
      <c r="L93" s="7">
        <f ca="1">IFERROR(__xludf.DUMMYFUNCTION("""COMPUTED_VALUE"""),0)</f>
        <v>0</v>
      </c>
      <c r="M93" s="7">
        <f ca="1">IFERROR(__xludf.DUMMYFUNCTION("""COMPUTED_VALUE"""),0)</f>
        <v>0</v>
      </c>
      <c r="N93" s="7">
        <f ca="1">IFERROR(__xludf.DUMMYFUNCTION("""COMPUTED_VALUE"""),0)</f>
        <v>0</v>
      </c>
      <c r="O93" s="7">
        <f ca="1">IFERROR(__xludf.DUMMYFUNCTION("""COMPUTED_VALUE"""),0)</f>
        <v>0</v>
      </c>
      <c r="P93" s="7">
        <f ca="1">IFERROR(__xludf.DUMMYFUNCTION("""COMPUTED_VALUE"""),149.6)</f>
        <v>149.6</v>
      </c>
      <c r="Q93" s="7">
        <f ca="1">IFERROR(__xludf.DUMMYFUNCTION("""COMPUTED_VALUE"""),1180)</f>
        <v>1180</v>
      </c>
      <c r="R93" s="7">
        <f ca="1">IFERROR(__xludf.DUMMYFUNCTION("""COMPUTED_VALUE"""),0)</f>
        <v>0</v>
      </c>
      <c r="S93" s="7">
        <f ca="1">IFERROR(__xludf.DUMMYFUNCTION("""COMPUTED_VALUE"""),0)</f>
        <v>0</v>
      </c>
      <c r="T93" s="7">
        <f ca="1">IFERROR(__xludf.DUMMYFUNCTION("""COMPUTED_VALUE"""),0)</f>
        <v>0</v>
      </c>
      <c r="U93" s="61"/>
      <c r="V93" s="61"/>
      <c r="W93" s="61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0" t="str">
        <f ca="1">IFERROR(__xludf.DUMMYFUNCTION("""COMPUTED_VALUE"""),"A.A. DA ESC. EST. CICERO GOMES")</f>
        <v>A.A. DA ESC. EST. CICERO GOMES</v>
      </c>
      <c r="D94" s="136" t="str">
        <f ca="1">IFERROR(__xludf.DUMMYFUNCTION("""COMPUTED_VALUE"""),"01068377000145")</f>
        <v>01068377000145</v>
      </c>
      <c r="E94" s="6" t="str">
        <f ca="1">IFERROR(__xludf.DUMMYFUNCTION("""COMPUTED_VALUE"""),"001")</f>
        <v>001</v>
      </c>
      <c r="F94" s="7" t="str">
        <f ca="1">IFERROR(__xludf.DUMMYFUNCTION("""COMPUTED_VALUE"""),"3975")</f>
        <v>3975</v>
      </c>
      <c r="G94" s="7" t="str">
        <f ca="1">IFERROR(__xludf.DUMMYFUNCTION("""COMPUTED_VALUE"""),"19291")</f>
        <v>19291</v>
      </c>
      <c r="H94" s="7">
        <f ca="1">IFERROR(__xludf.DUMMYFUNCTION("""COMPUTED_VALUE"""),0)</f>
        <v>0</v>
      </c>
      <c r="I94" s="7">
        <f ca="1">IFERROR(__xludf.DUMMYFUNCTION("""COMPUTED_VALUE"""),0)</f>
        <v>0</v>
      </c>
      <c r="J94" s="7">
        <f ca="1">IFERROR(__xludf.DUMMYFUNCTION("""COMPUTED_VALUE"""),640)</f>
        <v>640</v>
      </c>
      <c r="K94" s="7">
        <f ca="1">IFERROR(__xludf.DUMMYFUNCTION("""COMPUTED_VALUE"""),0)</f>
        <v>0</v>
      </c>
      <c r="L94" s="7">
        <f ca="1">IFERROR(__xludf.DUMMYFUNCTION("""COMPUTED_VALUE"""),0)</f>
        <v>0</v>
      </c>
      <c r="M94" s="7">
        <f ca="1">IFERROR(__xludf.DUMMYFUNCTION("""COMPUTED_VALUE"""),0)</f>
        <v>0</v>
      </c>
      <c r="N94" s="7">
        <f ca="1">IFERROR(__xludf.DUMMYFUNCTION("""COMPUTED_VALUE"""),0)</f>
        <v>0</v>
      </c>
      <c r="O94" s="7">
        <f ca="1">IFERROR(__xludf.DUMMYFUNCTION("""COMPUTED_VALUE"""),0)</f>
        <v>0</v>
      </c>
      <c r="P94" s="7">
        <f ca="1">IFERROR(__xludf.DUMMYFUNCTION("""COMPUTED_VALUE"""),163.2)</f>
        <v>163.19999999999999</v>
      </c>
      <c r="Q94" s="7">
        <f ca="1">IFERROR(__xludf.DUMMYFUNCTION("""COMPUTED_VALUE"""),1070)</f>
        <v>1070</v>
      </c>
      <c r="R94" s="7">
        <f ca="1">IFERROR(__xludf.DUMMYFUNCTION("""COMPUTED_VALUE"""),0)</f>
        <v>0</v>
      </c>
      <c r="S94" s="7">
        <f ca="1">IFERROR(__xludf.DUMMYFUNCTION("""COMPUTED_VALUE"""),0)</f>
        <v>0</v>
      </c>
      <c r="T94" s="7">
        <f ca="1">IFERROR(__xludf.DUMMYFUNCTION("""COMPUTED_VALUE"""),0)</f>
        <v>0</v>
      </c>
      <c r="U94" s="61"/>
      <c r="V94" s="61"/>
      <c r="W94" s="61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0" t="str">
        <f ca="1">IFERROR(__xludf.DUMMYFUNCTION("""COMPUTED_VALUE"""),"A.A.  DA ESCOLA ESTADUAL INES VIANA")</f>
        <v>A.A.  DA ESCOLA ESTADUAL INES VIANA</v>
      </c>
      <c r="D95" s="136" t="str">
        <f ca="1">IFERROR(__xludf.DUMMYFUNCTION("""COMPUTED_VALUE"""),"02508340000153")</f>
        <v>02508340000153</v>
      </c>
      <c r="E95" s="6" t="str">
        <f ca="1">IFERROR(__xludf.DUMMYFUNCTION("""COMPUTED_VALUE"""),"001")</f>
        <v>001</v>
      </c>
      <c r="F95" s="7" t="str">
        <f ca="1">IFERROR(__xludf.DUMMYFUNCTION("""COMPUTED_VALUE"""),"3975")</f>
        <v>3975</v>
      </c>
      <c r="G95" s="7" t="str">
        <f ca="1">IFERROR(__xludf.DUMMYFUNCTION("""COMPUTED_VALUE"""),"51713")</f>
        <v>51713</v>
      </c>
      <c r="H95" s="7">
        <f ca="1">IFERROR(__xludf.DUMMYFUNCTION("""COMPUTED_VALUE"""),0)</f>
        <v>0</v>
      </c>
      <c r="I95" s="7">
        <f ca="1">IFERROR(__xludf.DUMMYFUNCTION("""COMPUTED_VALUE"""),0)</f>
        <v>0</v>
      </c>
      <c r="J95" s="7">
        <f ca="1">IFERROR(__xludf.DUMMYFUNCTION("""COMPUTED_VALUE"""),730)</f>
        <v>730</v>
      </c>
      <c r="K95" s="7">
        <f ca="1">IFERROR(__xludf.DUMMYFUNCTION("""COMPUTED_VALUE"""),0)</f>
        <v>0</v>
      </c>
      <c r="L95" s="7">
        <f ca="1">IFERROR(__xludf.DUMMYFUNCTION("""COMPUTED_VALUE"""),0)</f>
        <v>0</v>
      </c>
      <c r="M95" s="7">
        <f ca="1">IFERROR(__xludf.DUMMYFUNCTION("""COMPUTED_VALUE"""),0)</f>
        <v>0</v>
      </c>
      <c r="N95" s="7">
        <f ca="1">IFERROR(__xludf.DUMMYFUNCTION("""COMPUTED_VALUE"""),0)</f>
        <v>0</v>
      </c>
      <c r="O95" s="7">
        <f ca="1">IFERROR(__xludf.DUMMYFUNCTION("""COMPUTED_VALUE"""),0)</f>
        <v>0</v>
      </c>
      <c r="P95" s="7">
        <f ca="1">IFERROR(__xludf.DUMMYFUNCTION("""COMPUTED_VALUE"""),0)</f>
        <v>0</v>
      </c>
      <c r="Q95" s="7">
        <f ca="1">IFERROR(__xludf.DUMMYFUNCTION("""COMPUTED_VALUE"""),340)</f>
        <v>340</v>
      </c>
      <c r="R95" s="7">
        <f ca="1">IFERROR(__xludf.DUMMYFUNCTION("""COMPUTED_VALUE"""),0)</f>
        <v>0</v>
      </c>
      <c r="S95" s="7">
        <f ca="1">IFERROR(__xludf.DUMMYFUNCTION("""COMPUTED_VALUE"""),0)</f>
        <v>0</v>
      </c>
      <c r="T95" s="7">
        <f ca="1">IFERROR(__xludf.DUMMYFUNCTION("""COMPUTED_VALUE"""),0)</f>
        <v>0</v>
      </c>
      <c r="U95" s="61"/>
      <c r="V95" s="61"/>
      <c r="W95" s="61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0" t="str">
        <f ca="1">IFERROR(__xludf.DUMMYFUNCTION("""COMPUTED_VALUE"""),"A.A. ESC. EST. JOAQUINA MARIA DA SILVA")</f>
        <v>A.A. ESC. EST. JOAQUINA MARIA DA SILVA</v>
      </c>
      <c r="D96" s="136" t="str">
        <f ca="1">IFERROR(__xludf.DUMMYFUNCTION("""COMPUTED_VALUE"""),"01113183000114")</f>
        <v>01113183000114</v>
      </c>
      <c r="E96" s="6" t="str">
        <f ca="1">IFERROR(__xludf.DUMMYFUNCTION("""COMPUTED_VALUE"""),"001")</f>
        <v>001</v>
      </c>
      <c r="F96" s="7" t="str">
        <f ca="1">IFERROR(__xludf.DUMMYFUNCTION("""COMPUTED_VALUE"""),"1305")</f>
        <v>1305</v>
      </c>
      <c r="G96" s="7" t="str">
        <f ca="1">IFERROR(__xludf.DUMMYFUNCTION("""COMPUTED_VALUE"""),"109665")</f>
        <v>109665</v>
      </c>
      <c r="H96" s="7">
        <f ca="1">IFERROR(__xludf.DUMMYFUNCTION("""COMPUTED_VALUE"""),0)</f>
        <v>0</v>
      </c>
      <c r="I96" s="7">
        <f ca="1">IFERROR(__xludf.DUMMYFUNCTION("""COMPUTED_VALUE"""),0)</f>
        <v>0</v>
      </c>
      <c r="J96" s="7">
        <f ca="1">IFERROR(__xludf.DUMMYFUNCTION("""COMPUTED_VALUE"""),1580)</f>
        <v>1580</v>
      </c>
      <c r="K96" s="7">
        <f ca="1">IFERROR(__xludf.DUMMYFUNCTION("""COMPUTED_VALUE"""),0)</f>
        <v>0</v>
      </c>
      <c r="L96" s="7">
        <f ca="1">IFERROR(__xludf.DUMMYFUNCTION("""COMPUTED_VALUE"""),0)</f>
        <v>0</v>
      </c>
      <c r="M96" s="7">
        <f ca="1">IFERROR(__xludf.DUMMYFUNCTION("""COMPUTED_VALUE"""),0)</f>
        <v>0</v>
      </c>
      <c r="N96" s="7">
        <f ca="1">IFERROR(__xludf.DUMMYFUNCTION("""COMPUTED_VALUE"""),0)</f>
        <v>0</v>
      </c>
      <c r="O96" s="7">
        <f ca="1">IFERROR(__xludf.DUMMYFUNCTION("""COMPUTED_VALUE"""),0)</f>
        <v>0</v>
      </c>
      <c r="P96" s="7">
        <f ca="1">IFERROR(__xludf.DUMMYFUNCTION("""COMPUTED_VALUE"""),0)</f>
        <v>0</v>
      </c>
      <c r="Q96" s="7">
        <f ca="1">IFERROR(__xludf.DUMMYFUNCTION("""COMPUTED_VALUE"""),2250)</f>
        <v>2250</v>
      </c>
      <c r="R96" s="7">
        <f ca="1">IFERROR(__xludf.DUMMYFUNCTION("""COMPUTED_VALUE"""),0)</f>
        <v>0</v>
      </c>
      <c r="S96" s="7">
        <f ca="1">IFERROR(__xludf.DUMMYFUNCTION("""COMPUTED_VALUE"""),0)</f>
        <v>0</v>
      </c>
      <c r="T96" s="7">
        <f ca="1">IFERROR(__xludf.DUMMYFUNCTION("""COMPUTED_VALUE"""),0)</f>
        <v>0</v>
      </c>
      <c r="U96" s="61"/>
      <c r="V96" s="61"/>
      <c r="W96" s="61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0" t="str">
        <f ca="1">IFERROR(__xludf.DUMMYFUNCTION("""COMPUTED_VALUE"""),"A.A. ESC. ESTADUAL ULISSES GUIMARAES")</f>
        <v>A.A. ESC. ESTADUAL ULISSES GUIMARAES</v>
      </c>
      <c r="D97" s="136" t="str">
        <f ca="1">IFERROR(__xludf.DUMMYFUNCTION("""COMPUTED_VALUE"""),"01190183000118")</f>
        <v>01190183000118</v>
      </c>
      <c r="E97" s="6" t="str">
        <f ca="1">IFERROR(__xludf.DUMMYFUNCTION("""COMPUTED_VALUE"""),"001")</f>
        <v>001</v>
      </c>
      <c r="F97" s="7" t="str">
        <f ca="1">IFERROR(__xludf.DUMMYFUNCTION("""COMPUTED_VALUE"""),"1305")</f>
        <v>1305</v>
      </c>
      <c r="G97" s="7" t="str">
        <f ca="1">IFERROR(__xludf.DUMMYFUNCTION("""COMPUTED_VALUE"""),"109363")</f>
        <v>109363</v>
      </c>
      <c r="H97" s="7">
        <f ca="1">IFERROR(__xludf.DUMMYFUNCTION("""COMPUTED_VALUE"""),0)</f>
        <v>0</v>
      </c>
      <c r="I97" s="7">
        <f ca="1">IFERROR(__xludf.DUMMYFUNCTION("""COMPUTED_VALUE"""),0)</f>
        <v>0</v>
      </c>
      <c r="J97" s="7">
        <f ca="1">IFERROR(__xludf.DUMMYFUNCTION("""COMPUTED_VALUE"""),1170)</f>
        <v>1170</v>
      </c>
      <c r="K97" s="7">
        <f ca="1">IFERROR(__xludf.DUMMYFUNCTION("""COMPUTED_VALUE"""),0)</f>
        <v>0</v>
      </c>
      <c r="L97" s="7">
        <f ca="1">IFERROR(__xludf.DUMMYFUNCTION("""COMPUTED_VALUE"""),0)</f>
        <v>0</v>
      </c>
      <c r="M97" s="7">
        <f ca="1">IFERROR(__xludf.DUMMYFUNCTION("""COMPUTED_VALUE"""),0)</f>
        <v>0</v>
      </c>
      <c r="N97" s="7">
        <f ca="1">IFERROR(__xludf.DUMMYFUNCTION("""COMPUTED_VALUE"""),0)</f>
        <v>0</v>
      </c>
      <c r="O97" s="7">
        <f ca="1">IFERROR(__xludf.DUMMYFUNCTION("""COMPUTED_VALUE"""),0)</f>
        <v>0</v>
      </c>
      <c r="P97" s="7">
        <f ca="1">IFERROR(__xludf.DUMMYFUNCTION("""COMPUTED_VALUE"""),108.8)</f>
        <v>108.8</v>
      </c>
      <c r="Q97" s="7">
        <f ca="1">IFERROR(__xludf.DUMMYFUNCTION("""COMPUTED_VALUE"""),1950)</f>
        <v>1950</v>
      </c>
      <c r="R97" s="7">
        <f ca="1">IFERROR(__xludf.DUMMYFUNCTION("""COMPUTED_VALUE"""),0)</f>
        <v>0</v>
      </c>
      <c r="S97" s="7">
        <f ca="1">IFERROR(__xludf.DUMMYFUNCTION("""COMPUTED_VALUE"""),0)</f>
        <v>0</v>
      </c>
      <c r="T97" s="7">
        <f ca="1">IFERROR(__xludf.DUMMYFUNCTION("""COMPUTED_VALUE"""),0)</f>
        <v>0</v>
      </c>
      <c r="U97" s="61"/>
      <c r="V97" s="61"/>
      <c r="W97" s="61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0" t="str">
        <f ca="1">IFERROR(__xludf.DUMMYFUNCTION("""COMPUTED_VALUE"""),"A.A. ESC. FAMÍLIA AGRÍCOLA DO BICO DO PAPAGAIO")</f>
        <v>A.A. ESC. FAMÍLIA AGRÍCOLA DO BICO DO PAPAGAIO</v>
      </c>
      <c r="D98" s="136" t="str">
        <f ca="1">IFERROR(__xludf.DUMMYFUNCTION("""COMPUTED_VALUE"""),"09500499000170")</f>
        <v>09500499000170</v>
      </c>
      <c r="E98" s="6" t="str">
        <f ca="1">IFERROR(__xludf.DUMMYFUNCTION("""COMPUTED_VALUE"""),"001")</f>
        <v>001</v>
      </c>
      <c r="F98" s="7" t="str">
        <f ca="1">IFERROR(__xludf.DUMMYFUNCTION("""COMPUTED_VALUE"""),"3975")</f>
        <v>3975</v>
      </c>
      <c r="G98" s="7" t="str">
        <f ca="1">IFERROR(__xludf.DUMMYFUNCTION("""COMPUTED_VALUE"""),"232653")</f>
        <v>232653</v>
      </c>
      <c r="H98" s="7">
        <f ca="1">IFERROR(__xludf.DUMMYFUNCTION("""COMPUTED_VALUE"""),0)</f>
        <v>0</v>
      </c>
      <c r="I98" s="7">
        <f ca="1">IFERROR(__xludf.DUMMYFUNCTION("""COMPUTED_VALUE"""),0)</f>
        <v>0</v>
      </c>
      <c r="J98" s="7">
        <f ca="1">IFERROR(__xludf.DUMMYFUNCTION("""COMPUTED_VALUE"""),0)</f>
        <v>0</v>
      </c>
      <c r="K98" s="7">
        <f ca="1">IFERROR(__xludf.DUMMYFUNCTION("""COMPUTED_VALUE"""),2493.4)</f>
        <v>2493.4</v>
      </c>
      <c r="L98" s="7">
        <f ca="1">IFERROR(__xludf.DUMMYFUNCTION("""COMPUTED_VALUE"""),0)</f>
        <v>0</v>
      </c>
      <c r="M98" s="7">
        <f ca="1">IFERROR(__xludf.DUMMYFUNCTION("""COMPUTED_VALUE"""),0)</f>
        <v>0</v>
      </c>
      <c r="N98" s="7">
        <f ca="1">IFERROR(__xludf.DUMMYFUNCTION("""COMPUTED_VALUE"""),0)</f>
        <v>0</v>
      </c>
      <c r="O98" s="7">
        <f ca="1">IFERROR(__xludf.DUMMYFUNCTION("""COMPUTED_VALUE"""),0)</f>
        <v>0</v>
      </c>
      <c r="P98" s="7">
        <f ca="1">IFERROR(__xludf.DUMMYFUNCTION("""COMPUTED_VALUE"""),0)</f>
        <v>0</v>
      </c>
      <c r="Q98" s="7">
        <f ca="1">IFERROR(__xludf.DUMMYFUNCTION("""COMPUTED_VALUE"""),0)</f>
        <v>0</v>
      </c>
      <c r="R98" s="7">
        <f ca="1">IFERROR(__xludf.DUMMYFUNCTION("""COMPUTED_VALUE"""),3562)</f>
        <v>3562</v>
      </c>
      <c r="S98" s="7">
        <f ca="1">IFERROR(__xludf.DUMMYFUNCTION("""COMPUTED_VALUE"""),0)</f>
        <v>0</v>
      </c>
      <c r="T98" s="7">
        <f ca="1">IFERROR(__xludf.DUMMYFUNCTION("""COMPUTED_VALUE"""),0)</f>
        <v>0</v>
      </c>
      <c r="U98" s="61"/>
      <c r="V98" s="61"/>
      <c r="W98" s="61"/>
    </row>
    <row r="99" spans="1:23" ht="12.75">
      <c r="A99" s="137" t="str">
        <f ca="1">IFERROR(__xludf.DUMMYFUNCTION("""COMPUTED_VALUE"""),"Araguatins")</f>
        <v>Araguatins</v>
      </c>
      <c r="B99" s="137" t="str">
        <f ca="1">IFERROR(__xludf.DUMMYFUNCTION("""COMPUTED_VALUE"""),"Praia Norte")</f>
        <v>Praia Norte</v>
      </c>
      <c r="C99" s="138" t="str">
        <f ca="1">IFERROR(__xludf.DUMMYFUNCTION("""COMPUTED_VALUE"""),"ASS. DE AP.ESCOLA EST. Iº DE JUNHO")</f>
        <v>ASS. DE AP.ESCOLA EST. Iº DE JUNHO</v>
      </c>
      <c r="D99" s="139" t="str">
        <f ca="1">IFERROR(__xludf.DUMMYFUNCTION("""COMPUTED_VALUE"""),"01392734000126")</f>
        <v>01392734000126</v>
      </c>
      <c r="E99" s="140" t="str">
        <f ca="1">IFERROR(__xludf.DUMMYFUNCTION("""COMPUTED_VALUE"""),"001")</f>
        <v>001</v>
      </c>
      <c r="F99" s="141" t="str">
        <f ca="1">IFERROR(__xludf.DUMMYFUNCTION("""COMPUTED_VALUE"""),"3975")</f>
        <v>3975</v>
      </c>
      <c r="G99" s="141" t="str">
        <f ca="1">IFERROR(__xludf.DUMMYFUNCTION("""COMPUTED_VALUE"""),"19712")</f>
        <v>19712</v>
      </c>
      <c r="H99" s="141">
        <f ca="1">IFERROR(__xludf.DUMMYFUNCTION("""COMPUTED_VALUE"""),0)</f>
        <v>0</v>
      </c>
      <c r="I99" s="141">
        <f ca="1">IFERROR(__xludf.DUMMYFUNCTION("""COMPUTED_VALUE"""),0)</f>
        <v>0</v>
      </c>
      <c r="J99" s="141">
        <f ca="1">IFERROR(__xludf.DUMMYFUNCTION("""COMPUTED_VALUE"""),2160)</f>
        <v>2160</v>
      </c>
      <c r="K99" s="141">
        <f ca="1">IFERROR(__xludf.DUMMYFUNCTION("""COMPUTED_VALUE"""),0)</f>
        <v>0</v>
      </c>
      <c r="L99" s="141">
        <f ca="1">IFERROR(__xludf.DUMMYFUNCTION("""COMPUTED_VALUE"""),0)</f>
        <v>0</v>
      </c>
      <c r="M99" s="141">
        <f ca="1">IFERROR(__xludf.DUMMYFUNCTION("""COMPUTED_VALUE"""),0)</f>
        <v>0</v>
      </c>
      <c r="N99" s="141">
        <f ca="1">IFERROR(__xludf.DUMMYFUNCTION("""COMPUTED_VALUE"""),0)</f>
        <v>0</v>
      </c>
      <c r="O99" s="141">
        <f ca="1">IFERROR(__xludf.DUMMYFUNCTION("""COMPUTED_VALUE"""),0)</f>
        <v>0</v>
      </c>
      <c r="P99" s="141">
        <f ca="1">IFERROR(__xludf.DUMMYFUNCTION("""COMPUTED_VALUE"""),163.2)</f>
        <v>163.19999999999999</v>
      </c>
      <c r="Q99" s="141">
        <f ca="1">IFERROR(__xludf.DUMMYFUNCTION("""COMPUTED_VALUE"""),0)</f>
        <v>0</v>
      </c>
      <c r="R99" s="141">
        <f ca="1">IFERROR(__xludf.DUMMYFUNCTION("""COMPUTED_VALUE"""),0)</f>
        <v>0</v>
      </c>
      <c r="S99" s="141">
        <f ca="1">IFERROR(__xludf.DUMMYFUNCTION("""COMPUTED_VALUE"""),0)</f>
        <v>0</v>
      </c>
      <c r="T99" s="141">
        <f ca="1">IFERROR(__xludf.DUMMYFUNCTION("""COMPUTED_VALUE"""),0)</f>
        <v>0</v>
      </c>
      <c r="U99" s="61"/>
      <c r="V99" s="61"/>
      <c r="W99" s="61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0" t="str">
        <f ca="1">IFERROR(__xludf.DUMMYFUNCTION("""COMPUTED_VALUE"""),"ASS. AP.ESC. ESTADUAL GENESIO GOMES")</f>
        <v>ASS. AP.ESC. ESTADUAL GENESIO GOMES</v>
      </c>
      <c r="D100" s="136" t="str">
        <f ca="1">IFERROR(__xludf.DUMMYFUNCTION("""COMPUTED_VALUE"""),"01192607000183")</f>
        <v>01192607000183</v>
      </c>
      <c r="E100" s="6" t="str">
        <f ca="1">IFERROR(__xludf.DUMMYFUNCTION("""COMPUTED_VALUE"""),"001")</f>
        <v>001</v>
      </c>
      <c r="F100" s="7" t="str">
        <f ca="1">IFERROR(__xludf.DUMMYFUNCTION("""COMPUTED_VALUE"""),"3975")</f>
        <v>3975</v>
      </c>
      <c r="G100" s="7" t="str">
        <f ca="1">IFERROR(__xludf.DUMMYFUNCTION("""COMPUTED_VALUE"""),"19690")</f>
        <v>19690</v>
      </c>
      <c r="H100" s="7">
        <f ca="1">IFERROR(__xludf.DUMMYFUNCTION("""COMPUTED_VALUE"""),0)</f>
        <v>0</v>
      </c>
      <c r="I100" s="7">
        <f ca="1">IFERROR(__xludf.DUMMYFUNCTION("""COMPUTED_VALUE"""),0)</f>
        <v>0</v>
      </c>
      <c r="J100" s="7">
        <f ca="1">IFERROR(__xludf.DUMMYFUNCTION("""COMPUTED_VALUE"""),0)</f>
        <v>0</v>
      </c>
      <c r="K100" s="7">
        <f ca="1">IFERROR(__xludf.DUMMYFUNCTION("""COMPUTED_VALUE"""),0)</f>
        <v>0</v>
      </c>
      <c r="L100" s="7">
        <f ca="1">IFERROR(__xludf.DUMMYFUNCTION("""COMPUTED_VALUE"""),0)</f>
        <v>0</v>
      </c>
      <c r="M100" s="7">
        <f ca="1">IFERROR(__xludf.DUMMYFUNCTION("""COMPUTED_VALUE"""),0)</f>
        <v>0</v>
      </c>
      <c r="N100" s="7">
        <f ca="1">IFERROR(__xludf.DUMMYFUNCTION("""COMPUTED_VALUE"""),0)</f>
        <v>0</v>
      </c>
      <c r="O100" s="7">
        <f ca="1">IFERROR(__xludf.DUMMYFUNCTION("""COMPUTED_VALUE"""),0)</f>
        <v>0</v>
      </c>
      <c r="P100" s="7">
        <f ca="1">IFERROR(__xludf.DUMMYFUNCTION("""COMPUTED_VALUE"""),0)</f>
        <v>0</v>
      </c>
      <c r="Q100" s="7">
        <f ca="1">IFERROR(__xludf.DUMMYFUNCTION("""COMPUTED_VALUE"""),3280)</f>
        <v>3280</v>
      </c>
      <c r="R100" s="7">
        <f ca="1">IFERROR(__xludf.DUMMYFUNCTION("""COMPUTED_VALUE"""),0)</f>
        <v>0</v>
      </c>
      <c r="S100" s="7">
        <f ca="1">IFERROR(__xludf.DUMMYFUNCTION("""COMPUTED_VALUE"""),0)</f>
        <v>0</v>
      </c>
      <c r="T100" s="7">
        <f ca="1">IFERROR(__xludf.DUMMYFUNCTION("""COMPUTED_VALUE"""),295.2)</f>
        <v>295.2</v>
      </c>
      <c r="U100" s="61"/>
      <c r="V100" s="61"/>
      <c r="W100" s="61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0" t="str">
        <f ca="1">IFERROR(__xludf.DUMMYFUNCTION("""COMPUTED_VALUE"""),"A. DE AP. DA ESCOLA ESTADUAL SAMPAIO")</f>
        <v>A. DE AP. DA ESCOLA ESTADUAL SAMPAIO</v>
      </c>
      <c r="D101" s="136" t="str">
        <f ca="1">IFERROR(__xludf.DUMMYFUNCTION("""COMPUTED_VALUE"""),"01190179000150")</f>
        <v>01190179000150</v>
      </c>
      <c r="E101" s="6" t="str">
        <f ca="1">IFERROR(__xludf.DUMMYFUNCTION("""COMPUTED_VALUE"""),"001")</f>
        <v>001</v>
      </c>
      <c r="F101" s="7" t="str">
        <f ca="1">IFERROR(__xludf.DUMMYFUNCTION("""COMPUTED_VALUE"""),"1305")</f>
        <v>1305</v>
      </c>
      <c r="G101" s="7" t="str">
        <f ca="1">IFERROR(__xludf.DUMMYFUNCTION("""COMPUTED_VALUE"""),"0019178")</f>
        <v>0019178</v>
      </c>
      <c r="H101" s="7">
        <f ca="1">IFERROR(__xludf.DUMMYFUNCTION("""COMPUTED_VALUE"""),0)</f>
        <v>0</v>
      </c>
      <c r="I101" s="7">
        <f ca="1">IFERROR(__xludf.DUMMYFUNCTION("""COMPUTED_VALUE"""),0)</f>
        <v>0</v>
      </c>
      <c r="J101" s="7">
        <f ca="1">IFERROR(__xludf.DUMMYFUNCTION("""COMPUTED_VALUE"""),3790)</f>
        <v>3790</v>
      </c>
      <c r="K101" s="7">
        <f ca="1">IFERROR(__xludf.DUMMYFUNCTION("""COMPUTED_VALUE"""),0)</f>
        <v>0</v>
      </c>
      <c r="L101" s="7">
        <f ca="1">IFERROR(__xludf.DUMMYFUNCTION("""COMPUTED_VALUE"""),0)</f>
        <v>0</v>
      </c>
      <c r="M101" s="7">
        <f ca="1">IFERROR(__xludf.DUMMYFUNCTION("""COMPUTED_VALUE"""),0)</f>
        <v>0</v>
      </c>
      <c r="N101" s="7">
        <f ca="1">IFERROR(__xludf.DUMMYFUNCTION("""COMPUTED_VALUE"""),0)</f>
        <v>0</v>
      </c>
      <c r="O101" s="7">
        <f ca="1">IFERROR(__xludf.DUMMYFUNCTION("""COMPUTED_VALUE"""),0)</f>
        <v>0</v>
      </c>
      <c r="P101" s="7">
        <f ca="1">IFERROR(__xludf.DUMMYFUNCTION("""COMPUTED_VALUE"""),190.4)</f>
        <v>190.4</v>
      </c>
      <c r="Q101" s="7">
        <f ca="1">IFERROR(__xludf.DUMMYFUNCTION("""COMPUTED_VALUE"""),2050)</f>
        <v>2050</v>
      </c>
      <c r="R101" s="7">
        <f ca="1">IFERROR(__xludf.DUMMYFUNCTION("""COMPUTED_VALUE"""),0)</f>
        <v>0</v>
      </c>
      <c r="S101" s="7">
        <f ca="1">IFERROR(__xludf.DUMMYFUNCTION("""COMPUTED_VALUE"""),0)</f>
        <v>0</v>
      </c>
      <c r="T101" s="7">
        <f ca="1">IFERROR(__xludf.DUMMYFUNCTION("""COMPUTED_VALUE"""),0)</f>
        <v>0</v>
      </c>
      <c r="U101" s="61"/>
      <c r="V101" s="61"/>
      <c r="W101" s="61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0" t="str">
        <f ca="1">IFERROR(__xludf.DUMMYFUNCTION("""COMPUTED_VALUE"""),"A.A. COLEGIO EST. IRMAOS FILGUEIRAS")</f>
        <v>A.A. COLEGIO EST. IRMAOS FILGUEIRAS</v>
      </c>
      <c r="D102" s="136" t="str">
        <f ca="1">IFERROR(__xludf.DUMMYFUNCTION("""COMPUTED_VALUE"""),"01068348000183")</f>
        <v>01068348000183</v>
      </c>
      <c r="E102" s="6" t="str">
        <f ca="1">IFERROR(__xludf.DUMMYFUNCTION("""COMPUTED_VALUE"""),"001")</f>
        <v>001</v>
      </c>
      <c r="F102" s="7" t="str">
        <f ca="1">IFERROR(__xludf.DUMMYFUNCTION("""COMPUTED_VALUE"""),"1305")</f>
        <v>1305</v>
      </c>
      <c r="G102" s="7" t="str">
        <f ca="1">IFERROR(__xludf.DUMMYFUNCTION("""COMPUTED_VALUE"""),"109134")</f>
        <v>109134</v>
      </c>
      <c r="H102" s="7">
        <f ca="1">IFERROR(__xludf.DUMMYFUNCTION("""COMPUTED_VALUE"""),0)</f>
        <v>0</v>
      </c>
      <c r="I102" s="7">
        <f ca="1">IFERROR(__xludf.DUMMYFUNCTION("""COMPUTED_VALUE"""),0)</f>
        <v>0</v>
      </c>
      <c r="J102" s="7">
        <f ca="1">IFERROR(__xludf.DUMMYFUNCTION("""COMPUTED_VALUE"""),1840)</f>
        <v>1840</v>
      </c>
      <c r="K102" s="7">
        <f ca="1">IFERROR(__xludf.DUMMYFUNCTION("""COMPUTED_VALUE"""),0)</f>
        <v>0</v>
      </c>
      <c r="L102" s="7">
        <f ca="1">IFERROR(__xludf.DUMMYFUNCTION("""COMPUTED_VALUE"""),0)</f>
        <v>0</v>
      </c>
      <c r="M102" s="7">
        <f ca="1">IFERROR(__xludf.DUMMYFUNCTION("""COMPUTED_VALUE"""),0)</f>
        <v>0</v>
      </c>
      <c r="N102" s="7">
        <f ca="1">IFERROR(__xludf.DUMMYFUNCTION("""COMPUTED_VALUE"""),0)</f>
        <v>0</v>
      </c>
      <c r="O102" s="7">
        <f ca="1">IFERROR(__xludf.DUMMYFUNCTION("""COMPUTED_VALUE"""),0)</f>
        <v>0</v>
      </c>
      <c r="P102" s="7">
        <f ca="1">IFERROR(__xludf.DUMMYFUNCTION("""COMPUTED_VALUE"""),231.2)</f>
        <v>231.2</v>
      </c>
      <c r="Q102" s="7">
        <f ca="1">IFERROR(__xludf.DUMMYFUNCTION("""COMPUTED_VALUE"""),2160)</f>
        <v>2160</v>
      </c>
      <c r="R102" s="7">
        <f ca="1">IFERROR(__xludf.DUMMYFUNCTION("""COMPUTED_VALUE"""),0)</f>
        <v>0</v>
      </c>
      <c r="S102" s="7">
        <f ca="1">IFERROR(__xludf.DUMMYFUNCTION("""COMPUTED_VALUE"""),0)</f>
        <v>0</v>
      </c>
      <c r="T102" s="7">
        <f ca="1">IFERROR(__xludf.DUMMYFUNCTION("""COMPUTED_VALUE"""),114.799999999999)</f>
        <v>114.799999999999</v>
      </c>
      <c r="U102" s="61"/>
      <c r="V102" s="61"/>
      <c r="W102" s="61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0" t="str">
        <f ca="1">IFERROR(__xludf.DUMMYFUNCTION("""COMPUTED_VALUE"""),"A.A. ESC. EST. ANAIDES BRITO MIRANDA")</f>
        <v>A.A. ESC. EST. ANAIDES BRITO MIRANDA</v>
      </c>
      <c r="D103" s="136" t="str">
        <f ca="1">IFERROR(__xludf.DUMMYFUNCTION("""COMPUTED_VALUE"""),"01181993000108")</f>
        <v>01181993000108</v>
      </c>
      <c r="E103" s="6" t="str">
        <f ca="1">IFERROR(__xludf.DUMMYFUNCTION("""COMPUTED_VALUE"""),"001")</f>
        <v>001</v>
      </c>
      <c r="F103" s="7" t="str">
        <f ca="1">IFERROR(__xludf.DUMMYFUNCTION("""COMPUTED_VALUE"""),"1305")</f>
        <v>1305</v>
      </c>
      <c r="G103" s="7" t="str">
        <f ca="1">IFERROR(__xludf.DUMMYFUNCTION("""COMPUTED_VALUE"""),"10938x")</f>
        <v>10938x</v>
      </c>
      <c r="H103" s="7">
        <f ca="1">IFERROR(__xludf.DUMMYFUNCTION("""COMPUTED_VALUE"""),0)</f>
        <v>0</v>
      </c>
      <c r="I103" s="7">
        <f ca="1">IFERROR(__xludf.DUMMYFUNCTION("""COMPUTED_VALUE"""),0)</f>
        <v>0</v>
      </c>
      <c r="J103" s="7">
        <f ca="1">IFERROR(__xludf.DUMMYFUNCTION("""COMPUTED_VALUE"""),700)</f>
        <v>700</v>
      </c>
      <c r="K103" s="7">
        <f ca="1">IFERROR(__xludf.DUMMYFUNCTION("""COMPUTED_VALUE"""),0)</f>
        <v>0</v>
      </c>
      <c r="L103" s="7">
        <f ca="1">IFERROR(__xludf.DUMMYFUNCTION("""COMPUTED_VALUE"""),0)</f>
        <v>0</v>
      </c>
      <c r="M103" s="7">
        <f ca="1">IFERROR(__xludf.DUMMYFUNCTION("""COMPUTED_VALUE"""),0)</f>
        <v>0</v>
      </c>
      <c r="N103" s="7">
        <f ca="1">IFERROR(__xludf.DUMMYFUNCTION("""COMPUTED_VALUE"""),0)</f>
        <v>0</v>
      </c>
      <c r="O103" s="7">
        <f ca="1">IFERROR(__xludf.DUMMYFUNCTION("""COMPUTED_VALUE"""),0)</f>
        <v>0</v>
      </c>
      <c r="P103" s="7">
        <f ca="1">IFERROR(__xludf.DUMMYFUNCTION("""COMPUTED_VALUE"""),163.2)</f>
        <v>163.19999999999999</v>
      </c>
      <c r="Q103" s="7">
        <f ca="1">IFERROR(__xludf.DUMMYFUNCTION("""COMPUTED_VALUE"""),480)</f>
        <v>480</v>
      </c>
      <c r="R103" s="7">
        <f ca="1">IFERROR(__xludf.DUMMYFUNCTION("""COMPUTED_VALUE"""),0)</f>
        <v>0</v>
      </c>
      <c r="S103" s="7">
        <f ca="1">IFERROR(__xludf.DUMMYFUNCTION("""COMPUTED_VALUE"""),0)</f>
        <v>0</v>
      </c>
      <c r="T103" s="7">
        <f ca="1">IFERROR(__xludf.DUMMYFUNCTION("""COMPUTED_VALUE"""),122.999999999999)</f>
        <v>122.99999999999901</v>
      </c>
      <c r="U103" s="61"/>
      <c r="V103" s="61"/>
      <c r="W103" s="61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0" t="str">
        <f ca="1">IFERROR(__xludf.DUMMYFUNCTION("""COMPUTED_VALUE"""),"A.A.  DA ESCOLA ESTADUAL BELA VISTA")</f>
        <v>A.A.  DA ESCOLA ESTADUAL BELA VISTA</v>
      </c>
      <c r="D104" s="136" t="str">
        <f ca="1">IFERROR(__xludf.DUMMYFUNCTION("""COMPUTED_VALUE"""),"01230238000176")</f>
        <v>01230238000176</v>
      </c>
      <c r="E104" s="6" t="str">
        <f ca="1">IFERROR(__xludf.DUMMYFUNCTION("""COMPUTED_VALUE"""),"001")</f>
        <v>001</v>
      </c>
      <c r="F104" s="7" t="str">
        <f ca="1">IFERROR(__xludf.DUMMYFUNCTION("""COMPUTED_VALUE"""),"1305")</f>
        <v>1305</v>
      </c>
      <c r="G104" s="7" t="str">
        <f ca="1">IFERROR(__xludf.DUMMYFUNCTION("""COMPUTED_VALUE"""),"0217948")</f>
        <v>0217948</v>
      </c>
      <c r="H104" s="7">
        <f ca="1">IFERROR(__xludf.DUMMYFUNCTION("""COMPUTED_VALUE"""),0)</f>
        <v>0</v>
      </c>
      <c r="I104" s="7">
        <f ca="1">IFERROR(__xludf.DUMMYFUNCTION("""COMPUTED_VALUE"""),0)</f>
        <v>0</v>
      </c>
      <c r="J104" s="7">
        <f ca="1">IFERROR(__xludf.DUMMYFUNCTION("""COMPUTED_VALUE"""),2670)</f>
        <v>2670</v>
      </c>
      <c r="K104" s="7">
        <f ca="1">IFERROR(__xludf.DUMMYFUNCTION("""COMPUTED_VALUE"""),0)</f>
        <v>0</v>
      </c>
      <c r="L104" s="7">
        <f ca="1">IFERROR(__xludf.DUMMYFUNCTION("""COMPUTED_VALUE"""),0)</f>
        <v>0</v>
      </c>
      <c r="M104" s="7">
        <f ca="1">IFERROR(__xludf.DUMMYFUNCTION("""COMPUTED_VALUE"""),0)</f>
        <v>0</v>
      </c>
      <c r="N104" s="7">
        <f ca="1">IFERROR(__xludf.DUMMYFUNCTION("""COMPUTED_VALUE"""),0)</f>
        <v>0</v>
      </c>
      <c r="O104" s="7">
        <f ca="1">IFERROR(__xludf.DUMMYFUNCTION("""COMPUTED_VALUE"""),0)</f>
        <v>0</v>
      </c>
      <c r="P104" s="7">
        <f ca="1">IFERROR(__xludf.DUMMYFUNCTION("""COMPUTED_VALUE"""),0)</f>
        <v>0</v>
      </c>
      <c r="Q104" s="7">
        <f ca="1">IFERROR(__xludf.DUMMYFUNCTION("""COMPUTED_VALUE"""),2060)</f>
        <v>2060</v>
      </c>
      <c r="R104" s="7">
        <f ca="1">IFERROR(__xludf.DUMMYFUNCTION("""COMPUTED_VALUE"""),0)</f>
        <v>0</v>
      </c>
      <c r="S104" s="7">
        <f ca="1">IFERROR(__xludf.DUMMYFUNCTION("""COMPUTED_VALUE"""),0)</f>
        <v>0</v>
      </c>
      <c r="T104" s="7">
        <f ca="1">IFERROR(__xludf.DUMMYFUNCTION("""COMPUTED_VALUE"""),0)</f>
        <v>0</v>
      </c>
      <c r="U104" s="61"/>
      <c r="V104" s="61"/>
      <c r="W104" s="61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0" t="str">
        <f ca="1">IFERROR(__xludf.DUMMYFUNCTION("""COMPUTED_VALUE"""),"A.A.  ESCOLA ESTADUAL SAO MIGUEL")</f>
        <v>A.A.  ESCOLA ESTADUAL SAO MIGUEL</v>
      </c>
      <c r="D105" s="136" t="str">
        <f ca="1">IFERROR(__xludf.DUMMYFUNCTION("""COMPUTED_VALUE"""),"01213523000189")</f>
        <v>01213523000189</v>
      </c>
      <c r="E105" s="6" t="str">
        <f ca="1">IFERROR(__xludf.DUMMYFUNCTION("""COMPUTED_VALUE"""),"001")</f>
        <v>001</v>
      </c>
      <c r="F105" s="7" t="str">
        <f ca="1">IFERROR(__xludf.DUMMYFUNCTION("""COMPUTED_VALUE"""),"1305")</f>
        <v>1305</v>
      </c>
      <c r="G105" s="7" t="str">
        <f ca="1">IFERROR(__xludf.DUMMYFUNCTION("""COMPUTED_VALUE"""),"173576")</f>
        <v>173576</v>
      </c>
      <c r="H105" s="7">
        <f ca="1">IFERROR(__xludf.DUMMYFUNCTION("""COMPUTED_VALUE"""),0)</f>
        <v>0</v>
      </c>
      <c r="I105" s="7">
        <f ca="1">IFERROR(__xludf.DUMMYFUNCTION("""COMPUTED_VALUE"""),0)</f>
        <v>0</v>
      </c>
      <c r="J105" s="7">
        <f ca="1">IFERROR(__xludf.DUMMYFUNCTION("""COMPUTED_VALUE"""),2060)</f>
        <v>2060</v>
      </c>
      <c r="K105" s="7">
        <f ca="1">IFERROR(__xludf.DUMMYFUNCTION("""COMPUTED_VALUE"""),0)</f>
        <v>0</v>
      </c>
      <c r="L105" s="7">
        <f ca="1">IFERROR(__xludf.DUMMYFUNCTION("""COMPUTED_VALUE"""),0)</f>
        <v>0</v>
      </c>
      <c r="M105" s="7">
        <f ca="1">IFERROR(__xludf.DUMMYFUNCTION("""COMPUTED_VALUE"""),0)</f>
        <v>0</v>
      </c>
      <c r="N105" s="7">
        <f ca="1">IFERROR(__xludf.DUMMYFUNCTION("""COMPUTED_VALUE"""),0)</f>
        <v>0</v>
      </c>
      <c r="O105" s="7">
        <f ca="1">IFERROR(__xludf.DUMMYFUNCTION("""COMPUTED_VALUE"""),0)</f>
        <v>0</v>
      </c>
      <c r="P105" s="7">
        <f ca="1">IFERROR(__xludf.DUMMYFUNCTION("""COMPUTED_VALUE"""),190.4)</f>
        <v>190.4</v>
      </c>
      <c r="Q105" s="7">
        <f ca="1">IFERROR(__xludf.DUMMYFUNCTION("""COMPUTED_VALUE"""),2690)</f>
        <v>2690</v>
      </c>
      <c r="R105" s="7">
        <f ca="1">IFERROR(__xludf.DUMMYFUNCTION("""COMPUTED_VALUE"""),0)</f>
        <v>0</v>
      </c>
      <c r="S105" s="7">
        <f ca="1">IFERROR(__xludf.DUMMYFUNCTION("""COMPUTED_VALUE"""),0)</f>
        <v>0</v>
      </c>
      <c r="T105" s="7">
        <f ca="1">IFERROR(__xludf.DUMMYFUNCTION("""COMPUTED_VALUE"""),0)</f>
        <v>0</v>
      </c>
      <c r="U105" s="61"/>
      <c r="V105" s="61"/>
      <c r="W105" s="61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0" t="str">
        <f ca="1">IFERROR(__xludf.DUMMYFUNCTION("""COMPUTED_VALUE"""),"A.A.  DO COL. EST.IRIO OLIVEIRA SOUZA")</f>
        <v>A.A.  DO COL. EST.IRIO OLIVEIRA SOUZA</v>
      </c>
      <c r="D106" s="136" t="str">
        <f ca="1">IFERROR(__xludf.DUMMYFUNCTION("""COMPUTED_VALUE"""),"01112477000121")</f>
        <v>01112477000121</v>
      </c>
      <c r="E106" s="6" t="str">
        <f ca="1">IFERROR(__xludf.DUMMYFUNCTION("""COMPUTED_VALUE"""),"001")</f>
        <v>001</v>
      </c>
      <c r="F106" s="7" t="str">
        <f ca="1">IFERROR(__xludf.DUMMYFUNCTION("""COMPUTED_VALUE"""),"1305")</f>
        <v>1305</v>
      </c>
      <c r="G106" s="7" t="str">
        <f ca="1">IFERROR(__xludf.DUMMYFUNCTION("""COMPUTED_VALUE"""),"0109282")</f>
        <v>0109282</v>
      </c>
      <c r="H106" s="7">
        <f ca="1">IFERROR(__xludf.DUMMYFUNCTION("""COMPUTED_VALUE"""),0)</f>
        <v>0</v>
      </c>
      <c r="I106" s="7">
        <f ca="1">IFERROR(__xludf.DUMMYFUNCTION("""COMPUTED_VALUE"""),0)</f>
        <v>0</v>
      </c>
      <c r="J106" s="7">
        <f ca="1">IFERROR(__xludf.DUMMYFUNCTION("""COMPUTED_VALUE"""),0)</f>
        <v>0</v>
      </c>
      <c r="K106" s="7">
        <f ca="1">IFERROR(__xludf.DUMMYFUNCTION("""COMPUTED_VALUE"""),0)</f>
        <v>0</v>
      </c>
      <c r="L106" s="7">
        <f ca="1">IFERROR(__xludf.DUMMYFUNCTION("""COMPUTED_VALUE"""),0)</f>
        <v>0</v>
      </c>
      <c r="M106" s="7">
        <f ca="1">IFERROR(__xludf.DUMMYFUNCTION("""COMPUTED_VALUE"""),0)</f>
        <v>0</v>
      </c>
      <c r="N106" s="7">
        <f ca="1">IFERROR(__xludf.DUMMYFUNCTION("""COMPUTED_VALUE"""),0)</f>
        <v>0</v>
      </c>
      <c r="O106" s="7">
        <f ca="1">IFERROR(__xludf.DUMMYFUNCTION("""COMPUTED_VALUE"""),0)</f>
        <v>0</v>
      </c>
      <c r="P106" s="7">
        <f ca="1">IFERROR(__xludf.DUMMYFUNCTION("""COMPUTED_VALUE"""),0)</f>
        <v>0</v>
      </c>
      <c r="Q106" s="7">
        <f ca="1">IFERROR(__xludf.DUMMYFUNCTION("""COMPUTED_VALUE"""),1770)</f>
        <v>1770</v>
      </c>
      <c r="R106" s="7">
        <f ca="1">IFERROR(__xludf.DUMMYFUNCTION("""COMPUTED_VALUE"""),0)</f>
        <v>0</v>
      </c>
      <c r="S106" s="7">
        <f ca="1">IFERROR(__xludf.DUMMYFUNCTION("""COMPUTED_VALUE"""),0)</f>
        <v>0</v>
      </c>
      <c r="T106" s="7">
        <f ca="1">IFERROR(__xludf.DUMMYFUNCTION("""COMPUTED_VALUE"""),0)</f>
        <v>0</v>
      </c>
      <c r="U106" s="61"/>
      <c r="V106" s="61"/>
      <c r="W106" s="61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0" t="str">
        <f ca="1">IFERROR(__xludf.DUMMYFUNCTION("""COMPUTED_VALUE"""),"A.A. E. E. DR.PEDRO LUDOVICO TEIXEIRA")</f>
        <v>A.A. E. E. DR.PEDRO LUDOVICO TEIXEIRA</v>
      </c>
      <c r="D107" s="136" t="str">
        <f ca="1">IFERROR(__xludf.DUMMYFUNCTION("""COMPUTED_VALUE"""),"01186462000108")</f>
        <v>01186462000108</v>
      </c>
      <c r="E107" s="6" t="str">
        <f ca="1">IFERROR(__xludf.DUMMYFUNCTION("""COMPUTED_VALUE"""),"001")</f>
        <v>001</v>
      </c>
      <c r="F107" s="7" t="str">
        <f ca="1">IFERROR(__xludf.DUMMYFUNCTION("""COMPUTED_VALUE"""),"1305")</f>
        <v>1305</v>
      </c>
      <c r="G107" s="7" t="str">
        <f ca="1">IFERROR(__xludf.DUMMYFUNCTION("""COMPUTED_VALUE"""),"109711")</f>
        <v>109711</v>
      </c>
      <c r="H107" s="7">
        <f ca="1">IFERROR(__xludf.DUMMYFUNCTION("""COMPUTED_VALUE"""),0)</f>
        <v>0</v>
      </c>
      <c r="I107" s="7">
        <f ca="1">IFERROR(__xludf.DUMMYFUNCTION("""COMPUTED_VALUE"""),0)</f>
        <v>0</v>
      </c>
      <c r="J107" s="7">
        <f ca="1">IFERROR(__xludf.DUMMYFUNCTION("""COMPUTED_VALUE"""),1170)</f>
        <v>1170</v>
      </c>
      <c r="K107" s="7">
        <f ca="1">IFERROR(__xludf.DUMMYFUNCTION("""COMPUTED_VALUE"""),0)</f>
        <v>0</v>
      </c>
      <c r="L107" s="7">
        <f ca="1">IFERROR(__xludf.DUMMYFUNCTION("""COMPUTED_VALUE"""),0)</f>
        <v>0</v>
      </c>
      <c r="M107" s="7">
        <f ca="1">IFERROR(__xludf.DUMMYFUNCTION("""COMPUTED_VALUE"""),0)</f>
        <v>0</v>
      </c>
      <c r="N107" s="7">
        <f ca="1">IFERROR(__xludf.DUMMYFUNCTION("""COMPUTED_VALUE"""),0)</f>
        <v>0</v>
      </c>
      <c r="O107" s="7">
        <f ca="1">IFERROR(__xludf.DUMMYFUNCTION("""COMPUTED_VALUE"""),0)</f>
        <v>0</v>
      </c>
      <c r="P107" s="7">
        <f ca="1">IFERROR(__xludf.DUMMYFUNCTION("""COMPUTED_VALUE"""),176.799999999999)</f>
        <v>176.79999999999899</v>
      </c>
      <c r="Q107" s="7">
        <f ca="1">IFERROR(__xludf.DUMMYFUNCTION("""COMPUTED_VALUE"""),0)</f>
        <v>0</v>
      </c>
      <c r="R107" s="7">
        <f ca="1">IFERROR(__xludf.DUMMYFUNCTION("""COMPUTED_VALUE"""),0)</f>
        <v>0</v>
      </c>
      <c r="S107" s="7">
        <f ca="1">IFERROR(__xludf.DUMMYFUNCTION("""COMPUTED_VALUE"""),0)</f>
        <v>0</v>
      </c>
      <c r="T107" s="7">
        <f ca="1">IFERROR(__xludf.DUMMYFUNCTION("""COMPUTED_VALUE"""),623.199999999999)</f>
        <v>623.19999999999902</v>
      </c>
      <c r="U107" s="61"/>
      <c r="V107" s="61"/>
      <c r="W107" s="61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0" t="str">
        <f ca="1">IFERROR(__xludf.DUMMYFUNCTION("""COMPUTED_VALUE"""),"A.A. COL. EST. MARECHAEL RIBAS JUNIOR")</f>
        <v>A.A. COL. EST. MARECHAEL RIBAS JUNIOR</v>
      </c>
      <c r="D108" s="136" t="str">
        <f ca="1">IFERROR(__xludf.DUMMYFUNCTION("""COMPUTED_VALUE"""),"01230241000190")</f>
        <v>01230241000190</v>
      </c>
      <c r="E108" s="6" t="str">
        <f ca="1">IFERROR(__xludf.DUMMYFUNCTION("""COMPUTED_VALUE"""),"001")</f>
        <v>001</v>
      </c>
      <c r="F108" s="7" t="str">
        <f ca="1">IFERROR(__xludf.DUMMYFUNCTION("""COMPUTED_VALUE"""),"1305")</f>
        <v>1305</v>
      </c>
      <c r="G108" s="7" t="str">
        <f ca="1">IFERROR(__xludf.DUMMYFUNCTION("""COMPUTED_VALUE"""),"217964")</f>
        <v>217964</v>
      </c>
      <c r="H108" s="7">
        <f ca="1">IFERROR(__xludf.DUMMYFUNCTION("""COMPUTED_VALUE"""),0)</f>
        <v>0</v>
      </c>
      <c r="I108" s="7">
        <f ca="1">IFERROR(__xludf.DUMMYFUNCTION("""COMPUTED_VALUE"""),0)</f>
        <v>0</v>
      </c>
      <c r="J108" s="7">
        <f ca="1">IFERROR(__xludf.DUMMYFUNCTION("""COMPUTED_VALUE"""),1320)</f>
        <v>1320</v>
      </c>
      <c r="K108" s="7">
        <f ca="1">IFERROR(__xludf.DUMMYFUNCTION("""COMPUTED_VALUE"""),0)</f>
        <v>0</v>
      </c>
      <c r="L108" s="7">
        <f ca="1">IFERROR(__xludf.DUMMYFUNCTION("""COMPUTED_VALUE"""),0)</f>
        <v>0</v>
      </c>
      <c r="M108" s="7">
        <f ca="1">IFERROR(__xludf.DUMMYFUNCTION("""COMPUTED_VALUE"""),0)</f>
        <v>0</v>
      </c>
      <c r="N108" s="7">
        <f ca="1">IFERROR(__xludf.DUMMYFUNCTION("""COMPUTED_VALUE"""),0)</f>
        <v>0</v>
      </c>
      <c r="O108" s="7">
        <f ca="1">IFERROR(__xludf.DUMMYFUNCTION("""COMPUTED_VALUE"""),0)</f>
        <v>0</v>
      </c>
      <c r="P108" s="7">
        <f ca="1">IFERROR(__xludf.DUMMYFUNCTION("""COMPUTED_VALUE"""),408)</f>
        <v>408</v>
      </c>
      <c r="Q108" s="7">
        <f ca="1">IFERROR(__xludf.DUMMYFUNCTION("""COMPUTED_VALUE"""),3110)</f>
        <v>3110</v>
      </c>
      <c r="R108" s="7">
        <f ca="1">IFERROR(__xludf.DUMMYFUNCTION("""COMPUTED_VALUE"""),0)</f>
        <v>0</v>
      </c>
      <c r="S108" s="7">
        <f ca="1">IFERROR(__xludf.DUMMYFUNCTION("""COMPUTED_VALUE"""),0)</f>
        <v>0</v>
      </c>
      <c r="T108" s="7">
        <f ca="1">IFERROR(__xludf.DUMMYFUNCTION("""COMPUTED_VALUE"""),196.799999999999)</f>
        <v>196.79999999999899</v>
      </c>
      <c r="U108" s="61"/>
      <c r="V108" s="61"/>
      <c r="W108" s="61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0" t="str">
        <f ca="1">IFERROR(__xludf.DUMMYFUNCTION("""COMPUTED_VALUE"""),"A.A. E. EST. JOAQUIM TEOTONIO SEGURADO")</f>
        <v>A.A. E. EST. JOAQUIM TEOTONIO SEGURADO</v>
      </c>
      <c r="D109" s="136" t="str">
        <f ca="1">IFERROR(__xludf.DUMMYFUNCTION("""COMPUTED_VALUE"""),"01230240000145")</f>
        <v>01230240000145</v>
      </c>
      <c r="E109" s="6" t="str">
        <f ca="1">IFERROR(__xludf.DUMMYFUNCTION("""COMPUTED_VALUE"""),"001")</f>
        <v>001</v>
      </c>
      <c r="F109" s="7" t="str">
        <f ca="1">IFERROR(__xludf.DUMMYFUNCTION("""COMPUTED_VALUE"""),"0810")</f>
        <v>0810</v>
      </c>
      <c r="G109" s="7" t="str">
        <f ca="1">IFERROR(__xludf.DUMMYFUNCTION("""COMPUTED_VALUE"""),"217972")</f>
        <v>217972</v>
      </c>
      <c r="H109" s="7">
        <f ca="1">IFERROR(__xludf.DUMMYFUNCTION("""COMPUTED_VALUE"""),0)</f>
        <v>0</v>
      </c>
      <c r="I109" s="7">
        <f ca="1">IFERROR(__xludf.DUMMYFUNCTION("""COMPUTED_VALUE"""),0)</f>
        <v>0</v>
      </c>
      <c r="J109" s="7">
        <f ca="1">IFERROR(__xludf.DUMMYFUNCTION("""COMPUTED_VALUE"""),450)</f>
        <v>450</v>
      </c>
      <c r="K109" s="7">
        <f ca="1">IFERROR(__xludf.DUMMYFUNCTION("""COMPUTED_VALUE"""),0)</f>
        <v>0</v>
      </c>
      <c r="L109" s="7">
        <f ca="1">IFERROR(__xludf.DUMMYFUNCTION("""COMPUTED_VALUE"""),0)</f>
        <v>0</v>
      </c>
      <c r="M109" s="7">
        <f ca="1">IFERROR(__xludf.DUMMYFUNCTION("""COMPUTED_VALUE"""),0)</f>
        <v>0</v>
      </c>
      <c r="N109" s="7">
        <f ca="1">IFERROR(__xludf.DUMMYFUNCTION("""COMPUTED_VALUE"""),0)</f>
        <v>0</v>
      </c>
      <c r="O109" s="7">
        <f ca="1">IFERROR(__xludf.DUMMYFUNCTION("""COMPUTED_VALUE"""),0)</f>
        <v>0</v>
      </c>
      <c r="P109" s="7">
        <f ca="1">IFERROR(__xludf.DUMMYFUNCTION("""COMPUTED_VALUE"""),0)</f>
        <v>0</v>
      </c>
      <c r="Q109" s="7">
        <f ca="1">IFERROR(__xludf.DUMMYFUNCTION("""COMPUTED_VALUE"""),690)</f>
        <v>690</v>
      </c>
      <c r="R109" s="7">
        <f ca="1">IFERROR(__xludf.DUMMYFUNCTION("""COMPUTED_VALUE"""),0)</f>
        <v>0</v>
      </c>
      <c r="S109" s="7">
        <f ca="1">IFERROR(__xludf.DUMMYFUNCTION("""COMPUTED_VALUE"""),0)</f>
        <v>0</v>
      </c>
      <c r="T109" s="7">
        <f ca="1">IFERROR(__xludf.DUMMYFUNCTION("""COMPUTED_VALUE"""),0)</f>
        <v>0</v>
      </c>
      <c r="U109" s="61"/>
      <c r="V109" s="61"/>
      <c r="W109" s="61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0" t="str">
        <f ca="1">IFERROR(__xludf.DUMMYFUNCTION("""COMPUTED_VALUE"""),"A.A. ESC. EST. MANOEL ESTEVAO DE SOUZA")</f>
        <v>A.A. ESC. EST. MANOEL ESTEVAO DE SOUZA</v>
      </c>
      <c r="D110" s="136" t="str">
        <f ca="1">IFERROR(__xludf.DUMMYFUNCTION("""COMPUTED_VALUE"""),"01213534000169")</f>
        <v>01213534000169</v>
      </c>
      <c r="E110" s="6" t="str">
        <f ca="1">IFERROR(__xludf.DUMMYFUNCTION("""COMPUTED_VALUE"""),"001")</f>
        <v>001</v>
      </c>
      <c r="F110" s="7" t="str">
        <f ca="1">IFERROR(__xludf.DUMMYFUNCTION("""COMPUTED_VALUE"""),"1305")</f>
        <v>1305</v>
      </c>
      <c r="G110" s="7" t="str">
        <f ca="1">IFERROR(__xludf.DUMMYFUNCTION("""COMPUTED_VALUE"""),"181048")</f>
        <v>181048</v>
      </c>
      <c r="H110" s="7">
        <f ca="1">IFERROR(__xludf.DUMMYFUNCTION("""COMPUTED_VALUE"""),0)</f>
        <v>0</v>
      </c>
      <c r="I110" s="7">
        <f ca="1">IFERROR(__xludf.DUMMYFUNCTION("""COMPUTED_VALUE"""),0)</f>
        <v>0</v>
      </c>
      <c r="J110" s="7">
        <f ca="1">IFERROR(__xludf.DUMMYFUNCTION("""COMPUTED_VALUE"""),1090)</f>
        <v>1090</v>
      </c>
      <c r="K110" s="7">
        <f ca="1">IFERROR(__xludf.DUMMYFUNCTION("""COMPUTED_VALUE"""),0)</f>
        <v>0</v>
      </c>
      <c r="L110" s="7">
        <f ca="1">IFERROR(__xludf.DUMMYFUNCTION("""COMPUTED_VALUE"""),0)</f>
        <v>0</v>
      </c>
      <c r="M110" s="7">
        <f ca="1">IFERROR(__xludf.DUMMYFUNCTION("""COMPUTED_VALUE"""),0)</f>
        <v>0</v>
      </c>
      <c r="N110" s="7">
        <f ca="1">IFERROR(__xludf.DUMMYFUNCTION("""COMPUTED_VALUE"""),0)</f>
        <v>0</v>
      </c>
      <c r="O110" s="7">
        <f ca="1">IFERROR(__xludf.DUMMYFUNCTION("""COMPUTED_VALUE"""),0)</f>
        <v>0</v>
      </c>
      <c r="P110" s="7">
        <f ca="1">IFERROR(__xludf.DUMMYFUNCTION("""COMPUTED_VALUE"""),217.6)</f>
        <v>217.6</v>
      </c>
      <c r="Q110" s="7">
        <f ca="1">IFERROR(__xludf.DUMMYFUNCTION("""COMPUTED_VALUE"""),0)</f>
        <v>0</v>
      </c>
      <c r="R110" s="7">
        <f ca="1">IFERROR(__xludf.DUMMYFUNCTION("""COMPUTED_VALUE"""),0)</f>
        <v>0</v>
      </c>
      <c r="S110" s="7">
        <f ca="1">IFERROR(__xludf.DUMMYFUNCTION("""COMPUTED_VALUE"""),0)</f>
        <v>0</v>
      </c>
      <c r="T110" s="7">
        <f ca="1">IFERROR(__xludf.DUMMYFUNCTION("""COMPUTED_VALUE"""),0)</f>
        <v>0</v>
      </c>
      <c r="U110" s="61"/>
      <c r="V110" s="61"/>
      <c r="W110" s="61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0" t="str">
        <f ca="1">IFERROR(__xludf.DUMMYFUNCTION("""COMPUTED_VALUE"""),"A.A. ESC. EST. RAIMUNDO NONATO LEITE")</f>
        <v>A.A. ESC. EST. RAIMUNDO NONATO LEITE</v>
      </c>
      <c r="D111" s="136" t="str">
        <f ca="1">IFERROR(__xludf.DUMMYFUNCTION("""COMPUTED_VALUE"""),"01230237000121")</f>
        <v>01230237000121</v>
      </c>
      <c r="E111" s="6" t="str">
        <f ca="1">IFERROR(__xludf.DUMMYFUNCTION("""COMPUTED_VALUE"""),"001")</f>
        <v>001</v>
      </c>
      <c r="F111" s="7" t="str">
        <f ca="1">IFERROR(__xludf.DUMMYFUNCTION("""COMPUTED_VALUE"""),"0810")</f>
        <v>0810</v>
      </c>
      <c r="G111" s="7" t="str">
        <f ca="1">IFERROR(__xludf.DUMMYFUNCTION("""COMPUTED_VALUE"""),"217980")</f>
        <v>217980</v>
      </c>
      <c r="H111" s="7">
        <f ca="1">IFERROR(__xludf.DUMMYFUNCTION("""COMPUTED_VALUE"""),0)</f>
        <v>0</v>
      </c>
      <c r="I111" s="7">
        <f ca="1">IFERROR(__xludf.DUMMYFUNCTION("""COMPUTED_VALUE"""),0)</f>
        <v>0</v>
      </c>
      <c r="J111" s="7">
        <f ca="1">IFERROR(__xludf.DUMMYFUNCTION("""COMPUTED_VALUE"""),470)</f>
        <v>470</v>
      </c>
      <c r="K111" s="7">
        <f ca="1">IFERROR(__xludf.DUMMYFUNCTION("""COMPUTED_VALUE"""),0)</f>
        <v>0</v>
      </c>
      <c r="L111" s="7">
        <f ca="1">IFERROR(__xludf.DUMMYFUNCTION("""COMPUTED_VALUE"""),0)</f>
        <v>0</v>
      </c>
      <c r="M111" s="7">
        <f ca="1">IFERROR(__xludf.DUMMYFUNCTION("""COMPUTED_VALUE"""),0)</f>
        <v>0</v>
      </c>
      <c r="N111" s="7">
        <f ca="1">IFERROR(__xludf.DUMMYFUNCTION("""COMPUTED_VALUE"""),0)</f>
        <v>0</v>
      </c>
      <c r="O111" s="7">
        <f ca="1">IFERROR(__xludf.DUMMYFUNCTION("""COMPUTED_VALUE"""),0)</f>
        <v>0</v>
      </c>
      <c r="P111" s="7">
        <f ca="1">IFERROR(__xludf.DUMMYFUNCTION("""COMPUTED_VALUE"""),217.6)</f>
        <v>217.6</v>
      </c>
      <c r="Q111" s="7">
        <f ca="1">IFERROR(__xludf.DUMMYFUNCTION("""COMPUTED_VALUE"""),480)</f>
        <v>480</v>
      </c>
      <c r="R111" s="7">
        <f ca="1">IFERROR(__xludf.DUMMYFUNCTION("""COMPUTED_VALUE"""),0)</f>
        <v>0</v>
      </c>
      <c r="S111" s="7">
        <f ca="1">IFERROR(__xludf.DUMMYFUNCTION("""COMPUTED_VALUE"""),0)</f>
        <v>0</v>
      </c>
      <c r="T111" s="7">
        <f ca="1">IFERROR(__xludf.DUMMYFUNCTION("""COMPUTED_VALUE"""),0)</f>
        <v>0</v>
      </c>
      <c r="U111" s="61"/>
      <c r="V111" s="61"/>
      <c r="W111" s="61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0" t="str">
        <f ca="1">IFERROR(__xludf.DUMMYFUNCTION("""COMPUTED_VALUE"""),"A. E. COM.COL EST PROFA. JOANA B. CORDEIRO")</f>
        <v>A. E. COM.COL EST PROFA. JOANA B. CORDEIRO</v>
      </c>
      <c r="D112" s="136" t="str">
        <f ca="1">IFERROR(__xludf.DUMMYFUNCTION("""COMPUTED_VALUE"""),"00922190000102")</f>
        <v>00922190000102</v>
      </c>
      <c r="E112" s="6" t="str">
        <f ca="1">IFERROR(__xludf.DUMMYFUNCTION("""COMPUTED_VALUE"""),"001")</f>
        <v>001</v>
      </c>
      <c r="F112" s="7" t="str">
        <f ca="1">IFERROR(__xludf.DUMMYFUNCTION("""COMPUTED_VALUE"""),"0541")</f>
        <v>0541</v>
      </c>
      <c r="G112" s="7" t="str">
        <f ca="1">IFERROR(__xludf.DUMMYFUNCTION("""COMPUTED_VALUE"""),"231770")</f>
        <v>231770</v>
      </c>
      <c r="H112" s="7">
        <f ca="1">IFERROR(__xludf.DUMMYFUNCTION("""COMPUTED_VALUE"""),0)</f>
        <v>0</v>
      </c>
      <c r="I112" s="7">
        <f ca="1">IFERROR(__xludf.DUMMYFUNCTION("""COMPUTED_VALUE"""),0)</f>
        <v>0</v>
      </c>
      <c r="J112" s="7">
        <f ca="1">IFERROR(__xludf.DUMMYFUNCTION("""COMPUTED_VALUE"""),0)</f>
        <v>0</v>
      </c>
      <c r="K112" s="7">
        <f ca="1">IFERROR(__xludf.DUMMYFUNCTION("""COMPUTED_VALUE"""),0)</f>
        <v>0</v>
      </c>
      <c r="L112" s="7">
        <f ca="1">IFERROR(__xludf.DUMMYFUNCTION("""COMPUTED_VALUE"""),0)</f>
        <v>0</v>
      </c>
      <c r="M112" s="7">
        <f ca="1">IFERROR(__xludf.DUMMYFUNCTION("""COMPUTED_VALUE"""),0)</f>
        <v>0</v>
      </c>
      <c r="N112" s="7">
        <f ca="1">IFERROR(__xludf.DUMMYFUNCTION("""COMPUTED_VALUE"""),0)</f>
        <v>0</v>
      </c>
      <c r="O112" s="7">
        <f ca="1">IFERROR(__xludf.DUMMYFUNCTION("""COMPUTED_VALUE"""),0)</f>
        <v>0</v>
      </c>
      <c r="P112" s="7">
        <f ca="1">IFERROR(__xludf.DUMMYFUNCTION("""COMPUTED_VALUE"""),81.6)</f>
        <v>81.599999999999994</v>
      </c>
      <c r="Q112" s="7">
        <f ca="1">IFERROR(__xludf.DUMMYFUNCTION("""COMPUTED_VALUE"""),0)</f>
        <v>0</v>
      </c>
      <c r="R112" s="7">
        <f ca="1">IFERROR(__xludf.DUMMYFUNCTION("""COMPUTED_VALUE"""),0)</f>
        <v>0</v>
      </c>
      <c r="S112" s="7">
        <f ca="1">IFERROR(__xludf.DUMMYFUNCTION("""COMPUTED_VALUE"""),2560)</f>
        <v>2560</v>
      </c>
      <c r="T112" s="7">
        <f ca="1">IFERROR(__xludf.DUMMYFUNCTION("""COMPUTED_VALUE"""),0)</f>
        <v>0</v>
      </c>
      <c r="U112" s="61"/>
      <c r="V112" s="61"/>
      <c r="W112" s="61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0" t="str">
        <f ca="1">IFERROR(__xludf.DUMMYFUNCTION("""COMPUTED_VALUE"""),"A.A. ESC. AGRÍCOLA DAVID AIRES FRANÇA")</f>
        <v>A.A. ESC. AGRÍCOLA DAVID AIRES FRANÇA</v>
      </c>
      <c r="D113" s="136" t="str">
        <f ca="1">IFERROR(__xludf.DUMMYFUNCTION("""COMPUTED_VALUE"""),"04302970000100")</f>
        <v>04302970000100</v>
      </c>
      <c r="E113" s="6" t="str">
        <f ca="1">IFERROR(__xludf.DUMMYFUNCTION("""COMPUTED_VALUE"""),"001")</f>
        <v>001</v>
      </c>
      <c r="F113" s="7" t="str">
        <f ca="1">IFERROR(__xludf.DUMMYFUNCTION("""COMPUTED_VALUE"""),"0541")</f>
        <v>0541</v>
      </c>
      <c r="G113" s="7" t="str">
        <f ca="1">IFERROR(__xludf.DUMMYFUNCTION("""COMPUTED_VALUE"""),"94811")</f>
        <v>94811</v>
      </c>
      <c r="H113" s="7">
        <f ca="1">IFERROR(__xludf.DUMMYFUNCTION("""COMPUTED_VALUE"""),0)</f>
        <v>0</v>
      </c>
      <c r="I113" s="7">
        <f ca="1">IFERROR(__xludf.DUMMYFUNCTION("""COMPUTED_VALUE"""),0)</f>
        <v>0</v>
      </c>
      <c r="J113" s="7">
        <f ca="1">IFERROR(__xludf.DUMMYFUNCTION("""COMPUTED_VALUE"""),0)</f>
        <v>0</v>
      </c>
      <c r="K113" s="7">
        <f ca="1">IFERROR(__xludf.DUMMYFUNCTION("""COMPUTED_VALUE"""),1370)</f>
        <v>1370</v>
      </c>
      <c r="L113" s="7">
        <f ca="1">IFERROR(__xludf.DUMMYFUNCTION("""COMPUTED_VALUE"""),0)</f>
        <v>0</v>
      </c>
      <c r="M113" s="7">
        <f ca="1">IFERROR(__xludf.DUMMYFUNCTION("""COMPUTED_VALUE"""),0)</f>
        <v>0</v>
      </c>
      <c r="N113" s="7">
        <f ca="1">IFERROR(__xludf.DUMMYFUNCTION("""COMPUTED_VALUE"""),0)</f>
        <v>0</v>
      </c>
      <c r="O113" s="7">
        <f ca="1">IFERROR(__xludf.DUMMYFUNCTION("""COMPUTED_VALUE"""),0)</f>
        <v>0</v>
      </c>
      <c r="P113" s="7">
        <f ca="1">IFERROR(__xludf.DUMMYFUNCTION("""COMPUTED_VALUE"""),95.2)</f>
        <v>95.2</v>
      </c>
      <c r="Q113" s="7">
        <f ca="1">IFERROR(__xludf.DUMMYFUNCTION("""COMPUTED_VALUE"""),0)</f>
        <v>0</v>
      </c>
      <c r="R113" s="7">
        <f ca="1">IFERROR(__xludf.DUMMYFUNCTION("""COMPUTED_VALUE"""),0)</f>
        <v>0</v>
      </c>
      <c r="S113" s="7">
        <f ca="1">IFERROR(__xludf.DUMMYFUNCTION("""COMPUTED_VALUE"""),5478.4)</f>
        <v>5478.4</v>
      </c>
      <c r="T113" s="7">
        <f ca="1">IFERROR(__xludf.DUMMYFUNCTION("""COMPUTED_VALUE"""),0)</f>
        <v>0</v>
      </c>
      <c r="U113" s="61"/>
      <c r="V113" s="61"/>
      <c r="W113" s="61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0" t="str">
        <f ca="1">IFERROR(__xludf.DUMMYFUNCTION("""COMPUTED_VALUE"""),"A.A. ESCOL. DA ESC. EST. BRIGADEIRO FELIPE")</f>
        <v>A.A. ESCOL. DA ESC. EST. BRIGADEIRO FELIPE</v>
      </c>
      <c r="D114" s="136" t="str">
        <f ca="1">IFERROR(__xludf.DUMMYFUNCTION("""COMPUTED_VALUE"""),"01221149000163")</f>
        <v>01221149000163</v>
      </c>
      <c r="E114" s="6" t="str">
        <f ca="1">IFERROR(__xludf.DUMMYFUNCTION("""COMPUTED_VALUE"""),"001")</f>
        <v>001</v>
      </c>
      <c r="F114" s="7" t="str">
        <f ca="1">IFERROR(__xludf.DUMMYFUNCTION("""COMPUTED_VALUE"""),"0541")</f>
        <v>0541</v>
      </c>
      <c r="G114" s="7" t="str">
        <f ca="1">IFERROR(__xludf.DUMMYFUNCTION("""COMPUTED_VALUE"""),"232165")</f>
        <v>232165</v>
      </c>
      <c r="H114" s="7">
        <f ca="1">IFERROR(__xludf.DUMMYFUNCTION("""COMPUTED_VALUE"""),0)</f>
        <v>0</v>
      </c>
      <c r="I114" s="7">
        <f ca="1">IFERROR(__xludf.DUMMYFUNCTION("""COMPUTED_VALUE"""),0)</f>
        <v>0</v>
      </c>
      <c r="J114" s="7">
        <f ca="1">IFERROR(__xludf.DUMMYFUNCTION("""COMPUTED_VALUE"""),1080)</f>
        <v>1080</v>
      </c>
      <c r="K114" s="7">
        <f ca="1">IFERROR(__xludf.DUMMYFUNCTION("""COMPUTED_VALUE"""),0)</f>
        <v>0</v>
      </c>
      <c r="L114" s="7">
        <f ca="1">IFERROR(__xludf.DUMMYFUNCTION("""COMPUTED_VALUE"""),0)</f>
        <v>0</v>
      </c>
      <c r="M114" s="7">
        <f ca="1">IFERROR(__xludf.DUMMYFUNCTION("""COMPUTED_VALUE"""),0)</f>
        <v>0</v>
      </c>
      <c r="N114" s="7">
        <f ca="1">IFERROR(__xludf.DUMMYFUNCTION("""COMPUTED_VALUE"""),0)</f>
        <v>0</v>
      </c>
      <c r="O114" s="7">
        <f ca="1">IFERROR(__xludf.DUMMYFUNCTION("""COMPUTED_VALUE"""),0)</f>
        <v>0</v>
      </c>
      <c r="P114" s="7">
        <f ca="1">IFERROR(__xludf.DUMMYFUNCTION("""COMPUTED_VALUE"""),95.2)</f>
        <v>95.2</v>
      </c>
      <c r="Q114" s="7">
        <f ca="1">IFERROR(__xludf.DUMMYFUNCTION("""COMPUTED_VALUE"""),1490)</f>
        <v>1490</v>
      </c>
      <c r="R114" s="7">
        <f ca="1">IFERROR(__xludf.DUMMYFUNCTION("""COMPUTED_VALUE"""),0)</f>
        <v>0</v>
      </c>
      <c r="S114" s="7">
        <f ca="1">IFERROR(__xludf.DUMMYFUNCTION("""COMPUTED_VALUE"""),0)</f>
        <v>0</v>
      </c>
      <c r="T114" s="7">
        <f ca="1">IFERROR(__xludf.DUMMYFUNCTION("""COMPUTED_VALUE"""),0)</f>
        <v>0</v>
      </c>
      <c r="U114" s="61"/>
      <c r="V114" s="61"/>
      <c r="W114" s="61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0" t="str">
        <f ca="1">IFERROR(__xludf.DUMMYFUNCTION("""COMPUTED_VALUE"""),"ASS. APOIO ESC. EST. JACY ALVES DE BARROS")</f>
        <v>ASS. APOIO ESC. EST. JACY ALVES DE BARROS</v>
      </c>
      <c r="D115" s="136" t="str">
        <f ca="1">IFERROR(__xludf.DUMMYFUNCTION("""COMPUTED_VALUE"""),"01284634000186")</f>
        <v>01284634000186</v>
      </c>
      <c r="E115" s="6" t="str">
        <f ca="1">IFERROR(__xludf.DUMMYFUNCTION("""COMPUTED_VALUE"""),"001")</f>
        <v>001</v>
      </c>
      <c r="F115" s="7" t="str">
        <f ca="1">IFERROR(__xludf.DUMMYFUNCTION("""COMPUTED_VALUE"""),"0541")</f>
        <v>0541</v>
      </c>
      <c r="G115" s="7" t="str">
        <f ca="1">IFERROR(__xludf.DUMMYFUNCTION("""COMPUTED_VALUE"""),"232246")</f>
        <v>232246</v>
      </c>
      <c r="H115" s="7">
        <f ca="1">IFERROR(__xludf.DUMMYFUNCTION("""COMPUTED_VALUE"""),0)</f>
        <v>0</v>
      </c>
      <c r="I115" s="7">
        <f ca="1">IFERROR(__xludf.DUMMYFUNCTION("""COMPUTED_VALUE"""),0)</f>
        <v>0</v>
      </c>
      <c r="J115" s="7">
        <f ca="1">IFERROR(__xludf.DUMMYFUNCTION("""COMPUTED_VALUE"""),1950)</f>
        <v>1950</v>
      </c>
      <c r="K115" s="7">
        <f ca="1">IFERROR(__xludf.DUMMYFUNCTION("""COMPUTED_VALUE"""),0)</f>
        <v>0</v>
      </c>
      <c r="L115" s="7">
        <f ca="1">IFERROR(__xludf.DUMMYFUNCTION("""COMPUTED_VALUE"""),0)</f>
        <v>0</v>
      </c>
      <c r="M115" s="7">
        <f ca="1">IFERROR(__xludf.DUMMYFUNCTION("""COMPUTED_VALUE"""),0)</f>
        <v>0</v>
      </c>
      <c r="N115" s="7">
        <f ca="1">IFERROR(__xludf.DUMMYFUNCTION("""COMPUTED_VALUE"""),0)</f>
        <v>0</v>
      </c>
      <c r="O115" s="7">
        <f ca="1">IFERROR(__xludf.DUMMYFUNCTION("""COMPUTED_VALUE"""),0)</f>
        <v>0</v>
      </c>
      <c r="P115" s="7">
        <f ca="1">IFERROR(__xludf.DUMMYFUNCTION("""COMPUTED_VALUE"""),81.6)</f>
        <v>81.599999999999994</v>
      </c>
      <c r="Q115" s="7">
        <f ca="1">IFERROR(__xludf.DUMMYFUNCTION("""COMPUTED_VALUE"""),0)</f>
        <v>0</v>
      </c>
      <c r="R115" s="7">
        <f ca="1">IFERROR(__xludf.DUMMYFUNCTION("""COMPUTED_VALUE"""),0)</f>
        <v>0</v>
      </c>
      <c r="S115" s="7">
        <f ca="1">IFERROR(__xludf.DUMMYFUNCTION("""COMPUTED_VALUE"""),0)</f>
        <v>0</v>
      </c>
      <c r="T115" s="7">
        <f ca="1">IFERROR(__xludf.DUMMYFUNCTION("""COMPUTED_VALUE"""),0)</f>
        <v>0</v>
      </c>
      <c r="U115" s="61"/>
      <c r="V115" s="61"/>
      <c r="W115" s="61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0" t="str">
        <f ca="1">IFERROR(__xludf.DUMMYFUNCTION("""COMPUTED_VALUE"""),"A.A. ESCOLA ESTADUAL CANABRAVA/ZULMIRA MAGALHÃES")</f>
        <v>A.A. ESCOLA ESTADUAL CANABRAVA/ZULMIRA MAGALHÃES</v>
      </c>
      <c r="D116" s="136" t="str">
        <f ca="1">IFERROR(__xludf.DUMMYFUNCTION("""COMPUTED_VALUE"""),"01284633000131")</f>
        <v>01284633000131</v>
      </c>
      <c r="E116" s="6" t="str">
        <f ca="1">IFERROR(__xludf.DUMMYFUNCTION("""COMPUTED_VALUE"""),"001")</f>
        <v>001</v>
      </c>
      <c r="F116" s="7" t="str">
        <f ca="1">IFERROR(__xludf.DUMMYFUNCTION("""COMPUTED_VALUE"""),"0541")</f>
        <v>0541</v>
      </c>
      <c r="G116" s="7" t="str">
        <f ca="1">IFERROR(__xludf.DUMMYFUNCTION("""COMPUTED_VALUE"""),"23219X")</f>
        <v>23219X</v>
      </c>
      <c r="H116" s="7">
        <f ca="1">IFERROR(__xludf.DUMMYFUNCTION("""COMPUTED_VALUE"""),0)</f>
        <v>0</v>
      </c>
      <c r="I116" s="7">
        <f ca="1">IFERROR(__xludf.DUMMYFUNCTION("""COMPUTED_VALUE"""),0)</f>
        <v>0</v>
      </c>
      <c r="J116" s="7">
        <f ca="1">IFERROR(__xludf.DUMMYFUNCTION("""COMPUTED_VALUE"""),1060)</f>
        <v>1060</v>
      </c>
      <c r="K116" s="7">
        <f ca="1">IFERROR(__xludf.DUMMYFUNCTION("""COMPUTED_VALUE"""),0)</f>
        <v>0</v>
      </c>
      <c r="L116" s="7">
        <f ca="1">IFERROR(__xludf.DUMMYFUNCTION("""COMPUTED_VALUE"""),0)</f>
        <v>0</v>
      </c>
      <c r="M116" s="7">
        <f ca="1">IFERROR(__xludf.DUMMYFUNCTION("""COMPUTED_VALUE"""),0)</f>
        <v>0</v>
      </c>
      <c r="N116" s="7">
        <f ca="1">IFERROR(__xludf.DUMMYFUNCTION("""COMPUTED_VALUE"""),0)</f>
        <v>0</v>
      </c>
      <c r="O116" s="7">
        <f ca="1">IFERROR(__xludf.DUMMYFUNCTION("""COMPUTED_VALUE"""),0)</f>
        <v>0</v>
      </c>
      <c r="P116" s="7">
        <f ca="1">IFERROR(__xludf.DUMMYFUNCTION("""COMPUTED_VALUE"""),190.4)</f>
        <v>190.4</v>
      </c>
      <c r="Q116" s="7">
        <f ca="1">IFERROR(__xludf.DUMMYFUNCTION("""COMPUTED_VALUE"""),590)</f>
        <v>590</v>
      </c>
      <c r="R116" s="7">
        <f ca="1">IFERROR(__xludf.DUMMYFUNCTION("""COMPUTED_VALUE"""),0)</f>
        <v>0</v>
      </c>
      <c r="S116" s="7">
        <f ca="1">IFERROR(__xludf.DUMMYFUNCTION("""COMPUTED_VALUE"""),0)</f>
        <v>0</v>
      </c>
      <c r="T116" s="7">
        <f ca="1">IFERROR(__xludf.DUMMYFUNCTION("""COMPUTED_VALUE"""),0)</f>
        <v>0</v>
      </c>
      <c r="U116" s="61"/>
      <c r="V116" s="61"/>
      <c r="W116" s="61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0" t="str">
        <f ca="1">IFERROR(__xludf.DUMMYFUNCTION("""COMPUTED_VALUE"""),"A.A. ESCOLAR DA ESC. EST. SILVA DOURADO")</f>
        <v>A.A. ESCOLAR DA ESC. EST. SILVA DOURADO</v>
      </c>
      <c r="D117" s="136" t="str">
        <f ca="1">IFERROR(__xludf.DUMMYFUNCTION("""COMPUTED_VALUE"""),"01301519000172")</f>
        <v>01301519000172</v>
      </c>
      <c r="E117" s="6" t="str">
        <f ca="1">IFERROR(__xludf.DUMMYFUNCTION("""COMPUTED_VALUE"""),"001")</f>
        <v>001</v>
      </c>
      <c r="F117" s="7" t="str">
        <f ca="1">IFERROR(__xludf.DUMMYFUNCTION("""COMPUTED_VALUE"""),"0541")</f>
        <v>0541</v>
      </c>
      <c r="G117" s="7" t="str">
        <f ca="1">IFERROR(__xludf.DUMMYFUNCTION("""COMPUTED_VALUE"""),"232297")</f>
        <v>232297</v>
      </c>
      <c r="H117" s="7">
        <f ca="1">IFERROR(__xludf.DUMMYFUNCTION("""COMPUTED_VALUE"""),0)</f>
        <v>0</v>
      </c>
      <c r="I117" s="7">
        <f ca="1">IFERROR(__xludf.DUMMYFUNCTION("""COMPUTED_VALUE"""),0)</f>
        <v>0</v>
      </c>
      <c r="J117" s="7">
        <f ca="1">IFERROR(__xludf.DUMMYFUNCTION("""COMPUTED_VALUE"""),1820)</f>
        <v>1820</v>
      </c>
      <c r="K117" s="7">
        <f ca="1">IFERROR(__xludf.DUMMYFUNCTION("""COMPUTED_VALUE"""),0)</f>
        <v>0</v>
      </c>
      <c r="L117" s="7">
        <f ca="1">IFERROR(__xludf.DUMMYFUNCTION("""COMPUTED_VALUE"""),0)</f>
        <v>0</v>
      </c>
      <c r="M117" s="7">
        <f ca="1">IFERROR(__xludf.DUMMYFUNCTION("""COMPUTED_VALUE"""),0)</f>
        <v>0</v>
      </c>
      <c r="N117" s="7">
        <f ca="1">IFERROR(__xludf.DUMMYFUNCTION("""COMPUTED_VALUE"""),0)</f>
        <v>0</v>
      </c>
      <c r="O117" s="7">
        <f ca="1">IFERROR(__xludf.DUMMYFUNCTION("""COMPUTED_VALUE"""),0)</f>
        <v>0</v>
      </c>
      <c r="P117" s="7">
        <f ca="1">IFERROR(__xludf.DUMMYFUNCTION("""COMPUTED_VALUE"""),149.6)</f>
        <v>149.6</v>
      </c>
      <c r="Q117" s="7">
        <f ca="1">IFERROR(__xludf.DUMMYFUNCTION("""COMPUTED_VALUE"""),0)</f>
        <v>0</v>
      </c>
      <c r="R117" s="7">
        <f ca="1">IFERROR(__xludf.DUMMYFUNCTION("""COMPUTED_VALUE"""),0)</f>
        <v>0</v>
      </c>
      <c r="S117" s="7">
        <f ca="1">IFERROR(__xludf.DUMMYFUNCTION("""COMPUTED_VALUE"""),0)</f>
        <v>0</v>
      </c>
      <c r="T117" s="7">
        <f ca="1">IFERROR(__xludf.DUMMYFUNCTION("""COMPUTED_VALUE"""),311.599999999999)</f>
        <v>311.599999999999</v>
      </c>
      <c r="U117" s="61"/>
      <c r="V117" s="61"/>
      <c r="W117" s="61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0" t="str">
        <f ca="1">IFERROR(__xludf.DUMMYFUNCTION("""COMPUTED_VALUE"""),"A.A. A ESCOLA/COL. EST.PROF. RANULFA")</f>
        <v>A.A. A ESCOLA/COL. EST.PROF. RANULFA</v>
      </c>
      <c r="D118" s="136" t="str">
        <f ca="1">IFERROR(__xludf.DUMMYFUNCTION("""COMPUTED_VALUE"""),"01133691000164")</f>
        <v>01133691000164</v>
      </c>
      <c r="E118" s="6" t="str">
        <f ca="1">IFERROR(__xludf.DUMMYFUNCTION("""COMPUTED_VALUE"""),"001")</f>
        <v>001</v>
      </c>
      <c r="F118" s="7" t="str">
        <f ca="1">IFERROR(__xludf.DUMMYFUNCTION("""COMPUTED_VALUE"""),"3977")</f>
        <v>3977</v>
      </c>
      <c r="G118" s="7" t="str">
        <f ca="1">IFERROR(__xludf.DUMMYFUNCTION("""COMPUTED_VALUE"""),"102725")</f>
        <v>102725</v>
      </c>
      <c r="H118" s="7">
        <f ca="1">IFERROR(__xludf.DUMMYFUNCTION("""COMPUTED_VALUE"""),0)</f>
        <v>0</v>
      </c>
      <c r="I118" s="7">
        <f ca="1">IFERROR(__xludf.DUMMYFUNCTION("""COMPUTED_VALUE"""),0)</f>
        <v>0</v>
      </c>
      <c r="J118" s="7">
        <f ca="1">IFERROR(__xludf.DUMMYFUNCTION("""COMPUTED_VALUE"""),310)</f>
        <v>310</v>
      </c>
      <c r="K118" s="7">
        <f ca="1">IFERROR(__xludf.DUMMYFUNCTION("""COMPUTED_VALUE"""),0)</f>
        <v>0</v>
      </c>
      <c r="L118" s="7">
        <f ca="1">IFERROR(__xludf.DUMMYFUNCTION("""COMPUTED_VALUE"""),0)</f>
        <v>0</v>
      </c>
      <c r="M118" s="7">
        <f ca="1">IFERROR(__xludf.DUMMYFUNCTION("""COMPUTED_VALUE"""),0)</f>
        <v>0</v>
      </c>
      <c r="N118" s="7">
        <f ca="1">IFERROR(__xludf.DUMMYFUNCTION("""COMPUTED_VALUE"""),0)</f>
        <v>0</v>
      </c>
      <c r="O118" s="7">
        <f ca="1">IFERROR(__xludf.DUMMYFUNCTION("""COMPUTED_VALUE"""),0)</f>
        <v>0</v>
      </c>
      <c r="P118" s="7">
        <f ca="1">IFERROR(__xludf.DUMMYFUNCTION("""COMPUTED_VALUE"""),149.6)</f>
        <v>149.6</v>
      </c>
      <c r="Q118" s="7">
        <f ca="1">IFERROR(__xludf.DUMMYFUNCTION("""COMPUTED_VALUE"""),1610)</f>
        <v>1610</v>
      </c>
      <c r="R118" s="7">
        <f ca="1">IFERROR(__xludf.DUMMYFUNCTION("""COMPUTED_VALUE"""),0)</f>
        <v>0</v>
      </c>
      <c r="S118" s="7">
        <f ca="1">IFERROR(__xludf.DUMMYFUNCTION("""COMPUTED_VALUE"""),0)</f>
        <v>0</v>
      </c>
      <c r="T118" s="7">
        <f ca="1">IFERROR(__xludf.DUMMYFUNCTION("""COMPUTED_VALUE"""),0)</f>
        <v>0</v>
      </c>
      <c r="U118" s="61"/>
      <c r="V118" s="61"/>
      <c r="W118" s="61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0" t="str">
        <f ca="1">IFERROR(__xludf.DUMMYFUNCTION("""COMPUTED_VALUE"""),"ASS. APOIO ESCOLA ESTADUAL DONA INES")</f>
        <v>ASS. APOIO ESCOLA ESTADUAL DONA INES</v>
      </c>
      <c r="D119" s="136" t="str">
        <f ca="1">IFERROR(__xludf.DUMMYFUNCTION("""COMPUTED_VALUE"""),"01190419000116")</f>
        <v>01190419000116</v>
      </c>
      <c r="E119" s="6" t="str">
        <f ca="1">IFERROR(__xludf.DUMMYFUNCTION("""COMPUTED_VALUE"""),"001")</f>
        <v>001</v>
      </c>
      <c r="F119" s="7" t="str">
        <f ca="1">IFERROR(__xludf.DUMMYFUNCTION("""COMPUTED_VALUE"""),"3977")</f>
        <v>3977</v>
      </c>
      <c r="G119" s="7" t="str">
        <f ca="1">IFERROR(__xludf.DUMMYFUNCTION("""COMPUTED_VALUE"""),"109703")</f>
        <v>109703</v>
      </c>
      <c r="H119" s="7">
        <f ca="1">IFERROR(__xludf.DUMMYFUNCTION("""COMPUTED_VALUE"""),0)</f>
        <v>0</v>
      </c>
      <c r="I119" s="7">
        <f ca="1">IFERROR(__xludf.DUMMYFUNCTION("""COMPUTED_VALUE"""),0)</f>
        <v>0</v>
      </c>
      <c r="J119" s="7">
        <f ca="1">IFERROR(__xludf.DUMMYFUNCTION("""COMPUTED_VALUE"""),1150)</f>
        <v>1150</v>
      </c>
      <c r="K119" s="7">
        <f ca="1">IFERROR(__xludf.DUMMYFUNCTION("""COMPUTED_VALUE"""),0)</f>
        <v>0</v>
      </c>
      <c r="L119" s="7">
        <f ca="1">IFERROR(__xludf.DUMMYFUNCTION("""COMPUTED_VALUE"""),0)</f>
        <v>0</v>
      </c>
      <c r="M119" s="7">
        <f ca="1">IFERROR(__xludf.DUMMYFUNCTION("""COMPUTED_VALUE"""),0)</f>
        <v>0</v>
      </c>
      <c r="N119" s="7">
        <f ca="1">IFERROR(__xludf.DUMMYFUNCTION("""COMPUTED_VALUE"""),0)</f>
        <v>0</v>
      </c>
      <c r="O119" s="7">
        <f ca="1">IFERROR(__xludf.DUMMYFUNCTION("""COMPUTED_VALUE"""),0)</f>
        <v>0</v>
      </c>
      <c r="P119" s="7">
        <f ca="1">IFERROR(__xludf.DUMMYFUNCTION("""COMPUTED_VALUE"""),0)</f>
        <v>0</v>
      </c>
      <c r="Q119" s="7">
        <f ca="1">IFERROR(__xludf.DUMMYFUNCTION("""COMPUTED_VALUE"""),0)</f>
        <v>0</v>
      </c>
      <c r="R119" s="7">
        <f ca="1">IFERROR(__xludf.DUMMYFUNCTION("""COMPUTED_VALUE"""),0)</f>
        <v>0</v>
      </c>
      <c r="S119" s="7">
        <f ca="1">IFERROR(__xludf.DUMMYFUNCTION("""COMPUTED_VALUE"""),0)</f>
        <v>0</v>
      </c>
      <c r="T119" s="7">
        <f ca="1">IFERROR(__xludf.DUMMYFUNCTION("""COMPUTED_VALUE"""),0)</f>
        <v>0</v>
      </c>
      <c r="U119" s="61"/>
      <c r="V119" s="61"/>
      <c r="W119" s="61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0" t="str">
        <f ca="1">IFERROR(__xludf.DUMMYFUNCTION("""COMPUTED_VALUE"""),"A.A. DO COL. E.JOAQUIM DE SENA E SILVA")</f>
        <v>A.A. DO COL. E.JOAQUIM DE SENA E SILVA</v>
      </c>
      <c r="D120" s="136" t="str">
        <f ca="1">IFERROR(__xludf.DUMMYFUNCTION("""COMPUTED_VALUE"""),"01230223000108")</f>
        <v>01230223000108</v>
      </c>
      <c r="E120" s="6" t="str">
        <f ca="1">IFERROR(__xludf.DUMMYFUNCTION("""COMPUTED_VALUE"""),"001")</f>
        <v>001</v>
      </c>
      <c r="F120" s="7" t="str">
        <f ca="1">IFERROR(__xludf.DUMMYFUNCTION("""COMPUTED_VALUE"""),"3977")</f>
        <v>3977</v>
      </c>
      <c r="G120" s="7" t="str">
        <f ca="1">IFERROR(__xludf.DUMMYFUNCTION("""COMPUTED_VALUE"""),"232106")</f>
        <v>232106</v>
      </c>
      <c r="H120" s="7">
        <f ca="1">IFERROR(__xludf.DUMMYFUNCTION("""COMPUTED_VALUE"""),0)</f>
        <v>0</v>
      </c>
      <c r="I120" s="7">
        <f ca="1">IFERROR(__xludf.DUMMYFUNCTION("""COMPUTED_VALUE"""),0)</f>
        <v>0</v>
      </c>
      <c r="J120" s="7">
        <f ca="1">IFERROR(__xludf.DUMMYFUNCTION("""COMPUTED_VALUE"""),0)</f>
        <v>0</v>
      </c>
      <c r="K120" s="7">
        <f ca="1">IFERROR(__xludf.DUMMYFUNCTION("""COMPUTED_VALUE"""),0)</f>
        <v>0</v>
      </c>
      <c r="L120" s="7">
        <f ca="1">IFERROR(__xludf.DUMMYFUNCTION("""COMPUTED_VALUE"""),0)</f>
        <v>0</v>
      </c>
      <c r="M120" s="7">
        <f ca="1">IFERROR(__xludf.DUMMYFUNCTION("""COMPUTED_VALUE"""),0)</f>
        <v>0</v>
      </c>
      <c r="N120" s="7">
        <f ca="1">IFERROR(__xludf.DUMMYFUNCTION("""COMPUTED_VALUE"""),0)</f>
        <v>0</v>
      </c>
      <c r="O120" s="7">
        <f ca="1">IFERROR(__xludf.DUMMYFUNCTION("""COMPUTED_VALUE"""),0)</f>
        <v>0</v>
      </c>
      <c r="P120" s="7">
        <f ca="1">IFERROR(__xludf.DUMMYFUNCTION("""COMPUTED_VALUE"""),0)</f>
        <v>0</v>
      </c>
      <c r="Q120" s="7">
        <f ca="1">IFERROR(__xludf.DUMMYFUNCTION("""COMPUTED_VALUE"""),2110)</f>
        <v>2110</v>
      </c>
      <c r="R120" s="7">
        <f ca="1">IFERROR(__xludf.DUMMYFUNCTION("""COMPUTED_VALUE"""),0)</f>
        <v>0</v>
      </c>
      <c r="S120" s="7">
        <f ca="1">IFERROR(__xludf.DUMMYFUNCTION("""COMPUTED_VALUE"""),0)</f>
        <v>0</v>
      </c>
      <c r="T120" s="7">
        <f ca="1">IFERROR(__xludf.DUMMYFUNCTION("""COMPUTED_VALUE"""),0)</f>
        <v>0</v>
      </c>
      <c r="U120" s="61"/>
      <c r="V120" s="61"/>
      <c r="W120" s="61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0" t="str">
        <f ca="1">IFERROR(__xludf.DUMMYFUNCTION("""COMPUTED_VALUE"""),"A.A. DA ESCOLA ESTADUAL COMBINADO")</f>
        <v>A.A. DA ESCOLA ESTADUAL COMBINADO</v>
      </c>
      <c r="D121" s="136" t="str">
        <f ca="1">IFERROR(__xludf.DUMMYFUNCTION("""COMPUTED_VALUE"""),"01136003000110")</f>
        <v>01136003000110</v>
      </c>
      <c r="E121" s="6" t="str">
        <f ca="1">IFERROR(__xludf.DUMMYFUNCTION("""COMPUTED_VALUE"""),"001")</f>
        <v>001</v>
      </c>
      <c r="F121" s="7" t="str">
        <f ca="1">IFERROR(__xludf.DUMMYFUNCTION("""COMPUTED_VALUE"""),"3977")</f>
        <v>3977</v>
      </c>
      <c r="G121" s="7" t="str">
        <f ca="1">IFERROR(__xludf.DUMMYFUNCTION("""COMPUTED_VALUE"""),"231940")</f>
        <v>231940</v>
      </c>
      <c r="H121" s="7">
        <f ca="1">IFERROR(__xludf.DUMMYFUNCTION("""COMPUTED_VALUE"""),0)</f>
        <v>0</v>
      </c>
      <c r="I121" s="7">
        <f ca="1">IFERROR(__xludf.DUMMYFUNCTION("""COMPUTED_VALUE"""),0)</f>
        <v>0</v>
      </c>
      <c r="J121" s="7">
        <f ca="1">IFERROR(__xludf.DUMMYFUNCTION("""COMPUTED_VALUE"""),0)</f>
        <v>0</v>
      </c>
      <c r="K121" s="7">
        <f ca="1">IFERROR(__xludf.DUMMYFUNCTION("""COMPUTED_VALUE"""),5343)</f>
        <v>5343</v>
      </c>
      <c r="L121" s="7">
        <f ca="1">IFERROR(__xludf.DUMMYFUNCTION("""COMPUTED_VALUE"""),0)</f>
        <v>0</v>
      </c>
      <c r="M121" s="7">
        <f ca="1">IFERROR(__xludf.DUMMYFUNCTION("""COMPUTED_VALUE"""),0)</f>
        <v>0</v>
      </c>
      <c r="N121" s="7">
        <f ca="1">IFERROR(__xludf.DUMMYFUNCTION("""COMPUTED_VALUE"""),0)</f>
        <v>0</v>
      </c>
      <c r="O121" s="7">
        <f ca="1">IFERROR(__xludf.DUMMYFUNCTION("""COMPUTED_VALUE"""),0)</f>
        <v>0</v>
      </c>
      <c r="P121" s="7">
        <f ca="1">IFERROR(__xludf.DUMMYFUNCTION("""COMPUTED_VALUE"""),204)</f>
        <v>204</v>
      </c>
      <c r="Q121" s="7">
        <f ca="1">IFERROR(__xludf.DUMMYFUNCTION("""COMPUTED_VALUE"""),0)</f>
        <v>0</v>
      </c>
      <c r="R121" s="7">
        <f ca="1">IFERROR(__xludf.DUMMYFUNCTION("""COMPUTED_VALUE"""),0)</f>
        <v>0</v>
      </c>
      <c r="S121" s="7">
        <f ca="1">IFERROR(__xludf.DUMMYFUNCTION("""COMPUTED_VALUE"""),0)</f>
        <v>0</v>
      </c>
      <c r="T121" s="7">
        <f ca="1">IFERROR(__xludf.DUMMYFUNCTION("""COMPUTED_VALUE"""),0)</f>
        <v>0</v>
      </c>
      <c r="U121" s="61"/>
      <c r="V121" s="61"/>
      <c r="W121" s="61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0" t="str">
        <f ca="1">IFERROR(__xludf.DUMMYFUNCTION("""COMPUTED_VALUE"""),"A.A. ESC. EST. AUGUSTA VAZ DOS S.TEIXEIRA")</f>
        <v>A.A. ESC. EST. AUGUSTA VAZ DOS S.TEIXEIRA</v>
      </c>
      <c r="D122" s="136" t="str">
        <f ca="1">IFERROR(__xludf.DUMMYFUNCTION("""COMPUTED_VALUE"""),"01186458000140")</f>
        <v>01186458000140</v>
      </c>
      <c r="E122" s="6" t="str">
        <f ca="1">IFERROR(__xludf.DUMMYFUNCTION("""COMPUTED_VALUE"""),"001")</f>
        <v>001</v>
      </c>
      <c r="F122" s="7" t="str">
        <f ca="1">IFERROR(__xludf.DUMMYFUNCTION("""COMPUTED_VALUE"""),"3977")</f>
        <v>3977</v>
      </c>
      <c r="G122" s="7" t="str">
        <f ca="1">IFERROR(__xludf.DUMMYFUNCTION("""COMPUTED_VALUE"""),"56855")</f>
        <v>56855</v>
      </c>
      <c r="H122" s="7">
        <f ca="1">IFERROR(__xludf.DUMMYFUNCTION("""COMPUTED_VALUE"""),0)</f>
        <v>0</v>
      </c>
      <c r="I122" s="7">
        <f ca="1">IFERROR(__xludf.DUMMYFUNCTION("""COMPUTED_VALUE"""),0)</f>
        <v>0</v>
      </c>
      <c r="J122" s="7">
        <f ca="1">IFERROR(__xludf.DUMMYFUNCTION("""COMPUTED_VALUE"""),1430)</f>
        <v>1430</v>
      </c>
      <c r="K122" s="7">
        <f ca="1">IFERROR(__xludf.DUMMYFUNCTION("""COMPUTED_VALUE"""),0)</f>
        <v>0</v>
      </c>
      <c r="L122" s="7">
        <f ca="1">IFERROR(__xludf.DUMMYFUNCTION("""COMPUTED_VALUE"""),0)</f>
        <v>0</v>
      </c>
      <c r="M122" s="7">
        <f ca="1">IFERROR(__xludf.DUMMYFUNCTION("""COMPUTED_VALUE"""),0)</f>
        <v>0</v>
      </c>
      <c r="N122" s="7">
        <f ca="1">IFERROR(__xludf.DUMMYFUNCTION("""COMPUTED_VALUE"""),0)</f>
        <v>0</v>
      </c>
      <c r="O122" s="7">
        <f ca="1">IFERROR(__xludf.DUMMYFUNCTION("""COMPUTED_VALUE"""),0)</f>
        <v>0</v>
      </c>
      <c r="P122" s="7">
        <f ca="1">IFERROR(__xludf.DUMMYFUNCTION("""COMPUTED_VALUE"""),231.2)</f>
        <v>231.2</v>
      </c>
      <c r="Q122" s="7">
        <f ca="1">IFERROR(__xludf.DUMMYFUNCTION("""COMPUTED_VALUE"""),0)</f>
        <v>0</v>
      </c>
      <c r="R122" s="7">
        <f ca="1">IFERROR(__xludf.DUMMYFUNCTION("""COMPUTED_VALUE"""),0)</f>
        <v>0</v>
      </c>
      <c r="S122" s="7">
        <f ca="1">IFERROR(__xludf.DUMMYFUNCTION("""COMPUTED_VALUE"""),0)</f>
        <v>0</v>
      </c>
      <c r="T122" s="7">
        <f ca="1">IFERROR(__xludf.DUMMYFUNCTION("""COMPUTED_VALUE"""),0)</f>
        <v>0</v>
      </c>
      <c r="U122" s="61"/>
      <c r="V122" s="61"/>
      <c r="W122" s="61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0" t="str">
        <f ca="1">IFERROR(__xludf.DUMMYFUNCTION("""COMPUTED_VALUE"""),"ASSOC. DE APOIO ESC. EST. LAVANDEIRA")</f>
        <v>ASSOC. DE APOIO ESC. EST. LAVANDEIRA</v>
      </c>
      <c r="D123" s="136" t="str">
        <f ca="1">IFERROR(__xludf.DUMMYFUNCTION("""COMPUTED_VALUE"""),"01136024000135")</f>
        <v>01136024000135</v>
      </c>
      <c r="E123" s="6" t="str">
        <f ca="1">IFERROR(__xludf.DUMMYFUNCTION("""COMPUTED_VALUE"""),"001")</f>
        <v>001</v>
      </c>
      <c r="F123" s="7" t="str">
        <f ca="1">IFERROR(__xludf.DUMMYFUNCTION("""COMPUTED_VALUE"""),"3977")</f>
        <v>3977</v>
      </c>
      <c r="G123" s="7" t="str">
        <f ca="1">IFERROR(__xludf.DUMMYFUNCTION("""COMPUTED_VALUE"""),"231916")</f>
        <v>231916</v>
      </c>
      <c r="H123" s="7">
        <f ca="1">IFERROR(__xludf.DUMMYFUNCTION("""COMPUTED_VALUE"""),0)</f>
        <v>0</v>
      </c>
      <c r="I123" s="7">
        <f ca="1">IFERROR(__xludf.DUMMYFUNCTION("""COMPUTED_VALUE"""),0)</f>
        <v>0</v>
      </c>
      <c r="J123" s="7">
        <f ca="1">IFERROR(__xludf.DUMMYFUNCTION("""COMPUTED_VALUE"""),1080)</f>
        <v>1080</v>
      </c>
      <c r="K123" s="7">
        <f ca="1">IFERROR(__xludf.DUMMYFUNCTION("""COMPUTED_VALUE"""),0)</f>
        <v>0</v>
      </c>
      <c r="L123" s="7">
        <f ca="1">IFERROR(__xludf.DUMMYFUNCTION("""COMPUTED_VALUE"""),0)</f>
        <v>0</v>
      </c>
      <c r="M123" s="7">
        <f ca="1">IFERROR(__xludf.DUMMYFUNCTION("""COMPUTED_VALUE"""),0)</f>
        <v>0</v>
      </c>
      <c r="N123" s="7">
        <f ca="1">IFERROR(__xludf.DUMMYFUNCTION("""COMPUTED_VALUE"""),0)</f>
        <v>0</v>
      </c>
      <c r="O123" s="7">
        <f ca="1">IFERROR(__xludf.DUMMYFUNCTION("""COMPUTED_VALUE"""),0)</f>
        <v>0</v>
      </c>
      <c r="P123" s="7">
        <f ca="1">IFERROR(__xludf.DUMMYFUNCTION("""COMPUTED_VALUE"""),204)</f>
        <v>204</v>
      </c>
      <c r="Q123" s="7">
        <f ca="1">IFERROR(__xludf.DUMMYFUNCTION("""COMPUTED_VALUE"""),790)</f>
        <v>790</v>
      </c>
      <c r="R123" s="7">
        <f ca="1">IFERROR(__xludf.DUMMYFUNCTION("""COMPUTED_VALUE"""),0)</f>
        <v>0</v>
      </c>
      <c r="S123" s="7">
        <f ca="1">IFERROR(__xludf.DUMMYFUNCTION("""COMPUTED_VALUE"""),0)</f>
        <v>0</v>
      </c>
      <c r="T123" s="7">
        <f ca="1">IFERROR(__xludf.DUMMYFUNCTION("""COMPUTED_VALUE"""),0)</f>
        <v>0</v>
      </c>
      <c r="U123" s="61"/>
      <c r="V123" s="61"/>
      <c r="W123" s="61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0" t="str">
        <f ca="1">IFERROR(__xludf.DUMMYFUNCTION("""COMPUTED_VALUE"""),"ASSOC. DE APOIO COL. EST. DR.JOAO D`ABREU")</f>
        <v>ASSOC. DE APOIO COL. EST. DR.JOAO D`ABREU</v>
      </c>
      <c r="D124" s="136" t="str">
        <f ca="1">IFERROR(__xludf.DUMMYFUNCTION("""COMPUTED_VALUE"""),"01146115000151")</f>
        <v>01146115000151</v>
      </c>
      <c r="E124" s="6" t="str">
        <f ca="1">IFERROR(__xludf.DUMMYFUNCTION("""COMPUTED_VALUE"""),"001")</f>
        <v>001</v>
      </c>
      <c r="F124" s="7" t="str">
        <f ca="1">IFERROR(__xludf.DUMMYFUNCTION("""COMPUTED_VALUE"""),"3977")</f>
        <v>3977</v>
      </c>
      <c r="G124" s="7" t="str">
        <f ca="1">IFERROR(__xludf.DUMMYFUNCTION("""COMPUTED_VALUE"""),"178845")</f>
        <v>178845</v>
      </c>
      <c r="H124" s="7">
        <f ca="1">IFERROR(__xludf.DUMMYFUNCTION("""COMPUTED_VALUE"""),0)</f>
        <v>0</v>
      </c>
      <c r="I124" s="7">
        <f ca="1">IFERROR(__xludf.DUMMYFUNCTION("""COMPUTED_VALUE"""),0)</f>
        <v>0</v>
      </c>
      <c r="J124" s="7">
        <f ca="1">IFERROR(__xludf.DUMMYFUNCTION("""COMPUTED_VALUE"""),1990)</f>
        <v>1990</v>
      </c>
      <c r="K124" s="7">
        <f ca="1">IFERROR(__xludf.DUMMYFUNCTION("""COMPUTED_VALUE"""),0)</f>
        <v>0</v>
      </c>
      <c r="L124" s="7">
        <f ca="1">IFERROR(__xludf.DUMMYFUNCTION("""COMPUTED_VALUE"""),0)</f>
        <v>0</v>
      </c>
      <c r="M124" s="7">
        <f ca="1">IFERROR(__xludf.DUMMYFUNCTION("""COMPUTED_VALUE"""),0)</f>
        <v>0</v>
      </c>
      <c r="N124" s="7">
        <f ca="1">IFERROR(__xludf.DUMMYFUNCTION("""COMPUTED_VALUE"""),0)</f>
        <v>0</v>
      </c>
      <c r="O124" s="7">
        <f ca="1">IFERROR(__xludf.DUMMYFUNCTION("""COMPUTED_VALUE"""),0)</f>
        <v>0</v>
      </c>
      <c r="P124" s="7">
        <f ca="1">IFERROR(__xludf.DUMMYFUNCTION("""COMPUTED_VALUE"""),258.4)</f>
        <v>258.39999999999998</v>
      </c>
      <c r="Q124" s="7">
        <f ca="1">IFERROR(__xludf.DUMMYFUNCTION("""COMPUTED_VALUE"""),700)</f>
        <v>700</v>
      </c>
      <c r="R124" s="7">
        <f ca="1">IFERROR(__xludf.DUMMYFUNCTION("""COMPUTED_VALUE"""),0)</f>
        <v>0</v>
      </c>
      <c r="S124" s="7">
        <f ca="1">IFERROR(__xludf.DUMMYFUNCTION("""COMPUTED_VALUE"""),0)</f>
        <v>0</v>
      </c>
      <c r="T124" s="7">
        <f ca="1">IFERROR(__xludf.DUMMYFUNCTION("""COMPUTED_VALUE"""),0)</f>
        <v>0</v>
      </c>
      <c r="U124" s="61"/>
      <c r="V124" s="61"/>
      <c r="W124" s="61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0" t="str">
        <f ca="1">IFERROR(__xludf.DUMMYFUNCTION("""COMPUTED_VALUE"""),"A.A. DO COL. EST. DES.VIRGILIO DE M.FRANCO")</f>
        <v>A.A. DO COL. EST. DES.VIRGILIO DE M.FRANCO</v>
      </c>
      <c r="D125" s="136" t="str">
        <f ca="1">IFERROR(__xludf.DUMMYFUNCTION("""COMPUTED_VALUE"""),"01284635000120")</f>
        <v>01284635000120</v>
      </c>
      <c r="E125" s="6" t="str">
        <f ca="1">IFERROR(__xludf.DUMMYFUNCTION("""COMPUTED_VALUE"""),"001")</f>
        <v>001</v>
      </c>
      <c r="F125" s="7" t="str">
        <f ca="1">IFERROR(__xludf.DUMMYFUNCTION("""COMPUTED_VALUE"""),"4790")</f>
        <v>4790</v>
      </c>
      <c r="G125" s="7" t="str">
        <f ca="1">IFERROR(__xludf.DUMMYFUNCTION("""COMPUTED_VALUE"""),"232327")</f>
        <v>232327</v>
      </c>
      <c r="H125" s="7">
        <f ca="1">IFERROR(__xludf.DUMMYFUNCTION("""COMPUTED_VALUE"""),0)</f>
        <v>0</v>
      </c>
      <c r="I125" s="7">
        <f ca="1">IFERROR(__xludf.DUMMYFUNCTION("""COMPUTED_VALUE"""),0)</f>
        <v>0</v>
      </c>
      <c r="J125" s="7">
        <f ca="1">IFERROR(__xludf.DUMMYFUNCTION("""COMPUTED_VALUE"""),0)</f>
        <v>0</v>
      </c>
      <c r="K125" s="7">
        <f ca="1">IFERROR(__xludf.DUMMYFUNCTION("""COMPUTED_VALUE"""),0)</f>
        <v>0</v>
      </c>
      <c r="L125" s="7">
        <f ca="1">IFERROR(__xludf.DUMMYFUNCTION("""COMPUTED_VALUE"""),0)</f>
        <v>0</v>
      </c>
      <c r="M125" s="7">
        <f ca="1">IFERROR(__xludf.DUMMYFUNCTION("""COMPUTED_VALUE"""),0)</f>
        <v>0</v>
      </c>
      <c r="N125" s="7">
        <f ca="1">IFERROR(__xludf.DUMMYFUNCTION("""COMPUTED_VALUE"""),0)</f>
        <v>0</v>
      </c>
      <c r="O125" s="7">
        <f ca="1">IFERROR(__xludf.DUMMYFUNCTION("""COMPUTED_VALUE"""),0)</f>
        <v>0</v>
      </c>
      <c r="P125" s="7">
        <f ca="1">IFERROR(__xludf.DUMMYFUNCTION("""COMPUTED_VALUE"""),0)</f>
        <v>0</v>
      </c>
      <c r="Q125" s="7">
        <f ca="1">IFERROR(__xludf.DUMMYFUNCTION("""COMPUTED_VALUE"""),3160)</f>
        <v>3160</v>
      </c>
      <c r="R125" s="7">
        <f ca="1">IFERROR(__xludf.DUMMYFUNCTION("""COMPUTED_VALUE"""),0)</f>
        <v>0</v>
      </c>
      <c r="S125" s="7">
        <f ca="1">IFERROR(__xludf.DUMMYFUNCTION("""COMPUTED_VALUE"""),0)</f>
        <v>0</v>
      </c>
      <c r="T125" s="7">
        <f ca="1">IFERROR(__xludf.DUMMYFUNCTION("""COMPUTED_VALUE"""),213.2)</f>
        <v>213.2</v>
      </c>
      <c r="U125" s="61"/>
      <c r="V125" s="61"/>
      <c r="W125" s="61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0" t="str">
        <f ca="1">IFERROR(__xludf.DUMMYFUNCTION("""COMPUTED_VALUE"""),"A.A. DA ESC. EST.EUCLIDES BEZERRA GERAIS")</f>
        <v>A.A. DA ESC. EST.EUCLIDES BEZERRA GERAIS</v>
      </c>
      <c r="D126" s="136" t="str">
        <f ca="1">IFERROR(__xludf.DUMMYFUNCTION("""COMPUTED_VALUE"""),"01401950000190")</f>
        <v>01401950000190</v>
      </c>
      <c r="E126" s="6" t="str">
        <f ca="1">IFERROR(__xludf.DUMMYFUNCTION("""COMPUTED_VALUE"""),"001")</f>
        <v>001</v>
      </c>
      <c r="F126" s="7" t="str">
        <f ca="1">IFERROR(__xludf.DUMMYFUNCTION("""COMPUTED_VALUE"""),"0541")</f>
        <v>0541</v>
      </c>
      <c r="G126" s="7" t="str">
        <f ca="1">IFERROR(__xludf.DUMMYFUNCTION("""COMPUTED_VALUE"""),"232483")</f>
        <v>232483</v>
      </c>
      <c r="H126" s="7">
        <f ca="1">IFERROR(__xludf.DUMMYFUNCTION("""COMPUTED_VALUE"""),0)</f>
        <v>0</v>
      </c>
      <c r="I126" s="7">
        <f ca="1">IFERROR(__xludf.DUMMYFUNCTION("""COMPUTED_VALUE"""),0)</f>
        <v>0</v>
      </c>
      <c r="J126" s="7">
        <f ca="1">IFERROR(__xludf.DUMMYFUNCTION("""COMPUTED_VALUE"""),4240)</f>
        <v>4240</v>
      </c>
      <c r="K126" s="7">
        <f ca="1">IFERROR(__xludf.DUMMYFUNCTION("""COMPUTED_VALUE"""),0)</f>
        <v>0</v>
      </c>
      <c r="L126" s="7">
        <f ca="1">IFERROR(__xludf.DUMMYFUNCTION("""COMPUTED_VALUE"""),0)</f>
        <v>0</v>
      </c>
      <c r="M126" s="7">
        <f ca="1">IFERROR(__xludf.DUMMYFUNCTION("""COMPUTED_VALUE"""),0)</f>
        <v>0</v>
      </c>
      <c r="N126" s="7">
        <f ca="1">IFERROR(__xludf.DUMMYFUNCTION("""COMPUTED_VALUE"""),0)</f>
        <v>0</v>
      </c>
      <c r="O126" s="7">
        <f ca="1">IFERROR(__xludf.DUMMYFUNCTION("""COMPUTED_VALUE"""),0)</f>
        <v>0</v>
      </c>
      <c r="P126" s="7">
        <f ca="1">IFERROR(__xludf.DUMMYFUNCTION("""COMPUTED_VALUE"""),272)</f>
        <v>272</v>
      </c>
      <c r="Q126" s="7">
        <f ca="1">IFERROR(__xludf.DUMMYFUNCTION("""COMPUTED_VALUE"""),0)</f>
        <v>0</v>
      </c>
      <c r="R126" s="7">
        <f ca="1">IFERROR(__xludf.DUMMYFUNCTION("""COMPUTED_VALUE"""),0)</f>
        <v>0</v>
      </c>
      <c r="S126" s="7">
        <f ca="1">IFERROR(__xludf.DUMMYFUNCTION("""COMPUTED_VALUE"""),0)</f>
        <v>0</v>
      </c>
      <c r="T126" s="7">
        <f ca="1">IFERROR(__xludf.DUMMYFUNCTION("""COMPUTED_VALUE"""),0)</f>
        <v>0</v>
      </c>
      <c r="U126" s="61"/>
      <c r="V126" s="61"/>
      <c r="W126" s="61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0" t="str">
        <f ca="1">IFERROR(__xludf.DUMMYFUNCTION("""COMPUTED_VALUE"""),"ASSOC. DE APOIO A ESC. EST. REUNIDA FLORESTA")</f>
        <v>ASSOC. DE APOIO A ESC. EST. REUNIDA FLORESTA</v>
      </c>
      <c r="D127" s="136" t="str">
        <f ca="1">IFERROR(__xludf.DUMMYFUNCTION("""COMPUTED_VALUE"""),"03834797000110")</f>
        <v>03834797000110</v>
      </c>
      <c r="E127" s="6" t="str">
        <f ca="1">IFERROR(__xludf.DUMMYFUNCTION("""COMPUTED_VALUE"""),"001")</f>
        <v>001</v>
      </c>
      <c r="F127" s="7" t="str">
        <f ca="1">IFERROR(__xludf.DUMMYFUNCTION("""COMPUTED_VALUE"""),"0541")</f>
        <v>0541</v>
      </c>
      <c r="G127" s="7" t="str">
        <f ca="1">IFERROR(__xludf.DUMMYFUNCTION("""COMPUTED_VALUE"""),"113247")</f>
        <v>113247</v>
      </c>
      <c r="H127" s="7">
        <f ca="1">IFERROR(__xludf.DUMMYFUNCTION("""COMPUTED_VALUE"""),0)</f>
        <v>0</v>
      </c>
      <c r="I127" s="7">
        <f ca="1">IFERROR(__xludf.DUMMYFUNCTION("""COMPUTED_VALUE"""),0)</f>
        <v>0</v>
      </c>
      <c r="J127" s="7">
        <f ca="1">IFERROR(__xludf.DUMMYFUNCTION("""COMPUTED_VALUE"""),530)</f>
        <v>530</v>
      </c>
      <c r="K127" s="7">
        <f ca="1">IFERROR(__xludf.DUMMYFUNCTION("""COMPUTED_VALUE"""),0)</f>
        <v>0</v>
      </c>
      <c r="L127" s="7">
        <f ca="1">IFERROR(__xludf.DUMMYFUNCTION("""COMPUTED_VALUE"""),0)</f>
        <v>0</v>
      </c>
      <c r="M127" s="7">
        <f ca="1">IFERROR(__xludf.DUMMYFUNCTION("""COMPUTED_VALUE"""),0)</f>
        <v>0</v>
      </c>
      <c r="N127" s="7">
        <f ca="1">IFERROR(__xludf.DUMMYFUNCTION("""COMPUTED_VALUE"""),0)</f>
        <v>0</v>
      </c>
      <c r="O127" s="7">
        <f ca="1">IFERROR(__xludf.DUMMYFUNCTION("""COMPUTED_VALUE"""),0)</f>
        <v>0</v>
      </c>
      <c r="P127" s="7">
        <f ca="1">IFERROR(__xludf.DUMMYFUNCTION("""COMPUTED_VALUE"""),68)</f>
        <v>68</v>
      </c>
      <c r="Q127" s="7">
        <f ca="1">IFERROR(__xludf.DUMMYFUNCTION("""COMPUTED_VALUE"""),340)</f>
        <v>340</v>
      </c>
      <c r="R127" s="7">
        <f ca="1">IFERROR(__xludf.DUMMYFUNCTION("""COMPUTED_VALUE"""),0)</f>
        <v>0</v>
      </c>
      <c r="S127" s="7">
        <f ca="1">IFERROR(__xludf.DUMMYFUNCTION("""COMPUTED_VALUE"""),0)</f>
        <v>0</v>
      </c>
      <c r="T127" s="7">
        <f ca="1">IFERROR(__xludf.DUMMYFUNCTION("""COMPUTED_VALUE"""),147.6)</f>
        <v>147.6</v>
      </c>
      <c r="U127" s="61"/>
      <c r="V127" s="61"/>
      <c r="W127" s="61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0" t="str">
        <f ca="1">IFERROR(__xludf.DUMMYFUNCTION("""COMPUTED_VALUE"""),"A.A. A ESC. EST. REUNIDA SANTA RITA DO RIO PALMA")</f>
        <v>A.A. A ESC. EST. REUNIDA SANTA RITA DO RIO PALMA</v>
      </c>
      <c r="D128" s="136" t="str">
        <f ca="1">IFERROR(__xludf.DUMMYFUNCTION("""COMPUTED_VALUE"""),"03834784000141")</f>
        <v>03834784000141</v>
      </c>
      <c r="E128" s="6" t="str">
        <f ca="1">IFERROR(__xludf.DUMMYFUNCTION("""COMPUTED_VALUE"""),"001")</f>
        <v>001</v>
      </c>
      <c r="F128" s="7" t="str">
        <f ca="1">IFERROR(__xludf.DUMMYFUNCTION("""COMPUTED_VALUE"""),"0541")</f>
        <v>0541</v>
      </c>
      <c r="G128" s="7" t="str">
        <f ca="1">IFERROR(__xludf.DUMMYFUNCTION("""COMPUTED_VALUE"""),"113638")</f>
        <v>113638</v>
      </c>
      <c r="H128" s="7">
        <f ca="1">IFERROR(__xludf.DUMMYFUNCTION("""COMPUTED_VALUE"""),0)</f>
        <v>0</v>
      </c>
      <c r="I128" s="7">
        <f ca="1">IFERROR(__xludf.DUMMYFUNCTION("""COMPUTED_VALUE"""),0)</f>
        <v>0</v>
      </c>
      <c r="J128" s="7">
        <f ca="1">IFERROR(__xludf.DUMMYFUNCTION("""COMPUTED_VALUE"""),650)</f>
        <v>650</v>
      </c>
      <c r="K128" s="7">
        <f ca="1">IFERROR(__xludf.DUMMYFUNCTION("""COMPUTED_VALUE"""),0)</f>
        <v>0</v>
      </c>
      <c r="L128" s="7">
        <f ca="1">IFERROR(__xludf.DUMMYFUNCTION("""COMPUTED_VALUE"""),0)</f>
        <v>0</v>
      </c>
      <c r="M128" s="7">
        <f ca="1">IFERROR(__xludf.DUMMYFUNCTION("""COMPUTED_VALUE"""),0)</f>
        <v>0</v>
      </c>
      <c r="N128" s="7">
        <f ca="1">IFERROR(__xludf.DUMMYFUNCTION("""COMPUTED_VALUE"""),0)</f>
        <v>0</v>
      </c>
      <c r="O128" s="7">
        <f ca="1">IFERROR(__xludf.DUMMYFUNCTION("""COMPUTED_VALUE"""),0)</f>
        <v>0</v>
      </c>
      <c r="P128" s="7">
        <f ca="1">IFERROR(__xludf.DUMMYFUNCTION("""COMPUTED_VALUE"""),0)</f>
        <v>0</v>
      </c>
      <c r="Q128" s="7">
        <f ca="1">IFERROR(__xludf.DUMMYFUNCTION("""COMPUTED_VALUE"""),380)</f>
        <v>380</v>
      </c>
      <c r="R128" s="7">
        <f ca="1">IFERROR(__xludf.DUMMYFUNCTION("""COMPUTED_VALUE"""),0)</f>
        <v>0</v>
      </c>
      <c r="S128" s="7">
        <f ca="1">IFERROR(__xludf.DUMMYFUNCTION("""COMPUTED_VALUE"""),0)</f>
        <v>0</v>
      </c>
      <c r="T128" s="7">
        <f ca="1">IFERROR(__xludf.DUMMYFUNCTION("""COMPUTED_VALUE"""),0)</f>
        <v>0</v>
      </c>
      <c r="U128" s="61"/>
      <c r="V128" s="61"/>
      <c r="W128" s="61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0" t="str">
        <f ca="1">IFERROR(__xludf.DUMMYFUNCTION("""COMPUTED_VALUE"""),"A.AP. COL. EST.RUILON DIAS CARNEIRO")</f>
        <v>A.AP. COL. EST.RUILON DIAS CARNEIRO</v>
      </c>
      <c r="D129" s="136" t="str">
        <f ca="1">IFERROR(__xludf.DUMMYFUNCTION("""COMPUTED_VALUE"""),"01133714000130")</f>
        <v>01133714000130</v>
      </c>
      <c r="E129" s="6" t="str">
        <f ca="1">IFERROR(__xludf.DUMMYFUNCTION("""COMPUTED_VALUE"""),"001")</f>
        <v>001</v>
      </c>
      <c r="F129" s="7" t="str">
        <f ca="1">IFERROR(__xludf.DUMMYFUNCTION("""COMPUTED_VALUE"""),"3974")</f>
        <v>3974</v>
      </c>
      <c r="G129" s="7" t="str">
        <f ca="1">IFERROR(__xludf.DUMMYFUNCTION("""COMPUTED_VALUE"""),"2290X")</f>
        <v>2290X</v>
      </c>
      <c r="H129" s="7">
        <f ca="1">IFERROR(__xludf.DUMMYFUNCTION("""COMPUTED_VALUE"""),0)</f>
        <v>0</v>
      </c>
      <c r="I129" s="7">
        <f ca="1">IFERROR(__xludf.DUMMYFUNCTION("""COMPUTED_VALUE"""),0)</f>
        <v>0</v>
      </c>
      <c r="J129" s="7">
        <f ca="1">IFERROR(__xludf.DUMMYFUNCTION("""COMPUTED_VALUE"""),0)</f>
        <v>0</v>
      </c>
      <c r="K129" s="7">
        <f ca="1">IFERROR(__xludf.DUMMYFUNCTION("""COMPUTED_VALUE"""),0)</f>
        <v>0</v>
      </c>
      <c r="L129" s="7">
        <f ca="1">IFERROR(__xludf.DUMMYFUNCTION("""COMPUTED_VALUE"""),0)</f>
        <v>0</v>
      </c>
      <c r="M129" s="7">
        <f ca="1">IFERROR(__xludf.DUMMYFUNCTION("""COMPUTED_VALUE"""),0)</f>
        <v>0</v>
      </c>
      <c r="N129" s="7">
        <f ca="1">IFERROR(__xludf.DUMMYFUNCTION("""COMPUTED_VALUE"""),0)</f>
        <v>0</v>
      </c>
      <c r="O129" s="7">
        <f ca="1">IFERROR(__xludf.DUMMYFUNCTION("""COMPUTED_VALUE"""),0)</f>
        <v>0</v>
      </c>
      <c r="P129" s="7">
        <f ca="1">IFERROR(__xludf.DUMMYFUNCTION("""COMPUTED_VALUE"""),0)</f>
        <v>0</v>
      </c>
      <c r="Q129" s="7">
        <f ca="1">IFERROR(__xludf.DUMMYFUNCTION("""COMPUTED_VALUE"""),2260)</f>
        <v>2260</v>
      </c>
      <c r="R129" s="7">
        <f ca="1">IFERROR(__xludf.DUMMYFUNCTION("""COMPUTED_VALUE"""),0)</f>
        <v>0</v>
      </c>
      <c r="S129" s="7">
        <f ca="1">IFERROR(__xludf.DUMMYFUNCTION("""COMPUTED_VALUE"""),0)</f>
        <v>0</v>
      </c>
      <c r="T129" s="7">
        <f ca="1">IFERROR(__xludf.DUMMYFUNCTION("""COMPUTED_VALUE"""),0)</f>
        <v>0</v>
      </c>
      <c r="U129" s="61"/>
      <c r="V129" s="61"/>
      <c r="W129" s="61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0" t="str">
        <f ca="1">IFERROR(__xludf.DUMMYFUNCTION("""COMPUTED_VALUE"""),"A.A. E. EST. ANTONIO DELFINO GUIMARAES")</f>
        <v>A.A. E. EST. ANTONIO DELFINO GUIMARAES</v>
      </c>
      <c r="D130" s="136" t="str">
        <f ca="1">IFERROR(__xludf.DUMMYFUNCTION("""COMPUTED_VALUE"""),"01135998000102")</f>
        <v>01135998000102</v>
      </c>
      <c r="E130" s="6" t="str">
        <f ca="1">IFERROR(__xludf.DUMMYFUNCTION("""COMPUTED_VALUE"""),"001")</f>
        <v>001</v>
      </c>
      <c r="F130" s="7" t="str">
        <f ca="1">IFERROR(__xludf.DUMMYFUNCTION("""COMPUTED_VALUE"""),"3974")</f>
        <v>3974</v>
      </c>
      <c r="G130" s="7" t="str">
        <f ca="1">IFERROR(__xludf.DUMMYFUNCTION("""COMPUTED_VALUE"""),"2287X")</f>
        <v>2287X</v>
      </c>
      <c r="H130" s="7">
        <f ca="1">IFERROR(__xludf.DUMMYFUNCTION("""COMPUTED_VALUE"""),0)</f>
        <v>0</v>
      </c>
      <c r="I130" s="7">
        <f ca="1">IFERROR(__xludf.DUMMYFUNCTION("""COMPUTED_VALUE"""),0)</f>
        <v>0</v>
      </c>
      <c r="J130" s="7">
        <f ca="1">IFERROR(__xludf.DUMMYFUNCTION("""COMPUTED_VALUE"""),3270)</f>
        <v>3270</v>
      </c>
      <c r="K130" s="7">
        <f ca="1">IFERROR(__xludf.DUMMYFUNCTION("""COMPUTED_VALUE"""),0)</f>
        <v>0</v>
      </c>
      <c r="L130" s="7">
        <f ca="1">IFERROR(__xludf.DUMMYFUNCTION("""COMPUTED_VALUE"""),0)</f>
        <v>0</v>
      </c>
      <c r="M130" s="7">
        <f ca="1">IFERROR(__xludf.DUMMYFUNCTION("""COMPUTED_VALUE"""),0)</f>
        <v>0</v>
      </c>
      <c r="N130" s="7">
        <f ca="1">IFERROR(__xludf.DUMMYFUNCTION("""COMPUTED_VALUE"""),0)</f>
        <v>0</v>
      </c>
      <c r="O130" s="7">
        <f ca="1">IFERROR(__xludf.DUMMYFUNCTION("""COMPUTED_VALUE"""),0)</f>
        <v>0</v>
      </c>
      <c r="P130" s="7">
        <f ca="1">IFERROR(__xludf.DUMMYFUNCTION("""COMPUTED_VALUE"""),312.8)</f>
        <v>312.8</v>
      </c>
      <c r="Q130" s="7">
        <f ca="1">IFERROR(__xludf.DUMMYFUNCTION("""COMPUTED_VALUE"""),0)</f>
        <v>0</v>
      </c>
      <c r="R130" s="7">
        <f ca="1">IFERROR(__xludf.DUMMYFUNCTION("""COMPUTED_VALUE"""),0)</f>
        <v>0</v>
      </c>
      <c r="S130" s="7">
        <f ca="1">IFERROR(__xludf.DUMMYFUNCTION("""COMPUTED_VALUE"""),0)</f>
        <v>0</v>
      </c>
      <c r="T130" s="7">
        <f ca="1">IFERROR(__xludf.DUMMYFUNCTION("""COMPUTED_VALUE"""),0)</f>
        <v>0</v>
      </c>
      <c r="U130" s="61"/>
      <c r="V130" s="61"/>
      <c r="W130" s="61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0" t="str">
        <f ca="1">IFERROR(__xludf.DUMMYFUNCTION("""COMPUTED_VALUE"""),"A.A. E. E. ARCELINO F. DO NASCIMENTO")</f>
        <v>A.A. E. E. ARCELINO F. DO NASCIMENTO</v>
      </c>
      <c r="D131" s="136" t="str">
        <f ca="1">IFERROR(__xludf.DUMMYFUNCTION("""COMPUTED_VALUE"""),"01181179000193")</f>
        <v>01181179000193</v>
      </c>
      <c r="E131" s="6" t="str">
        <f ca="1">IFERROR(__xludf.DUMMYFUNCTION("""COMPUTED_VALUE"""),"001")</f>
        <v>001</v>
      </c>
      <c r="F131" s="7" t="str">
        <f ca="1">IFERROR(__xludf.DUMMYFUNCTION("""COMPUTED_VALUE"""),"0911")</f>
        <v>0911</v>
      </c>
      <c r="G131" s="7" t="str">
        <f ca="1">IFERROR(__xludf.DUMMYFUNCTION("""COMPUTED_VALUE"""),"46578X")</f>
        <v>46578X</v>
      </c>
      <c r="H131" s="7">
        <f ca="1">IFERROR(__xludf.DUMMYFUNCTION("""COMPUTED_VALUE"""),0)</f>
        <v>0</v>
      </c>
      <c r="I131" s="7">
        <f ca="1">IFERROR(__xludf.DUMMYFUNCTION("""COMPUTED_VALUE"""),0)</f>
        <v>0</v>
      </c>
      <c r="J131" s="7">
        <f ca="1">IFERROR(__xludf.DUMMYFUNCTION("""COMPUTED_VALUE"""),780)</f>
        <v>780</v>
      </c>
      <c r="K131" s="7">
        <f ca="1">IFERROR(__xludf.DUMMYFUNCTION("""COMPUTED_VALUE"""),0)</f>
        <v>0</v>
      </c>
      <c r="L131" s="7">
        <f ca="1">IFERROR(__xludf.DUMMYFUNCTION("""COMPUTED_VALUE"""),0)</f>
        <v>0</v>
      </c>
      <c r="M131" s="7">
        <f ca="1">IFERROR(__xludf.DUMMYFUNCTION("""COMPUTED_VALUE"""),0)</f>
        <v>0</v>
      </c>
      <c r="N131" s="7">
        <f ca="1">IFERROR(__xludf.DUMMYFUNCTION("""COMPUTED_VALUE"""),0)</f>
        <v>0</v>
      </c>
      <c r="O131" s="7">
        <f ca="1">IFERROR(__xludf.DUMMYFUNCTION("""COMPUTED_VALUE"""),0)</f>
        <v>0</v>
      </c>
      <c r="P131" s="7">
        <f ca="1">IFERROR(__xludf.DUMMYFUNCTION("""COMPUTED_VALUE"""),68)</f>
        <v>68</v>
      </c>
      <c r="Q131" s="7">
        <f ca="1">IFERROR(__xludf.DUMMYFUNCTION("""COMPUTED_VALUE"""),1390)</f>
        <v>1390</v>
      </c>
      <c r="R131" s="7">
        <f ca="1">IFERROR(__xludf.DUMMYFUNCTION("""COMPUTED_VALUE"""),0)</f>
        <v>0</v>
      </c>
      <c r="S131" s="7">
        <f ca="1">IFERROR(__xludf.DUMMYFUNCTION("""COMPUTED_VALUE"""),0)</f>
        <v>0</v>
      </c>
      <c r="T131" s="7">
        <f ca="1">IFERROR(__xludf.DUMMYFUNCTION("""COMPUTED_VALUE"""),0)</f>
        <v>0</v>
      </c>
      <c r="U131" s="61"/>
      <c r="V131" s="61"/>
      <c r="W131" s="61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0" t="str">
        <f ca="1">IFERROR(__xludf.DUMMYFUNCTION("""COMPUTED_VALUE"""),"A.A. COL. EST. BERNARDO SAYAO")</f>
        <v>A.A. COL. EST. BERNARDO SAYAO</v>
      </c>
      <c r="D132" s="136" t="str">
        <f ca="1">IFERROR(__xludf.DUMMYFUNCTION("""COMPUTED_VALUE"""),"01190188000140")</f>
        <v>01190188000140</v>
      </c>
      <c r="E132" s="6" t="str">
        <f ca="1">IFERROR(__xludf.DUMMYFUNCTION("""COMPUTED_VALUE"""),"001")</f>
        <v>001</v>
      </c>
      <c r="F132" s="7" t="str">
        <f ca="1">IFERROR(__xludf.DUMMYFUNCTION("""COMPUTED_VALUE"""),"0911")</f>
        <v>0911</v>
      </c>
      <c r="G132" s="7" t="str">
        <f ca="1">IFERROR(__xludf.DUMMYFUNCTION("""COMPUTED_VALUE"""),"369403")</f>
        <v>369403</v>
      </c>
      <c r="H132" s="7">
        <f ca="1">IFERROR(__xludf.DUMMYFUNCTION("""COMPUTED_VALUE"""),0)</f>
        <v>0</v>
      </c>
      <c r="I132" s="7">
        <f ca="1">IFERROR(__xludf.DUMMYFUNCTION("""COMPUTED_VALUE"""),0)</f>
        <v>0</v>
      </c>
      <c r="J132" s="7">
        <f ca="1">IFERROR(__xludf.DUMMYFUNCTION("""COMPUTED_VALUE"""),630)</f>
        <v>630</v>
      </c>
      <c r="K132" s="7">
        <f ca="1">IFERROR(__xludf.DUMMYFUNCTION("""COMPUTED_VALUE"""),0)</f>
        <v>0</v>
      </c>
      <c r="L132" s="7">
        <f ca="1">IFERROR(__xludf.DUMMYFUNCTION("""COMPUTED_VALUE"""),0)</f>
        <v>0</v>
      </c>
      <c r="M132" s="7">
        <f ca="1">IFERROR(__xludf.DUMMYFUNCTION("""COMPUTED_VALUE"""),0)</f>
        <v>0</v>
      </c>
      <c r="N132" s="7">
        <f ca="1">IFERROR(__xludf.DUMMYFUNCTION("""COMPUTED_VALUE"""),0)</f>
        <v>0</v>
      </c>
      <c r="O132" s="7">
        <f ca="1">IFERROR(__xludf.DUMMYFUNCTION("""COMPUTED_VALUE"""),0)</f>
        <v>0</v>
      </c>
      <c r="P132" s="7">
        <f ca="1">IFERROR(__xludf.DUMMYFUNCTION("""COMPUTED_VALUE"""),81.6)</f>
        <v>81.599999999999994</v>
      </c>
      <c r="Q132" s="7">
        <f ca="1">IFERROR(__xludf.DUMMYFUNCTION("""COMPUTED_VALUE"""),1390)</f>
        <v>1390</v>
      </c>
      <c r="R132" s="7">
        <f ca="1">IFERROR(__xludf.DUMMYFUNCTION("""COMPUTED_VALUE"""),0)</f>
        <v>0</v>
      </c>
      <c r="S132" s="7">
        <f ca="1">IFERROR(__xludf.DUMMYFUNCTION("""COMPUTED_VALUE"""),0)</f>
        <v>0</v>
      </c>
      <c r="T132" s="7">
        <f ca="1">IFERROR(__xludf.DUMMYFUNCTION("""COMPUTED_VALUE"""),114.799999999999)</f>
        <v>114.799999999999</v>
      </c>
      <c r="U132" s="61"/>
      <c r="V132" s="61"/>
      <c r="W132" s="61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0" t="str">
        <f ca="1">IFERROR(__xludf.DUMMYFUNCTION("""COMPUTED_VALUE"""),"A.A. COL. EST. SEBASTIAO RODRIGUES SALES")</f>
        <v>A.A. COL. EST. SEBASTIAO RODRIGUES SALES</v>
      </c>
      <c r="D133" s="136" t="str">
        <f ca="1">IFERROR(__xludf.DUMMYFUNCTION("""COMPUTED_VALUE"""),"01138333000144")</f>
        <v>01138333000144</v>
      </c>
      <c r="E133" s="6" t="str">
        <f ca="1">IFERROR(__xludf.DUMMYFUNCTION("""COMPUTED_VALUE"""),"001")</f>
        <v>001</v>
      </c>
      <c r="F133" s="7" t="str">
        <f ca="1">IFERROR(__xludf.DUMMYFUNCTION("""COMPUTED_VALUE"""),"0911")</f>
        <v>0911</v>
      </c>
      <c r="G133" s="7" t="str">
        <f ca="1">IFERROR(__xludf.DUMMYFUNCTION("""COMPUTED_VALUE"""),"369365")</f>
        <v>369365</v>
      </c>
      <c r="H133" s="7">
        <f ca="1">IFERROR(__xludf.DUMMYFUNCTION("""COMPUTED_VALUE"""),0)</f>
        <v>0</v>
      </c>
      <c r="I133" s="7">
        <f ca="1">IFERROR(__xludf.DUMMYFUNCTION("""COMPUTED_VALUE"""),0)</f>
        <v>0</v>
      </c>
      <c r="J133" s="7">
        <f ca="1">IFERROR(__xludf.DUMMYFUNCTION("""COMPUTED_VALUE"""),1380)</f>
        <v>1380</v>
      </c>
      <c r="K133" s="7">
        <f ca="1">IFERROR(__xludf.DUMMYFUNCTION("""COMPUTED_VALUE"""),0)</f>
        <v>0</v>
      </c>
      <c r="L133" s="7">
        <f ca="1">IFERROR(__xludf.DUMMYFUNCTION("""COMPUTED_VALUE"""),0)</f>
        <v>0</v>
      </c>
      <c r="M133" s="7">
        <f ca="1">IFERROR(__xludf.DUMMYFUNCTION("""COMPUTED_VALUE"""),0)</f>
        <v>0</v>
      </c>
      <c r="N133" s="7">
        <f ca="1">IFERROR(__xludf.DUMMYFUNCTION("""COMPUTED_VALUE"""),0)</f>
        <v>0</v>
      </c>
      <c r="O133" s="7">
        <f ca="1">IFERROR(__xludf.DUMMYFUNCTION("""COMPUTED_VALUE"""),0)</f>
        <v>0</v>
      </c>
      <c r="P133" s="7">
        <f ca="1">IFERROR(__xludf.DUMMYFUNCTION("""COMPUTED_VALUE"""),0)</f>
        <v>0</v>
      </c>
      <c r="Q133" s="7">
        <f ca="1">IFERROR(__xludf.DUMMYFUNCTION("""COMPUTED_VALUE"""),560)</f>
        <v>560</v>
      </c>
      <c r="R133" s="7">
        <f ca="1">IFERROR(__xludf.DUMMYFUNCTION("""COMPUTED_VALUE"""),0)</f>
        <v>0</v>
      </c>
      <c r="S133" s="7">
        <f ca="1">IFERROR(__xludf.DUMMYFUNCTION("""COMPUTED_VALUE"""),0)</f>
        <v>0</v>
      </c>
      <c r="T133" s="7">
        <f ca="1">IFERROR(__xludf.DUMMYFUNCTION("""COMPUTED_VALUE"""),0)</f>
        <v>0</v>
      </c>
      <c r="U133" s="61"/>
      <c r="V133" s="61"/>
      <c r="W133" s="61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0" t="str">
        <f ca="1">IFERROR(__xludf.DUMMYFUNCTION("""COMPUTED_VALUE"""),"ASSOC. DE APOIO DO COL. EST. CASTELO BRANCO")</f>
        <v>ASSOC. DE APOIO DO COL. EST. CASTELO BRANCO</v>
      </c>
      <c r="D134" s="136" t="str">
        <f ca="1">IFERROR(__xludf.DUMMYFUNCTION("""COMPUTED_VALUE"""),"01071413000120")</f>
        <v>01071413000120</v>
      </c>
      <c r="E134" s="6" t="str">
        <f ca="1">IFERROR(__xludf.DUMMYFUNCTION("""COMPUTED_VALUE"""),"001")</f>
        <v>001</v>
      </c>
      <c r="F134" s="7" t="str">
        <f ca="1">IFERROR(__xludf.DUMMYFUNCTION("""COMPUTED_VALUE"""),"0911")</f>
        <v>0911</v>
      </c>
      <c r="G134" s="7" t="str">
        <f ca="1">IFERROR(__xludf.DUMMYFUNCTION("""COMPUTED_VALUE"""),"187275")</f>
        <v>187275</v>
      </c>
      <c r="H134" s="7">
        <f ca="1">IFERROR(__xludf.DUMMYFUNCTION("""COMPUTED_VALUE"""),0)</f>
        <v>0</v>
      </c>
      <c r="I134" s="7">
        <f ca="1">IFERROR(__xludf.DUMMYFUNCTION("""COMPUTED_VALUE"""),0)</f>
        <v>0</v>
      </c>
      <c r="J134" s="7">
        <f ca="1">IFERROR(__xludf.DUMMYFUNCTION("""COMPUTED_VALUE"""),0)</f>
        <v>0</v>
      </c>
      <c r="K134" s="7">
        <f ca="1">IFERROR(__xludf.DUMMYFUNCTION("""COMPUTED_VALUE"""),0)</f>
        <v>0</v>
      </c>
      <c r="L134" s="7">
        <f ca="1">IFERROR(__xludf.DUMMYFUNCTION("""COMPUTED_VALUE"""),0)</f>
        <v>0</v>
      </c>
      <c r="M134" s="7">
        <f ca="1">IFERROR(__xludf.DUMMYFUNCTION("""COMPUTED_VALUE"""),0)</f>
        <v>0</v>
      </c>
      <c r="N134" s="7">
        <f ca="1">IFERROR(__xludf.DUMMYFUNCTION("""COMPUTED_VALUE"""),0)</f>
        <v>0</v>
      </c>
      <c r="O134" s="7">
        <f ca="1">IFERROR(__xludf.DUMMYFUNCTION("""COMPUTED_VALUE"""),0)</f>
        <v>0</v>
      </c>
      <c r="P134" s="7">
        <f ca="1">IFERROR(__xludf.DUMMYFUNCTION("""COMPUTED_VALUE"""),312.8)</f>
        <v>312.8</v>
      </c>
      <c r="Q134" s="7">
        <f ca="1">IFERROR(__xludf.DUMMYFUNCTION("""COMPUTED_VALUE"""),0)</f>
        <v>0</v>
      </c>
      <c r="R134" s="7">
        <f ca="1">IFERROR(__xludf.DUMMYFUNCTION("""COMPUTED_VALUE"""),0)</f>
        <v>0</v>
      </c>
      <c r="S134" s="7">
        <f ca="1">IFERROR(__xludf.DUMMYFUNCTION("""COMPUTED_VALUE"""),9881.6)</f>
        <v>9881.6</v>
      </c>
      <c r="T134" s="7">
        <f ca="1">IFERROR(__xludf.DUMMYFUNCTION("""COMPUTED_VALUE"""),491.999999999999)</f>
        <v>491.99999999999898</v>
      </c>
      <c r="U134" s="61"/>
      <c r="V134" s="61"/>
      <c r="W134" s="61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0" t="str">
        <f ca="1">IFERROR(__xludf.DUMMYFUNCTION("""COMPUTED_VALUE"""),"A.A. ESCOLA ESTADUAL ERNESTO BARROS")</f>
        <v>A.A. ESCOLA ESTADUAL ERNESTO BARROS</v>
      </c>
      <c r="D135" s="136" t="str">
        <f ca="1">IFERROR(__xludf.DUMMYFUNCTION("""COMPUTED_VALUE"""),"01064857000138")</f>
        <v>01064857000138</v>
      </c>
      <c r="E135" s="6" t="str">
        <f ca="1">IFERROR(__xludf.DUMMYFUNCTION("""COMPUTED_VALUE"""),"001")</f>
        <v>001</v>
      </c>
      <c r="F135" s="7" t="str">
        <f ca="1">IFERROR(__xludf.DUMMYFUNCTION("""COMPUTED_VALUE"""),"0911")</f>
        <v>0911</v>
      </c>
      <c r="G135" s="7" t="str">
        <f ca="1">IFERROR(__xludf.DUMMYFUNCTION("""COMPUTED_VALUE"""),"0368571")</f>
        <v>0368571</v>
      </c>
      <c r="H135" s="7">
        <f ca="1">IFERROR(__xludf.DUMMYFUNCTION("""COMPUTED_VALUE"""),0)</f>
        <v>0</v>
      </c>
      <c r="I135" s="7">
        <f ca="1">IFERROR(__xludf.DUMMYFUNCTION("""COMPUTED_VALUE"""),0)</f>
        <v>0</v>
      </c>
      <c r="J135" s="7">
        <f ca="1">IFERROR(__xludf.DUMMYFUNCTION("""COMPUTED_VALUE"""),0)</f>
        <v>0</v>
      </c>
      <c r="K135" s="7">
        <f ca="1">IFERROR(__xludf.DUMMYFUNCTION("""COMPUTED_VALUE"""),8055.59999999999)</f>
        <v>8055.5999999999904</v>
      </c>
      <c r="L135" s="7">
        <f ca="1">IFERROR(__xludf.DUMMYFUNCTION("""COMPUTED_VALUE"""),0)</f>
        <v>0</v>
      </c>
      <c r="M135" s="7">
        <f ca="1">IFERROR(__xludf.DUMMYFUNCTION("""COMPUTED_VALUE"""),0)</f>
        <v>0</v>
      </c>
      <c r="N135" s="7">
        <f ca="1">IFERROR(__xludf.DUMMYFUNCTION("""COMPUTED_VALUE"""),0)</f>
        <v>0</v>
      </c>
      <c r="O135" s="7">
        <f ca="1">IFERROR(__xludf.DUMMYFUNCTION("""COMPUTED_VALUE"""),0)</f>
        <v>0</v>
      </c>
      <c r="P135" s="7">
        <f ca="1">IFERROR(__xludf.DUMMYFUNCTION("""COMPUTED_VALUE"""),176.799999999999)</f>
        <v>176.79999999999899</v>
      </c>
      <c r="Q135" s="7">
        <f ca="1">IFERROR(__xludf.DUMMYFUNCTION("""COMPUTED_VALUE"""),0)</f>
        <v>0</v>
      </c>
      <c r="R135" s="7">
        <f ca="1">IFERROR(__xludf.DUMMYFUNCTION("""COMPUTED_VALUE"""),0)</f>
        <v>0</v>
      </c>
      <c r="S135" s="7">
        <f ca="1">IFERROR(__xludf.DUMMYFUNCTION("""COMPUTED_VALUE"""),0)</f>
        <v>0</v>
      </c>
      <c r="T135" s="7">
        <f ca="1">IFERROR(__xludf.DUMMYFUNCTION("""COMPUTED_VALUE"""),0)</f>
        <v>0</v>
      </c>
      <c r="U135" s="61"/>
      <c r="V135" s="61"/>
      <c r="W135" s="61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0" t="str">
        <f ca="1">IFERROR(__xludf.DUMMYFUNCTION("""COMPUTED_VALUE"""),"A.A.  COLEGIO JOAO XXIII")</f>
        <v>A.A.  COLEGIO JOAO XXIII</v>
      </c>
      <c r="D136" s="136" t="str">
        <f ca="1">IFERROR(__xludf.DUMMYFUNCTION("""COMPUTED_VALUE"""),"01064859000127")</f>
        <v>01064859000127</v>
      </c>
      <c r="E136" s="6" t="str">
        <f ca="1">IFERROR(__xludf.DUMMYFUNCTION("""COMPUTED_VALUE"""),"001")</f>
        <v>001</v>
      </c>
      <c r="F136" s="7" t="str">
        <f ca="1">IFERROR(__xludf.DUMMYFUNCTION("""COMPUTED_VALUE"""),"0911")</f>
        <v>0911</v>
      </c>
      <c r="G136" s="7" t="str">
        <f ca="1">IFERROR(__xludf.DUMMYFUNCTION("""COMPUTED_VALUE"""),"368555")</f>
        <v>368555</v>
      </c>
      <c r="H136" s="7">
        <f ca="1">IFERROR(__xludf.DUMMYFUNCTION("""COMPUTED_VALUE"""),0)</f>
        <v>0</v>
      </c>
      <c r="I136" s="7">
        <f ca="1">IFERROR(__xludf.DUMMYFUNCTION("""COMPUTED_VALUE"""),0)</f>
        <v>0</v>
      </c>
      <c r="J136" s="7">
        <f ca="1">IFERROR(__xludf.DUMMYFUNCTION("""COMPUTED_VALUE"""),4280)</f>
        <v>4280</v>
      </c>
      <c r="K136" s="7">
        <f ca="1">IFERROR(__xludf.DUMMYFUNCTION("""COMPUTED_VALUE"""),0)</f>
        <v>0</v>
      </c>
      <c r="L136" s="7">
        <f ca="1">IFERROR(__xludf.DUMMYFUNCTION("""COMPUTED_VALUE"""),0)</f>
        <v>0</v>
      </c>
      <c r="M136" s="7">
        <f ca="1">IFERROR(__xludf.DUMMYFUNCTION("""COMPUTED_VALUE"""),0)</f>
        <v>0</v>
      </c>
      <c r="N136" s="7">
        <f ca="1">IFERROR(__xludf.DUMMYFUNCTION("""COMPUTED_VALUE"""),0)</f>
        <v>0</v>
      </c>
      <c r="O136" s="7">
        <f ca="1">IFERROR(__xludf.DUMMYFUNCTION("""COMPUTED_VALUE"""),0)</f>
        <v>0</v>
      </c>
      <c r="P136" s="7">
        <f ca="1">IFERROR(__xludf.DUMMYFUNCTION("""COMPUTED_VALUE"""),285.599999999999)</f>
        <v>285.599999999999</v>
      </c>
      <c r="Q136" s="7">
        <f ca="1">IFERROR(__xludf.DUMMYFUNCTION("""COMPUTED_VALUE"""),3060)</f>
        <v>3060</v>
      </c>
      <c r="R136" s="7">
        <f ca="1">IFERROR(__xludf.DUMMYFUNCTION("""COMPUTED_VALUE"""),0)</f>
        <v>0</v>
      </c>
      <c r="S136" s="7">
        <f ca="1">IFERROR(__xludf.DUMMYFUNCTION("""COMPUTED_VALUE"""),0)</f>
        <v>0</v>
      </c>
      <c r="T136" s="7">
        <f ca="1">IFERROR(__xludf.DUMMYFUNCTION("""COMPUTED_VALUE"""),0)</f>
        <v>0</v>
      </c>
      <c r="U136" s="61"/>
      <c r="V136" s="61"/>
      <c r="W136" s="61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0" t="str">
        <f ca="1">IFERROR(__xludf.DUMMYFUNCTION("""COMPUTED_VALUE"""),"AAE ESPECIAL GOTA DE ESPERANÇA")</f>
        <v>AAE ESPECIAL GOTA DE ESPERANÇA</v>
      </c>
      <c r="D137" s="136" t="str">
        <f ca="1">IFERROR(__xludf.DUMMYFUNCTION("""COMPUTED_VALUE"""),"07944635000196")</f>
        <v>07944635000196</v>
      </c>
      <c r="E137" s="6" t="str">
        <f ca="1">IFERROR(__xludf.DUMMYFUNCTION("""COMPUTED_VALUE"""),"001")</f>
        <v>001</v>
      </c>
      <c r="F137" s="7" t="str">
        <f ca="1">IFERROR(__xludf.DUMMYFUNCTION("""COMPUTED_VALUE"""),"0911")</f>
        <v>0911</v>
      </c>
      <c r="G137" s="7" t="str">
        <f ca="1">IFERROR(__xludf.DUMMYFUNCTION("""COMPUTED_VALUE"""),"184861")</f>
        <v>184861</v>
      </c>
      <c r="H137" s="7">
        <f ca="1">IFERROR(__xludf.DUMMYFUNCTION("""COMPUTED_VALUE"""),0)</f>
        <v>0</v>
      </c>
      <c r="I137" s="7">
        <f ca="1">IFERROR(__xludf.DUMMYFUNCTION("""COMPUTED_VALUE"""),0)</f>
        <v>0</v>
      </c>
      <c r="J137" s="7">
        <f ca="1">IFERROR(__xludf.DUMMYFUNCTION("""COMPUTED_VALUE"""),300)</f>
        <v>300</v>
      </c>
      <c r="K137" s="7">
        <f ca="1">IFERROR(__xludf.DUMMYFUNCTION("""COMPUTED_VALUE"""),0)</f>
        <v>0</v>
      </c>
      <c r="L137" s="7">
        <f ca="1">IFERROR(__xludf.DUMMYFUNCTION("""COMPUTED_VALUE"""),0)</f>
        <v>0</v>
      </c>
      <c r="M137" s="7">
        <f ca="1">IFERROR(__xludf.DUMMYFUNCTION("""COMPUTED_VALUE"""),0)</f>
        <v>0</v>
      </c>
      <c r="N137" s="7">
        <f ca="1">IFERROR(__xludf.DUMMYFUNCTION("""COMPUTED_VALUE"""),0)</f>
        <v>0</v>
      </c>
      <c r="O137" s="7">
        <f ca="1">IFERROR(__xludf.DUMMYFUNCTION("""COMPUTED_VALUE"""),0)</f>
        <v>0</v>
      </c>
      <c r="P137" s="7">
        <f ca="1">IFERROR(__xludf.DUMMYFUNCTION("""COMPUTED_VALUE"""),394.4)</f>
        <v>394.4</v>
      </c>
      <c r="Q137" s="7">
        <f ca="1">IFERROR(__xludf.DUMMYFUNCTION("""COMPUTED_VALUE"""),0)</f>
        <v>0</v>
      </c>
      <c r="R137" s="7">
        <f ca="1">IFERROR(__xludf.DUMMYFUNCTION("""COMPUTED_VALUE"""),0)</f>
        <v>0</v>
      </c>
      <c r="S137" s="7">
        <f ca="1">IFERROR(__xludf.DUMMYFUNCTION("""COMPUTED_VALUE"""),0)</f>
        <v>0</v>
      </c>
      <c r="T137" s="7">
        <f ca="1">IFERROR(__xludf.DUMMYFUNCTION("""COMPUTED_VALUE"""),754.4)</f>
        <v>754.4</v>
      </c>
      <c r="U137" s="61"/>
      <c r="V137" s="61"/>
      <c r="W137" s="61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0" t="str">
        <f ca="1">IFERROR(__xludf.DUMMYFUNCTION("""COMPUTED_VALUE"""),"A.A. E. E. FRANCISCO PEREIRA FELICIO")</f>
        <v>A.A. E. E. FRANCISCO PEREIRA FELICIO</v>
      </c>
      <c r="D138" s="136" t="str">
        <f ca="1">IFERROR(__xludf.DUMMYFUNCTION("""COMPUTED_VALUE"""),"01086969000190")</f>
        <v>01086969000190</v>
      </c>
      <c r="E138" s="6" t="str">
        <f ca="1">IFERROR(__xludf.DUMMYFUNCTION("""COMPUTED_VALUE"""),"001")</f>
        <v>001</v>
      </c>
      <c r="F138" s="7" t="str">
        <f ca="1">IFERROR(__xludf.DUMMYFUNCTION("""COMPUTED_VALUE"""),"0911")</f>
        <v>0911</v>
      </c>
      <c r="G138" s="7" t="str">
        <f ca="1">IFERROR(__xludf.DUMMYFUNCTION("""COMPUTED_VALUE"""),"368814")</f>
        <v>368814</v>
      </c>
      <c r="H138" s="7">
        <f ca="1">IFERROR(__xludf.DUMMYFUNCTION("""COMPUTED_VALUE"""),0)</f>
        <v>0</v>
      </c>
      <c r="I138" s="7">
        <f ca="1">IFERROR(__xludf.DUMMYFUNCTION("""COMPUTED_VALUE"""),0)</f>
        <v>0</v>
      </c>
      <c r="J138" s="7">
        <f ca="1">IFERROR(__xludf.DUMMYFUNCTION("""COMPUTED_VALUE"""),2720)</f>
        <v>2720</v>
      </c>
      <c r="K138" s="7">
        <f ca="1">IFERROR(__xludf.DUMMYFUNCTION("""COMPUTED_VALUE"""),0)</f>
        <v>0</v>
      </c>
      <c r="L138" s="7">
        <f ca="1">IFERROR(__xludf.DUMMYFUNCTION("""COMPUTED_VALUE"""),0)</f>
        <v>0</v>
      </c>
      <c r="M138" s="7">
        <f ca="1">IFERROR(__xludf.DUMMYFUNCTION("""COMPUTED_VALUE"""),0)</f>
        <v>0</v>
      </c>
      <c r="N138" s="7">
        <f ca="1">IFERROR(__xludf.DUMMYFUNCTION("""COMPUTED_VALUE"""),0)</f>
        <v>0</v>
      </c>
      <c r="O138" s="7">
        <f ca="1">IFERROR(__xludf.DUMMYFUNCTION("""COMPUTED_VALUE"""),0)</f>
        <v>0</v>
      </c>
      <c r="P138" s="7">
        <f ca="1">IFERROR(__xludf.DUMMYFUNCTION("""COMPUTED_VALUE"""),544)</f>
        <v>544</v>
      </c>
      <c r="Q138" s="7">
        <f ca="1">IFERROR(__xludf.DUMMYFUNCTION("""COMPUTED_VALUE"""),8520)</f>
        <v>8520</v>
      </c>
      <c r="R138" s="7">
        <f ca="1">IFERROR(__xludf.DUMMYFUNCTION("""COMPUTED_VALUE"""),0)</f>
        <v>0</v>
      </c>
      <c r="S138" s="7">
        <f ca="1">IFERROR(__xludf.DUMMYFUNCTION("""COMPUTED_VALUE"""),0)</f>
        <v>0</v>
      </c>
      <c r="T138" s="7">
        <f ca="1">IFERROR(__xludf.DUMMYFUNCTION("""COMPUTED_VALUE"""),1131.6)</f>
        <v>1131.5999999999999</v>
      </c>
      <c r="U138" s="61"/>
      <c r="V138" s="61"/>
      <c r="W138" s="61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0" t="str">
        <f ca="1">IFERROR(__xludf.DUMMYFUNCTION("""COMPUTED_VALUE"""),"A.A. E. E. LACERDINO OLIVEIRA CAMPOS")</f>
        <v>A.A. E. E. LACERDINO OLIVEIRA CAMPOS</v>
      </c>
      <c r="D139" s="136" t="str">
        <f ca="1">IFERROR(__xludf.DUMMYFUNCTION("""COMPUTED_VALUE"""),"01077439000185")</f>
        <v>01077439000185</v>
      </c>
      <c r="E139" s="6" t="str">
        <f ca="1">IFERROR(__xludf.DUMMYFUNCTION("""COMPUTED_VALUE"""),"001")</f>
        <v>001</v>
      </c>
      <c r="F139" s="7" t="str">
        <f ca="1">IFERROR(__xludf.DUMMYFUNCTION("""COMPUTED_VALUE"""),"0911")</f>
        <v>0911</v>
      </c>
      <c r="G139" s="7" t="str">
        <f ca="1">IFERROR(__xludf.DUMMYFUNCTION("""COMPUTED_VALUE"""),"368741")</f>
        <v>368741</v>
      </c>
      <c r="H139" s="7">
        <f ca="1">IFERROR(__xludf.DUMMYFUNCTION("""COMPUTED_VALUE"""),0)</f>
        <v>0</v>
      </c>
      <c r="I139" s="7">
        <f ca="1">IFERROR(__xludf.DUMMYFUNCTION("""COMPUTED_VALUE"""),0)</f>
        <v>0</v>
      </c>
      <c r="J139" s="7">
        <f ca="1">IFERROR(__xludf.DUMMYFUNCTION("""COMPUTED_VALUE"""),0)</f>
        <v>0</v>
      </c>
      <c r="K139" s="7">
        <f ca="1">IFERROR(__xludf.DUMMYFUNCTION("""COMPUTED_VALUE"""),5918.4)</f>
        <v>5918.4</v>
      </c>
      <c r="L139" s="7">
        <f ca="1">IFERROR(__xludf.DUMMYFUNCTION("""COMPUTED_VALUE"""),0)</f>
        <v>0</v>
      </c>
      <c r="M139" s="7">
        <f ca="1">IFERROR(__xludf.DUMMYFUNCTION("""COMPUTED_VALUE"""),0)</f>
        <v>0</v>
      </c>
      <c r="N139" s="7">
        <f ca="1">IFERROR(__xludf.DUMMYFUNCTION("""COMPUTED_VALUE"""),0)</f>
        <v>0</v>
      </c>
      <c r="O139" s="7">
        <f ca="1">IFERROR(__xludf.DUMMYFUNCTION("""COMPUTED_VALUE"""),0)</f>
        <v>0</v>
      </c>
      <c r="P139" s="7">
        <f ca="1">IFERROR(__xludf.DUMMYFUNCTION("""COMPUTED_VALUE"""),272)</f>
        <v>272</v>
      </c>
      <c r="Q139" s="7">
        <f ca="1">IFERROR(__xludf.DUMMYFUNCTION("""COMPUTED_VALUE"""),1720)</f>
        <v>1720</v>
      </c>
      <c r="R139" s="7">
        <f ca="1">IFERROR(__xludf.DUMMYFUNCTION("""COMPUTED_VALUE"""),0)</f>
        <v>0</v>
      </c>
      <c r="S139" s="7">
        <f ca="1">IFERROR(__xludf.DUMMYFUNCTION("""COMPUTED_VALUE"""),0)</f>
        <v>0</v>
      </c>
      <c r="T139" s="7">
        <f ca="1">IFERROR(__xludf.DUMMYFUNCTION("""COMPUTED_VALUE"""),0)</f>
        <v>0</v>
      </c>
      <c r="U139" s="61"/>
      <c r="V139" s="61"/>
      <c r="W139" s="61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36" t="str">
        <f ca="1">IFERROR(__xludf.DUMMYFUNCTION("""COMPUTED_VALUE"""),"03421784000110")</f>
        <v>03421784000110</v>
      </c>
      <c r="E140" s="6" t="str">
        <f ca="1">IFERROR(__xludf.DUMMYFUNCTION("""COMPUTED_VALUE"""),"001")</f>
        <v>001</v>
      </c>
      <c r="F140" s="7" t="str">
        <f ca="1">IFERROR(__xludf.DUMMYFUNCTION("""COMPUTED_VALUE"""),"0911")</f>
        <v>0911</v>
      </c>
      <c r="G140" s="7" t="str">
        <f ca="1">IFERROR(__xludf.DUMMYFUNCTION("""COMPUTED_VALUE"""),"199672")</f>
        <v>199672</v>
      </c>
      <c r="H140" s="7">
        <f ca="1">IFERROR(__xludf.DUMMYFUNCTION("""COMPUTED_VALUE"""),0)</f>
        <v>0</v>
      </c>
      <c r="I140" s="7">
        <f ca="1">IFERROR(__xludf.DUMMYFUNCTION("""COMPUTED_VALUE"""),0)</f>
        <v>0</v>
      </c>
      <c r="J140" s="7">
        <f ca="1">IFERROR(__xludf.DUMMYFUNCTION("""COMPUTED_VALUE"""),0)</f>
        <v>0</v>
      </c>
      <c r="K140" s="7">
        <f ca="1">IFERROR(__xludf.DUMMYFUNCTION("""COMPUTED_VALUE"""),0)</f>
        <v>0</v>
      </c>
      <c r="L140" s="7">
        <f ca="1">IFERROR(__xludf.DUMMYFUNCTION("""COMPUTED_VALUE"""),0)</f>
        <v>0</v>
      </c>
      <c r="M140" s="7">
        <f ca="1">IFERROR(__xludf.DUMMYFUNCTION("""COMPUTED_VALUE"""),0)</f>
        <v>0</v>
      </c>
      <c r="N140" s="7">
        <f ca="1">IFERROR(__xludf.DUMMYFUNCTION("""COMPUTED_VALUE"""),0)</f>
        <v>0</v>
      </c>
      <c r="O140" s="7">
        <f ca="1">IFERROR(__xludf.DUMMYFUNCTION("""COMPUTED_VALUE"""),0)</f>
        <v>0</v>
      </c>
      <c r="P140" s="7">
        <f ca="1">IFERROR(__xludf.DUMMYFUNCTION("""COMPUTED_VALUE"""),0)</f>
        <v>0</v>
      </c>
      <c r="Q140" s="7">
        <f ca="1">IFERROR(__xludf.DUMMYFUNCTION("""COMPUTED_VALUE"""),0)</f>
        <v>0</v>
      </c>
      <c r="R140" s="7">
        <f ca="1">IFERROR(__xludf.DUMMYFUNCTION("""COMPUTED_VALUE"""),5206)</f>
        <v>5206</v>
      </c>
      <c r="S140" s="7">
        <f ca="1">IFERROR(__xludf.DUMMYFUNCTION("""COMPUTED_VALUE"""),0)</f>
        <v>0</v>
      </c>
      <c r="T140" s="7">
        <f ca="1">IFERROR(__xludf.DUMMYFUNCTION("""COMPUTED_VALUE"""),0)</f>
        <v>0</v>
      </c>
      <c r="U140" s="61"/>
      <c r="V140" s="61"/>
      <c r="W140" s="61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0" t="str">
        <f ca="1">IFERROR(__xludf.DUMMYFUNCTION("""COMPUTED_VALUE"""),"A.A. E. PRESBITERIANA DE COLINAS")</f>
        <v>A.A. E. PRESBITERIANA DE COLINAS</v>
      </c>
      <c r="D141" s="136" t="str">
        <f ca="1">IFERROR(__xludf.DUMMYFUNCTION("""COMPUTED_VALUE"""),"01071410000196")</f>
        <v>01071410000196</v>
      </c>
      <c r="E141" s="6" t="str">
        <f ca="1">IFERROR(__xludf.DUMMYFUNCTION("""COMPUTED_VALUE"""),"001")</f>
        <v>001</v>
      </c>
      <c r="F141" s="7" t="str">
        <f ca="1">IFERROR(__xludf.DUMMYFUNCTION("""COMPUTED_VALUE"""),"0911")</f>
        <v>0911</v>
      </c>
      <c r="G141" s="7" t="str">
        <f ca="1">IFERROR(__xludf.DUMMYFUNCTION("""COMPUTED_VALUE"""),"368695")</f>
        <v>368695</v>
      </c>
      <c r="H141" s="7">
        <f ca="1">IFERROR(__xludf.DUMMYFUNCTION("""COMPUTED_VALUE"""),0)</f>
        <v>0</v>
      </c>
      <c r="I141" s="7">
        <f ca="1">IFERROR(__xludf.DUMMYFUNCTION("""COMPUTED_VALUE"""),0)</f>
        <v>0</v>
      </c>
      <c r="J141" s="7">
        <f ca="1">IFERROR(__xludf.DUMMYFUNCTION("""COMPUTED_VALUE"""),5250)</f>
        <v>5250</v>
      </c>
      <c r="K141" s="7">
        <f ca="1">IFERROR(__xludf.DUMMYFUNCTION("""COMPUTED_VALUE"""),0)</f>
        <v>0</v>
      </c>
      <c r="L141" s="7">
        <f ca="1">IFERROR(__xludf.DUMMYFUNCTION("""COMPUTED_VALUE"""),0)</f>
        <v>0</v>
      </c>
      <c r="M141" s="7">
        <f ca="1">IFERROR(__xludf.DUMMYFUNCTION("""COMPUTED_VALUE"""),0)</f>
        <v>0</v>
      </c>
      <c r="N141" s="7">
        <f ca="1">IFERROR(__xludf.DUMMYFUNCTION("""COMPUTED_VALUE"""),0)</f>
        <v>0</v>
      </c>
      <c r="O141" s="7">
        <f ca="1">IFERROR(__xludf.DUMMYFUNCTION("""COMPUTED_VALUE"""),0)</f>
        <v>0</v>
      </c>
      <c r="P141" s="7">
        <f ca="1">IFERROR(__xludf.DUMMYFUNCTION("""COMPUTED_VALUE"""),285.599999999999)</f>
        <v>285.599999999999</v>
      </c>
      <c r="Q141" s="7">
        <f ca="1">IFERROR(__xludf.DUMMYFUNCTION("""COMPUTED_VALUE"""),0)</f>
        <v>0</v>
      </c>
      <c r="R141" s="7">
        <f ca="1">IFERROR(__xludf.DUMMYFUNCTION("""COMPUTED_VALUE"""),0)</f>
        <v>0</v>
      </c>
      <c r="S141" s="7">
        <f ca="1">IFERROR(__xludf.DUMMYFUNCTION("""COMPUTED_VALUE"""),0)</f>
        <v>0</v>
      </c>
      <c r="T141" s="7">
        <f ca="1">IFERROR(__xludf.DUMMYFUNCTION("""COMPUTED_VALUE"""),0)</f>
        <v>0</v>
      </c>
      <c r="U141" s="61"/>
      <c r="V141" s="61"/>
      <c r="W141" s="61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0" t="str">
        <f ca="1">IFERROR(__xludf.DUMMYFUNCTION("""COMPUTED_VALUE"""),"ASSOC. APOIO AO INSTITUTO EDUC. GUNNAR VINGREN")</f>
        <v>ASSOC. APOIO AO INSTITUTO EDUC. GUNNAR VINGREN</v>
      </c>
      <c r="D142" s="136" t="str">
        <f ca="1">IFERROR(__xludf.DUMMYFUNCTION("""COMPUTED_VALUE"""),"05537107000197")</f>
        <v>05537107000197</v>
      </c>
      <c r="E142" s="6" t="str">
        <f ca="1">IFERROR(__xludf.DUMMYFUNCTION("""COMPUTED_VALUE"""),"001")</f>
        <v>001</v>
      </c>
      <c r="F142" s="7" t="str">
        <f ca="1">IFERROR(__xludf.DUMMYFUNCTION("""COMPUTED_VALUE"""),"0911")</f>
        <v>0911</v>
      </c>
      <c r="G142" s="7" t="str">
        <f ca="1">IFERROR(__xludf.DUMMYFUNCTION("""COMPUTED_VALUE"""),"172286")</f>
        <v>172286</v>
      </c>
      <c r="H142" s="7">
        <f ca="1">IFERROR(__xludf.DUMMYFUNCTION("""COMPUTED_VALUE"""),0)</f>
        <v>0</v>
      </c>
      <c r="I142" s="7">
        <f ca="1">IFERROR(__xludf.DUMMYFUNCTION("""COMPUTED_VALUE"""),0)</f>
        <v>0</v>
      </c>
      <c r="J142" s="7">
        <f ca="1">IFERROR(__xludf.DUMMYFUNCTION("""COMPUTED_VALUE"""),1010)</f>
        <v>1010</v>
      </c>
      <c r="K142" s="7">
        <f ca="1">IFERROR(__xludf.DUMMYFUNCTION("""COMPUTED_VALUE"""),0)</f>
        <v>0</v>
      </c>
      <c r="L142" s="7">
        <f ca="1">IFERROR(__xludf.DUMMYFUNCTION("""COMPUTED_VALUE"""),0)</f>
        <v>0</v>
      </c>
      <c r="M142" s="7">
        <f ca="1">IFERROR(__xludf.DUMMYFUNCTION("""COMPUTED_VALUE"""),0)</f>
        <v>0</v>
      </c>
      <c r="N142" s="7">
        <f ca="1">IFERROR(__xludf.DUMMYFUNCTION("""COMPUTED_VALUE"""),0)</f>
        <v>0</v>
      </c>
      <c r="O142" s="7">
        <f ca="1">IFERROR(__xludf.DUMMYFUNCTION("""COMPUTED_VALUE"""),0)</f>
        <v>0</v>
      </c>
      <c r="P142" s="7">
        <f ca="1">IFERROR(__xludf.DUMMYFUNCTION("""COMPUTED_VALUE"""),176.799999999999)</f>
        <v>176.79999999999899</v>
      </c>
      <c r="Q142" s="7">
        <f ca="1">IFERROR(__xludf.DUMMYFUNCTION("""COMPUTED_VALUE"""),210)</f>
        <v>210</v>
      </c>
      <c r="R142" s="7">
        <f ca="1">IFERROR(__xludf.DUMMYFUNCTION("""COMPUTED_VALUE"""),0)</f>
        <v>0</v>
      </c>
      <c r="S142" s="7">
        <f ca="1">IFERROR(__xludf.DUMMYFUNCTION("""COMPUTED_VALUE"""),0)</f>
        <v>0</v>
      </c>
      <c r="T142" s="7">
        <f ca="1">IFERROR(__xludf.DUMMYFUNCTION("""COMPUTED_VALUE"""),0)</f>
        <v>0</v>
      </c>
      <c r="U142" s="61"/>
      <c r="V142" s="61"/>
      <c r="W142" s="61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0" t="str">
        <f ca="1">IFERROR(__xludf.DUMMYFUNCTION("""COMPUTED_VALUE"""),"A.A. ESCOLA ESTADUAL REZENDE DE ALMEIDA")</f>
        <v>A.A. ESCOLA ESTADUAL REZENDE DE ALMEIDA</v>
      </c>
      <c r="D143" s="136" t="str">
        <f ca="1">IFERROR(__xludf.DUMMYFUNCTION("""COMPUTED_VALUE"""),"01643863000140")</f>
        <v>01643863000140</v>
      </c>
      <c r="E143" s="6" t="str">
        <f ca="1">IFERROR(__xludf.DUMMYFUNCTION("""COMPUTED_VALUE"""),"001")</f>
        <v>001</v>
      </c>
      <c r="F143" s="7" t="str">
        <f ca="1">IFERROR(__xludf.DUMMYFUNCTION("""COMPUTED_VALUE"""),"2094")</f>
        <v>2094</v>
      </c>
      <c r="G143" s="7" t="str">
        <f ca="1">IFERROR(__xludf.DUMMYFUNCTION("""COMPUTED_VALUE"""),"27278")</f>
        <v>27278</v>
      </c>
      <c r="H143" s="7">
        <f ca="1">IFERROR(__xludf.DUMMYFUNCTION("""COMPUTED_VALUE"""),0)</f>
        <v>0</v>
      </c>
      <c r="I143" s="7">
        <f ca="1">IFERROR(__xludf.DUMMYFUNCTION("""COMPUTED_VALUE"""),0)</f>
        <v>0</v>
      </c>
      <c r="J143" s="7">
        <f ca="1">IFERROR(__xludf.DUMMYFUNCTION("""COMPUTED_VALUE"""),2750)</f>
        <v>2750</v>
      </c>
      <c r="K143" s="7">
        <f ca="1">IFERROR(__xludf.DUMMYFUNCTION("""COMPUTED_VALUE"""),0)</f>
        <v>0</v>
      </c>
      <c r="L143" s="7">
        <f ca="1">IFERROR(__xludf.DUMMYFUNCTION("""COMPUTED_VALUE"""),0)</f>
        <v>0</v>
      </c>
      <c r="M143" s="7">
        <f ca="1">IFERROR(__xludf.DUMMYFUNCTION("""COMPUTED_VALUE"""),0)</f>
        <v>0</v>
      </c>
      <c r="N143" s="7">
        <f ca="1">IFERROR(__xludf.DUMMYFUNCTION("""COMPUTED_VALUE"""),0)</f>
        <v>0</v>
      </c>
      <c r="O143" s="7">
        <f ca="1">IFERROR(__xludf.DUMMYFUNCTION("""COMPUTED_VALUE"""),0)</f>
        <v>0</v>
      </c>
      <c r="P143" s="7">
        <f ca="1">IFERROR(__xludf.DUMMYFUNCTION("""COMPUTED_VALUE"""),0)</f>
        <v>0</v>
      </c>
      <c r="Q143" s="7">
        <f ca="1">IFERROR(__xludf.DUMMYFUNCTION("""COMPUTED_VALUE"""),2070)</f>
        <v>2070</v>
      </c>
      <c r="R143" s="7">
        <f ca="1">IFERROR(__xludf.DUMMYFUNCTION("""COMPUTED_VALUE"""),0)</f>
        <v>0</v>
      </c>
      <c r="S143" s="7">
        <f ca="1">IFERROR(__xludf.DUMMYFUNCTION("""COMPUTED_VALUE"""),0)</f>
        <v>0</v>
      </c>
      <c r="T143" s="7">
        <f ca="1">IFERROR(__xludf.DUMMYFUNCTION("""COMPUTED_VALUE"""),98.3999999999999)</f>
        <v>98.399999999999906</v>
      </c>
      <c r="U143" s="61"/>
      <c r="V143" s="61"/>
      <c r="W143" s="61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0" t="str">
        <f ca="1">IFERROR(__xludf.DUMMYFUNCTION("""COMPUTED_VALUE"""),"A.A. ESCOLA ESTADUAL ZICO DORNELAS")</f>
        <v>A.A. ESCOLA ESTADUAL ZICO DORNELAS</v>
      </c>
      <c r="D144" s="136" t="str">
        <f ca="1">IFERROR(__xludf.DUMMYFUNCTION("""COMPUTED_VALUE"""),"01136018000188")</f>
        <v>01136018000188</v>
      </c>
      <c r="E144" s="6" t="str">
        <f ca="1">IFERROR(__xludf.DUMMYFUNCTION("""COMPUTED_VALUE"""),"001")</f>
        <v>001</v>
      </c>
      <c r="F144" s="7" t="str">
        <f ca="1">IFERROR(__xludf.DUMMYFUNCTION("""COMPUTED_VALUE"""),"0911")</f>
        <v>0911</v>
      </c>
      <c r="G144" s="7" t="str">
        <f ca="1">IFERROR(__xludf.DUMMYFUNCTION("""COMPUTED_VALUE"""),"369349")</f>
        <v>369349</v>
      </c>
      <c r="H144" s="7">
        <f ca="1">IFERROR(__xludf.DUMMYFUNCTION("""COMPUTED_VALUE"""),0)</f>
        <v>0</v>
      </c>
      <c r="I144" s="7">
        <f ca="1">IFERROR(__xludf.DUMMYFUNCTION("""COMPUTED_VALUE"""),0)</f>
        <v>0</v>
      </c>
      <c r="J144" s="7">
        <f ca="1">IFERROR(__xludf.DUMMYFUNCTION("""COMPUTED_VALUE"""),860)</f>
        <v>860</v>
      </c>
      <c r="K144" s="7">
        <f ca="1">IFERROR(__xludf.DUMMYFUNCTION("""COMPUTED_VALUE"""),0)</f>
        <v>0</v>
      </c>
      <c r="L144" s="7">
        <f ca="1">IFERROR(__xludf.DUMMYFUNCTION("""COMPUTED_VALUE"""),0)</f>
        <v>0</v>
      </c>
      <c r="M144" s="7">
        <f ca="1">IFERROR(__xludf.DUMMYFUNCTION("""COMPUTED_VALUE"""),0)</f>
        <v>0</v>
      </c>
      <c r="N144" s="7">
        <f ca="1">IFERROR(__xludf.DUMMYFUNCTION("""COMPUTED_VALUE"""),0)</f>
        <v>0</v>
      </c>
      <c r="O144" s="7">
        <f ca="1">IFERROR(__xludf.DUMMYFUNCTION("""COMPUTED_VALUE"""),0)</f>
        <v>0</v>
      </c>
      <c r="P144" s="7">
        <f ca="1">IFERROR(__xludf.DUMMYFUNCTION("""COMPUTED_VALUE"""),136)</f>
        <v>136</v>
      </c>
      <c r="Q144" s="7">
        <f ca="1">IFERROR(__xludf.DUMMYFUNCTION("""COMPUTED_VALUE"""),980)</f>
        <v>980</v>
      </c>
      <c r="R144" s="7">
        <f ca="1">IFERROR(__xludf.DUMMYFUNCTION("""COMPUTED_VALUE"""),0)</f>
        <v>0</v>
      </c>
      <c r="S144" s="7">
        <f ca="1">IFERROR(__xludf.DUMMYFUNCTION("""COMPUTED_VALUE"""),0)</f>
        <v>0</v>
      </c>
      <c r="T144" s="7">
        <f ca="1">IFERROR(__xludf.DUMMYFUNCTION("""COMPUTED_VALUE"""),0)</f>
        <v>0</v>
      </c>
      <c r="U144" s="61"/>
      <c r="V144" s="61"/>
      <c r="W144" s="61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0" t="str">
        <f ca="1">IFERROR(__xludf.DUMMYFUNCTION("""COMPUTED_VALUE"""),"ASS. COM. ESC. EST JOAO AIRES GABRIEL")</f>
        <v>ASS. COM. ESC. EST JOAO AIRES GABRIEL</v>
      </c>
      <c r="D145" s="136" t="str">
        <f ca="1">IFERROR(__xludf.DUMMYFUNCTION("""COMPUTED_VALUE"""),"01465793000187")</f>
        <v>01465793000187</v>
      </c>
      <c r="E145" s="6" t="str">
        <f ca="1">IFERROR(__xludf.DUMMYFUNCTION("""COMPUTED_VALUE"""),"001")</f>
        <v>001</v>
      </c>
      <c r="F145" s="7" t="str">
        <f ca="1">IFERROR(__xludf.DUMMYFUNCTION("""COMPUTED_VALUE"""),"0911")</f>
        <v>0911</v>
      </c>
      <c r="G145" s="7" t="str">
        <f ca="1">IFERROR(__xludf.DUMMYFUNCTION("""COMPUTED_VALUE"""),"342246")</f>
        <v>342246</v>
      </c>
      <c r="H145" s="7">
        <f ca="1">IFERROR(__xludf.DUMMYFUNCTION("""COMPUTED_VALUE"""),0)</f>
        <v>0</v>
      </c>
      <c r="I145" s="7">
        <f ca="1">IFERROR(__xludf.DUMMYFUNCTION("""COMPUTED_VALUE"""),0)</f>
        <v>0</v>
      </c>
      <c r="J145" s="7">
        <f ca="1">IFERROR(__xludf.DUMMYFUNCTION("""COMPUTED_VALUE"""),1700)</f>
        <v>1700</v>
      </c>
      <c r="K145" s="7">
        <f ca="1">IFERROR(__xludf.DUMMYFUNCTION("""COMPUTED_VALUE"""),0)</f>
        <v>0</v>
      </c>
      <c r="L145" s="7">
        <f ca="1">IFERROR(__xludf.DUMMYFUNCTION("""COMPUTED_VALUE"""),0)</f>
        <v>0</v>
      </c>
      <c r="M145" s="7">
        <f ca="1">IFERROR(__xludf.DUMMYFUNCTION("""COMPUTED_VALUE"""),0)</f>
        <v>0</v>
      </c>
      <c r="N145" s="7">
        <f ca="1">IFERROR(__xludf.DUMMYFUNCTION("""COMPUTED_VALUE"""),0)</f>
        <v>0</v>
      </c>
      <c r="O145" s="7">
        <f ca="1">IFERROR(__xludf.DUMMYFUNCTION("""COMPUTED_VALUE"""),0)</f>
        <v>0</v>
      </c>
      <c r="P145" s="7">
        <f ca="1">IFERROR(__xludf.DUMMYFUNCTION("""COMPUTED_VALUE"""),204)</f>
        <v>204</v>
      </c>
      <c r="Q145" s="7">
        <f ca="1">IFERROR(__xludf.DUMMYFUNCTION("""COMPUTED_VALUE"""),1930)</f>
        <v>1930</v>
      </c>
      <c r="R145" s="7">
        <f ca="1">IFERROR(__xludf.DUMMYFUNCTION("""COMPUTED_VALUE"""),0)</f>
        <v>0</v>
      </c>
      <c r="S145" s="7">
        <f ca="1">IFERROR(__xludf.DUMMYFUNCTION("""COMPUTED_VALUE"""),0)</f>
        <v>0</v>
      </c>
      <c r="T145" s="7">
        <f ca="1">IFERROR(__xludf.DUMMYFUNCTION("""COMPUTED_VALUE"""),0)</f>
        <v>0</v>
      </c>
      <c r="U145" s="61"/>
      <c r="V145" s="61"/>
      <c r="W145" s="61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0" t="str">
        <f ca="1">IFERROR(__xludf.DUMMYFUNCTION("""COMPUTED_VALUE"""),"A.COM. ESCOLA EST. ULISSES GUIMARAES")</f>
        <v>A.COM. ESCOLA EST. ULISSES GUIMARAES</v>
      </c>
      <c r="D146" s="136" t="str">
        <f ca="1">IFERROR(__xludf.DUMMYFUNCTION("""COMPUTED_VALUE"""),"01181178000149")</f>
        <v>01181178000149</v>
      </c>
      <c r="E146" s="6" t="str">
        <f ca="1">IFERROR(__xludf.DUMMYFUNCTION("""COMPUTED_VALUE"""),"001")</f>
        <v>001</v>
      </c>
      <c r="F146" s="7" t="str">
        <f ca="1">IFERROR(__xludf.DUMMYFUNCTION("""COMPUTED_VALUE"""),"0911")</f>
        <v>0911</v>
      </c>
      <c r="G146" s="7" t="str">
        <f ca="1">IFERROR(__xludf.DUMMYFUNCTION("""COMPUTED_VALUE"""),"23485")</f>
        <v>23485</v>
      </c>
      <c r="H146" s="7">
        <f ca="1">IFERROR(__xludf.DUMMYFUNCTION("""COMPUTED_VALUE"""),0)</f>
        <v>0</v>
      </c>
      <c r="I146" s="7">
        <f ca="1">IFERROR(__xludf.DUMMYFUNCTION("""COMPUTED_VALUE"""),0)</f>
        <v>0</v>
      </c>
      <c r="J146" s="7">
        <f ca="1">IFERROR(__xludf.DUMMYFUNCTION("""COMPUTED_VALUE"""),2790)</f>
        <v>2790</v>
      </c>
      <c r="K146" s="7">
        <f ca="1">IFERROR(__xludf.DUMMYFUNCTION("""COMPUTED_VALUE"""),0)</f>
        <v>0</v>
      </c>
      <c r="L146" s="7">
        <f ca="1">IFERROR(__xludf.DUMMYFUNCTION("""COMPUTED_VALUE"""),0)</f>
        <v>0</v>
      </c>
      <c r="M146" s="7">
        <f ca="1">IFERROR(__xludf.DUMMYFUNCTION("""COMPUTED_VALUE"""),0)</f>
        <v>0</v>
      </c>
      <c r="N146" s="7">
        <f ca="1">IFERROR(__xludf.DUMMYFUNCTION("""COMPUTED_VALUE"""),0)</f>
        <v>0</v>
      </c>
      <c r="O146" s="7">
        <f ca="1">IFERROR(__xludf.DUMMYFUNCTION("""COMPUTED_VALUE"""),0)</f>
        <v>0</v>
      </c>
      <c r="P146" s="7">
        <f ca="1">IFERROR(__xludf.DUMMYFUNCTION("""COMPUTED_VALUE"""),340)</f>
        <v>340</v>
      </c>
      <c r="Q146" s="7">
        <f ca="1">IFERROR(__xludf.DUMMYFUNCTION("""COMPUTED_VALUE"""),1420)</f>
        <v>1420</v>
      </c>
      <c r="R146" s="7">
        <f ca="1">IFERROR(__xludf.DUMMYFUNCTION("""COMPUTED_VALUE"""),0)</f>
        <v>0</v>
      </c>
      <c r="S146" s="7">
        <f ca="1">IFERROR(__xludf.DUMMYFUNCTION("""COMPUTED_VALUE"""),0)</f>
        <v>0</v>
      </c>
      <c r="T146" s="7">
        <f ca="1">IFERROR(__xludf.DUMMYFUNCTION("""COMPUTED_VALUE"""),0)</f>
        <v>0</v>
      </c>
      <c r="U146" s="61"/>
      <c r="V146" s="61"/>
      <c r="W146" s="61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0" t="str">
        <f ca="1">IFERROR(__xludf.DUMMYFUNCTION("""COMPUTED_VALUE"""),"A. DE AP. DA ESC. EST. SAO TOMAS DE AQUINO")</f>
        <v>A. DE AP. DA ESC. EST. SAO TOMAS DE AQUINO</v>
      </c>
      <c r="D147" s="136" t="str">
        <f ca="1">IFERROR(__xludf.DUMMYFUNCTION("""COMPUTED_VALUE"""),"01334791000159")</f>
        <v>01334791000159</v>
      </c>
      <c r="E147" s="6" t="str">
        <f ca="1">IFERROR(__xludf.DUMMYFUNCTION("""COMPUTED_VALUE"""),"001")</f>
        <v>001</v>
      </c>
      <c r="F147" s="7" t="str">
        <f ca="1">IFERROR(__xludf.DUMMYFUNCTION("""COMPUTED_VALUE"""),"0911")</f>
        <v>0911</v>
      </c>
      <c r="G147" s="7" t="str">
        <f ca="1">IFERROR(__xludf.DUMMYFUNCTION("""COMPUTED_VALUE"""),"370045")</f>
        <v>370045</v>
      </c>
      <c r="H147" s="7">
        <f ca="1">IFERROR(__xludf.DUMMYFUNCTION("""COMPUTED_VALUE"""),0)</f>
        <v>0</v>
      </c>
      <c r="I147" s="7">
        <f ca="1">IFERROR(__xludf.DUMMYFUNCTION("""COMPUTED_VALUE"""),0)</f>
        <v>0</v>
      </c>
      <c r="J147" s="7">
        <f ca="1">IFERROR(__xludf.DUMMYFUNCTION("""COMPUTED_VALUE"""),1430)</f>
        <v>1430</v>
      </c>
      <c r="K147" s="7">
        <f ca="1">IFERROR(__xludf.DUMMYFUNCTION("""COMPUTED_VALUE"""),0)</f>
        <v>0</v>
      </c>
      <c r="L147" s="7">
        <f ca="1">IFERROR(__xludf.DUMMYFUNCTION("""COMPUTED_VALUE"""),0)</f>
        <v>0</v>
      </c>
      <c r="M147" s="7">
        <f ca="1">IFERROR(__xludf.DUMMYFUNCTION("""COMPUTED_VALUE"""),0)</f>
        <v>0</v>
      </c>
      <c r="N147" s="7">
        <f ca="1">IFERROR(__xludf.DUMMYFUNCTION("""COMPUTED_VALUE"""),0)</f>
        <v>0</v>
      </c>
      <c r="O147" s="7">
        <f ca="1">IFERROR(__xludf.DUMMYFUNCTION("""COMPUTED_VALUE"""),0)</f>
        <v>0</v>
      </c>
      <c r="P147" s="7">
        <f ca="1">IFERROR(__xludf.DUMMYFUNCTION("""COMPUTED_VALUE"""),0)</f>
        <v>0</v>
      </c>
      <c r="Q147" s="7">
        <f ca="1">IFERROR(__xludf.DUMMYFUNCTION("""COMPUTED_VALUE"""),740)</f>
        <v>740</v>
      </c>
      <c r="R147" s="7">
        <f ca="1">IFERROR(__xludf.DUMMYFUNCTION("""COMPUTED_VALUE"""),0)</f>
        <v>0</v>
      </c>
      <c r="S147" s="7">
        <f ca="1">IFERROR(__xludf.DUMMYFUNCTION("""COMPUTED_VALUE"""),0)</f>
        <v>0</v>
      </c>
      <c r="T147" s="7">
        <f ca="1">IFERROR(__xludf.DUMMYFUNCTION("""COMPUTED_VALUE"""),0)</f>
        <v>0</v>
      </c>
      <c r="U147" s="61"/>
      <c r="V147" s="61"/>
      <c r="W147" s="61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0" t="str">
        <f ca="1">IFERROR(__xludf.DUMMYFUNCTION("""COMPUTED_VALUE"""),"A.A. COL. E.II GRAU DR.ABNER A.PACINI")</f>
        <v>A.A. COL. E.II GRAU DR.ABNER A.PACINI</v>
      </c>
      <c r="D148" s="136" t="str">
        <f ca="1">IFERROR(__xludf.DUMMYFUNCTION("""COMPUTED_VALUE"""),"01197160000135")</f>
        <v>01197160000135</v>
      </c>
      <c r="E148" s="6" t="str">
        <f ca="1">IFERROR(__xludf.DUMMYFUNCTION("""COMPUTED_VALUE"""),"001")</f>
        <v>001</v>
      </c>
      <c r="F148" s="7" t="str">
        <f ca="1">IFERROR(__xludf.DUMMYFUNCTION("""COMPUTED_VALUE"""),"1307")</f>
        <v>1307</v>
      </c>
      <c r="G148" s="7" t="str">
        <f ca="1">IFERROR(__xludf.DUMMYFUNCTION("""COMPUTED_VALUE"""),"0107700")</f>
        <v>0107700</v>
      </c>
      <c r="H148" s="7">
        <f ca="1">IFERROR(__xludf.DUMMYFUNCTION("""COMPUTED_VALUE"""),0)</f>
        <v>0</v>
      </c>
      <c r="I148" s="7">
        <f ca="1">IFERROR(__xludf.DUMMYFUNCTION("""COMPUTED_VALUE"""),0)</f>
        <v>0</v>
      </c>
      <c r="J148" s="7">
        <f ca="1">IFERROR(__xludf.DUMMYFUNCTION("""COMPUTED_VALUE"""),3870)</f>
        <v>3870</v>
      </c>
      <c r="K148" s="7">
        <f ca="1">IFERROR(__xludf.DUMMYFUNCTION("""COMPUTED_VALUE"""),0)</f>
        <v>0</v>
      </c>
      <c r="L148" s="7">
        <f ca="1">IFERROR(__xludf.DUMMYFUNCTION("""COMPUTED_VALUE"""),0)</f>
        <v>0</v>
      </c>
      <c r="M148" s="7">
        <f ca="1">IFERROR(__xludf.DUMMYFUNCTION("""COMPUTED_VALUE"""),0)</f>
        <v>0</v>
      </c>
      <c r="N148" s="7">
        <f ca="1">IFERROR(__xludf.DUMMYFUNCTION("""COMPUTED_VALUE"""),0)</f>
        <v>0</v>
      </c>
      <c r="O148" s="7">
        <f ca="1">IFERROR(__xludf.DUMMYFUNCTION("""COMPUTED_VALUE"""),0)</f>
        <v>0</v>
      </c>
      <c r="P148" s="7">
        <f ca="1">IFERROR(__xludf.DUMMYFUNCTION("""COMPUTED_VALUE"""),204)</f>
        <v>204</v>
      </c>
      <c r="Q148" s="7">
        <f ca="1">IFERROR(__xludf.DUMMYFUNCTION("""COMPUTED_VALUE"""),1860)</f>
        <v>1860</v>
      </c>
      <c r="R148" s="7">
        <f ca="1">IFERROR(__xludf.DUMMYFUNCTION("""COMPUTED_VALUE"""),0)</f>
        <v>0</v>
      </c>
      <c r="S148" s="7">
        <f ca="1">IFERROR(__xludf.DUMMYFUNCTION("""COMPUTED_VALUE"""),0)</f>
        <v>0</v>
      </c>
      <c r="T148" s="7">
        <f ca="1">IFERROR(__xludf.DUMMYFUNCTION("""COMPUTED_VALUE"""),0)</f>
        <v>0</v>
      </c>
      <c r="U148" s="61"/>
      <c r="V148" s="61"/>
      <c r="W148" s="61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0" t="str">
        <f ca="1">IFERROR(__xludf.DUMMYFUNCTION("""COMPUTED_VALUE"""),"ASSOC.MES.P.EDUC.FUNC.DO COL.AGROP.ALMAS")</f>
        <v>ASSOC.MES.P.EDUC.FUNC.DO COL.AGROP.ALMAS</v>
      </c>
      <c r="D149" s="136" t="str">
        <f ca="1">IFERROR(__xludf.DUMMYFUNCTION("""COMPUTED_VALUE"""),"03751406000102")</f>
        <v>03751406000102</v>
      </c>
      <c r="E149" s="6" t="str">
        <f ca="1">IFERROR(__xludf.DUMMYFUNCTION("""COMPUTED_VALUE"""),"001")</f>
        <v>001</v>
      </c>
      <c r="F149" s="7" t="str">
        <f ca="1">IFERROR(__xludf.DUMMYFUNCTION("""COMPUTED_VALUE"""),"1307")</f>
        <v>1307</v>
      </c>
      <c r="G149" s="7" t="str">
        <f ca="1">IFERROR(__xludf.DUMMYFUNCTION("""COMPUTED_VALUE"""),"115312")</f>
        <v>115312</v>
      </c>
      <c r="H149" s="7">
        <f ca="1">IFERROR(__xludf.DUMMYFUNCTION("""COMPUTED_VALUE"""),0)</f>
        <v>0</v>
      </c>
      <c r="I149" s="7">
        <f ca="1">IFERROR(__xludf.DUMMYFUNCTION("""COMPUTED_VALUE"""),0)</f>
        <v>0</v>
      </c>
      <c r="J149" s="7">
        <f ca="1">IFERROR(__xludf.DUMMYFUNCTION("""COMPUTED_VALUE"""),0)</f>
        <v>0</v>
      </c>
      <c r="K149" s="7">
        <f ca="1">IFERROR(__xludf.DUMMYFUNCTION("""COMPUTED_VALUE"""),2137.2)</f>
        <v>2137.1999999999998</v>
      </c>
      <c r="L149" s="7">
        <f ca="1">IFERROR(__xludf.DUMMYFUNCTION("""COMPUTED_VALUE"""),0)</f>
        <v>0</v>
      </c>
      <c r="M149" s="7">
        <f ca="1">IFERROR(__xludf.DUMMYFUNCTION("""COMPUTED_VALUE"""),0)</f>
        <v>0</v>
      </c>
      <c r="N149" s="7">
        <f ca="1">IFERROR(__xludf.DUMMYFUNCTION("""COMPUTED_VALUE"""),0)</f>
        <v>0</v>
      </c>
      <c r="O149" s="7">
        <f ca="1">IFERROR(__xludf.DUMMYFUNCTION("""COMPUTED_VALUE"""),0)</f>
        <v>0</v>
      </c>
      <c r="P149" s="7">
        <f ca="1">IFERROR(__xludf.DUMMYFUNCTION("""COMPUTED_VALUE"""),0)</f>
        <v>0</v>
      </c>
      <c r="Q149" s="7">
        <f ca="1">IFERROR(__xludf.DUMMYFUNCTION("""COMPUTED_VALUE"""),0)</f>
        <v>0</v>
      </c>
      <c r="R149" s="7">
        <f ca="1">IFERROR(__xludf.DUMMYFUNCTION("""COMPUTED_VALUE"""),8274.8)</f>
        <v>8274.7999999999993</v>
      </c>
      <c r="S149" s="7">
        <f ca="1">IFERROR(__xludf.DUMMYFUNCTION("""COMPUTED_VALUE"""),0)</f>
        <v>0</v>
      </c>
      <c r="T149" s="7">
        <f ca="1">IFERROR(__xludf.DUMMYFUNCTION("""COMPUTED_VALUE"""),0)</f>
        <v>0</v>
      </c>
      <c r="U149" s="61"/>
      <c r="V149" s="61"/>
      <c r="W149" s="61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0" t="str">
        <f ca="1">IFERROR(__xludf.DUMMYFUNCTION("""COMPUTED_VALUE"""),"A.A.  ESC. ESTADUAL DEOCLIDES MUNIZ")</f>
        <v>A.A.  ESC. ESTADUAL DEOCLIDES MUNIZ</v>
      </c>
      <c r="D150" s="136" t="str">
        <f ca="1">IFERROR(__xludf.DUMMYFUNCTION("""COMPUTED_VALUE"""),"01143807000146")</f>
        <v>01143807000146</v>
      </c>
      <c r="E150" s="6" t="str">
        <f ca="1">IFERROR(__xludf.DUMMYFUNCTION("""COMPUTED_VALUE"""),"001")</f>
        <v>001</v>
      </c>
      <c r="F150" s="7" t="str">
        <f ca="1">IFERROR(__xludf.DUMMYFUNCTION("""COMPUTED_VALUE"""),"1307")</f>
        <v>1307</v>
      </c>
      <c r="G150" s="7" t="str">
        <f ca="1">IFERROR(__xludf.DUMMYFUNCTION("""COMPUTED_VALUE"""),"107786")</f>
        <v>107786</v>
      </c>
      <c r="H150" s="7">
        <f ca="1">IFERROR(__xludf.DUMMYFUNCTION("""COMPUTED_VALUE"""),0)</f>
        <v>0</v>
      </c>
      <c r="I150" s="7">
        <f ca="1">IFERROR(__xludf.DUMMYFUNCTION("""COMPUTED_VALUE"""),0)</f>
        <v>0</v>
      </c>
      <c r="J150" s="7">
        <f ca="1">IFERROR(__xludf.DUMMYFUNCTION("""COMPUTED_VALUE"""),0)</f>
        <v>0</v>
      </c>
      <c r="K150" s="7">
        <f ca="1">IFERROR(__xludf.DUMMYFUNCTION("""COMPUTED_VALUE"""),4685.4)</f>
        <v>4685.3999999999996</v>
      </c>
      <c r="L150" s="7">
        <f ca="1">IFERROR(__xludf.DUMMYFUNCTION("""COMPUTED_VALUE"""),0)</f>
        <v>0</v>
      </c>
      <c r="M150" s="7">
        <f ca="1">IFERROR(__xludf.DUMMYFUNCTION("""COMPUTED_VALUE"""),0)</f>
        <v>0</v>
      </c>
      <c r="N150" s="7">
        <f ca="1">IFERROR(__xludf.DUMMYFUNCTION("""COMPUTED_VALUE"""),0)</f>
        <v>0</v>
      </c>
      <c r="O150" s="7">
        <f ca="1">IFERROR(__xludf.DUMMYFUNCTION("""COMPUTED_VALUE"""),0)</f>
        <v>0</v>
      </c>
      <c r="P150" s="7">
        <f ca="1">IFERROR(__xludf.DUMMYFUNCTION("""COMPUTED_VALUE"""),176.799999999999)</f>
        <v>176.79999999999899</v>
      </c>
      <c r="Q150" s="7">
        <f ca="1">IFERROR(__xludf.DUMMYFUNCTION("""COMPUTED_VALUE"""),0)</f>
        <v>0</v>
      </c>
      <c r="R150" s="7">
        <f ca="1">IFERROR(__xludf.DUMMYFUNCTION("""COMPUTED_VALUE"""),0)</f>
        <v>0</v>
      </c>
      <c r="S150" s="7">
        <f ca="1">IFERROR(__xludf.DUMMYFUNCTION("""COMPUTED_VALUE"""),2048)</f>
        <v>2048</v>
      </c>
      <c r="T150" s="7">
        <f ca="1">IFERROR(__xludf.DUMMYFUNCTION("""COMPUTED_VALUE"""),0)</f>
        <v>0</v>
      </c>
      <c r="U150" s="61"/>
      <c r="V150" s="61"/>
      <c r="W150" s="61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0" t="str">
        <f ca="1">IFERROR(__xludf.DUMMYFUNCTION("""COMPUTED_VALUE"""),"A.A. E. CEL JOSE FRANCISCO DE AZEVEDO")</f>
        <v>A.A. E. CEL JOSE FRANCISCO DE AZEVEDO</v>
      </c>
      <c r="D151" s="136" t="str">
        <f ca="1">IFERROR(__xludf.DUMMYFUNCTION("""COMPUTED_VALUE"""),"01136040000128")</f>
        <v>01136040000128</v>
      </c>
      <c r="E151" s="6" t="str">
        <f ca="1">IFERROR(__xludf.DUMMYFUNCTION("""COMPUTED_VALUE"""),"001")</f>
        <v>001</v>
      </c>
      <c r="F151" s="7" t="str">
        <f ca="1">IFERROR(__xludf.DUMMYFUNCTION("""COMPUTED_VALUE"""),"1307")</f>
        <v>1307</v>
      </c>
      <c r="G151" s="7" t="str">
        <f ca="1">IFERROR(__xludf.DUMMYFUNCTION("""COMPUTED_VALUE"""),"106208")</f>
        <v>106208</v>
      </c>
      <c r="H151" s="7">
        <f ca="1">IFERROR(__xludf.DUMMYFUNCTION("""COMPUTED_VALUE"""),0)</f>
        <v>0</v>
      </c>
      <c r="I151" s="7">
        <f ca="1">IFERROR(__xludf.DUMMYFUNCTION("""COMPUTED_VALUE"""),0)</f>
        <v>0</v>
      </c>
      <c r="J151" s="7">
        <f ca="1">IFERROR(__xludf.DUMMYFUNCTION("""COMPUTED_VALUE"""),2490)</f>
        <v>2490</v>
      </c>
      <c r="K151" s="7">
        <f ca="1">IFERROR(__xludf.DUMMYFUNCTION("""COMPUTED_VALUE"""),0)</f>
        <v>0</v>
      </c>
      <c r="L151" s="7">
        <f ca="1">IFERROR(__xludf.DUMMYFUNCTION("""COMPUTED_VALUE"""),0)</f>
        <v>0</v>
      </c>
      <c r="M151" s="7">
        <f ca="1">IFERROR(__xludf.DUMMYFUNCTION("""COMPUTED_VALUE"""),0)</f>
        <v>0</v>
      </c>
      <c r="N151" s="7">
        <f ca="1">IFERROR(__xludf.DUMMYFUNCTION("""COMPUTED_VALUE"""),0)</f>
        <v>0</v>
      </c>
      <c r="O151" s="7">
        <f ca="1">IFERROR(__xludf.DUMMYFUNCTION("""COMPUTED_VALUE"""),0)</f>
        <v>0</v>
      </c>
      <c r="P151" s="7">
        <f ca="1">IFERROR(__xludf.DUMMYFUNCTION("""COMPUTED_VALUE"""),231.2)</f>
        <v>231.2</v>
      </c>
      <c r="Q151" s="7">
        <f ca="1">IFERROR(__xludf.DUMMYFUNCTION("""COMPUTED_VALUE"""),1870)</f>
        <v>1870</v>
      </c>
      <c r="R151" s="7">
        <f ca="1">IFERROR(__xludf.DUMMYFUNCTION("""COMPUTED_VALUE"""),0)</f>
        <v>0</v>
      </c>
      <c r="S151" s="7">
        <f ca="1">IFERROR(__xludf.DUMMYFUNCTION("""COMPUTED_VALUE"""),0)</f>
        <v>0</v>
      </c>
      <c r="T151" s="7">
        <f ca="1">IFERROR(__xludf.DUMMYFUNCTION("""COMPUTED_VALUE"""),0)</f>
        <v>0</v>
      </c>
      <c r="U151" s="61"/>
      <c r="V151" s="61"/>
      <c r="W151" s="61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0" t="str">
        <f ca="1">IFERROR(__xludf.DUMMYFUNCTION("""COMPUTED_VALUE"""),"A. ESC. COMUN.DA E. EST. ANTONIO POVOA")</f>
        <v>A. ESC. COMUN.DA E. EST. ANTONIO POVOA</v>
      </c>
      <c r="D152" s="136" t="str">
        <f ca="1">IFERROR(__xludf.DUMMYFUNCTION("""COMPUTED_VALUE"""),"00895665000100")</f>
        <v>00895665000100</v>
      </c>
      <c r="E152" s="6" t="str">
        <f ca="1">IFERROR(__xludf.DUMMYFUNCTION("""COMPUTED_VALUE"""),"001")</f>
        <v>001</v>
      </c>
      <c r="F152" s="7" t="str">
        <f ca="1">IFERROR(__xludf.DUMMYFUNCTION("""COMPUTED_VALUE"""),"1307")</f>
        <v>1307</v>
      </c>
      <c r="G152" s="7" t="str">
        <f ca="1">IFERROR(__xludf.DUMMYFUNCTION("""COMPUTED_VALUE"""),"010616X")</f>
        <v>010616X</v>
      </c>
      <c r="H152" s="7">
        <f ca="1">IFERROR(__xludf.DUMMYFUNCTION("""COMPUTED_VALUE"""),0)</f>
        <v>0</v>
      </c>
      <c r="I152" s="7">
        <f ca="1">IFERROR(__xludf.DUMMYFUNCTION("""COMPUTED_VALUE"""),0)</f>
        <v>0</v>
      </c>
      <c r="J152" s="7">
        <f ca="1">IFERROR(__xludf.DUMMYFUNCTION("""COMPUTED_VALUE"""),340)</f>
        <v>340</v>
      </c>
      <c r="K152" s="7">
        <f ca="1">IFERROR(__xludf.DUMMYFUNCTION("""COMPUTED_VALUE"""),1041.2)</f>
        <v>1041.2</v>
      </c>
      <c r="L152" s="7">
        <f ca="1">IFERROR(__xludf.DUMMYFUNCTION("""COMPUTED_VALUE"""),0)</f>
        <v>0</v>
      </c>
      <c r="M152" s="7">
        <f ca="1">IFERROR(__xludf.DUMMYFUNCTION("""COMPUTED_VALUE"""),0)</f>
        <v>0</v>
      </c>
      <c r="N152" s="7">
        <f ca="1">IFERROR(__xludf.DUMMYFUNCTION("""COMPUTED_VALUE"""),0)</f>
        <v>0</v>
      </c>
      <c r="O152" s="7">
        <f ca="1">IFERROR(__xludf.DUMMYFUNCTION("""COMPUTED_VALUE"""),0)</f>
        <v>0</v>
      </c>
      <c r="P152" s="7">
        <f ca="1">IFERROR(__xludf.DUMMYFUNCTION("""COMPUTED_VALUE"""),0)</f>
        <v>0</v>
      </c>
      <c r="Q152" s="7">
        <f ca="1">IFERROR(__xludf.DUMMYFUNCTION("""COMPUTED_VALUE"""),0)</f>
        <v>0</v>
      </c>
      <c r="R152" s="7">
        <f ca="1">IFERROR(__xludf.DUMMYFUNCTION("""COMPUTED_VALUE"""),0)</f>
        <v>0</v>
      </c>
      <c r="S152" s="7">
        <f ca="1">IFERROR(__xludf.DUMMYFUNCTION("""COMPUTED_VALUE"""),4454.4)</f>
        <v>4454.3999999999996</v>
      </c>
      <c r="T152" s="7">
        <f ca="1">IFERROR(__xludf.DUMMYFUNCTION("""COMPUTED_VALUE"""),483.799999999999)</f>
        <v>483.79999999999899</v>
      </c>
      <c r="U152" s="61"/>
      <c r="V152" s="61"/>
      <c r="W152" s="61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0" t="str">
        <f ca="1">IFERROR(__xludf.DUMMYFUNCTION("""COMPUTED_VALUE"""),"A. DE APOIO AO COLEGIO JOAO DE ABREU")</f>
        <v>A. DE APOIO AO COLEGIO JOAO DE ABREU</v>
      </c>
      <c r="D153" s="136" t="str">
        <f ca="1">IFERROR(__xludf.DUMMYFUNCTION("""COMPUTED_VALUE"""),"05059617000104")</f>
        <v>05059617000104</v>
      </c>
      <c r="E153" s="6" t="str">
        <f ca="1">IFERROR(__xludf.DUMMYFUNCTION("""COMPUTED_VALUE"""),"001")</f>
        <v>001</v>
      </c>
      <c r="F153" s="7" t="str">
        <f ca="1">IFERROR(__xludf.DUMMYFUNCTION("""COMPUTED_VALUE"""),"1307")</f>
        <v>1307</v>
      </c>
      <c r="G153" s="7" t="str">
        <f ca="1">IFERROR(__xludf.DUMMYFUNCTION("""COMPUTED_VALUE"""),"127027")</f>
        <v>127027</v>
      </c>
      <c r="H153" s="7">
        <f ca="1">IFERROR(__xludf.DUMMYFUNCTION("""COMPUTED_VALUE"""),0)</f>
        <v>0</v>
      </c>
      <c r="I153" s="7">
        <f ca="1">IFERROR(__xludf.DUMMYFUNCTION("""COMPUTED_VALUE"""),0)</f>
        <v>0</v>
      </c>
      <c r="J153" s="7">
        <f ca="1">IFERROR(__xludf.DUMMYFUNCTION("""COMPUTED_VALUE"""),6050)</f>
        <v>6050</v>
      </c>
      <c r="K153" s="7">
        <f ca="1">IFERROR(__xludf.DUMMYFUNCTION("""COMPUTED_VALUE"""),0)</f>
        <v>0</v>
      </c>
      <c r="L153" s="7">
        <f ca="1">IFERROR(__xludf.DUMMYFUNCTION("""COMPUTED_VALUE"""),0)</f>
        <v>0</v>
      </c>
      <c r="M153" s="7">
        <f ca="1">IFERROR(__xludf.DUMMYFUNCTION("""COMPUTED_VALUE"""),0)</f>
        <v>0</v>
      </c>
      <c r="N153" s="7">
        <f ca="1">IFERROR(__xludf.DUMMYFUNCTION("""COMPUTED_VALUE"""),0)</f>
        <v>0</v>
      </c>
      <c r="O153" s="7">
        <f ca="1">IFERROR(__xludf.DUMMYFUNCTION("""COMPUTED_VALUE"""),0)</f>
        <v>0</v>
      </c>
      <c r="P153" s="7">
        <f ca="1">IFERROR(__xludf.DUMMYFUNCTION("""COMPUTED_VALUE"""),217.6)</f>
        <v>217.6</v>
      </c>
      <c r="Q153" s="7">
        <f ca="1">IFERROR(__xludf.DUMMYFUNCTION("""COMPUTED_VALUE"""),3510)</f>
        <v>3510</v>
      </c>
      <c r="R153" s="7">
        <f ca="1">IFERROR(__xludf.DUMMYFUNCTION("""COMPUTED_VALUE"""),0)</f>
        <v>0</v>
      </c>
      <c r="S153" s="7">
        <f ca="1">IFERROR(__xludf.DUMMYFUNCTION("""COMPUTED_VALUE"""),0)</f>
        <v>0</v>
      </c>
      <c r="T153" s="7">
        <f ca="1">IFERROR(__xludf.DUMMYFUNCTION("""COMPUTED_VALUE"""),0)</f>
        <v>0</v>
      </c>
      <c r="U153" s="61"/>
      <c r="V153" s="61"/>
      <c r="W153" s="61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0" t="str">
        <f ca="1">IFERROR(__xludf.DUMMYFUNCTION("""COMPUTED_VALUE"""),"ASSOC. DE APOIO A ESCOLA COOPERATIVA CHAPADÃO/DIANÓPOLIS")</f>
        <v>ASSOC. DE APOIO A ESCOLA COOPERATIVA CHAPADÃO/DIANÓPOLIS</v>
      </c>
      <c r="D154" s="136" t="str">
        <f ca="1">IFERROR(__xludf.DUMMYFUNCTION("""COMPUTED_VALUE"""),"07056712000171")</f>
        <v>07056712000171</v>
      </c>
      <c r="E154" s="6" t="str">
        <f ca="1">IFERROR(__xludf.DUMMYFUNCTION("""COMPUTED_VALUE"""),"001")</f>
        <v>001</v>
      </c>
      <c r="F154" s="7" t="str">
        <f ca="1">IFERROR(__xludf.DUMMYFUNCTION("""COMPUTED_VALUE"""),"1307")</f>
        <v>1307</v>
      </c>
      <c r="G154" s="7" t="str">
        <f ca="1">IFERROR(__xludf.DUMMYFUNCTION("""COMPUTED_VALUE"""),"15704X")</f>
        <v>15704X</v>
      </c>
      <c r="H154" s="7">
        <f ca="1">IFERROR(__xludf.DUMMYFUNCTION("""COMPUTED_VALUE"""),0)</f>
        <v>0</v>
      </c>
      <c r="I154" s="7">
        <f ca="1">IFERROR(__xludf.DUMMYFUNCTION("""COMPUTED_VALUE"""),0)</f>
        <v>0</v>
      </c>
      <c r="J154" s="7">
        <f ca="1">IFERROR(__xludf.DUMMYFUNCTION("""COMPUTED_VALUE"""),1340)</f>
        <v>1340</v>
      </c>
      <c r="K154" s="7">
        <f ca="1">IFERROR(__xludf.DUMMYFUNCTION("""COMPUTED_VALUE"""),0)</f>
        <v>0</v>
      </c>
      <c r="L154" s="7">
        <f ca="1">IFERROR(__xludf.DUMMYFUNCTION("""COMPUTED_VALUE"""),0)</f>
        <v>0</v>
      </c>
      <c r="M154" s="7">
        <f ca="1">IFERROR(__xludf.DUMMYFUNCTION("""COMPUTED_VALUE"""),0)</f>
        <v>0</v>
      </c>
      <c r="N154" s="7">
        <f ca="1">IFERROR(__xludf.DUMMYFUNCTION("""COMPUTED_VALUE"""),0)</f>
        <v>0</v>
      </c>
      <c r="O154" s="7">
        <f ca="1">IFERROR(__xludf.DUMMYFUNCTION("""COMPUTED_VALUE"""),0)</f>
        <v>0</v>
      </c>
      <c r="P154" s="7">
        <f ca="1">IFERROR(__xludf.DUMMYFUNCTION("""COMPUTED_VALUE"""),190.4)</f>
        <v>190.4</v>
      </c>
      <c r="Q154" s="7">
        <f ca="1">IFERROR(__xludf.DUMMYFUNCTION("""COMPUTED_VALUE"""),240)</f>
        <v>240</v>
      </c>
      <c r="R154" s="7">
        <f ca="1">IFERROR(__xludf.DUMMYFUNCTION("""COMPUTED_VALUE"""),0)</f>
        <v>0</v>
      </c>
      <c r="S154" s="7">
        <f ca="1">IFERROR(__xludf.DUMMYFUNCTION("""COMPUTED_VALUE"""),0)</f>
        <v>0</v>
      </c>
      <c r="T154" s="7">
        <f ca="1">IFERROR(__xludf.DUMMYFUNCTION("""COMPUTED_VALUE"""),0)</f>
        <v>0</v>
      </c>
      <c r="U154" s="61"/>
      <c r="V154" s="61"/>
      <c r="W154" s="61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0" t="str">
        <f ca="1">IFERROR(__xludf.DUMMYFUNCTION("""COMPUTED_VALUE"""),"ESCOLA ESPECIAL COLIBRI")</f>
        <v>ESCOLA ESPECIAL COLIBRI</v>
      </c>
      <c r="D155" s="136" t="str">
        <f ca="1">IFERROR(__xludf.DUMMYFUNCTION("""COMPUTED_VALUE"""),"15413383000105")</f>
        <v>15413383000105</v>
      </c>
      <c r="E155" s="6" t="str">
        <f ca="1">IFERROR(__xludf.DUMMYFUNCTION("""COMPUTED_VALUE"""),"001")</f>
        <v>001</v>
      </c>
      <c r="F155" s="7" t="str">
        <f ca="1">IFERROR(__xludf.DUMMYFUNCTION("""COMPUTED_VALUE"""),"1307")</f>
        <v>1307</v>
      </c>
      <c r="G155" s="7" t="str">
        <f ca="1">IFERROR(__xludf.DUMMYFUNCTION("""COMPUTED_VALUE"""),"312967")</f>
        <v>312967</v>
      </c>
      <c r="H155" s="7">
        <f ca="1">IFERROR(__xludf.DUMMYFUNCTION("""COMPUTED_VALUE"""),0)</f>
        <v>0</v>
      </c>
      <c r="I155" s="7">
        <f ca="1">IFERROR(__xludf.DUMMYFUNCTION("""COMPUTED_VALUE"""),0)</f>
        <v>0</v>
      </c>
      <c r="J155" s="7">
        <f ca="1">IFERROR(__xludf.DUMMYFUNCTION("""COMPUTED_VALUE"""),250)</f>
        <v>250</v>
      </c>
      <c r="K155" s="7">
        <f ca="1">IFERROR(__xludf.DUMMYFUNCTION("""COMPUTED_VALUE"""),0)</f>
        <v>0</v>
      </c>
      <c r="L155" s="7">
        <f ca="1">IFERROR(__xludf.DUMMYFUNCTION("""COMPUTED_VALUE"""),0)</f>
        <v>0</v>
      </c>
      <c r="M155" s="7">
        <f ca="1">IFERROR(__xludf.DUMMYFUNCTION("""COMPUTED_VALUE"""),0)</f>
        <v>0</v>
      </c>
      <c r="N155" s="7">
        <f ca="1">IFERROR(__xludf.DUMMYFUNCTION("""COMPUTED_VALUE"""),0)</f>
        <v>0</v>
      </c>
      <c r="O155" s="7">
        <f ca="1">IFERROR(__xludf.DUMMYFUNCTION("""COMPUTED_VALUE"""),0)</f>
        <v>0</v>
      </c>
      <c r="P155" s="7">
        <f ca="1">IFERROR(__xludf.DUMMYFUNCTION("""COMPUTED_VALUE"""),272)</f>
        <v>272</v>
      </c>
      <c r="Q155" s="7">
        <f ca="1">IFERROR(__xludf.DUMMYFUNCTION("""COMPUTED_VALUE"""),0)</f>
        <v>0</v>
      </c>
      <c r="R155" s="7">
        <f ca="1">IFERROR(__xludf.DUMMYFUNCTION("""COMPUTED_VALUE"""),0)</f>
        <v>0</v>
      </c>
      <c r="S155" s="7">
        <f ca="1">IFERROR(__xludf.DUMMYFUNCTION("""COMPUTED_VALUE"""),0)</f>
        <v>0</v>
      </c>
      <c r="T155" s="7">
        <f ca="1">IFERROR(__xludf.DUMMYFUNCTION("""COMPUTED_VALUE"""),409.999999999999)</f>
        <v>409.99999999999898</v>
      </c>
      <c r="U155" s="61"/>
      <c r="V155" s="61"/>
      <c r="W155" s="61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0" t="str">
        <f ca="1">IFERROR(__xludf.DUMMYFUNCTION("""COMPUTED_VALUE"""),"ASS. APOIO ESC. EST.CEL.ABILIO WOLNEY")</f>
        <v>ASS. APOIO ESC. EST.CEL.ABILIO WOLNEY</v>
      </c>
      <c r="D156" s="136" t="str">
        <f ca="1">IFERROR(__xludf.DUMMYFUNCTION("""COMPUTED_VALUE"""),"01197161000180")</f>
        <v>01197161000180</v>
      </c>
      <c r="E156" s="6" t="str">
        <f ca="1">IFERROR(__xludf.DUMMYFUNCTION("""COMPUTED_VALUE"""),"001")</f>
        <v>001</v>
      </c>
      <c r="F156" s="7" t="str">
        <f ca="1">IFERROR(__xludf.DUMMYFUNCTION("""COMPUTED_VALUE"""),"1307")</f>
        <v>1307</v>
      </c>
      <c r="G156" s="7" t="str">
        <f ca="1">IFERROR(__xludf.DUMMYFUNCTION("""COMPUTED_VALUE"""),"120464")</f>
        <v>120464</v>
      </c>
      <c r="H156" s="7">
        <f ca="1">IFERROR(__xludf.DUMMYFUNCTION("""COMPUTED_VALUE"""),0)</f>
        <v>0</v>
      </c>
      <c r="I156" s="7">
        <f ca="1">IFERROR(__xludf.DUMMYFUNCTION("""COMPUTED_VALUE"""),0)</f>
        <v>0</v>
      </c>
      <c r="J156" s="7">
        <f ca="1">IFERROR(__xludf.DUMMYFUNCTION("""COMPUTED_VALUE"""),4420)</f>
        <v>4420</v>
      </c>
      <c r="K156" s="7">
        <f ca="1">IFERROR(__xludf.DUMMYFUNCTION("""COMPUTED_VALUE"""),0)</f>
        <v>0</v>
      </c>
      <c r="L156" s="7">
        <f ca="1">IFERROR(__xludf.DUMMYFUNCTION("""COMPUTED_VALUE"""),0)</f>
        <v>0</v>
      </c>
      <c r="M156" s="7">
        <f ca="1">IFERROR(__xludf.DUMMYFUNCTION("""COMPUTED_VALUE"""),0)</f>
        <v>0</v>
      </c>
      <c r="N156" s="7">
        <f ca="1">IFERROR(__xludf.DUMMYFUNCTION("""COMPUTED_VALUE"""),0)</f>
        <v>0</v>
      </c>
      <c r="O156" s="7">
        <f ca="1">IFERROR(__xludf.DUMMYFUNCTION("""COMPUTED_VALUE"""),0)</f>
        <v>0</v>
      </c>
      <c r="P156" s="7">
        <f ca="1">IFERROR(__xludf.DUMMYFUNCTION("""COMPUTED_VALUE"""),0)</f>
        <v>0</v>
      </c>
      <c r="Q156" s="7">
        <f ca="1">IFERROR(__xludf.DUMMYFUNCTION("""COMPUTED_VALUE"""),5420)</f>
        <v>5420</v>
      </c>
      <c r="R156" s="7">
        <f ca="1">IFERROR(__xludf.DUMMYFUNCTION("""COMPUTED_VALUE"""),0)</f>
        <v>0</v>
      </c>
      <c r="S156" s="7">
        <f ca="1">IFERROR(__xludf.DUMMYFUNCTION("""COMPUTED_VALUE"""),0)</f>
        <v>0</v>
      </c>
      <c r="T156" s="7">
        <f ca="1">IFERROR(__xludf.DUMMYFUNCTION("""COMPUTED_VALUE"""),0)</f>
        <v>0</v>
      </c>
      <c r="U156" s="61"/>
      <c r="V156" s="61"/>
      <c r="W156" s="61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0" t="str">
        <f ca="1">IFERROR(__xludf.DUMMYFUNCTION("""COMPUTED_VALUE"""),"A.A. ESCOLA ESTADUAL JOCA COSTA")</f>
        <v>A.A. ESCOLA ESTADUAL JOCA COSTA</v>
      </c>
      <c r="D157" s="136" t="str">
        <f ca="1">IFERROR(__xludf.DUMMYFUNCTION("""COMPUTED_VALUE"""),"01138323000109")</f>
        <v>01138323000109</v>
      </c>
      <c r="E157" s="6" t="str">
        <f ca="1">IFERROR(__xludf.DUMMYFUNCTION("""COMPUTED_VALUE"""),"001")</f>
        <v>001</v>
      </c>
      <c r="F157" s="7" t="str">
        <f ca="1">IFERROR(__xludf.DUMMYFUNCTION("""COMPUTED_VALUE"""),"1307")</f>
        <v>1307</v>
      </c>
      <c r="G157" s="7" t="str">
        <f ca="1">IFERROR(__xludf.DUMMYFUNCTION("""COMPUTED_VALUE"""),"107492")</f>
        <v>107492</v>
      </c>
      <c r="H157" s="7">
        <f ca="1">IFERROR(__xludf.DUMMYFUNCTION("""COMPUTED_VALUE"""),0)</f>
        <v>0</v>
      </c>
      <c r="I157" s="7">
        <f ca="1">IFERROR(__xludf.DUMMYFUNCTION("""COMPUTED_VALUE"""),0)</f>
        <v>0</v>
      </c>
      <c r="J157" s="7">
        <f ca="1">IFERROR(__xludf.DUMMYFUNCTION("""COMPUTED_VALUE"""),3650)</f>
        <v>3650</v>
      </c>
      <c r="K157" s="7">
        <f ca="1">IFERROR(__xludf.DUMMYFUNCTION("""COMPUTED_VALUE"""),0)</f>
        <v>0</v>
      </c>
      <c r="L157" s="7">
        <f ca="1">IFERROR(__xludf.DUMMYFUNCTION("""COMPUTED_VALUE"""),0)</f>
        <v>0</v>
      </c>
      <c r="M157" s="7">
        <f ca="1">IFERROR(__xludf.DUMMYFUNCTION("""COMPUTED_VALUE"""),0)</f>
        <v>0</v>
      </c>
      <c r="N157" s="7">
        <f ca="1">IFERROR(__xludf.DUMMYFUNCTION("""COMPUTED_VALUE"""),0)</f>
        <v>0</v>
      </c>
      <c r="O157" s="7">
        <f ca="1">IFERROR(__xludf.DUMMYFUNCTION("""COMPUTED_VALUE"""),0)</f>
        <v>0</v>
      </c>
      <c r="P157" s="7">
        <f ca="1">IFERROR(__xludf.DUMMYFUNCTION("""COMPUTED_VALUE"""),353.599999999999)</f>
        <v>353.599999999999</v>
      </c>
      <c r="Q157" s="7">
        <f ca="1">IFERROR(__xludf.DUMMYFUNCTION("""COMPUTED_VALUE"""),0)</f>
        <v>0</v>
      </c>
      <c r="R157" s="7">
        <f ca="1">IFERROR(__xludf.DUMMYFUNCTION("""COMPUTED_VALUE"""),0)</f>
        <v>0</v>
      </c>
      <c r="S157" s="7">
        <f ca="1">IFERROR(__xludf.DUMMYFUNCTION("""COMPUTED_VALUE"""),0)</f>
        <v>0</v>
      </c>
      <c r="T157" s="7">
        <f ca="1">IFERROR(__xludf.DUMMYFUNCTION("""COMPUTED_VALUE"""),0)</f>
        <v>0</v>
      </c>
      <c r="U157" s="61"/>
      <c r="V157" s="61"/>
      <c r="W157" s="61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0" t="str">
        <f ca="1">IFERROR(__xludf.DUMMYFUNCTION("""COMPUTED_VALUE"""),"ASS. DE AP. DA ESCOLA ESTADUAL JARDIM")</f>
        <v>ASS. DE AP. DA ESCOLA ESTADUAL JARDIM</v>
      </c>
      <c r="D158" s="136" t="str">
        <f ca="1">IFERROR(__xludf.DUMMYFUNCTION("""COMPUTED_VALUE"""),"01408711000162")</f>
        <v>01408711000162</v>
      </c>
      <c r="E158" s="6" t="str">
        <f ca="1">IFERROR(__xludf.DUMMYFUNCTION("""COMPUTED_VALUE"""),"001")</f>
        <v>001</v>
      </c>
      <c r="F158" s="7" t="str">
        <f ca="1">IFERROR(__xludf.DUMMYFUNCTION("""COMPUTED_VALUE"""),"1307")</f>
        <v>1307</v>
      </c>
      <c r="G158" s="7" t="str">
        <f ca="1">IFERROR(__xludf.DUMMYFUNCTION("""COMPUTED_VALUE"""),"106453")</f>
        <v>106453</v>
      </c>
      <c r="H158" s="7">
        <f ca="1">IFERROR(__xludf.DUMMYFUNCTION("""COMPUTED_VALUE"""),0)</f>
        <v>0</v>
      </c>
      <c r="I158" s="7">
        <f ca="1">IFERROR(__xludf.DUMMYFUNCTION("""COMPUTED_VALUE"""),0)</f>
        <v>0</v>
      </c>
      <c r="J158" s="7">
        <f ca="1">IFERROR(__xludf.DUMMYFUNCTION("""COMPUTED_VALUE"""),2070)</f>
        <v>2070</v>
      </c>
      <c r="K158" s="7">
        <f ca="1">IFERROR(__xludf.DUMMYFUNCTION("""COMPUTED_VALUE"""),0)</f>
        <v>0</v>
      </c>
      <c r="L158" s="7">
        <f ca="1">IFERROR(__xludf.DUMMYFUNCTION("""COMPUTED_VALUE"""),0)</f>
        <v>0</v>
      </c>
      <c r="M158" s="7">
        <f ca="1">IFERROR(__xludf.DUMMYFUNCTION("""COMPUTED_VALUE"""),0)</f>
        <v>0</v>
      </c>
      <c r="N158" s="7">
        <f ca="1">IFERROR(__xludf.DUMMYFUNCTION("""COMPUTED_VALUE"""),0)</f>
        <v>0</v>
      </c>
      <c r="O158" s="7">
        <f ca="1">IFERROR(__xludf.DUMMYFUNCTION("""COMPUTED_VALUE"""),0)</f>
        <v>0</v>
      </c>
      <c r="P158" s="7">
        <f ca="1">IFERROR(__xludf.DUMMYFUNCTION("""COMPUTED_VALUE"""),0)</f>
        <v>0</v>
      </c>
      <c r="Q158" s="7">
        <f ca="1">IFERROR(__xludf.DUMMYFUNCTION("""COMPUTED_VALUE"""),620)</f>
        <v>620</v>
      </c>
      <c r="R158" s="7">
        <f ca="1">IFERROR(__xludf.DUMMYFUNCTION("""COMPUTED_VALUE"""),0)</f>
        <v>0</v>
      </c>
      <c r="S158" s="7">
        <f ca="1">IFERROR(__xludf.DUMMYFUNCTION("""COMPUTED_VALUE"""),0)</f>
        <v>0</v>
      </c>
      <c r="T158" s="7">
        <f ca="1">IFERROR(__xludf.DUMMYFUNCTION("""COMPUTED_VALUE"""),0)</f>
        <v>0</v>
      </c>
      <c r="U158" s="61"/>
      <c r="V158" s="61"/>
      <c r="W158" s="61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0" t="str">
        <f ca="1">IFERROR(__xludf.DUMMYFUNCTION("""COMPUTED_VALUE"""),"A.A. ESC. E. ANTONIO CARLOS DE FRANCA")</f>
        <v>A.A. ESC. E. ANTONIO CARLOS DE FRANCA</v>
      </c>
      <c r="D159" s="136" t="str">
        <f ca="1">IFERROR(__xludf.DUMMYFUNCTION("""COMPUTED_VALUE"""),"01223633000121")</f>
        <v>01223633000121</v>
      </c>
      <c r="E159" s="6" t="str">
        <f ca="1">IFERROR(__xludf.DUMMYFUNCTION("""COMPUTED_VALUE"""),"001")</f>
        <v>001</v>
      </c>
      <c r="F159" s="7" t="str">
        <f ca="1">IFERROR(__xludf.DUMMYFUNCTION("""COMPUTED_VALUE"""),"2704")</f>
        <v>2704</v>
      </c>
      <c r="G159" s="7" t="str">
        <f ca="1">IFERROR(__xludf.DUMMYFUNCTION("""COMPUTED_VALUE"""),"102733")</f>
        <v>102733</v>
      </c>
      <c r="H159" s="7">
        <f ca="1">IFERROR(__xludf.DUMMYFUNCTION("""COMPUTED_VALUE"""),0)</f>
        <v>0</v>
      </c>
      <c r="I159" s="7">
        <f ca="1">IFERROR(__xludf.DUMMYFUNCTION("""COMPUTED_VALUE"""),0)</f>
        <v>0</v>
      </c>
      <c r="J159" s="7">
        <f ca="1">IFERROR(__xludf.DUMMYFUNCTION("""COMPUTED_VALUE"""),2020)</f>
        <v>2020</v>
      </c>
      <c r="K159" s="7">
        <f ca="1">IFERROR(__xludf.DUMMYFUNCTION("""COMPUTED_VALUE"""),0)</f>
        <v>0</v>
      </c>
      <c r="L159" s="7">
        <f ca="1">IFERROR(__xludf.DUMMYFUNCTION("""COMPUTED_VALUE"""),0)</f>
        <v>0</v>
      </c>
      <c r="M159" s="7">
        <f ca="1">IFERROR(__xludf.DUMMYFUNCTION("""COMPUTED_VALUE"""),0)</f>
        <v>0</v>
      </c>
      <c r="N159" s="7">
        <f ca="1">IFERROR(__xludf.DUMMYFUNCTION("""COMPUTED_VALUE"""),0)</f>
        <v>0</v>
      </c>
      <c r="O159" s="7">
        <f ca="1">IFERROR(__xludf.DUMMYFUNCTION("""COMPUTED_VALUE"""),0)</f>
        <v>0</v>
      </c>
      <c r="P159" s="7">
        <f ca="1">IFERROR(__xludf.DUMMYFUNCTION("""COMPUTED_VALUE"""),0)</f>
        <v>0</v>
      </c>
      <c r="Q159" s="7">
        <f ca="1">IFERROR(__xludf.DUMMYFUNCTION("""COMPUTED_VALUE"""),1670)</f>
        <v>1670</v>
      </c>
      <c r="R159" s="7">
        <f ca="1">IFERROR(__xludf.DUMMYFUNCTION("""COMPUTED_VALUE"""),0)</f>
        <v>0</v>
      </c>
      <c r="S159" s="7">
        <f ca="1">IFERROR(__xludf.DUMMYFUNCTION("""COMPUTED_VALUE"""),0)</f>
        <v>0</v>
      </c>
      <c r="T159" s="7">
        <f ca="1">IFERROR(__xludf.DUMMYFUNCTION("""COMPUTED_VALUE"""),0)</f>
        <v>0</v>
      </c>
      <c r="U159" s="61"/>
      <c r="V159" s="61"/>
      <c r="W159" s="61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0" t="str">
        <f ca="1">IFERROR(__xludf.DUMMYFUNCTION("""COMPUTED_VALUE"""),"A.A. E. ESC. EST. BOA VISTA DE BELEM")</f>
        <v>A.A. E. ESC. EST. BOA VISTA DE BELEM</v>
      </c>
      <c r="D160" s="136" t="str">
        <f ca="1">IFERROR(__xludf.DUMMYFUNCTION("""COMPUTED_VALUE"""),"01136045000150")</f>
        <v>01136045000150</v>
      </c>
      <c r="E160" s="6" t="str">
        <f ca="1">IFERROR(__xludf.DUMMYFUNCTION("""COMPUTED_VALUE"""),"001")</f>
        <v>001</v>
      </c>
      <c r="F160" s="7" t="str">
        <f ca="1">IFERROR(__xludf.DUMMYFUNCTION("""COMPUTED_VALUE"""),"1307")</f>
        <v>1307</v>
      </c>
      <c r="G160" s="7" t="str">
        <f ca="1">IFERROR(__xludf.DUMMYFUNCTION("""COMPUTED_VALUE"""),"010762X")</f>
        <v>010762X</v>
      </c>
      <c r="H160" s="7">
        <f ca="1">IFERROR(__xludf.DUMMYFUNCTION("""COMPUTED_VALUE"""),0)</f>
        <v>0</v>
      </c>
      <c r="I160" s="7">
        <f ca="1">IFERROR(__xludf.DUMMYFUNCTION("""COMPUTED_VALUE"""),0)</f>
        <v>0</v>
      </c>
      <c r="J160" s="7">
        <f ca="1">IFERROR(__xludf.DUMMYFUNCTION("""COMPUTED_VALUE"""),910)</f>
        <v>910</v>
      </c>
      <c r="K160" s="7">
        <f ca="1">IFERROR(__xludf.DUMMYFUNCTION("""COMPUTED_VALUE"""),0)</f>
        <v>0</v>
      </c>
      <c r="L160" s="7">
        <f ca="1">IFERROR(__xludf.DUMMYFUNCTION("""COMPUTED_VALUE"""),0)</f>
        <v>0</v>
      </c>
      <c r="M160" s="7">
        <f ca="1">IFERROR(__xludf.DUMMYFUNCTION("""COMPUTED_VALUE"""),0)</f>
        <v>0</v>
      </c>
      <c r="N160" s="7">
        <f ca="1">IFERROR(__xludf.DUMMYFUNCTION("""COMPUTED_VALUE"""),0)</f>
        <v>0</v>
      </c>
      <c r="O160" s="7">
        <f ca="1">IFERROR(__xludf.DUMMYFUNCTION("""COMPUTED_VALUE"""),0)</f>
        <v>0</v>
      </c>
      <c r="P160" s="7">
        <f ca="1">IFERROR(__xludf.DUMMYFUNCTION("""COMPUTED_VALUE"""),0)</f>
        <v>0</v>
      </c>
      <c r="Q160" s="7">
        <f ca="1">IFERROR(__xludf.DUMMYFUNCTION("""COMPUTED_VALUE"""),190)</f>
        <v>190</v>
      </c>
      <c r="R160" s="7">
        <f ca="1">IFERROR(__xludf.DUMMYFUNCTION("""COMPUTED_VALUE"""),0)</f>
        <v>0</v>
      </c>
      <c r="S160" s="7">
        <f ca="1">IFERROR(__xludf.DUMMYFUNCTION("""COMPUTED_VALUE"""),0)</f>
        <v>0</v>
      </c>
      <c r="T160" s="7">
        <f ca="1">IFERROR(__xludf.DUMMYFUNCTION("""COMPUTED_VALUE"""),0)</f>
        <v>0</v>
      </c>
      <c r="U160" s="61"/>
      <c r="V160" s="61"/>
      <c r="W160" s="61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0" t="str">
        <f ca="1">IFERROR(__xludf.DUMMYFUNCTION("""COMPUTED_VALUE"""),"ASSOC. APOIO ESC. EST. ALFREDO NASSER")</f>
        <v>ASSOC. APOIO ESC. EST. ALFREDO NASSER</v>
      </c>
      <c r="D161" s="136" t="str">
        <f ca="1">IFERROR(__xludf.DUMMYFUNCTION("""COMPUTED_VALUE"""),"01105525000154")</f>
        <v>01105525000154</v>
      </c>
      <c r="E161" s="6" t="str">
        <f ca="1">IFERROR(__xludf.DUMMYFUNCTION("""COMPUTED_VALUE"""),"001")</f>
        <v>001</v>
      </c>
      <c r="F161" s="7" t="str">
        <f ca="1">IFERROR(__xludf.DUMMYFUNCTION("""COMPUTED_VALUE"""),"1307")</f>
        <v>1307</v>
      </c>
      <c r="G161" s="7" t="str">
        <f ca="1">IFERROR(__xludf.DUMMYFUNCTION("""COMPUTED_VALUE"""),"0106321")</f>
        <v>0106321</v>
      </c>
      <c r="H161" s="7">
        <f ca="1">IFERROR(__xludf.DUMMYFUNCTION("""COMPUTED_VALUE"""),0)</f>
        <v>0</v>
      </c>
      <c r="I161" s="7">
        <f ca="1">IFERROR(__xludf.DUMMYFUNCTION("""COMPUTED_VALUE"""),0)</f>
        <v>0</v>
      </c>
      <c r="J161" s="7">
        <f ca="1">IFERROR(__xludf.DUMMYFUNCTION("""COMPUTED_VALUE"""),2400)</f>
        <v>2400</v>
      </c>
      <c r="K161" s="7">
        <f ca="1">IFERROR(__xludf.DUMMYFUNCTION("""COMPUTED_VALUE"""),0)</f>
        <v>0</v>
      </c>
      <c r="L161" s="7">
        <f ca="1">IFERROR(__xludf.DUMMYFUNCTION("""COMPUTED_VALUE"""),0)</f>
        <v>0</v>
      </c>
      <c r="M161" s="7">
        <f ca="1">IFERROR(__xludf.DUMMYFUNCTION("""COMPUTED_VALUE"""),0)</f>
        <v>0</v>
      </c>
      <c r="N161" s="7">
        <f ca="1">IFERROR(__xludf.DUMMYFUNCTION("""COMPUTED_VALUE"""),0)</f>
        <v>0</v>
      </c>
      <c r="O161" s="7">
        <f ca="1">IFERROR(__xludf.DUMMYFUNCTION("""COMPUTED_VALUE"""),0)</f>
        <v>0</v>
      </c>
      <c r="P161" s="7">
        <f ca="1">IFERROR(__xludf.DUMMYFUNCTION("""COMPUTED_VALUE"""),340)</f>
        <v>340</v>
      </c>
      <c r="Q161" s="7">
        <f ca="1">IFERROR(__xludf.DUMMYFUNCTION("""COMPUTED_VALUE"""),1210)</f>
        <v>1210</v>
      </c>
      <c r="R161" s="7">
        <f ca="1">IFERROR(__xludf.DUMMYFUNCTION("""COMPUTED_VALUE"""),0)</f>
        <v>0</v>
      </c>
      <c r="S161" s="7">
        <f ca="1">IFERROR(__xludf.DUMMYFUNCTION("""COMPUTED_VALUE"""),0)</f>
        <v>0</v>
      </c>
      <c r="T161" s="7">
        <f ca="1">IFERROR(__xludf.DUMMYFUNCTION("""COMPUTED_VALUE"""),0)</f>
        <v>0</v>
      </c>
      <c r="U161" s="61"/>
      <c r="V161" s="61"/>
      <c r="W161" s="61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0" t="str">
        <f ca="1">IFERROR(__xludf.DUMMYFUNCTION("""COMPUTED_VALUE"""),"A.A. E. E.VIRGILIO FERREIRA DE FRANCA")</f>
        <v>A.A. E. E.VIRGILIO FERREIRA DE FRANCA</v>
      </c>
      <c r="D162" s="136" t="str">
        <f ca="1">IFERROR(__xludf.DUMMYFUNCTION("""COMPUTED_VALUE"""),"01136115000170")</f>
        <v>01136115000170</v>
      </c>
      <c r="E162" s="6" t="str">
        <f ca="1">IFERROR(__xludf.DUMMYFUNCTION("""COMPUTED_VALUE"""),"001")</f>
        <v>001</v>
      </c>
      <c r="F162" s="7" t="str">
        <f ca="1">IFERROR(__xludf.DUMMYFUNCTION("""COMPUTED_VALUE"""),"1307")</f>
        <v>1307</v>
      </c>
      <c r="G162" s="7" t="str">
        <f ca="1">IFERROR(__xludf.DUMMYFUNCTION("""COMPUTED_VALUE"""),"106305")</f>
        <v>106305</v>
      </c>
      <c r="H162" s="7">
        <f ca="1">IFERROR(__xludf.DUMMYFUNCTION("""COMPUTED_VALUE"""),0)</f>
        <v>0</v>
      </c>
      <c r="I162" s="7">
        <f ca="1">IFERROR(__xludf.DUMMYFUNCTION("""COMPUTED_VALUE"""),0)</f>
        <v>0</v>
      </c>
      <c r="J162" s="7">
        <f ca="1">IFERROR(__xludf.DUMMYFUNCTION("""COMPUTED_VALUE"""),1390)</f>
        <v>1390</v>
      </c>
      <c r="K162" s="7">
        <f ca="1">IFERROR(__xludf.DUMMYFUNCTION("""COMPUTED_VALUE"""),0)</f>
        <v>0</v>
      </c>
      <c r="L162" s="7">
        <f ca="1">IFERROR(__xludf.DUMMYFUNCTION("""COMPUTED_VALUE"""),0)</f>
        <v>0</v>
      </c>
      <c r="M162" s="7">
        <f ca="1">IFERROR(__xludf.DUMMYFUNCTION("""COMPUTED_VALUE"""),0)</f>
        <v>0</v>
      </c>
      <c r="N162" s="7">
        <f ca="1">IFERROR(__xludf.DUMMYFUNCTION("""COMPUTED_VALUE"""),0)</f>
        <v>0</v>
      </c>
      <c r="O162" s="7">
        <f ca="1">IFERROR(__xludf.DUMMYFUNCTION("""COMPUTED_VALUE"""),0)</f>
        <v>0</v>
      </c>
      <c r="P162" s="7">
        <f ca="1">IFERROR(__xludf.DUMMYFUNCTION("""COMPUTED_VALUE"""),95.2)</f>
        <v>95.2</v>
      </c>
      <c r="Q162" s="7">
        <f ca="1">IFERROR(__xludf.DUMMYFUNCTION("""COMPUTED_VALUE"""),650)</f>
        <v>650</v>
      </c>
      <c r="R162" s="7">
        <f ca="1">IFERROR(__xludf.DUMMYFUNCTION("""COMPUTED_VALUE"""),0)</f>
        <v>0</v>
      </c>
      <c r="S162" s="7">
        <f ca="1">IFERROR(__xludf.DUMMYFUNCTION("""COMPUTED_VALUE"""),0)</f>
        <v>0</v>
      </c>
      <c r="T162" s="7">
        <f ca="1">IFERROR(__xludf.DUMMYFUNCTION("""COMPUTED_VALUE"""),0)</f>
        <v>0</v>
      </c>
      <c r="U162" s="61"/>
      <c r="V162" s="61"/>
      <c r="W162" s="61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0" t="str">
        <f ca="1">IFERROR(__xludf.DUMMYFUNCTION("""COMPUTED_VALUE"""),"A.A.  ESCOLA EST. JUSTINO DE ALMEIDA")</f>
        <v>A.A.  ESCOLA EST. JUSTINO DE ALMEIDA</v>
      </c>
      <c r="D163" s="136" t="str">
        <f ca="1">IFERROR(__xludf.DUMMYFUNCTION("""COMPUTED_VALUE"""),"01184379000108")</f>
        <v>01184379000108</v>
      </c>
      <c r="E163" s="6" t="str">
        <f ca="1">IFERROR(__xludf.DUMMYFUNCTION("""COMPUTED_VALUE"""),"001")</f>
        <v>001</v>
      </c>
      <c r="F163" s="7" t="str">
        <f ca="1">IFERROR(__xludf.DUMMYFUNCTION("""COMPUTED_VALUE"""),"2704")</f>
        <v>2704</v>
      </c>
      <c r="G163" s="7" t="str">
        <f ca="1">IFERROR(__xludf.DUMMYFUNCTION("""COMPUTED_VALUE"""),"102563")</f>
        <v>102563</v>
      </c>
      <c r="H163" s="7">
        <f ca="1">IFERROR(__xludf.DUMMYFUNCTION("""COMPUTED_VALUE"""),0)</f>
        <v>0</v>
      </c>
      <c r="I163" s="7">
        <f ca="1">IFERROR(__xludf.DUMMYFUNCTION("""COMPUTED_VALUE"""),0)</f>
        <v>0</v>
      </c>
      <c r="J163" s="7">
        <f ca="1">IFERROR(__xludf.DUMMYFUNCTION("""COMPUTED_VALUE"""),2420)</f>
        <v>2420</v>
      </c>
      <c r="K163" s="7">
        <f ca="1">IFERROR(__xludf.DUMMYFUNCTION("""COMPUTED_VALUE"""),0)</f>
        <v>0</v>
      </c>
      <c r="L163" s="7">
        <f ca="1">IFERROR(__xludf.DUMMYFUNCTION("""COMPUTED_VALUE"""),0)</f>
        <v>0</v>
      </c>
      <c r="M163" s="7">
        <f ca="1">IFERROR(__xludf.DUMMYFUNCTION("""COMPUTED_VALUE"""),0)</f>
        <v>0</v>
      </c>
      <c r="N163" s="7">
        <f ca="1">IFERROR(__xludf.DUMMYFUNCTION("""COMPUTED_VALUE"""),0)</f>
        <v>0</v>
      </c>
      <c r="O163" s="7">
        <f ca="1">IFERROR(__xludf.DUMMYFUNCTION("""COMPUTED_VALUE"""),0)</f>
        <v>0</v>
      </c>
      <c r="P163" s="7">
        <f ca="1">IFERROR(__xludf.DUMMYFUNCTION("""COMPUTED_VALUE"""),136)</f>
        <v>136</v>
      </c>
      <c r="Q163" s="7">
        <f ca="1">IFERROR(__xludf.DUMMYFUNCTION("""COMPUTED_VALUE"""),3570)</f>
        <v>3570</v>
      </c>
      <c r="R163" s="7">
        <f ca="1">IFERROR(__xludf.DUMMYFUNCTION("""COMPUTED_VALUE"""),0)</f>
        <v>0</v>
      </c>
      <c r="S163" s="7">
        <f ca="1">IFERROR(__xludf.DUMMYFUNCTION("""COMPUTED_VALUE"""),0)</f>
        <v>0</v>
      </c>
      <c r="T163" s="7">
        <f ca="1">IFERROR(__xludf.DUMMYFUNCTION("""COMPUTED_VALUE"""),713.4)</f>
        <v>713.4</v>
      </c>
      <c r="U163" s="61"/>
      <c r="V163" s="61"/>
      <c r="W163" s="61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0" t="str">
        <f ca="1">IFERROR(__xludf.DUMMYFUNCTION("""COMPUTED_VALUE"""),"A.A. COL. EST. PROFESSOR AURELIANO")</f>
        <v>A.A. COL. EST. PROFESSOR AURELIANO</v>
      </c>
      <c r="D164" s="136" t="str">
        <f ca="1">IFERROR(__xludf.DUMMYFUNCTION("""COMPUTED_VALUE"""),"01133709000128")</f>
        <v>01133709000128</v>
      </c>
      <c r="E164" s="6" t="str">
        <f ca="1">IFERROR(__xludf.DUMMYFUNCTION("""COMPUTED_VALUE"""),"001")</f>
        <v>001</v>
      </c>
      <c r="F164" s="7" t="str">
        <f ca="1">IFERROR(__xludf.DUMMYFUNCTION("""COMPUTED_VALUE"""),"2704")</f>
        <v>2704</v>
      </c>
      <c r="G164" s="7" t="str">
        <f ca="1">IFERROR(__xludf.DUMMYFUNCTION("""COMPUTED_VALUE"""),"102717")</f>
        <v>102717</v>
      </c>
      <c r="H164" s="7">
        <f ca="1">IFERROR(__xludf.DUMMYFUNCTION("""COMPUTED_VALUE"""),0)</f>
        <v>0</v>
      </c>
      <c r="I164" s="7">
        <f ca="1">IFERROR(__xludf.DUMMYFUNCTION("""COMPUTED_VALUE"""),0)</f>
        <v>0</v>
      </c>
      <c r="J164" s="7">
        <f ca="1">IFERROR(__xludf.DUMMYFUNCTION("""COMPUTED_VALUE"""),0)</f>
        <v>0</v>
      </c>
      <c r="K164" s="7">
        <f ca="1">IFERROR(__xludf.DUMMYFUNCTION("""COMPUTED_VALUE"""),0)</f>
        <v>0</v>
      </c>
      <c r="L164" s="7">
        <f ca="1">IFERROR(__xludf.DUMMYFUNCTION("""COMPUTED_VALUE"""),0)</f>
        <v>0</v>
      </c>
      <c r="M164" s="7">
        <f ca="1">IFERROR(__xludf.DUMMYFUNCTION("""COMPUTED_VALUE"""),0)</f>
        <v>0</v>
      </c>
      <c r="N164" s="7">
        <f ca="1">IFERROR(__xludf.DUMMYFUNCTION("""COMPUTED_VALUE"""),0)</f>
        <v>0</v>
      </c>
      <c r="O164" s="7">
        <f ca="1">IFERROR(__xludf.DUMMYFUNCTION("""COMPUTED_VALUE"""),0)</f>
        <v>0</v>
      </c>
      <c r="P164" s="7">
        <f ca="1">IFERROR(__xludf.DUMMYFUNCTION("""COMPUTED_VALUE"""),149.6)</f>
        <v>149.6</v>
      </c>
      <c r="Q164" s="7">
        <f ca="1">IFERROR(__xludf.DUMMYFUNCTION("""COMPUTED_VALUE"""),0)</f>
        <v>0</v>
      </c>
      <c r="R164" s="7">
        <f ca="1">IFERROR(__xludf.DUMMYFUNCTION("""COMPUTED_VALUE"""),0)</f>
        <v>0</v>
      </c>
      <c r="S164" s="7">
        <f ca="1">IFERROR(__xludf.DUMMYFUNCTION("""COMPUTED_VALUE"""),6348.8)</f>
        <v>6348.8</v>
      </c>
      <c r="T164" s="7">
        <f ca="1">IFERROR(__xludf.DUMMYFUNCTION("""COMPUTED_VALUE"""),0)</f>
        <v>0</v>
      </c>
      <c r="U164" s="61"/>
      <c r="V164" s="61"/>
      <c r="W164" s="61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0" t="str">
        <f ca="1">IFERROR(__xludf.DUMMYFUNCTION("""COMPUTED_VALUE"""),"A.A. ESC. EST. AGOSTINHO DE ALMEIDA")</f>
        <v>A.A. ESC. EST. AGOSTINHO DE ALMEIDA</v>
      </c>
      <c r="D165" s="136" t="str">
        <f ca="1">IFERROR(__xludf.DUMMYFUNCTION("""COMPUTED_VALUE"""),"01197159000100")</f>
        <v>01197159000100</v>
      </c>
      <c r="E165" s="6" t="str">
        <f ca="1">IFERROR(__xludf.DUMMYFUNCTION("""COMPUTED_VALUE"""),"001")</f>
        <v>001</v>
      </c>
      <c r="F165" s="7" t="str">
        <f ca="1">IFERROR(__xludf.DUMMYFUNCTION("""COMPUTED_VALUE"""),"2704")</f>
        <v>2704</v>
      </c>
      <c r="G165" s="7" t="str">
        <f ca="1">IFERROR(__xludf.DUMMYFUNCTION("""COMPUTED_VALUE"""),"102555")</f>
        <v>102555</v>
      </c>
      <c r="H165" s="7">
        <f ca="1">IFERROR(__xludf.DUMMYFUNCTION("""COMPUTED_VALUE"""),0)</f>
        <v>0</v>
      </c>
      <c r="I165" s="7">
        <f ca="1">IFERROR(__xludf.DUMMYFUNCTION("""COMPUTED_VALUE"""),0)</f>
        <v>0</v>
      </c>
      <c r="J165" s="7">
        <f ca="1">IFERROR(__xludf.DUMMYFUNCTION("""COMPUTED_VALUE"""),3180)</f>
        <v>3180</v>
      </c>
      <c r="K165" s="7">
        <f ca="1">IFERROR(__xludf.DUMMYFUNCTION("""COMPUTED_VALUE"""),0)</f>
        <v>0</v>
      </c>
      <c r="L165" s="7">
        <f ca="1">IFERROR(__xludf.DUMMYFUNCTION("""COMPUTED_VALUE"""),0)</f>
        <v>0</v>
      </c>
      <c r="M165" s="7">
        <f ca="1">IFERROR(__xludf.DUMMYFUNCTION("""COMPUTED_VALUE"""),0)</f>
        <v>0</v>
      </c>
      <c r="N165" s="7">
        <f ca="1">IFERROR(__xludf.DUMMYFUNCTION("""COMPUTED_VALUE"""),0)</f>
        <v>0</v>
      </c>
      <c r="O165" s="7">
        <f ca="1">IFERROR(__xludf.DUMMYFUNCTION("""COMPUTED_VALUE"""),0)</f>
        <v>0</v>
      </c>
      <c r="P165" s="7">
        <f ca="1">IFERROR(__xludf.DUMMYFUNCTION("""COMPUTED_VALUE"""),258.4)</f>
        <v>258.39999999999998</v>
      </c>
      <c r="Q165" s="7">
        <f ca="1">IFERROR(__xludf.DUMMYFUNCTION("""COMPUTED_VALUE"""),0)</f>
        <v>0</v>
      </c>
      <c r="R165" s="7">
        <f ca="1">IFERROR(__xludf.DUMMYFUNCTION("""COMPUTED_VALUE"""),0)</f>
        <v>0</v>
      </c>
      <c r="S165" s="7">
        <f ca="1">IFERROR(__xludf.DUMMYFUNCTION("""COMPUTED_VALUE"""),0)</f>
        <v>0</v>
      </c>
      <c r="T165" s="7">
        <f ca="1">IFERROR(__xludf.DUMMYFUNCTION("""COMPUTED_VALUE"""),0)</f>
        <v>0</v>
      </c>
      <c r="U165" s="61"/>
      <c r="V165" s="61"/>
      <c r="W165" s="61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0" t="str">
        <f ca="1">IFERROR(__xludf.DUMMYFUNCTION("""COMPUTED_VALUE"""),"A.A. E. EST. JOAQUIM FRANCISCO AZEVEDO")</f>
        <v>A.A. E. EST. JOAQUIM FRANCISCO AZEVEDO</v>
      </c>
      <c r="D166" s="136" t="str">
        <f ca="1">IFERROR(__xludf.DUMMYFUNCTION("""COMPUTED_VALUE"""),"01136011000166")</f>
        <v>01136011000166</v>
      </c>
      <c r="E166" s="6" t="str">
        <f ca="1">IFERROR(__xludf.DUMMYFUNCTION("""COMPUTED_VALUE"""),"001")</f>
        <v>001</v>
      </c>
      <c r="F166" s="7" t="str">
        <f ca="1">IFERROR(__xludf.DUMMYFUNCTION("""COMPUTED_VALUE"""),"1307")</f>
        <v>1307</v>
      </c>
      <c r="G166" s="7" t="str">
        <f ca="1">IFERROR(__xludf.DUMMYFUNCTION("""COMPUTED_VALUE"""),"0106291")</f>
        <v>0106291</v>
      </c>
      <c r="H166" s="7">
        <f ca="1">IFERROR(__xludf.DUMMYFUNCTION("""COMPUTED_VALUE"""),0)</f>
        <v>0</v>
      </c>
      <c r="I166" s="7">
        <f ca="1">IFERROR(__xludf.DUMMYFUNCTION("""COMPUTED_VALUE"""),0)</f>
        <v>0</v>
      </c>
      <c r="J166" s="7">
        <f ca="1">IFERROR(__xludf.DUMMYFUNCTION("""COMPUTED_VALUE"""),1670)</f>
        <v>1670</v>
      </c>
      <c r="K166" s="7">
        <f ca="1">IFERROR(__xludf.DUMMYFUNCTION("""COMPUTED_VALUE"""),0)</f>
        <v>0</v>
      </c>
      <c r="L166" s="7">
        <f ca="1">IFERROR(__xludf.DUMMYFUNCTION("""COMPUTED_VALUE"""),0)</f>
        <v>0</v>
      </c>
      <c r="M166" s="7">
        <f ca="1">IFERROR(__xludf.DUMMYFUNCTION("""COMPUTED_VALUE"""),0)</f>
        <v>0</v>
      </c>
      <c r="N166" s="7">
        <f ca="1">IFERROR(__xludf.DUMMYFUNCTION("""COMPUTED_VALUE"""),0)</f>
        <v>0</v>
      </c>
      <c r="O166" s="7">
        <f ca="1">IFERROR(__xludf.DUMMYFUNCTION("""COMPUTED_VALUE"""),0)</f>
        <v>0</v>
      </c>
      <c r="P166" s="7">
        <f ca="1">IFERROR(__xludf.DUMMYFUNCTION("""COMPUTED_VALUE"""),190.4)</f>
        <v>190.4</v>
      </c>
      <c r="Q166" s="7">
        <f ca="1">IFERROR(__xludf.DUMMYFUNCTION("""COMPUTED_VALUE"""),660)</f>
        <v>660</v>
      </c>
      <c r="R166" s="7">
        <f ca="1">IFERROR(__xludf.DUMMYFUNCTION("""COMPUTED_VALUE"""),0)</f>
        <v>0</v>
      </c>
      <c r="S166" s="7">
        <f ca="1">IFERROR(__xludf.DUMMYFUNCTION("""COMPUTED_VALUE"""),0)</f>
        <v>0</v>
      </c>
      <c r="T166" s="7">
        <f ca="1">IFERROR(__xludf.DUMMYFUNCTION("""COMPUTED_VALUE"""),155.799999999999)</f>
        <v>155.79999999999899</v>
      </c>
      <c r="U166" s="61"/>
      <c r="V166" s="61"/>
      <c r="W166" s="61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0" t="str">
        <f ca="1">IFERROR(__xludf.DUMMYFUNCTION("""COMPUTED_VALUE"""),"A.A.  COL. EST. SERRA DAS CORDILHEIRAS")</f>
        <v>A.A.  COL. EST. SERRA DAS CORDILHEIRAS</v>
      </c>
      <c r="D167" s="136" t="str">
        <f ca="1">IFERROR(__xludf.DUMMYFUNCTION("""COMPUTED_VALUE"""),"01138330000100")</f>
        <v>01138330000100</v>
      </c>
      <c r="E167" s="6" t="str">
        <f ca="1">IFERROR(__xludf.DUMMYFUNCTION("""COMPUTED_VALUE"""),"001")</f>
        <v>001</v>
      </c>
      <c r="F167" s="7" t="str">
        <f ca="1">IFERROR(__xludf.DUMMYFUNCTION("""COMPUTED_VALUE"""),"1306")</f>
        <v>1306</v>
      </c>
      <c r="G167" s="7" t="str">
        <f ca="1">IFERROR(__xludf.DUMMYFUNCTION("""COMPUTED_VALUE"""),"102776")</f>
        <v>102776</v>
      </c>
      <c r="H167" s="7">
        <f ca="1">IFERROR(__xludf.DUMMYFUNCTION("""COMPUTED_VALUE"""),0)</f>
        <v>0</v>
      </c>
      <c r="I167" s="7">
        <f ca="1">IFERROR(__xludf.DUMMYFUNCTION("""COMPUTED_VALUE"""),0)</f>
        <v>0</v>
      </c>
      <c r="J167" s="7">
        <f ca="1">IFERROR(__xludf.DUMMYFUNCTION("""COMPUTED_VALUE"""),3560)</f>
        <v>3560</v>
      </c>
      <c r="K167" s="7">
        <f ca="1">IFERROR(__xludf.DUMMYFUNCTION("""COMPUTED_VALUE"""),0)</f>
        <v>0</v>
      </c>
      <c r="L167" s="7">
        <f ca="1">IFERROR(__xludf.DUMMYFUNCTION("""COMPUTED_VALUE"""),0)</f>
        <v>0</v>
      </c>
      <c r="M167" s="7">
        <f ca="1">IFERROR(__xludf.DUMMYFUNCTION("""COMPUTED_VALUE"""),0)</f>
        <v>0</v>
      </c>
      <c r="N167" s="7">
        <f ca="1">IFERROR(__xludf.DUMMYFUNCTION("""COMPUTED_VALUE"""),0)</f>
        <v>0</v>
      </c>
      <c r="O167" s="7">
        <f ca="1">IFERROR(__xludf.DUMMYFUNCTION("""COMPUTED_VALUE"""),0)</f>
        <v>0</v>
      </c>
      <c r="P167" s="7">
        <f ca="1">IFERROR(__xludf.DUMMYFUNCTION("""COMPUTED_VALUE"""),489.599999999999)</f>
        <v>489.599999999999</v>
      </c>
      <c r="Q167" s="7">
        <f ca="1">IFERROR(__xludf.DUMMYFUNCTION("""COMPUTED_VALUE"""),5180)</f>
        <v>5180</v>
      </c>
      <c r="R167" s="7">
        <f ca="1">IFERROR(__xludf.DUMMYFUNCTION("""COMPUTED_VALUE"""),0)</f>
        <v>0</v>
      </c>
      <c r="S167" s="7">
        <f ca="1">IFERROR(__xludf.DUMMYFUNCTION("""COMPUTED_VALUE"""),0)</f>
        <v>0</v>
      </c>
      <c r="T167" s="7">
        <f ca="1">IFERROR(__xludf.DUMMYFUNCTION("""COMPUTED_VALUE"""),131.2)</f>
        <v>131.19999999999999</v>
      </c>
      <c r="U167" s="61"/>
      <c r="V167" s="61"/>
      <c r="W167" s="61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0" t="str">
        <f ca="1">IFERROR(__xludf.DUMMYFUNCTION("""COMPUTED_VALUE"""),"A..A. ESC. ESPECIAL  FILHOS DA LUZ")</f>
        <v>A..A. ESC. ESPECIAL  FILHOS DA LUZ</v>
      </c>
      <c r="D168" s="136" t="str">
        <f ca="1">IFERROR(__xludf.DUMMYFUNCTION("""COMPUTED_VALUE"""),"07921086000134")</f>
        <v>07921086000134</v>
      </c>
      <c r="E168" s="6" t="str">
        <f ca="1">IFERROR(__xludf.DUMMYFUNCTION("""COMPUTED_VALUE"""),"001")</f>
        <v>001</v>
      </c>
      <c r="F168" s="7" t="str">
        <f ca="1">IFERROR(__xludf.DUMMYFUNCTION("""COMPUTED_VALUE"""),"1306")</f>
        <v>1306</v>
      </c>
      <c r="G168" s="7" t="str">
        <f ca="1">IFERROR(__xludf.DUMMYFUNCTION("""COMPUTED_VALUE"""),"167940")</f>
        <v>167940</v>
      </c>
      <c r="H168" s="7">
        <f ca="1">IFERROR(__xludf.DUMMYFUNCTION("""COMPUTED_VALUE"""),0)</f>
        <v>0</v>
      </c>
      <c r="I168" s="7">
        <f ca="1">IFERROR(__xludf.DUMMYFUNCTION("""COMPUTED_VALUE"""),144)</f>
        <v>144</v>
      </c>
      <c r="J168" s="7">
        <f ca="1">IFERROR(__xludf.DUMMYFUNCTION("""COMPUTED_VALUE"""),0)</f>
        <v>0</v>
      </c>
      <c r="K168" s="7">
        <f ca="1">IFERROR(__xludf.DUMMYFUNCTION("""COMPUTED_VALUE"""),0)</f>
        <v>0</v>
      </c>
      <c r="L168" s="7">
        <f ca="1">IFERROR(__xludf.DUMMYFUNCTION("""COMPUTED_VALUE"""),0)</f>
        <v>0</v>
      </c>
      <c r="M168" s="7">
        <f ca="1">IFERROR(__xludf.DUMMYFUNCTION("""COMPUTED_VALUE"""),0)</f>
        <v>0</v>
      </c>
      <c r="N168" s="7">
        <f ca="1">IFERROR(__xludf.DUMMYFUNCTION("""COMPUTED_VALUE"""),0)</f>
        <v>0</v>
      </c>
      <c r="O168" s="7">
        <f ca="1">IFERROR(__xludf.DUMMYFUNCTION("""COMPUTED_VALUE"""),0)</f>
        <v>0</v>
      </c>
      <c r="P168" s="7">
        <f ca="1">IFERROR(__xludf.DUMMYFUNCTION("""COMPUTED_VALUE"""),258.4)</f>
        <v>258.39999999999998</v>
      </c>
      <c r="Q168" s="7">
        <f ca="1">IFERROR(__xludf.DUMMYFUNCTION("""COMPUTED_VALUE"""),0)</f>
        <v>0</v>
      </c>
      <c r="R168" s="7">
        <f ca="1">IFERROR(__xludf.DUMMYFUNCTION("""COMPUTED_VALUE"""),0)</f>
        <v>0</v>
      </c>
      <c r="S168" s="7">
        <f ca="1">IFERROR(__xludf.DUMMYFUNCTION("""COMPUTED_VALUE"""),0)</f>
        <v>0</v>
      </c>
      <c r="T168" s="7">
        <f ca="1">IFERROR(__xludf.DUMMYFUNCTION("""COMPUTED_VALUE"""),762.599999999999)</f>
        <v>762.599999999999</v>
      </c>
      <c r="U168" s="61"/>
      <c r="V168" s="61"/>
      <c r="W168" s="61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0" t="str">
        <f ca="1">IFERROR(__xludf.DUMMYFUNCTION("""COMPUTED_VALUE"""),"A.A. ESC. EST. ARY RIBEIRO VALADAO FILHO")</f>
        <v>A.A. ESC. EST. ARY RIBEIRO VALADAO FILHO</v>
      </c>
      <c r="D169" s="136" t="str">
        <f ca="1">IFERROR(__xludf.DUMMYFUNCTION("""COMPUTED_VALUE"""),"01138331000155")</f>
        <v>01138331000155</v>
      </c>
      <c r="E169" s="6" t="str">
        <f ca="1">IFERROR(__xludf.DUMMYFUNCTION("""COMPUTED_VALUE"""),"001")</f>
        <v>001</v>
      </c>
      <c r="F169" s="7" t="str">
        <f ca="1">IFERROR(__xludf.DUMMYFUNCTION("""COMPUTED_VALUE"""),"1306")</f>
        <v>1306</v>
      </c>
      <c r="G169" s="7" t="str">
        <f ca="1">IFERROR(__xludf.DUMMYFUNCTION("""COMPUTED_VALUE"""),"102806")</f>
        <v>102806</v>
      </c>
      <c r="H169" s="7">
        <f ca="1">IFERROR(__xludf.DUMMYFUNCTION("""COMPUTED_VALUE"""),0)</f>
        <v>0</v>
      </c>
      <c r="I169" s="7">
        <f ca="1">IFERROR(__xludf.DUMMYFUNCTION("""COMPUTED_VALUE"""),0)</f>
        <v>0</v>
      </c>
      <c r="J169" s="7">
        <f ca="1">IFERROR(__xludf.DUMMYFUNCTION("""COMPUTED_VALUE"""),1850)</f>
        <v>1850</v>
      </c>
      <c r="K169" s="7">
        <f ca="1">IFERROR(__xludf.DUMMYFUNCTION("""COMPUTED_VALUE"""),0)</f>
        <v>0</v>
      </c>
      <c r="L169" s="7">
        <f ca="1">IFERROR(__xludf.DUMMYFUNCTION("""COMPUTED_VALUE"""),0)</f>
        <v>0</v>
      </c>
      <c r="M169" s="7">
        <f ca="1">IFERROR(__xludf.DUMMYFUNCTION("""COMPUTED_VALUE"""),0)</f>
        <v>0</v>
      </c>
      <c r="N169" s="7">
        <f ca="1">IFERROR(__xludf.DUMMYFUNCTION("""COMPUTED_VALUE"""),0)</f>
        <v>0</v>
      </c>
      <c r="O169" s="7">
        <f ca="1">IFERROR(__xludf.DUMMYFUNCTION("""COMPUTED_VALUE"""),0)</f>
        <v>0</v>
      </c>
      <c r="P169" s="7">
        <f ca="1">IFERROR(__xludf.DUMMYFUNCTION("""COMPUTED_VALUE"""),122.399999999999)</f>
        <v>122.399999999999</v>
      </c>
      <c r="Q169" s="7">
        <f ca="1">IFERROR(__xludf.DUMMYFUNCTION("""COMPUTED_VALUE"""),330)</f>
        <v>330</v>
      </c>
      <c r="R169" s="7">
        <f ca="1">IFERROR(__xludf.DUMMYFUNCTION("""COMPUTED_VALUE"""),0)</f>
        <v>0</v>
      </c>
      <c r="S169" s="7">
        <f ca="1">IFERROR(__xludf.DUMMYFUNCTION("""COMPUTED_VALUE"""),0)</f>
        <v>0</v>
      </c>
      <c r="T169" s="7">
        <f ca="1">IFERROR(__xludf.DUMMYFUNCTION("""COMPUTED_VALUE"""),0)</f>
        <v>0</v>
      </c>
      <c r="U169" s="61"/>
      <c r="V169" s="61"/>
      <c r="W169" s="61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0" t="str">
        <f ca="1">IFERROR(__xludf.DUMMYFUNCTION("""COMPUTED_VALUE"""),"A.A. ESC. EST. JUSCELINO K. DE OLIVEIRA")</f>
        <v>A.A. ESC. EST. JUSCELINO K. DE OLIVEIRA</v>
      </c>
      <c r="D170" s="136" t="str">
        <f ca="1">IFERROR(__xludf.DUMMYFUNCTION("""COMPUTED_VALUE"""),"01138328000131")</f>
        <v>01138328000131</v>
      </c>
      <c r="E170" s="6" t="str">
        <f ca="1">IFERROR(__xludf.DUMMYFUNCTION("""COMPUTED_VALUE"""),"001")</f>
        <v>001</v>
      </c>
      <c r="F170" s="7" t="str">
        <f ca="1">IFERROR(__xludf.DUMMYFUNCTION("""COMPUTED_VALUE"""),"1306")</f>
        <v>1306</v>
      </c>
      <c r="G170" s="7" t="str">
        <f ca="1">IFERROR(__xludf.DUMMYFUNCTION("""COMPUTED_VALUE"""),"102768")</f>
        <v>102768</v>
      </c>
      <c r="H170" s="7">
        <f ca="1">IFERROR(__xludf.DUMMYFUNCTION("""COMPUTED_VALUE"""),0)</f>
        <v>0</v>
      </c>
      <c r="I170" s="7">
        <f ca="1">IFERROR(__xludf.DUMMYFUNCTION("""COMPUTED_VALUE"""),0)</f>
        <v>0</v>
      </c>
      <c r="J170" s="7">
        <f ca="1">IFERROR(__xludf.DUMMYFUNCTION("""COMPUTED_VALUE"""),260)</f>
        <v>260</v>
      </c>
      <c r="K170" s="7">
        <f ca="1">IFERROR(__xludf.DUMMYFUNCTION("""COMPUTED_VALUE"""),0)</f>
        <v>0</v>
      </c>
      <c r="L170" s="7">
        <f ca="1">IFERROR(__xludf.DUMMYFUNCTION("""COMPUTED_VALUE"""),0)</f>
        <v>0</v>
      </c>
      <c r="M170" s="7">
        <f ca="1">IFERROR(__xludf.DUMMYFUNCTION("""COMPUTED_VALUE"""),0)</f>
        <v>0</v>
      </c>
      <c r="N170" s="7">
        <f ca="1">IFERROR(__xludf.DUMMYFUNCTION("""COMPUTED_VALUE"""),0)</f>
        <v>0</v>
      </c>
      <c r="O170" s="7">
        <f ca="1">IFERROR(__xludf.DUMMYFUNCTION("""COMPUTED_VALUE"""),0)</f>
        <v>0</v>
      </c>
      <c r="P170" s="7">
        <f ca="1">IFERROR(__xludf.DUMMYFUNCTION("""COMPUTED_VALUE"""),0)</f>
        <v>0</v>
      </c>
      <c r="Q170" s="7">
        <f ca="1">IFERROR(__xludf.DUMMYFUNCTION("""COMPUTED_VALUE"""),210)</f>
        <v>210</v>
      </c>
      <c r="R170" s="7">
        <f ca="1">IFERROR(__xludf.DUMMYFUNCTION("""COMPUTED_VALUE"""),0)</f>
        <v>0</v>
      </c>
      <c r="S170" s="7">
        <f ca="1">IFERROR(__xludf.DUMMYFUNCTION("""COMPUTED_VALUE"""),0)</f>
        <v>0</v>
      </c>
      <c r="T170" s="7">
        <f ca="1">IFERROR(__xludf.DUMMYFUNCTION("""COMPUTED_VALUE"""),0)</f>
        <v>0</v>
      </c>
      <c r="U170" s="61"/>
      <c r="V170" s="61"/>
      <c r="W170" s="61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0" t="str">
        <f ca="1">IFERROR(__xludf.DUMMYFUNCTION("""COMPUTED_VALUE"""),"A.A. COL. EST. ARCHANGELA MILHOMEM")</f>
        <v>A.A. COL. EST. ARCHANGELA MILHOMEM</v>
      </c>
      <c r="D171" s="136" t="str">
        <f ca="1">IFERROR(__xludf.DUMMYFUNCTION("""COMPUTED_VALUE"""),"01138334000199")</f>
        <v>01138334000199</v>
      </c>
      <c r="E171" s="6" t="str">
        <f ca="1">IFERROR(__xludf.DUMMYFUNCTION("""COMPUTED_VALUE"""),"001")</f>
        <v>001</v>
      </c>
      <c r="F171" s="7" t="str">
        <f ca="1">IFERROR(__xludf.DUMMYFUNCTION("""COMPUTED_VALUE"""),"2094")</f>
        <v>2094</v>
      </c>
      <c r="G171" s="7" t="str">
        <f ca="1">IFERROR(__xludf.DUMMYFUNCTION("""COMPUTED_VALUE"""),"50385")</f>
        <v>50385</v>
      </c>
      <c r="H171" s="7">
        <f ca="1">IFERROR(__xludf.DUMMYFUNCTION("""COMPUTED_VALUE"""),0)</f>
        <v>0</v>
      </c>
      <c r="I171" s="7">
        <f ca="1">IFERROR(__xludf.DUMMYFUNCTION("""COMPUTED_VALUE"""),0)</f>
        <v>0</v>
      </c>
      <c r="J171" s="7">
        <f ca="1">IFERROR(__xludf.DUMMYFUNCTION("""COMPUTED_VALUE"""),0)</f>
        <v>0</v>
      </c>
      <c r="K171" s="7">
        <f ca="1">IFERROR(__xludf.DUMMYFUNCTION("""COMPUTED_VALUE"""),0)</f>
        <v>0</v>
      </c>
      <c r="L171" s="7">
        <f ca="1">IFERROR(__xludf.DUMMYFUNCTION("""COMPUTED_VALUE"""),0)</f>
        <v>0</v>
      </c>
      <c r="M171" s="7">
        <f ca="1">IFERROR(__xludf.DUMMYFUNCTION("""COMPUTED_VALUE"""),0)</f>
        <v>0</v>
      </c>
      <c r="N171" s="7">
        <f ca="1">IFERROR(__xludf.DUMMYFUNCTION("""COMPUTED_VALUE"""),0)</f>
        <v>0</v>
      </c>
      <c r="O171" s="7">
        <f ca="1">IFERROR(__xludf.DUMMYFUNCTION("""COMPUTED_VALUE"""),0)</f>
        <v>0</v>
      </c>
      <c r="P171" s="7">
        <f ca="1">IFERROR(__xludf.DUMMYFUNCTION("""COMPUTED_VALUE"""),163.2)</f>
        <v>163.19999999999999</v>
      </c>
      <c r="Q171" s="7">
        <f ca="1">IFERROR(__xludf.DUMMYFUNCTION("""COMPUTED_VALUE"""),520)</f>
        <v>520</v>
      </c>
      <c r="R171" s="7">
        <f ca="1">IFERROR(__xludf.DUMMYFUNCTION("""COMPUTED_VALUE"""),10850.4)</f>
        <v>10850.4</v>
      </c>
      <c r="S171" s="7">
        <f ca="1">IFERROR(__xludf.DUMMYFUNCTION("""COMPUTED_VALUE"""),0)</f>
        <v>0</v>
      </c>
      <c r="T171" s="7">
        <f ca="1">IFERROR(__xludf.DUMMYFUNCTION("""COMPUTED_VALUE"""),0)</f>
        <v>0</v>
      </c>
      <c r="U171" s="61"/>
      <c r="V171" s="61"/>
      <c r="W171" s="61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0" t="str">
        <f ca="1">IFERROR(__xludf.DUMMYFUNCTION("""COMPUTED_VALUE"""),"A.A. ESC. ESPECIAL  DEUS É FIEL")</f>
        <v>A.A. ESC. ESPECIAL  DEUS É FIEL</v>
      </c>
      <c r="D172" s="136" t="str">
        <f ca="1">IFERROR(__xludf.DUMMYFUNCTION("""COMPUTED_VALUE"""),"17467216000164")</f>
        <v>17467216000164</v>
      </c>
      <c r="E172" s="6" t="str">
        <f ca="1">IFERROR(__xludf.DUMMYFUNCTION("""COMPUTED_VALUE"""),"001")</f>
        <v>001</v>
      </c>
      <c r="F172" s="7" t="str">
        <f ca="1">IFERROR(__xludf.DUMMYFUNCTION("""COMPUTED_VALUE"""),"1306")</f>
        <v>1306</v>
      </c>
      <c r="G172" s="7" t="str">
        <f ca="1">IFERROR(__xludf.DUMMYFUNCTION("""COMPUTED_VALUE"""),"265969")</f>
        <v>265969</v>
      </c>
      <c r="H172" s="7">
        <f ca="1">IFERROR(__xludf.DUMMYFUNCTION("""COMPUTED_VALUE"""),0)</f>
        <v>0</v>
      </c>
      <c r="I172" s="7">
        <f ca="1">IFERROR(__xludf.DUMMYFUNCTION("""COMPUTED_VALUE"""),0)</f>
        <v>0</v>
      </c>
      <c r="J172" s="7">
        <f ca="1">IFERROR(__xludf.DUMMYFUNCTION("""COMPUTED_VALUE"""),130)</f>
        <v>130</v>
      </c>
      <c r="K172" s="7">
        <f ca="1">IFERROR(__xludf.DUMMYFUNCTION("""COMPUTED_VALUE"""),0)</f>
        <v>0</v>
      </c>
      <c r="L172" s="7">
        <f ca="1">IFERROR(__xludf.DUMMYFUNCTION("""COMPUTED_VALUE"""),0)</f>
        <v>0</v>
      </c>
      <c r="M172" s="7">
        <f ca="1">IFERROR(__xludf.DUMMYFUNCTION("""COMPUTED_VALUE"""),0)</f>
        <v>0</v>
      </c>
      <c r="N172" s="7">
        <f ca="1">IFERROR(__xludf.DUMMYFUNCTION("""COMPUTED_VALUE"""),0)</f>
        <v>0</v>
      </c>
      <c r="O172" s="7">
        <f ca="1">IFERROR(__xludf.DUMMYFUNCTION("""COMPUTED_VALUE"""),0)</f>
        <v>0</v>
      </c>
      <c r="P172" s="7">
        <f ca="1">IFERROR(__xludf.DUMMYFUNCTION("""COMPUTED_VALUE"""),217.6)</f>
        <v>217.6</v>
      </c>
      <c r="Q172" s="7">
        <f ca="1">IFERROR(__xludf.DUMMYFUNCTION("""COMPUTED_VALUE"""),0)</f>
        <v>0</v>
      </c>
      <c r="R172" s="7">
        <f ca="1">IFERROR(__xludf.DUMMYFUNCTION("""COMPUTED_VALUE"""),0)</f>
        <v>0</v>
      </c>
      <c r="S172" s="7">
        <f ca="1">IFERROR(__xludf.DUMMYFUNCTION("""COMPUTED_VALUE"""),0)</f>
        <v>0</v>
      </c>
      <c r="T172" s="7">
        <f ca="1">IFERROR(__xludf.DUMMYFUNCTION("""COMPUTED_VALUE"""),336.2)</f>
        <v>336.2</v>
      </c>
      <c r="U172" s="61"/>
      <c r="V172" s="61"/>
      <c r="W172" s="61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0" t="str">
        <f ca="1">IFERROR(__xludf.DUMMYFUNCTION("""COMPUTED_VALUE"""),"A.A. ESC. EST. ARLINDA ROSA DE SOUZA")</f>
        <v>A.A. ESC. EST. ARLINDA ROSA DE SOUZA</v>
      </c>
      <c r="D173" s="136" t="str">
        <f ca="1">IFERROR(__xludf.DUMMYFUNCTION("""COMPUTED_VALUE"""),"01221143000196")</f>
        <v>01221143000196</v>
      </c>
      <c r="E173" s="6" t="str">
        <f ca="1">IFERROR(__xludf.DUMMYFUNCTION("""COMPUTED_VALUE"""),"001")</f>
        <v>001</v>
      </c>
      <c r="F173" s="7" t="str">
        <f ca="1">IFERROR(__xludf.DUMMYFUNCTION("""COMPUTED_VALUE"""),"2094")</f>
        <v>2094</v>
      </c>
      <c r="G173" s="7" t="str">
        <f ca="1">IFERROR(__xludf.DUMMYFUNCTION("""COMPUTED_VALUE"""),"50350")</f>
        <v>50350</v>
      </c>
      <c r="H173" s="7">
        <f ca="1">IFERROR(__xludf.DUMMYFUNCTION("""COMPUTED_VALUE"""),0)</f>
        <v>0</v>
      </c>
      <c r="I173" s="7">
        <f ca="1">IFERROR(__xludf.DUMMYFUNCTION("""COMPUTED_VALUE"""),0)</f>
        <v>0</v>
      </c>
      <c r="J173" s="7">
        <f ca="1">IFERROR(__xludf.DUMMYFUNCTION("""COMPUTED_VALUE"""),1580)</f>
        <v>1580</v>
      </c>
      <c r="K173" s="7">
        <f ca="1">IFERROR(__xludf.DUMMYFUNCTION("""COMPUTED_VALUE"""),0)</f>
        <v>0</v>
      </c>
      <c r="L173" s="7">
        <f ca="1">IFERROR(__xludf.DUMMYFUNCTION("""COMPUTED_VALUE"""),0)</f>
        <v>0</v>
      </c>
      <c r="M173" s="7">
        <f ca="1">IFERROR(__xludf.DUMMYFUNCTION("""COMPUTED_VALUE"""),0)</f>
        <v>0</v>
      </c>
      <c r="N173" s="7">
        <f ca="1">IFERROR(__xludf.DUMMYFUNCTION("""COMPUTED_VALUE"""),0)</f>
        <v>0</v>
      </c>
      <c r="O173" s="7">
        <f ca="1">IFERROR(__xludf.DUMMYFUNCTION("""COMPUTED_VALUE"""),0)</f>
        <v>0</v>
      </c>
      <c r="P173" s="7">
        <f ca="1">IFERROR(__xludf.DUMMYFUNCTION("""COMPUTED_VALUE"""),0)</f>
        <v>0</v>
      </c>
      <c r="Q173" s="7">
        <f ca="1">IFERROR(__xludf.DUMMYFUNCTION("""COMPUTED_VALUE"""),0)</f>
        <v>0</v>
      </c>
      <c r="R173" s="7">
        <f ca="1">IFERROR(__xludf.DUMMYFUNCTION("""COMPUTED_VALUE"""),0)</f>
        <v>0</v>
      </c>
      <c r="S173" s="7">
        <f ca="1">IFERROR(__xludf.DUMMYFUNCTION("""COMPUTED_VALUE"""),0)</f>
        <v>0</v>
      </c>
      <c r="T173" s="7">
        <f ca="1">IFERROR(__xludf.DUMMYFUNCTION("""COMPUTED_VALUE"""),0)</f>
        <v>0</v>
      </c>
      <c r="U173" s="61"/>
      <c r="V173" s="61"/>
      <c r="W173" s="61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0" t="str">
        <f ca="1">IFERROR(__xludf.DUMMYFUNCTION("""COMPUTED_VALUE"""),"A.A. ESCOLAR DA E. EST.ULTIMO DE CARVALHO")</f>
        <v>A.A. ESCOLAR DA E. EST.ULTIMO DE CARVALHO</v>
      </c>
      <c r="D174" s="136" t="str">
        <f ca="1">IFERROR(__xludf.DUMMYFUNCTION("""COMPUTED_VALUE"""),"04315063000198")</f>
        <v>04315063000198</v>
      </c>
      <c r="E174" s="6" t="str">
        <f ca="1">IFERROR(__xludf.DUMMYFUNCTION("""COMPUTED_VALUE"""),"001")</f>
        <v>001</v>
      </c>
      <c r="F174" s="7" t="str">
        <f ca="1">IFERROR(__xludf.DUMMYFUNCTION("""COMPUTED_VALUE"""),"1306")</f>
        <v>1306</v>
      </c>
      <c r="G174" s="7" t="str">
        <f ca="1">IFERROR(__xludf.DUMMYFUNCTION("""COMPUTED_VALUE"""),"74802")</f>
        <v>74802</v>
      </c>
      <c r="H174" s="7">
        <f ca="1">IFERROR(__xludf.DUMMYFUNCTION("""COMPUTED_VALUE"""),0)</f>
        <v>0</v>
      </c>
      <c r="I174" s="7">
        <f ca="1">IFERROR(__xludf.DUMMYFUNCTION("""COMPUTED_VALUE"""),0)</f>
        <v>0</v>
      </c>
      <c r="J174" s="7">
        <f ca="1">IFERROR(__xludf.DUMMYFUNCTION("""COMPUTED_VALUE"""),460)</f>
        <v>460</v>
      </c>
      <c r="K174" s="7">
        <f ca="1">IFERROR(__xludf.DUMMYFUNCTION("""COMPUTED_VALUE"""),0)</f>
        <v>0</v>
      </c>
      <c r="L174" s="7">
        <f ca="1">IFERROR(__xludf.DUMMYFUNCTION("""COMPUTED_VALUE"""),0)</f>
        <v>0</v>
      </c>
      <c r="M174" s="7">
        <f ca="1">IFERROR(__xludf.DUMMYFUNCTION("""COMPUTED_VALUE"""),0)</f>
        <v>0</v>
      </c>
      <c r="N174" s="7">
        <f ca="1">IFERROR(__xludf.DUMMYFUNCTION("""COMPUTED_VALUE"""),0)</f>
        <v>0</v>
      </c>
      <c r="O174" s="7">
        <f ca="1">IFERROR(__xludf.DUMMYFUNCTION("""COMPUTED_VALUE"""),0)</f>
        <v>0</v>
      </c>
      <c r="P174" s="7">
        <f ca="1">IFERROR(__xludf.DUMMYFUNCTION("""COMPUTED_VALUE"""),190.4)</f>
        <v>190.4</v>
      </c>
      <c r="Q174" s="7">
        <f ca="1">IFERROR(__xludf.DUMMYFUNCTION("""COMPUTED_VALUE"""),190)</f>
        <v>190</v>
      </c>
      <c r="R174" s="7">
        <f ca="1">IFERROR(__xludf.DUMMYFUNCTION("""COMPUTED_VALUE"""),0)</f>
        <v>0</v>
      </c>
      <c r="S174" s="7">
        <f ca="1">IFERROR(__xludf.DUMMYFUNCTION("""COMPUTED_VALUE"""),0)</f>
        <v>0</v>
      </c>
      <c r="T174" s="7">
        <f ca="1">IFERROR(__xludf.DUMMYFUNCTION("""COMPUTED_VALUE"""),139.399999999999)</f>
        <v>139.39999999999901</v>
      </c>
      <c r="U174" s="61"/>
      <c r="V174" s="61"/>
      <c r="W174" s="61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0" t="str">
        <f ca="1">IFERROR(__xludf.DUMMYFUNCTION("""COMPUTED_VALUE"""),"ASSOC. DE APOIO A ESCOLA ESPECIAL EDSON DUTRA")</f>
        <v>ASSOC. DE APOIO A ESCOLA ESPECIAL EDSON DUTRA</v>
      </c>
      <c r="D175" s="136" t="str">
        <f ca="1">IFERROR(__xludf.DUMMYFUNCTION("""COMPUTED_VALUE"""),"09405159000160")</f>
        <v>09405159000160</v>
      </c>
      <c r="E175" s="6" t="str">
        <f ca="1">IFERROR(__xludf.DUMMYFUNCTION("""COMPUTED_VALUE"""),"104")</f>
        <v>104</v>
      </c>
      <c r="F175" s="7" t="str">
        <f ca="1">IFERROR(__xludf.DUMMYFUNCTION("""COMPUTED_VALUE"""),"4481")</f>
        <v>4481</v>
      </c>
      <c r="G175" s="7" t="str">
        <f ca="1">IFERROR(__xludf.DUMMYFUNCTION("""COMPUTED_VALUE"""),"3982")</f>
        <v>3982</v>
      </c>
      <c r="H175" s="7">
        <f ca="1">IFERROR(__xludf.DUMMYFUNCTION("""COMPUTED_VALUE"""),0)</f>
        <v>0</v>
      </c>
      <c r="I175" s="7">
        <f ca="1">IFERROR(__xludf.DUMMYFUNCTION("""COMPUTED_VALUE"""),43.2)</f>
        <v>43.2</v>
      </c>
      <c r="J175" s="7">
        <f ca="1">IFERROR(__xludf.DUMMYFUNCTION("""COMPUTED_VALUE"""),20)</f>
        <v>20</v>
      </c>
      <c r="K175" s="7">
        <f ca="1">IFERROR(__xludf.DUMMYFUNCTION("""COMPUTED_VALUE"""),0)</f>
        <v>0</v>
      </c>
      <c r="L175" s="7">
        <f ca="1">IFERROR(__xludf.DUMMYFUNCTION("""COMPUTED_VALUE"""),0)</f>
        <v>0</v>
      </c>
      <c r="M175" s="7">
        <f ca="1">IFERROR(__xludf.DUMMYFUNCTION("""COMPUTED_VALUE"""),0)</f>
        <v>0</v>
      </c>
      <c r="N175" s="7">
        <f ca="1">IFERROR(__xludf.DUMMYFUNCTION("""COMPUTED_VALUE"""),0)</f>
        <v>0</v>
      </c>
      <c r="O175" s="7">
        <f ca="1">IFERROR(__xludf.DUMMYFUNCTION("""COMPUTED_VALUE"""),0)</f>
        <v>0</v>
      </c>
      <c r="P175" s="7">
        <f ca="1">IFERROR(__xludf.DUMMYFUNCTION("""COMPUTED_VALUE"""),190.4)</f>
        <v>190.4</v>
      </c>
      <c r="Q175" s="7">
        <f ca="1">IFERROR(__xludf.DUMMYFUNCTION("""COMPUTED_VALUE"""),0)</f>
        <v>0</v>
      </c>
      <c r="R175" s="7">
        <f ca="1">IFERROR(__xludf.DUMMYFUNCTION("""COMPUTED_VALUE"""),0)</f>
        <v>0</v>
      </c>
      <c r="S175" s="7">
        <f ca="1">IFERROR(__xludf.DUMMYFUNCTION("""COMPUTED_VALUE"""),0)</f>
        <v>0</v>
      </c>
      <c r="T175" s="7">
        <f ca="1">IFERROR(__xludf.DUMMYFUNCTION("""COMPUTED_VALUE"""),131.2)</f>
        <v>131.19999999999999</v>
      </c>
      <c r="U175" s="61"/>
      <c r="V175" s="61"/>
      <c r="W175" s="61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0" t="str">
        <f ca="1">IFERROR(__xludf.DUMMYFUNCTION("""COMPUTED_VALUE"""),"A.A. DA ESC. EST. MAJOR JUVENAL P.DE SOUZA")</f>
        <v>A.A. DA ESC. EST. MAJOR JUVENAL P.DE SOUZA</v>
      </c>
      <c r="D176" s="136" t="str">
        <f ca="1">IFERROR(__xludf.DUMMYFUNCTION("""COMPUTED_VALUE"""),"01408714000104")</f>
        <v>01408714000104</v>
      </c>
      <c r="E176" s="6" t="str">
        <f ca="1">IFERROR(__xludf.DUMMYFUNCTION("""COMPUTED_VALUE"""),"001")</f>
        <v>001</v>
      </c>
      <c r="F176" s="7" t="str">
        <f ca="1">IFERROR(__xludf.DUMMYFUNCTION("""COMPUTED_VALUE"""),"2094")</f>
        <v>2094</v>
      </c>
      <c r="G176" s="7" t="str">
        <f ca="1">IFERROR(__xludf.DUMMYFUNCTION("""COMPUTED_VALUE"""),"46743X")</f>
        <v>46743X</v>
      </c>
      <c r="H176" s="7">
        <f ca="1">IFERROR(__xludf.DUMMYFUNCTION("""COMPUTED_VALUE"""),0)</f>
        <v>0</v>
      </c>
      <c r="I176" s="7">
        <f ca="1">IFERROR(__xludf.DUMMYFUNCTION("""COMPUTED_VALUE"""),0)</f>
        <v>0</v>
      </c>
      <c r="J176" s="7">
        <f ca="1">IFERROR(__xludf.DUMMYFUNCTION("""COMPUTED_VALUE"""),0)</f>
        <v>0</v>
      </c>
      <c r="K176" s="7">
        <f ca="1">IFERROR(__xludf.DUMMYFUNCTION("""COMPUTED_VALUE"""),2630.39999999999)</f>
        <v>2630.3999999999901</v>
      </c>
      <c r="L176" s="7">
        <f ca="1">IFERROR(__xludf.DUMMYFUNCTION("""COMPUTED_VALUE"""),0)</f>
        <v>0</v>
      </c>
      <c r="M176" s="7">
        <f ca="1">IFERROR(__xludf.DUMMYFUNCTION("""COMPUTED_VALUE"""),0)</f>
        <v>0</v>
      </c>
      <c r="N176" s="7">
        <f ca="1">IFERROR(__xludf.DUMMYFUNCTION("""COMPUTED_VALUE"""),0)</f>
        <v>0</v>
      </c>
      <c r="O176" s="7">
        <f ca="1">IFERROR(__xludf.DUMMYFUNCTION("""COMPUTED_VALUE"""),0)</f>
        <v>0</v>
      </c>
      <c r="P176" s="7">
        <f ca="1">IFERROR(__xludf.DUMMYFUNCTION("""COMPUTED_VALUE"""),258.4)</f>
        <v>258.39999999999998</v>
      </c>
      <c r="Q176" s="7">
        <f ca="1">IFERROR(__xludf.DUMMYFUNCTION("""COMPUTED_VALUE"""),0)</f>
        <v>0</v>
      </c>
      <c r="R176" s="7">
        <f ca="1">IFERROR(__xludf.DUMMYFUNCTION("""COMPUTED_VALUE"""),0)</f>
        <v>0</v>
      </c>
      <c r="S176" s="7">
        <f ca="1">IFERROR(__xludf.DUMMYFUNCTION("""COMPUTED_VALUE"""),6758.4)</f>
        <v>6758.4</v>
      </c>
      <c r="T176" s="7">
        <f ca="1">IFERROR(__xludf.DUMMYFUNCTION("""COMPUTED_VALUE"""),0)</f>
        <v>0</v>
      </c>
      <c r="U176" s="61"/>
      <c r="V176" s="61"/>
      <c r="W176" s="61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0" t="str">
        <f ca="1">IFERROR(__xludf.DUMMYFUNCTION("""COMPUTED_VALUE"""),"A.A. DA ESC. EST. ANTENOR BARREIRA")</f>
        <v>A.A. DA ESC. EST. ANTENOR BARREIRA</v>
      </c>
      <c r="D177" s="136" t="str">
        <f ca="1">IFERROR(__xludf.DUMMYFUNCTION("""COMPUTED_VALUE"""),"02069808000150")</f>
        <v>02069808000150</v>
      </c>
      <c r="E177" s="6" t="str">
        <f ca="1">IFERROR(__xludf.DUMMYFUNCTION("""COMPUTED_VALUE"""),"001")</f>
        <v>001</v>
      </c>
      <c r="F177" s="7" t="str">
        <f ca="1">IFERROR(__xludf.DUMMYFUNCTION("""COMPUTED_VALUE"""),"1306")</f>
        <v>1306</v>
      </c>
      <c r="G177" s="7" t="str">
        <f ca="1">IFERROR(__xludf.DUMMYFUNCTION("""COMPUTED_VALUE"""),"54186")</f>
        <v>54186</v>
      </c>
      <c r="H177" s="7">
        <f ca="1">IFERROR(__xludf.DUMMYFUNCTION("""COMPUTED_VALUE"""),0)</f>
        <v>0</v>
      </c>
      <c r="I177" s="7">
        <f ca="1">IFERROR(__xludf.DUMMYFUNCTION("""COMPUTED_VALUE"""),0)</f>
        <v>0</v>
      </c>
      <c r="J177" s="7">
        <f ca="1">IFERROR(__xludf.DUMMYFUNCTION("""COMPUTED_VALUE"""),1200)</f>
        <v>1200</v>
      </c>
      <c r="K177" s="7">
        <f ca="1">IFERROR(__xludf.DUMMYFUNCTION("""COMPUTED_VALUE"""),0)</f>
        <v>0</v>
      </c>
      <c r="L177" s="7">
        <f ca="1">IFERROR(__xludf.DUMMYFUNCTION("""COMPUTED_VALUE"""),0)</f>
        <v>0</v>
      </c>
      <c r="M177" s="7">
        <f ca="1">IFERROR(__xludf.DUMMYFUNCTION("""COMPUTED_VALUE"""),0)</f>
        <v>0</v>
      </c>
      <c r="N177" s="7">
        <f ca="1">IFERROR(__xludf.DUMMYFUNCTION("""COMPUTED_VALUE"""),0)</f>
        <v>0</v>
      </c>
      <c r="O177" s="7">
        <f ca="1">IFERROR(__xludf.DUMMYFUNCTION("""COMPUTED_VALUE"""),0)</f>
        <v>0</v>
      </c>
      <c r="P177" s="7">
        <f ca="1">IFERROR(__xludf.DUMMYFUNCTION("""COMPUTED_VALUE"""),190.4)</f>
        <v>190.4</v>
      </c>
      <c r="Q177" s="7">
        <f ca="1">IFERROR(__xludf.DUMMYFUNCTION("""COMPUTED_VALUE"""),1900)</f>
        <v>1900</v>
      </c>
      <c r="R177" s="7">
        <f ca="1">IFERROR(__xludf.DUMMYFUNCTION("""COMPUTED_VALUE"""),0)</f>
        <v>0</v>
      </c>
      <c r="S177" s="7">
        <f ca="1">IFERROR(__xludf.DUMMYFUNCTION("""COMPUTED_VALUE"""),0)</f>
        <v>0</v>
      </c>
      <c r="T177" s="7">
        <f ca="1">IFERROR(__xludf.DUMMYFUNCTION("""COMPUTED_VALUE"""),0)</f>
        <v>0</v>
      </c>
      <c r="U177" s="61"/>
      <c r="V177" s="61"/>
      <c r="W177" s="61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0" t="str">
        <f ca="1">IFERROR(__xludf.DUMMYFUNCTION("""COMPUTED_VALUE"""),"ASSOC. DE APOIO DA ESCOLA ESPECIAL NOVOV PARAÍSO - APAE")</f>
        <v>ASSOC. DE APOIO DA ESCOLA ESPECIAL NOVOV PARAÍSO - APAE</v>
      </c>
      <c r="D178" s="136" t="str">
        <f ca="1">IFERROR(__xludf.DUMMYFUNCTION("""COMPUTED_VALUE"""),"09510602000163")</f>
        <v>09510602000163</v>
      </c>
      <c r="E178" s="6" t="str">
        <f ca="1">IFERROR(__xludf.DUMMYFUNCTION("""COMPUTED_VALUE"""),"001")</f>
        <v>001</v>
      </c>
      <c r="F178" s="7" t="str">
        <f ca="1">IFERROR(__xludf.DUMMYFUNCTION("""COMPUTED_VALUE"""),"1306")</f>
        <v>1306</v>
      </c>
      <c r="G178" s="7" t="str">
        <f ca="1">IFERROR(__xludf.DUMMYFUNCTION("""COMPUTED_VALUE"""),"138258")</f>
        <v>138258</v>
      </c>
      <c r="H178" s="7">
        <f ca="1">IFERROR(__xludf.DUMMYFUNCTION("""COMPUTED_VALUE"""),0)</f>
        <v>0</v>
      </c>
      <c r="I178" s="7">
        <f ca="1">IFERROR(__xludf.DUMMYFUNCTION("""COMPUTED_VALUE"""),57.6)</f>
        <v>57.6</v>
      </c>
      <c r="J178" s="7">
        <f ca="1">IFERROR(__xludf.DUMMYFUNCTION("""COMPUTED_VALUE"""),650)</f>
        <v>650</v>
      </c>
      <c r="K178" s="7">
        <f ca="1">IFERROR(__xludf.DUMMYFUNCTION("""COMPUTED_VALUE"""),0)</f>
        <v>0</v>
      </c>
      <c r="L178" s="7">
        <f ca="1">IFERROR(__xludf.DUMMYFUNCTION("""COMPUTED_VALUE"""),0)</f>
        <v>0</v>
      </c>
      <c r="M178" s="7">
        <f ca="1">IFERROR(__xludf.DUMMYFUNCTION("""COMPUTED_VALUE"""),0)</f>
        <v>0</v>
      </c>
      <c r="N178" s="7">
        <f ca="1">IFERROR(__xludf.DUMMYFUNCTION("""COMPUTED_VALUE"""),0)</f>
        <v>0</v>
      </c>
      <c r="O178" s="7">
        <f ca="1">IFERROR(__xludf.DUMMYFUNCTION("""COMPUTED_VALUE"""),0)</f>
        <v>0</v>
      </c>
      <c r="P178" s="7">
        <f ca="1">IFERROR(__xludf.DUMMYFUNCTION("""COMPUTED_VALUE"""),176.799999999999)</f>
        <v>176.79999999999899</v>
      </c>
      <c r="Q178" s="7">
        <f ca="1">IFERROR(__xludf.DUMMYFUNCTION("""COMPUTED_VALUE"""),0)</f>
        <v>0</v>
      </c>
      <c r="R178" s="7">
        <f ca="1">IFERROR(__xludf.DUMMYFUNCTION("""COMPUTED_VALUE"""),0)</f>
        <v>0</v>
      </c>
      <c r="S178" s="7">
        <f ca="1">IFERROR(__xludf.DUMMYFUNCTION("""COMPUTED_VALUE"""),0)</f>
        <v>0</v>
      </c>
      <c r="T178" s="7">
        <f ca="1">IFERROR(__xludf.DUMMYFUNCTION("""COMPUTED_VALUE"""),180.399999999999)</f>
        <v>180.39999999999901</v>
      </c>
      <c r="U178" s="61"/>
      <c r="V178" s="61"/>
      <c r="W178" s="61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0" t="str">
        <f ca="1">IFERROR(__xludf.DUMMYFUNCTION("""COMPUTED_VALUE"""),"A.A.  DA ESCOLA ESTADUAL MORRO DO MATO")</f>
        <v>A.A.  DA ESCOLA ESTADUAL MORRO DO MATO</v>
      </c>
      <c r="D179" s="136" t="str">
        <f ca="1">IFERROR(__xludf.DUMMYFUNCTION("""COMPUTED_VALUE"""),"01990368000107")</f>
        <v>01990368000107</v>
      </c>
      <c r="E179" s="6" t="str">
        <f ca="1">IFERROR(__xludf.DUMMYFUNCTION("""COMPUTED_VALUE"""),"001")</f>
        <v>001</v>
      </c>
      <c r="F179" s="7" t="str">
        <f ca="1">IFERROR(__xludf.DUMMYFUNCTION("""COMPUTED_VALUE"""),"1306")</f>
        <v>1306</v>
      </c>
      <c r="G179" s="7" t="str">
        <f ca="1">IFERROR(__xludf.DUMMYFUNCTION("""COMPUTED_VALUE"""),"54178")</f>
        <v>54178</v>
      </c>
      <c r="H179" s="7">
        <f ca="1">IFERROR(__xludf.DUMMYFUNCTION("""COMPUTED_VALUE"""),0)</f>
        <v>0</v>
      </c>
      <c r="I179" s="7">
        <f ca="1">IFERROR(__xludf.DUMMYFUNCTION("""COMPUTED_VALUE"""),0)</f>
        <v>0</v>
      </c>
      <c r="J179" s="7">
        <f ca="1">IFERROR(__xludf.DUMMYFUNCTION("""COMPUTED_VALUE"""),2050)</f>
        <v>2050</v>
      </c>
      <c r="K179" s="7">
        <f ca="1">IFERROR(__xludf.DUMMYFUNCTION("""COMPUTED_VALUE"""),0)</f>
        <v>0</v>
      </c>
      <c r="L179" s="7">
        <f ca="1">IFERROR(__xludf.DUMMYFUNCTION("""COMPUTED_VALUE"""),0)</f>
        <v>0</v>
      </c>
      <c r="M179" s="7">
        <f ca="1">IFERROR(__xludf.DUMMYFUNCTION("""COMPUTED_VALUE"""),0)</f>
        <v>0</v>
      </c>
      <c r="N179" s="7">
        <f ca="1">IFERROR(__xludf.DUMMYFUNCTION("""COMPUTED_VALUE"""),0)</f>
        <v>0</v>
      </c>
      <c r="O179" s="7">
        <f ca="1">IFERROR(__xludf.DUMMYFUNCTION("""COMPUTED_VALUE"""),0)</f>
        <v>0</v>
      </c>
      <c r="P179" s="7">
        <f ca="1">IFERROR(__xludf.DUMMYFUNCTION("""COMPUTED_VALUE"""),394.4)</f>
        <v>394.4</v>
      </c>
      <c r="Q179" s="7">
        <f ca="1">IFERROR(__xludf.DUMMYFUNCTION("""COMPUTED_VALUE"""),0)</f>
        <v>0</v>
      </c>
      <c r="R179" s="7">
        <f ca="1">IFERROR(__xludf.DUMMYFUNCTION("""COMPUTED_VALUE"""),0)</f>
        <v>0</v>
      </c>
      <c r="S179" s="7">
        <f ca="1">IFERROR(__xludf.DUMMYFUNCTION("""COMPUTED_VALUE"""),0)</f>
        <v>0</v>
      </c>
      <c r="T179" s="7">
        <f ca="1">IFERROR(__xludf.DUMMYFUNCTION("""COMPUTED_VALUE"""),754.4)</f>
        <v>754.4</v>
      </c>
      <c r="U179" s="61"/>
      <c r="V179" s="61"/>
      <c r="W179" s="61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0" t="str">
        <f ca="1">IFERROR(__xludf.DUMMYFUNCTION("""COMPUTED_VALUE"""),"ASSOC. DE APOIO ESC. EST. OQUERLINA TORRES")</f>
        <v>ASSOC. DE APOIO ESC. EST. OQUERLINA TORRES</v>
      </c>
      <c r="D180" s="136" t="str">
        <f ca="1">IFERROR(__xludf.DUMMYFUNCTION("""COMPUTED_VALUE"""),"01421201000125")</f>
        <v>01421201000125</v>
      </c>
      <c r="E180" s="6" t="str">
        <f ca="1">IFERROR(__xludf.DUMMYFUNCTION("""COMPUTED_VALUE"""),"001")</f>
        <v>001</v>
      </c>
      <c r="F180" s="7" t="str">
        <f ca="1">IFERROR(__xludf.DUMMYFUNCTION("""COMPUTED_VALUE"""),"2094")</f>
        <v>2094</v>
      </c>
      <c r="G180" s="7" t="str">
        <f ca="1">IFERROR(__xludf.DUMMYFUNCTION("""COMPUTED_VALUE"""),"19266X")</f>
        <v>19266X</v>
      </c>
      <c r="H180" s="7">
        <f ca="1">IFERROR(__xludf.DUMMYFUNCTION("""COMPUTED_VALUE"""),0)</f>
        <v>0</v>
      </c>
      <c r="I180" s="7">
        <f ca="1">IFERROR(__xludf.DUMMYFUNCTION("""COMPUTED_VALUE"""),0)</f>
        <v>0</v>
      </c>
      <c r="J180" s="7">
        <f ca="1">IFERROR(__xludf.DUMMYFUNCTION("""COMPUTED_VALUE"""),0)</f>
        <v>0</v>
      </c>
      <c r="K180" s="7">
        <f ca="1">IFERROR(__xludf.DUMMYFUNCTION("""COMPUTED_VALUE"""),0)</f>
        <v>0</v>
      </c>
      <c r="L180" s="7">
        <f ca="1">IFERROR(__xludf.DUMMYFUNCTION("""COMPUTED_VALUE"""),0)</f>
        <v>0</v>
      </c>
      <c r="M180" s="7">
        <f ca="1">IFERROR(__xludf.DUMMYFUNCTION("""COMPUTED_VALUE"""),0)</f>
        <v>0</v>
      </c>
      <c r="N180" s="7">
        <f ca="1">IFERROR(__xludf.DUMMYFUNCTION("""COMPUTED_VALUE"""),0)</f>
        <v>0</v>
      </c>
      <c r="O180" s="7">
        <f ca="1">IFERROR(__xludf.DUMMYFUNCTION("""COMPUTED_VALUE"""),0)</f>
        <v>0</v>
      </c>
      <c r="P180" s="7">
        <f ca="1">IFERROR(__xludf.DUMMYFUNCTION("""COMPUTED_VALUE"""),176.799999999999)</f>
        <v>176.79999999999899</v>
      </c>
      <c r="Q180" s="7">
        <f ca="1">IFERROR(__xludf.DUMMYFUNCTION("""COMPUTED_VALUE"""),0)</f>
        <v>0</v>
      </c>
      <c r="R180" s="7">
        <f ca="1">IFERROR(__xludf.DUMMYFUNCTION("""COMPUTED_VALUE"""),0)</f>
        <v>0</v>
      </c>
      <c r="S180" s="7">
        <f ca="1">IFERROR(__xludf.DUMMYFUNCTION("""COMPUTED_VALUE"""),11724.8)</f>
        <v>11724.8</v>
      </c>
      <c r="T180" s="7">
        <f ca="1">IFERROR(__xludf.DUMMYFUNCTION("""COMPUTED_VALUE"""),0)</f>
        <v>0</v>
      </c>
      <c r="U180" s="61"/>
      <c r="V180" s="61"/>
      <c r="W180" s="61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0" t="str">
        <f ca="1">IFERROR(__xludf.DUMMYFUNCTION("""COMPUTED_VALUE"""),"A.A.  AS ESC. EST. ANTONIO ALENCAR LEAO")</f>
        <v>A.A.  AS ESC. EST. ANTONIO ALENCAR LEAO</v>
      </c>
      <c r="D181" s="136" t="str">
        <f ca="1">IFERROR(__xludf.DUMMYFUNCTION("""COMPUTED_VALUE"""),"01575370000110")</f>
        <v>01575370000110</v>
      </c>
      <c r="E181" s="6" t="str">
        <f ca="1">IFERROR(__xludf.DUMMYFUNCTION("""COMPUTED_VALUE"""),"001")</f>
        <v>001</v>
      </c>
      <c r="F181" s="7" t="str">
        <f ca="1">IFERROR(__xludf.DUMMYFUNCTION("""COMPUTED_VALUE"""),"2094")</f>
        <v>2094</v>
      </c>
      <c r="G181" s="7" t="str">
        <f ca="1">IFERROR(__xludf.DUMMYFUNCTION("""COMPUTED_VALUE"""),"476536")</f>
        <v>476536</v>
      </c>
      <c r="H181" s="7">
        <f ca="1">IFERROR(__xludf.DUMMYFUNCTION("""COMPUTED_VALUE"""),0)</f>
        <v>0</v>
      </c>
      <c r="I181" s="7">
        <f ca="1">IFERROR(__xludf.DUMMYFUNCTION("""COMPUTED_VALUE"""),0)</f>
        <v>0</v>
      </c>
      <c r="J181" s="7">
        <f ca="1">IFERROR(__xludf.DUMMYFUNCTION("""COMPUTED_VALUE"""),3860)</f>
        <v>3860</v>
      </c>
      <c r="K181" s="7">
        <f ca="1">IFERROR(__xludf.DUMMYFUNCTION("""COMPUTED_VALUE"""),0)</f>
        <v>0</v>
      </c>
      <c r="L181" s="7">
        <f ca="1">IFERROR(__xludf.DUMMYFUNCTION("""COMPUTED_VALUE"""),0)</f>
        <v>0</v>
      </c>
      <c r="M181" s="7">
        <f ca="1">IFERROR(__xludf.DUMMYFUNCTION("""COMPUTED_VALUE"""),0)</f>
        <v>0</v>
      </c>
      <c r="N181" s="7">
        <f ca="1">IFERROR(__xludf.DUMMYFUNCTION("""COMPUTED_VALUE"""),0)</f>
        <v>0</v>
      </c>
      <c r="O181" s="7">
        <f ca="1">IFERROR(__xludf.DUMMYFUNCTION("""COMPUTED_VALUE"""),0)</f>
        <v>0</v>
      </c>
      <c r="P181" s="7">
        <f ca="1">IFERROR(__xludf.DUMMYFUNCTION("""COMPUTED_VALUE"""),149.6)</f>
        <v>149.6</v>
      </c>
      <c r="Q181" s="7">
        <f ca="1">IFERROR(__xludf.DUMMYFUNCTION("""COMPUTED_VALUE"""),0)</f>
        <v>0</v>
      </c>
      <c r="R181" s="7">
        <f ca="1">IFERROR(__xludf.DUMMYFUNCTION("""COMPUTED_VALUE"""),0)</f>
        <v>0</v>
      </c>
      <c r="S181" s="7">
        <f ca="1">IFERROR(__xludf.DUMMYFUNCTION("""COMPUTED_VALUE"""),0)</f>
        <v>0</v>
      </c>
      <c r="T181" s="7">
        <f ca="1">IFERROR(__xludf.DUMMYFUNCTION("""COMPUTED_VALUE"""),0)</f>
        <v>0</v>
      </c>
      <c r="U181" s="61"/>
      <c r="V181" s="61"/>
      <c r="W181" s="61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0" t="str">
        <f ca="1">IFERROR(__xludf.DUMMYFUNCTION("""COMPUTED_VALUE"""),"A.A. DO COL. EST. DONA ANAIDES B.MIRANDA")</f>
        <v>A.A. DO COL. EST. DONA ANAIDES B.MIRANDA</v>
      </c>
      <c r="D182" s="136" t="str">
        <f ca="1">IFERROR(__xludf.DUMMYFUNCTION("""COMPUTED_VALUE"""),"01867376000160")</f>
        <v>01867376000160</v>
      </c>
      <c r="E182" s="6" t="str">
        <f ca="1">IFERROR(__xludf.DUMMYFUNCTION("""COMPUTED_VALUE"""),"001")</f>
        <v>001</v>
      </c>
      <c r="F182" s="7" t="str">
        <f ca="1">IFERROR(__xludf.DUMMYFUNCTION("""COMPUTED_VALUE"""),"2094")</f>
        <v>2094</v>
      </c>
      <c r="G182" s="7" t="str">
        <f ca="1">IFERROR(__xludf.DUMMYFUNCTION("""COMPUTED_VALUE"""),"472123")</f>
        <v>472123</v>
      </c>
      <c r="H182" s="7">
        <f ca="1">IFERROR(__xludf.DUMMYFUNCTION("""COMPUTED_VALUE"""),0)</f>
        <v>0</v>
      </c>
      <c r="I182" s="7">
        <f ca="1">IFERROR(__xludf.DUMMYFUNCTION("""COMPUTED_VALUE"""),0)</f>
        <v>0</v>
      </c>
      <c r="J182" s="7">
        <f ca="1">IFERROR(__xludf.DUMMYFUNCTION("""COMPUTED_VALUE"""),3290)</f>
        <v>3290</v>
      </c>
      <c r="K182" s="7">
        <f ca="1">IFERROR(__xludf.DUMMYFUNCTION("""COMPUTED_VALUE"""),0)</f>
        <v>0</v>
      </c>
      <c r="L182" s="7">
        <f ca="1">IFERROR(__xludf.DUMMYFUNCTION("""COMPUTED_VALUE"""),0)</f>
        <v>0</v>
      </c>
      <c r="M182" s="7">
        <f ca="1">IFERROR(__xludf.DUMMYFUNCTION("""COMPUTED_VALUE"""),0)</f>
        <v>0</v>
      </c>
      <c r="N182" s="7">
        <f ca="1">IFERROR(__xludf.DUMMYFUNCTION("""COMPUTED_VALUE"""),0)</f>
        <v>0</v>
      </c>
      <c r="O182" s="7">
        <f ca="1">IFERROR(__xludf.DUMMYFUNCTION("""COMPUTED_VALUE"""),0)</f>
        <v>0</v>
      </c>
      <c r="P182" s="7">
        <f ca="1">IFERROR(__xludf.DUMMYFUNCTION("""COMPUTED_VALUE"""),122.399999999999)</f>
        <v>122.399999999999</v>
      </c>
      <c r="Q182" s="7">
        <f ca="1">IFERROR(__xludf.DUMMYFUNCTION("""COMPUTED_VALUE"""),2080)</f>
        <v>2080</v>
      </c>
      <c r="R182" s="7">
        <f ca="1">IFERROR(__xludf.DUMMYFUNCTION("""COMPUTED_VALUE"""),0)</f>
        <v>0</v>
      </c>
      <c r="S182" s="7">
        <f ca="1">IFERROR(__xludf.DUMMYFUNCTION("""COMPUTED_VALUE"""),0)</f>
        <v>0</v>
      </c>
      <c r="T182" s="7">
        <f ca="1">IFERROR(__xludf.DUMMYFUNCTION("""COMPUTED_VALUE"""),0)</f>
        <v>0</v>
      </c>
      <c r="U182" s="61"/>
      <c r="V182" s="61"/>
      <c r="W182" s="61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0" t="str">
        <f ca="1">IFERROR(__xludf.DUMMYFUNCTION("""COMPUTED_VALUE"""),"A. ESCOLAR COM.COL. EST.RAIMUNDO A.LEAO")</f>
        <v>A. ESCOLAR COM.COL. EST.RAIMUNDO A.LEAO</v>
      </c>
      <c r="D183" s="136" t="str">
        <f ca="1">IFERROR(__xludf.DUMMYFUNCTION("""COMPUTED_VALUE"""),"00880649000144")</f>
        <v>00880649000144</v>
      </c>
      <c r="E183" s="6" t="str">
        <f ca="1">IFERROR(__xludf.DUMMYFUNCTION("""COMPUTED_VALUE"""),"001")</f>
        <v>001</v>
      </c>
      <c r="F183" s="7" t="str">
        <f ca="1">IFERROR(__xludf.DUMMYFUNCTION("""COMPUTED_VALUE"""),"2094")</f>
        <v>2094</v>
      </c>
      <c r="G183" s="7" t="str">
        <f ca="1">IFERROR(__xludf.DUMMYFUNCTION("""COMPUTED_VALUE"""),"0472719")</f>
        <v>0472719</v>
      </c>
      <c r="H183" s="7">
        <f ca="1">IFERROR(__xludf.DUMMYFUNCTION("""COMPUTED_VALUE"""),0)</f>
        <v>0</v>
      </c>
      <c r="I183" s="7">
        <f ca="1">IFERROR(__xludf.DUMMYFUNCTION("""COMPUTED_VALUE"""),0)</f>
        <v>0</v>
      </c>
      <c r="J183" s="7">
        <f ca="1">IFERROR(__xludf.DUMMYFUNCTION("""COMPUTED_VALUE"""),1690)</f>
        <v>1690</v>
      </c>
      <c r="K183" s="7">
        <f ca="1">IFERROR(__xludf.DUMMYFUNCTION("""COMPUTED_VALUE"""),0)</f>
        <v>0</v>
      </c>
      <c r="L183" s="7">
        <f ca="1">IFERROR(__xludf.DUMMYFUNCTION("""COMPUTED_VALUE"""),0)</f>
        <v>0</v>
      </c>
      <c r="M183" s="7">
        <f ca="1">IFERROR(__xludf.DUMMYFUNCTION("""COMPUTED_VALUE"""),0)</f>
        <v>0</v>
      </c>
      <c r="N183" s="7">
        <f ca="1">IFERROR(__xludf.DUMMYFUNCTION("""COMPUTED_VALUE"""),0)</f>
        <v>0</v>
      </c>
      <c r="O183" s="7">
        <f ca="1">IFERROR(__xludf.DUMMYFUNCTION("""COMPUTED_VALUE"""),0)</f>
        <v>0</v>
      </c>
      <c r="P183" s="7">
        <f ca="1">IFERROR(__xludf.DUMMYFUNCTION("""COMPUTED_VALUE"""),163.2)</f>
        <v>163.19999999999999</v>
      </c>
      <c r="Q183" s="7">
        <f ca="1">IFERROR(__xludf.DUMMYFUNCTION("""COMPUTED_VALUE"""),0)</f>
        <v>0</v>
      </c>
      <c r="R183" s="7">
        <f ca="1">IFERROR(__xludf.DUMMYFUNCTION("""COMPUTED_VALUE"""),0)</f>
        <v>0</v>
      </c>
      <c r="S183" s="7">
        <f ca="1">IFERROR(__xludf.DUMMYFUNCTION("""COMPUTED_VALUE"""),0)</f>
        <v>0</v>
      </c>
      <c r="T183" s="7">
        <f ca="1">IFERROR(__xludf.DUMMYFUNCTION("""COMPUTED_VALUE"""),1516.99999999999)</f>
        <v>1516.99999999999</v>
      </c>
      <c r="U183" s="61"/>
      <c r="V183" s="61"/>
      <c r="W183" s="61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0" t="str">
        <f ca="1">IFERROR(__xludf.DUMMYFUNCTION("""COMPUTED_VALUE"""),"ASSOCIAÇÃO DE APOIO A ESCOLA ESPECIAL ESTRELA DA ESPERANÇA")</f>
        <v>ASSOCIAÇÃO DE APOIO A ESCOLA ESPECIAL ESTRELA DA ESPERANÇA</v>
      </c>
      <c r="D184" s="136" t="str">
        <f ca="1">IFERROR(__xludf.DUMMYFUNCTION("""COMPUTED_VALUE"""),"07938604000122")</f>
        <v>07938604000122</v>
      </c>
      <c r="E184" s="6" t="str">
        <f ca="1">IFERROR(__xludf.DUMMYFUNCTION("""COMPUTED_VALUE"""),"001")</f>
        <v>001</v>
      </c>
      <c r="F184" s="7" t="str">
        <f ca="1">IFERROR(__xludf.DUMMYFUNCTION("""COMPUTED_VALUE"""),"2094")</f>
        <v>2094</v>
      </c>
      <c r="G184" s="7" t="str">
        <f ca="1">IFERROR(__xludf.DUMMYFUNCTION("""COMPUTED_VALUE"""),"211621")</f>
        <v>211621</v>
      </c>
      <c r="H184" s="7">
        <f ca="1">IFERROR(__xludf.DUMMYFUNCTION("""COMPUTED_VALUE"""),0)</f>
        <v>0</v>
      </c>
      <c r="I184" s="7">
        <f ca="1">IFERROR(__xludf.DUMMYFUNCTION("""COMPUTED_VALUE"""),43.2)</f>
        <v>43.2</v>
      </c>
      <c r="J184" s="7">
        <f ca="1">IFERROR(__xludf.DUMMYFUNCTION("""COMPUTED_VALUE"""),200)</f>
        <v>200</v>
      </c>
      <c r="K184" s="7">
        <f ca="1">IFERROR(__xludf.DUMMYFUNCTION("""COMPUTED_VALUE"""),0)</f>
        <v>0</v>
      </c>
      <c r="L184" s="7">
        <f ca="1">IFERROR(__xludf.DUMMYFUNCTION("""COMPUTED_VALUE"""),0)</f>
        <v>0</v>
      </c>
      <c r="M184" s="7">
        <f ca="1">IFERROR(__xludf.DUMMYFUNCTION("""COMPUTED_VALUE"""),0)</f>
        <v>0</v>
      </c>
      <c r="N184" s="7">
        <f ca="1">IFERROR(__xludf.DUMMYFUNCTION("""COMPUTED_VALUE"""),0)</f>
        <v>0</v>
      </c>
      <c r="O184" s="7">
        <f ca="1">IFERROR(__xludf.DUMMYFUNCTION("""COMPUTED_VALUE"""),0)</f>
        <v>0</v>
      </c>
      <c r="P184" s="7">
        <f ca="1">IFERROR(__xludf.DUMMYFUNCTION("""COMPUTED_VALUE"""),163.2)</f>
        <v>163.19999999999999</v>
      </c>
      <c r="Q184" s="7">
        <f ca="1">IFERROR(__xludf.DUMMYFUNCTION("""COMPUTED_VALUE"""),0)</f>
        <v>0</v>
      </c>
      <c r="R184" s="7">
        <f ca="1">IFERROR(__xludf.DUMMYFUNCTION("""COMPUTED_VALUE"""),0)</f>
        <v>0</v>
      </c>
      <c r="S184" s="7">
        <f ca="1">IFERROR(__xludf.DUMMYFUNCTION("""COMPUTED_VALUE"""),0)</f>
        <v>0</v>
      </c>
      <c r="T184" s="7">
        <f ca="1">IFERROR(__xludf.DUMMYFUNCTION("""COMPUTED_VALUE"""),500.199999999999)</f>
        <v>500.19999999999902</v>
      </c>
      <c r="U184" s="61"/>
      <c r="V184" s="61"/>
      <c r="W184" s="61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0" t="str">
        <f ca="1">IFERROR(__xludf.DUMMYFUNCTION("""COMPUTED_VALUE"""),"A.A. ESC. EST.IRINEU ALBANO HENDGES")</f>
        <v>A.A. ESC. EST.IRINEU ALBANO HENDGES</v>
      </c>
      <c r="D185" s="136" t="str">
        <f ca="1">IFERROR(__xludf.DUMMYFUNCTION("""COMPUTED_VALUE"""),"01136012000100")</f>
        <v>01136012000100</v>
      </c>
      <c r="E185" s="6" t="str">
        <f ca="1">IFERROR(__xludf.DUMMYFUNCTION("""COMPUTED_VALUE"""),"001")</f>
        <v>001</v>
      </c>
      <c r="F185" s="7" t="str">
        <f ca="1">IFERROR(__xludf.DUMMYFUNCTION("""COMPUTED_VALUE"""),"2094")</f>
        <v>2094</v>
      </c>
      <c r="G185" s="7" t="str">
        <f ca="1">IFERROR(__xludf.DUMMYFUNCTION("""COMPUTED_VALUE"""),"0472433")</f>
        <v>0472433</v>
      </c>
      <c r="H185" s="7">
        <f ca="1">IFERROR(__xludf.DUMMYFUNCTION("""COMPUTED_VALUE"""),0)</f>
        <v>0</v>
      </c>
      <c r="I185" s="7">
        <f ca="1">IFERROR(__xludf.DUMMYFUNCTION("""COMPUTED_VALUE"""),0)</f>
        <v>0</v>
      </c>
      <c r="J185" s="7">
        <f ca="1">IFERROR(__xludf.DUMMYFUNCTION("""COMPUTED_VALUE"""),4360)</f>
        <v>4360</v>
      </c>
      <c r="K185" s="7">
        <f ca="1">IFERROR(__xludf.DUMMYFUNCTION("""COMPUTED_VALUE"""),0)</f>
        <v>0</v>
      </c>
      <c r="L185" s="7">
        <f ca="1">IFERROR(__xludf.DUMMYFUNCTION("""COMPUTED_VALUE"""),0)</f>
        <v>0</v>
      </c>
      <c r="M185" s="7">
        <f ca="1">IFERROR(__xludf.DUMMYFUNCTION("""COMPUTED_VALUE"""),0)</f>
        <v>0</v>
      </c>
      <c r="N185" s="7">
        <f ca="1">IFERROR(__xludf.DUMMYFUNCTION("""COMPUTED_VALUE"""),0)</f>
        <v>0</v>
      </c>
      <c r="O185" s="7">
        <f ca="1">IFERROR(__xludf.DUMMYFUNCTION("""COMPUTED_VALUE"""),0)</f>
        <v>0</v>
      </c>
      <c r="P185" s="7">
        <f ca="1">IFERROR(__xludf.DUMMYFUNCTION("""COMPUTED_VALUE"""),299.2)</f>
        <v>299.2</v>
      </c>
      <c r="Q185" s="7">
        <f ca="1">IFERROR(__xludf.DUMMYFUNCTION("""COMPUTED_VALUE"""),8120)</f>
        <v>8120</v>
      </c>
      <c r="R185" s="7">
        <f ca="1">IFERROR(__xludf.DUMMYFUNCTION("""COMPUTED_VALUE"""),0)</f>
        <v>0</v>
      </c>
      <c r="S185" s="7">
        <f ca="1">IFERROR(__xludf.DUMMYFUNCTION("""COMPUTED_VALUE"""),0)</f>
        <v>0</v>
      </c>
      <c r="T185" s="7">
        <f ca="1">IFERROR(__xludf.DUMMYFUNCTION("""COMPUTED_VALUE"""),0)</f>
        <v>0</v>
      </c>
      <c r="U185" s="61"/>
      <c r="V185" s="61"/>
      <c r="W185" s="61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0" t="str">
        <f ca="1">IFERROR(__xludf.DUMMYFUNCTION("""COMPUTED_VALUE"""),"A.A. ESCOLA EST. JOSE COSTA SOARES")</f>
        <v>A.A. ESCOLA EST. JOSE COSTA SOARES</v>
      </c>
      <c r="D186" s="136" t="str">
        <f ca="1">IFERROR(__xludf.DUMMYFUNCTION("""COMPUTED_VALUE"""),"01421200000180")</f>
        <v>01421200000180</v>
      </c>
      <c r="E186" s="6" t="str">
        <f ca="1">IFERROR(__xludf.DUMMYFUNCTION("""COMPUTED_VALUE"""),"001")</f>
        <v>001</v>
      </c>
      <c r="F186" s="7" t="str">
        <f ca="1">IFERROR(__xludf.DUMMYFUNCTION("""COMPUTED_VALUE"""),"2094")</f>
        <v>2094</v>
      </c>
      <c r="G186" s="7" t="str">
        <f ca="1">IFERROR(__xludf.DUMMYFUNCTION("""COMPUTED_VALUE"""),"471577")</f>
        <v>471577</v>
      </c>
      <c r="H186" s="7">
        <f ca="1">IFERROR(__xludf.DUMMYFUNCTION("""COMPUTED_VALUE"""),0)</f>
        <v>0</v>
      </c>
      <c r="I186" s="7">
        <f ca="1">IFERROR(__xludf.DUMMYFUNCTION("""COMPUTED_VALUE"""),0)</f>
        <v>0</v>
      </c>
      <c r="J186" s="7">
        <f ca="1">IFERROR(__xludf.DUMMYFUNCTION("""COMPUTED_VALUE"""),1490)</f>
        <v>1490</v>
      </c>
      <c r="K186" s="7">
        <f ca="1">IFERROR(__xludf.DUMMYFUNCTION("""COMPUTED_VALUE"""),0)</f>
        <v>0</v>
      </c>
      <c r="L186" s="7">
        <f ca="1">IFERROR(__xludf.DUMMYFUNCTION("""COMPUTED_VALUE"""),0)</f>
        <v>0</v>
      </c>
      <c r="M186" s="7">
        <f ca="1">IFERROR(__xludf.DUMMYFUNCTION("""COMPUTED_VALUE"""),0)</f>
        <v>0</v>
      </c>
      <c r="N186" s="7">
        <f ca="1">IFERROR(__xludf.DUMMYFUNCTION("""COMPUTED_VALUE"""),0)</f>
        <v>0</v>
      </c>
      <c r="O186" s="7">
        <f ca="1">IFERROR(__xludf.DUMMYFUNCTION("""COMPUTED_VALUE"""),0)</f>
        <v>0</v>
      </c>
      <c r="P186" s="7">
        <f ca="1">IFERROR(__xludf.DUMMYFUNCTION("""COMPUTED_VALUE"""),149.6)</f>
        <v>149.6</v>
      </c>
      <c r="Q186" s="7">
        <f ca="1">IFERROR(__xludf.DUMMYFUNCTION("""COMPUTED_VALUE"""),0)</f>
        <v>0</v>
      </c>
      <c r="R186" s="7">
        <f ca="1">IFERROR(__xludf.DUMMYFUNCTION("""COMPUTED_VALUE"""),0)</f>
        <v>0</v>
      </c>
      <c r="S186" s="7">
        <f ca="1">IFERROR(__xludf.DUMMYFUNCTION("""COMPUTED_VALUE"""),0)</f>
        <v>0</v>
      </c>
      <c r="T186" s="7">
        <f ca="1">IFERROR(__xludf.DUMMYFUNCTION("""COMPUTED_VALUE"""),0)</f>
        <v>0</v>
      </c>
      <c r="U186" s="61"/>
      <c r="V186" s="61"/>
      <c r="W186" s="61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0" t="str">
        <f ca="1">IFERROR(__xludf.DUMMYFUNCTION("""COMPUTED_VALUE"""),"A.A. COL. EST. FRANCISCA ALVES ALENCAR")</f>
        <v>A.A. COL. EST. FRANCISCA ALVES ALENCAR</v>
      </c>
      <c r="D187" s="136" t="str">
        <f ca="1">IFERROR(__xludf.DUMMYFUNCTION("""COMPUTED_VALUE"""),"01190193000153")</f>
        <v>01190193000153</v>
      </c>
      <c r="E187" s="6" t="str">
        <f ca="1">IFERROR(__xludf.DUMMYFUNCTION("""COMPUTED_VALUE"""),"001")</f>
        <v>001</v>
      </c>
      <c r="F187" s="7" t="str">
        <f ca="1">IFERROR(__xludf.DUMMYFUNCTION("""COMPUTED_VALUE"""),"1306")</f>
        <v>1306</v>
      </c>
      <c r="G187" s="7" t="str">
        <f ca="1">IFERROR(__xludf.DUMMYFUNCTION("""COMPUTED_VALUE"""),"102865")</f>
        <v>102865</v>
      </c>
      <c r="H187" s="7">
        <f ca="1">IFERROR(__xludf.DUMMYFUNCTION("""COMPUTED_VALUE"""),0)</f>
        <v>0</v>
      </c>
      <c r="I187" s="7">
        <f ca="1">IFERROR(__xludf.DUMMYFUNCTION("""COMPUTED_VALUE"""),0)</f>
        <v>0</v>
      </c>
      <c r="J187" s="7">
        <f ca="1">IFERROR(__xludf.DUMMYFUNCTION("""COMPUTED_VALUE"""),1090)</f>
        <v>1090</v>
      </c>
      <c r="K187" s="7">
        <f ca="1">IFERROR(__xludf.DUMMYFUNCTION("""COMPUTED_VALUE"""),0)</f>
        <v>0</v>
      </c>
      <c r="L187" s="7">
        <f ca="1">IFERROR(__xludf.DUMMYFUNCTION("""COMPUTED_VALUE"""),0)</f>
        <v>0</v>
      </c>
      <c r="M187" s="7">
        <f ca="1">IFERROR(__xludf.DUMMYFUNCTION("""COMPUTED_VALUE"""),0)</f>
        <v>0</v>
      </c>
      <c r="N187" s="7">
        <f ca="1">IFERROR(__xludf.DUMMYFUNCTION("""COMPUTED_VALUE"""),0)</f>
        <v>0</v>
      </c>
      <c r="O187" s="7">
        <f ca="1">IFERROR(__xludf.DUMMYFUNCTION("""COMPUTED_VALUE"""),0)</f>
        <v>0</v>
      </c>
      <c r="P187" s="7">
        <f ca="1">IFERROR(__xludf.DUMMYFUNCTION("""COMPUTED_VALUE"""),136)</f>
        <v>136</v>
      </c>
      <c r="Q187" s="7">
        <f ca="1">IFERROR(__xludf.DUMMYFUNCTION("""COMPUTED_VALUE"""),770)</f>
        <v>770</v>
      </c>
      <c r="R187" s="7">
        <f ca="1">IFERROR(__xludf.DUMMYFUNCTION("""COMPUTED_VALUE"""),0)</f>
        <v>0</v>
      </c>
      <c r="S187" s="7">
        <f ca="1">IFERROR(__xludf.DUMMYFUNCTION("""COMPUTED_VALUE"""),0)</f>
        <v>0</v>
      </c>
      <c r="T187" s="7">
        <f ca="1">IFERROR(__xludf.DUMMYFUNCTION("""COMPUTED_VALUE"""),254.2)</f>
        <v>254.2</v>
      </c>
      <c r="U187" s="61"/>
      <c r="V187" s="61"/>
      <c r="W187" s="61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0" t="str">
        <f ca="1">IFERROR(__xludf.DUMMYFUNCTION("""COMPUTED_VALUE"""),"ASSOC. DE APOIO ESC. EST. 1º DE JUNHO")</f>
        <v>ASSOC. DE APOIO ESC. EST. 1º DE JUNHO</v>
      </c>
      <c r="D188" s="136" t="str">
        <f ca="1">IFERROR(__xludf.DUMMYFUNCTION("""COMPUTED_VALUE"""),"02060455000128")</f>
        <v>02060455000128</v>
      </c>
      <c r="E188" s="6" t="str">
        <f ca="1">IFERROR(__xludf.DUMMYFUNCTION("""COMPUTED_VALUE"""),"001")</f>
        <v>001</v>
      </c>
      <c r="F188" s="7" t="str">
        <f ca="1">IFERROR(__xludf.DUMMYFUNCTION("""COMPUTED_VALUE"""),"1306")</f>
        <v>1306</v>
      </c>
      <c r="G188" s="7" t="str">
        <f ca="1">IFERROR(__xludf.DUMMYFUNCTION("""COMPUTED_VALUE"""),"147214")</f>
        <v>147214</v>
      </c>
      <c r="H188" s="7">
        <f ca="1">IFERROR(__xludf.DUMMYFUNCTION("""COMPUTED_VALUE"""),0)</f>
        <v>0</v>
      </c>
      <c r="I188" s="7">
        <f ca="1">IFERROR(__xludf.DUMMYFUNCTION("""COMPUTED_VALUE"""),0)</f>
        <v>0</v>
      </c>
      <c r="J188" s="7">
        <f ca="1">IFERROR(__xludf.DUMMYFUNCTION("""COMPUTED_VALUE"""),0)</f>
        <v>0</v>
      </c>
      <c r="K188" s="7">
        <f ca="1">IFERROR(__xludf.DUMMYFUNCTION("""COMPUTED_VALUE"""),0)</f>
        <v>0</v>
      </c>
      <c r="L188" s="7">
        <f ca="1">IFERROR(__xludf.DUMMYFUNCTION("""COMPUTED_VALUE"""),0)</f>
        <v>0</v>
      </c>
      <c r="M188" s="7">
        <f ca="1">IFERROR(__xludf.DUMMYFUNCTION("""COMPUTED_VALUE"""),0)</f>
        <v>0</v>
      </c>
      <c r="N188" s="7">
        <f ca="1">IFERROR(__xludf.DUMMYFUNCTION("""COMPUTED_VALUE"""),0)</f>
        <v>0</v>
      </c>
      <c r="O188" s="7">
        <f ca="1">IFERROR(__xludf.DUMMYFUNCTION("""COMPUTED_VALUE"""),0)</f>
        <v>0</v>
      </c>
      <c r="P188" s="7">
        <f ca="1">IFERROR(__xludf.DUMMYFUNCTION("""COMPUTED_VALUE"""),0)</f>
        <v>0</v>
      </c>
      <c r="Q188" s="7">
        <f ca="1">IFERROR(__xludf.DUMMYFUNCTION("""COMPUTED_VALUE"""),1830)</f>
        <v>1830</v>
      </c>
      <c r="R188" s="7">
        <f ca="1">IFERROR(__xludf.DUMMYFUNCTION("""COMPUTED_VALUE"""),0)</f>
        <v>0</v>
      </c>
      <c r="S188" s="7">
        <f ca="1">IFERROR(__xludf.DUMMYFUNCTION("""COMPUTED_VALUE"""),0)</f>
        <v>0</v>
      </c>
      <c r="T188" s="7">
        <f ca="1">IFERROR(__xludf.DUMMYFUNCTION("""COMPUTED_VALUE"""),0)</f>
        <v>0</v>
      </c>
      <c r="U188" s="61"/>
      <c r="V188" s="61"/>
      <c r="W188" s="61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0" t="str">
        <f ca="1">IFERROR(__xludf.DUMMYFUNCTION("""COMPUTED_VALUE"""),"A.A. DO COLEGIO ESTADUAL BERNARDO SAYAO")</f>
        <v>A.A. DO COLEGIO ESTADUAL BERNARDO SAYAO</v>
      </c>
      <c r="D189" s="136" t="str">
        <f ca="1">IFERROR(__xludf.DUMMYFUNCTION("""COMPUTED_VALUE"""),"02160863000151")</f>
        <v>02160863000151</v>
      </c>
      <c r="E189" s="6" t="str">
        <f ca="1">IFERROR(__xludf.DUMMYFUNCTION("""COMPUTED_VALUE"""),"001")</f>
        <v>001</v>
      </c>
      <c r="F189" s="7" t="str">
        <f ca="1">IFERROR(__xludf.DUMMYFUNCTION("""COMPUTED_VALUE"""),"1306")</f>
        <v>1306</v>
      </c>
      <c r="G189" s="7" t="str">
        <f ca="1">IFERROR(__xludf.DUMMYFUNCTION("""COMPUTED_VALUE"""),"53910")</f>
        <v>53910</v>
      </c>
      <c r="H189" s="7">
        <f ca="1">IFERROR(__xludf.DUMMYFUNCTION("""COMPUTED_VALUE"""),0)</f>
        <v>0</v>
      </c>
      <c r="I189" s="7">
        <f ca="1">IFERROR(__xludf.DUMMYFUNCTION("""COMPUTED_VALUE"""),0)</f>
        <v>0</v>
      </c>
      <c r="J189" s="7">
        <f ca="1">IFERROR(__xludf.DUMMYFUNCTION("""COMPUTED_VALUE"""),1530)</f>
        <v>1530</v>
      </c>
      <c r="K189" s="7">
        <f ca="1">IFERROR(__xludf.DUMMYFUNCTION("""COMPUTED_VALUE"""),0)</f>
        <v>0</v>
      </c>
      <c r="L189" s="7">
        <f ca="1">IFERROR(__xludf.DUMMYFUNCTION("""COMPUTED_VALUE"""),0)</f>
        <v>0</v>
      </c>
      <c r="M189" s="7">
        <f ca="1">IFERROR(__xludf.DUMMYFUNCTION("""COMPUTED_VALUE"""),0)</f>
        <v>0</v>
      </c>
      <c r="N189" s="7">
        <f ca="1">IFERROR(__xludf.DUMMYFUNCTION("""COMPUTED_VALUE"""),0)</f>
        <v>0</v>
      </c>
      <c r="O189" s="7">
        <f ca="1">IFERROR(__xludf.DUMMYFUNCTION("""COMPUTED_VALUE"""),0)</f>
        <v>0</v>
      </c>
      <c r="P189" s="7">
        <f ca="1">IFERROR(__xludf.DUMMYFUNCTION("""COMPUTED_VALUE"""),312.8)</f>
        <v>312.8</v>
      </c>
      <c r="Q189" s="7">
        <f ca="1">IFERROR(__xludf.DUMMYFUNCTION("""COMPUTED_VALUE"""),0)</f>
        <v>0</v>
      </c>
      <c r="R189" s="7">
        <f ca="1">IFERROR(__xludf.DUMMYFUNCTION("""COMPUTED_VALUE"""),0)</f>
        <v>0</v>
      </c>
      <c r="S189" s="7">
        <f ca="1">IFERROR(__xludf.DUMMYFUNCTION("""COMPUTED_VALUE"""),0)</f>
        <v>0</v>
      </c>
      <c r="T189" s="7">
        <f ca="1">IFERROR(__xludf.DUMMYFUNCTION("""COMPUTED_VALUE"""),180.399999999999)</f>
        <v>180.39999999999901</v>
      </c>
      <c r="U189" s="61"/>
      <c r="V189" s="61"/>
      <c r="W189" s="61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0" t="str">
        <f ca="1">IFERROR(__xludf.DUMMYFUNCTION("""COMPUTED_VALUE"""),"A.PAIS E M.COL. EST. JUSCELINO KUBITSCHEK")</f>
        <v>A.PAIS E M.COL. EST. JUSCELINO KUBITSCHEK</v>
      </c>
      <c r="D190" s="136" t="str">
        <f ca="1">IFERROR(__xludf.DUMMYFUNCTION("""COMPUTED_VALUE"""),"02060456000172")</f>
        <v>02060456000172</v>
      </c>
      <c r="E190" s="6" t="str">
        <f ca="1">IFERROR(__xludf.DUMMYFUNCTION("""COMPUTED_VALUE"""),"001")</f>
        <v>001</v>
      </c>
      <c r="F190" s="7" t="str">
        <f ca="1">IFERROR(__xludf.DUMMYFUNCTION("""COMPUTED_VALUE"""),"2094")</f>
        <v>2094</v>
      </c>
      <c r="G190" s="7" t="str">
        <f ca="1">IFERROR(__xludf.DUMMYFUNCTION("""COMPUTED_VALUE"""),"047553X")</f>
        <v>047553X</v>
      </c>
      <c r="H190" s="7">
        <f ca="1">IFERROR(__xludf.DUMMYFUNCTION("""COMPUTED_VALUE"""),0)</f>
        <v>0</v>
      </c>
      <c r="I190" s="7">
        <f ca="1">IFERROR(__xludf.DUMMYFUNCTION("""COMPUTED_VALUE"""),0)</f>
        <v>0</v>
      </c>
      <c r="J190" s="7">
        <f ca="1">IFERROR(__xludf.DUMMYFUNCTION("""COMPUTED_VALUE"""),1410)</f>
        <v>1410</v>
      </c>
      <c r="K190" s="7">
        <f ca="1">IFERROR(__xludf.DUMMYFUNCTION("""COMPUTED_VALUE"""),0)</f>
        <v>0</v>
      </c>
      <c r="L190" s="7">
        <f ca="1">IFERROR(__xludf.DUMMYFUNCTION("""COMPUTED_VALUE"""),0)</f>
        <v>0</v>
      </c>
      <c r="M190" s="7">
        <f ca="1">IFERROR(__xludf.DUMMYFUNCTION("""COMPUTED_VALUE"""),0)</f>
        <v>0</v>
      </c>
      <c r="N190" s="7">
        <f ca="1">IFERROR(__xludf.DUMMYFUNCTION("""COMPUTED_VALUE"""),0)</f>
        <v>0</v>
      </c>
      <c r="O190" s="7">
        <f ca="1">IFERROR(__xludf.DUMMYFUNCTION("""COMPUTED_VALUE"""),0)</f>
        <v>0</v>
      </c>
      <c r="P190" s="7">
        <f ca="1">IFERROR(__xludf.DUMMYFUNCTION("""COMPUTED_VALUE"""),163.2)</f>
        <v>163.19999999999999</v>
      </c>
      <c r="Q190" s="7">
        <f ca="1">IFERROR(__xludf.DUMMYFUNCTION("""COMPUTED_VALUE"""),930)</f>
        <v>930</v>
      </c>
      <c r="R190" s="7">
        <f ca="1">IFERROR(__xludf.DUMMYFUNCTION("""COMPUTED_VALUE"""),0)</f>
        <v>0</v>
      </c>
      <c r="S190" s="7">
        <f ca="1">IFERROR(__xludf.DUMMYFUNCTION("""COMPUTED_VALUE"""),0)</f>
        <v>0</v>
      </c>
      <c r="T190" s="7">
        <f ca="1">IFERROR(__xludf.DUMMYFUNCTION("""COMPUTED_VALUE"""),0)</f>
        <v>0</v>
      </c>
      <c r="U190" s="61"/>
      <c r="V190" s="61"/>
      <c r="W190" s="61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0" t="str">
        <f ca="1">IFERROR(__xludf.DUMMYFUNCTION("""COMPUTED_VALUE"""),"ASS. APOIO COL. EST. ANITA CASSIMIRO MORENO")</f>
        <v>ASS. APOIO COL. EST. ANITA CASSIMIRO MORENO</v>
      </c>
      <c r="D191" s="136" t="str">
        <f ca="1">IFERROR(__xludf.DUMMYFUNCTION("""COMPUTED_VALUE"""),"01304570000138")</f>
        <v>01304570000138</v>
      </c>
      <c r="E191" s="6" t="str">
        <f ca="1">IFERROR(__xludf.DUMMYFUNCTION("""COMPUTED_VALUE"""),"001")</f>
        <v>001</v>
      </c>
      <c r="F191" s="7" t="str">
        <f ca="1">IFERROR(__xludf.DUMMYFUNCTION("""COMPUTED_VALUE"""),"3972")</f>
        <v>3972</v>
      </c>
      <c r="G191" s="7" t="str">
        <f ca="1">IFERROR(__xludf.DUMMYFUNCTION("""COMPUTED_VALUE"""),"245984")</f>
        <v>245984</v>
      </c>
      <c r="H191" s="7">
        <f ca="1">IFERROR(__xludf.DUMMYFUNCTION("""COMPUTED_VALUE"""),0)</f>
        <v>0</v>
      </c>
      <c r="I191" s="7">
        <f ca="1">IFERROR(__xludf.DUMMYFUNCTION("""COMPUTED_VALUE"""),0)</f>
        <v>0</v>
      </c>
      <c r="J191" s="7">
        <f ca="1">IFERROR(__xludf.DUMMYFUNCTION("""COMPUTED_VALUE"""),1050)</f>
        <v>1050</v>
      </c>
      <c r="K191" s="7">
        <f ca="1">IFERROR(__xludf.DUMMYFUNCTION("""COMPUTED_VALUE"""),0)</f>
        <v>0</v>
      </c>
      <c r="L191" s="7">
        <f ca="1">IFERROR(__xludf.DUMMYFUNCTION("""COMPUTED_VALUE"""),0)</f>
        <v>0</v>
      </c>
      <c r="M191" s="7">
        <f ca="1">IFERROR(__xludf.DUMMYFUNCTION("""COMPUTED_VALUE"""),0)</f>
        <v>0</v>
      </c>
      <c r="N191" s="7">
        <f ca="1">IFERROR(__xludf.DUMMYFUNCTION("""COMPUTED_VALUE"""),0)</f>
        <v>0</v>
      </c>
      <c r="O191" s="7">
        <f ca="1">IFERROR(__xludf.DUMMYFUNCTION("""COMPUTED_VALUE"""),0)</f>
        <v>0</v>
      </c>
      <c r="P191" s="7">
        <f ca="1">IFERROR(__xludf.DUMMYFUNCTION("""COMPUTED_VALUE"""),0)</f>
        <v>0</v>
      </c>
      <c r="Q191" s="7">
        <f ca="1">IFERROR(__xludf.DUMMYFUNCTION("""COMPUTED_VALUE"""),1580)</f>
        <v>1580</v>
      </c>
      <c r="R191" s="7">
        <f ca="1">IFERROR(__xludf.DUMMYFUNCTION("""COMPUTED_VALUE"""),0)</f>
        <v>0</v>
      </c>
      <c r="S191" s="7">
        <f ca="1">IFERROR(__xludf.DUMMYFUNCTION("""COMPUTED_VALUE"""),0)</f>
        <v>0</v>
      </c>
      <c r="T191" s="7">
        <f ca="1">IFERROR(__xludf.DUMMYFUNCTION("""COMPUTED_VALUE"""),0)</f>
        <v>0</v>
      </c>
      <c r="U191" s="61"/>
      <c r="V191" s="61"/>
      <c r="W191" s="61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0" t="str">
        <f ca="1">IFERROR(__xludf.DUMMYFUNCTION("""COMPUTED_VALUE"""),"A.A.  AO EDUCANDARIO EVANGELICO JERUSALEM")</f>
        <v>A.A.  AO EDUCANDARIO EVANGELICO JERUSALEM</v>
      </c>
      <c r="D192" s="136" t="str">
        <f ca="1">IFERROR(__xludf.DUMMYFUNCTION("""COMPUTED_VALUE"""),"03172227000102")</f>
        <v>03172227000102</v>
      </c>
      <c r="E192" s="6" t="str">
        <f ca="1">IFERROR(__xludf.DUMMYFUNCTION("""COMPUTED_VALUE"""),"001")</f>
        <v>001</v>
      </c>
      <c r="F192" s="7" t="str">
        <f ca="1">IFERROR(__xludf.DUMMYFUNCTION("""COMPUTED_VALUE"""),"3972")</f>
        <v>3972</v>
      </c>
      <c r="G192" s="7" t="str">
        <f ca="1">IFERROR(__xludf.DUMMYFUNCTION("""COMPUTED_VALUE"""),"54666")</f>
        <v>54666</v>
      </c>
      <c r="H192" s="7">
        <f ca="1">IFERROR(__xludf.DUMMYFUNCTION("""COMPUTED_VALUE"""),0)</f>
        <v>0</v>
      </c>
      <c r="I192" s="7">
        <f ca="1">IFERROR(__xludf.DUMMYFUNCTION("""COMPUTED_VALUE"""),0)</f>
        <v>0</v>
      </c>
      <c r="J192" s="7">
        <f ca="1">IFERROR(__xludf.DUMMYFUNCTION("""COMPUTED_VALUE"""),1030)</f>
        <v>1030</v>
      </c>
      <c r="K192" s="7">
        <f ca="1">IFERROR(__xludf.DUMMYFUNCTION("""COMPUTED_VALUE"""),0)</f>
        <v>0</v>
      </c>
      <c r="L192" s="7">
        <f ca="1">IFERROR(__xludf.DUMMYFUNCTION("""COMPUTED_VALUE"""),0)</f>
        <v>0</v>
      </c>
      <c r="M192" s="7">
        <f ca="1">IFERROR(__xludf.DUMMYFUNCTION("""COMPUTED_VALUE"""),0)</f>
        <v>0</v>
      </c>
      <c r="N192" s="7">
        <f ca="1">IFERROR(__xludf.DUMMYFUNCTION("""COMPUTED_VALUE"""),0)</f>
        <v>0</v>
      </c>
      <c r="O192" s="7">
        <f ca="1">IFERROR(__xludf.DUMMYFUNCTION("""COMPUTED_VALUE"""),0)</f>
        <v>0</v>
      </c>
      <c r="P192" s="7">
        <f ca="1">IFERROR(__xludf.DUMMYFUNCTION("""COMPUTED_VALUE"""),0)</f>
        <v>0</v>
      </c>
      <c r="Q192" s="7">
        <f ca="1">IFERROR(__xludf.DUMMYFUNCTION("""COMPUTED_VALUE"""),0)</f>
        <v>0</v>
      </c>
      <c r="R192" s="7">
        <f ca="1">IFERROR(__xludf.DUMMYFUNCTION("""COMPUTED_VALUE"""),0)</f>
        <v>0</v>
      </c>
      <c r="S192" s="7">
        <f ca="1">IFERROR(__xludf.DUMMYFUNCTION("""COMPUTED_VALUE"""),0)</f>
        <v>0</v>
      </c>
      <c r="T192" s="7">
        <f ca="1">IFERROR(__xludf.DUMMYFUNCTION("""COMPUTED_VALUE"""),0)</f>
        <v>0</v>
      </c>
      <c r="U192" s="61"/>
      <c r="V192" s="61"/>
      <c r="W192" s="61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0" t="str">
        <f ca="1">IFERROR(__xludf.DUMMYFUNCTION("""COMPUTED_VALUE"""),"ASSOCIAÇÃO DE APOIO A ESCOLA ESPECIAL AMOR FRATERNAL")</f>
        <v>ASSOCIAÇÃO DE APOIO A ESCOLA ESPECIAL AMOR FRATERNAL</v>
      </c>
      <c r="D193" s="136" t="str">
        <f ca="1">IFERROR(__xludf.DUMMYFUNCTION("""COMPUTED_VALUE"""),"07953958000146")</f>
        <v>07953958000146</v>
      </c>
      <c r="E193" s="6" t="str">
        <f ca="1">IFERROR(__xludf.DUMMYFUNCTION("""COMPUTED_VALUE"""),"001")</f>
        <v>001</v>
      </c>
      <c r="F193" s="7" t="str">
        <f ca="1">IFERROR(__xludf.DUMMYFUNCTION("""COMPUTED_VALUE"""),"3972")</f>
        <v>3972</v>
      </c>
      <c r="G193" s="7" t="str">
        <f ca="1">IFERROR(__xludf.DUMMYFUNCTION("""COMPUTED_VALUE"""),"90115")</f>
        <v>90115</v>
      </c>
      <c r="H193" s="7">
        <f ca="1">IFERROR(__xludf.DUMMYFUNCTION("""COMPUTED_VALUE"""),0)</f>
        <v>0</v>
      </c>
      <c r="I193" s="7">
        <f ca="1">IFERROR(__xludf.DUMMYFUNCTION("""COMPUTED_VALUE"""),129.6)</f>
        <v>129.6</v>
      </c>
      <c r="J193" s="7">
        <f ca="1">IFERROR(__xludf.DUMMYFUNCTION("""COMPUTED_VALUE"""),0)</f>
        <v>0</v>
      </c>
      <c r="K193" s="7">
        <f ca="1">IFERROR(__xludf.DUMMYFUNCTION("""COMPUTED_VALUE"""),0)</f>
        <v>0</v>
      </c>
      <c r="L193" s="7">
        <f ca="1">IFERROR(__xludf.DUMMYFUNCTION("""COMPUTED_VALUE"""),0)</f>
        <v>0</v>
      </c>
      <c r="M193" s="7">
        <f ca="1">IFERROR(__xludf.DUMMYFUNCTION("""COMPUTED_VALUE"""),0)</f>
        <v>0</v>
      </c>
      <c r="N193" s="7">
        <f ca="1">IFERROR(__xludf.DUMMYFUNCTION("""COMPUTED_VALUE"""),0)</f>
        <v>0</v>
      </c>
      <c r="O193" s="7">
        <f ca="1">IFERROR(__xludf.DUMMYFUNCTION("""COMPUTED_VALUE"""),0)</f>
        <v>0</v>
      </c>
      <c r="P193" s="7">
        <f ca="1">IFERROR(__xludf.DUMMYFUNCTION("""COMPUTED_VALUE"""),476)</f>
        <v>476</v>
      </c>
      <c r="Q193" s="7">
        <f ca="1">IFERROR(__xludf.DUMMYFUNCTION("""COMPUTED_VALUE"""),0)</f>
        <v>0</v>
      </c>
      <c r="R193" s="7">
        <f ca="1">IFERROR(__xludf.DUMMYFUNCTION("""COMPUTED_VALUE"""),0)</f>
        <v>0</v>
      </c>
      <c r="S193" s="7">
        <f ca="1">IFERROR(__xludf.DUMMYFUNCTION("""COMPUTED_VALUE"""),0)</f>
        <v>0</v>
      </c>
      <c r="T193" s="7">
        <f ca="1">IFERROR(__xludf.DUMMYFUNCTION("""COMPUTED_VALUE"""),533)</f>
        <v>533</v>
      </c>
      <c r="U193" s="61"/>
      <c r="V193" s="61"/>
      <c r="W193" s="61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0" t="str">
        <f ca="1">IFERROR(__xludf.DUMMYFUNCTION("""COMPUTED_VALUE"""),"A. PAIS E MESTRES ESC. EST.N.SRA.DO CARMO")</f>
        <v>A. PAIS E MESTRES ESC. EST.N.SRA.DO CARMO</v>
      </c>
      <c r="D194" s="136" t="str">
        <f ca="1">IFERROR(__xludf.DUMMYFUNCTION("""COMPUTED_VALUE"""),"01034192000110")</f>
        <v>01034192000110</v>
      </c>
      <c r="E194" s="6" t="str">
        <f ca="1">IFERROR(__xludf.DUMMYFUNCTION("""COMPUTED_VALUE"""),"001")</f>
        <v>001</v>
      </c>
      <c r="F194" s="7" t="str">
        <f ca="1">IFERROR(__xludf.DUMMYFUNCTION("""COMPUTED_VALUE"""),"3972")</f>
        <v>3972</v>
      </c>
      <c r="G194" s="7" t="str">
        <f ca="1">IFERROR(__xludf.DUMMYFUNCTION("""COMPUTED_VALUE"""),"243590")</f>
        <v>243590</v>
      </c>
      <c r="H194" s="7">
        <f ca="1">IFERROR(__xludf.DUMMYFUNCTION("""COMPUTED_VALUE"""),0)</f>
        <v>0</v>
      </c>
      <c r="I194" s="7">
        <f ca="1">IFERROR(__xludf.DUMMYFUNCTION("""COMPUTED_VALUE"""),0)</f>
        <v>0</v>
      </c>
      <c r="J194" s="7">
        <f ca="1">IFERROR(__xludf.DUMMYFUNCTION("""COMPUTED_VALUE"""),0)</f>
        <v>0</v>
      </c>
      <c r="K194" s="7">
        <f ca="1">IFERROR(__xludf.DUMMYFUNCTION("""COMPUTED_VALUE"""),3315.39999999999)</f>
        <v>3315.3999999999901</v>
      </c>
      <c r="L194" s="7">
        <f ca="1">IFERROR(__xludf.DUMMYFUNCTION("""COMPUTED_VALUE"""),0)</f>
        <v>0</v>
      </c>
      <c r="M194" s="7">
        <f ca="1">IFERROR(__xludf.DUMMYFUNCTION("""COMPUTED_VALUE"""),0)</f>
        <v>0</v>
      </c>
      <c r="N194" s="7">
        <f ca="1">IFERROR(__xludf.DUMMYFUNCTION("""COMPUTED_VALUE"""),0)</f>
        <v>0</v>
      </c>
      <c r="O194" s="7">
        <f ca="1">IFERROR(__xludf.DUMMYFUNCTION("""COMPUTED_VALUE"""),0)</f>
        <v>0</v>
      </c>
      <c r="P194" s="7">
        <f ca="1">IFERROR(__xludf.DUMMYFUNCTION("""COMPUTED_VALUE"""),285.599999999999)</f>
        <v>285.599999999999</v>
      </c>
      <c r="Q194" s="7">
        <f ca="1">IFERROR(__xludf.DUMMYFUNCTION("""COMPUTED_VALUE"""),0)</f>
        <v>0</v>
      </c>
      <c r="R194" s="7">
        <f ca="1">IFERROR(__xludf.DUMMYFUNCTION("""COMPUTED_VALUE"""),712.4)</f>
        <v>712.4</v>
      </c>
      <c r="S194" s="7">
        <f ca="1">IFERROR(__xludf.DUMMYFUNCTION("""COMPUTED_VALUE"""),0)</f>
        <v>0</v>
      </c>
      <c r="T194" s="7">
        <f ca="1">IFERROR(__xludf.DUMMYFUNCTION("""COMPUTED_VALUE"""),0)</f>
        <v>0</v>
      </c>
      <c r="U194" s="61"/>
      <c r="V194" s="61"/>
      <c r="W194" s="61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0" t="str">
        <f ca="1">IFERROR(__xludf.DUMMYFUNCTION("""COMPUTED_VALUE"""),"ASS. APOIO COL. EST. ADJULIO BALTHAZAR")</f>
        <v>ASS. APOIO COL. EST. ADJULIO BALTHAZAR</v>
      </c>
      <c r="D195" s="136" t="str">
        <f ca="1">IFERROR(__xludf.DUMMYFUNCTION("""COMPUTED_VALUE"""),"01138432000126")</f>
        <v>01138432000126</v>
      </c>
      <c r="E195" s="6" t="str">
        <f ca="1">IFERROR(__xludf.DUMMYFUNCTION("""COMPUTED_VALUE"""),"001")</f>
        <v>001</v>
      </c>
      <c r="F195" s="7" t="str">
        <f ca="1">IFERROR(__xludf.DUMMYFUNCTION("""COMPUTED_VALUE"""),"1303")</f>
        <v>1303</v>
      </c>
      <c r="G195" s="7" t="str">
        <f ca="1">IFERROR(__xludf.DUMMYFUNCTION("""COMPUTED_VALUE"""),"103462")</f>
        <v>103462</v>
      </c>
      <c r="H195" s="7">
        <f ca="1">IFERROR(__xludf.DUMMYFUNCTION("""COMPUTED_VALUE"""),0)</f>
        <v>0</v>
      </c>
      <c r="I195" s="7">
        <f ca="1">IFERROR(__xludf.DUMMYFUNCTION("""COMPUTED_VALUE"""),0)</f>
        <v>0</v>
      </c>
      <c r="J195" s="7">
        <f ca="1">IFERROR(__xludf.DUMMYFUNCTION("""COMPUTED_VALUE"""),2080)</f>
        <v>2080</v>
      </c>
      <c r="K195" s="7">
        <f ca="1">IFERROR(__xludf.DUMMYFUNCTION("""COMPUTED_VALUE"""),0)</f>
        <v>0</v>
      </c>
      <c r="L195" s="7">
        <f ca="1">IFERROR(__xludf.DUMMYFUNCTION("""COMPUTED_VALUE"""),0)</f>
        <v>0</v>
      </c>
      <c r="M195" s="7">
        <f ca="1">IFERROR(__xludf.DUMMYFUNCTION("""COMPUTED_VALUE"""),0)</f>
        <v>0</v>
      </c>
      <c r="N195" s="7">
        <f ca="1">IFERROR(__xludf.DUMMYFUNCTION("""COMPUTED_VALUE"""),0)</f>
        <v>0</v>
      </c>
      <c r="O195" s="7">
        <f ca="1">IFERROR(__xludf.DUMMYFUNCTION("""COMPUTED_VALUE"""),0)</f>
        <v>0</v>
      </c>
      <c r="P195" s="7">
        <f ca="1">IFERROR(__xludf.DUMMYFUNCTION("""COMPUTED_VALUE"""),0)</f>
        <v>0</v>
      </c>
      <c r="Q195" s="7">
        <f ca="1">IFERROR(__xludf.DUMMYFUNCTION("""COMPUTED_VALUE"""),0)</f>
        <v>0</v>
      </c>
      <c r="R195" s="7">
        <f ca="1">IFERROR(__xludf.DUMMYFUNCTION("""COMPUTED_VALUE"""),0)</f>
        <v>0</v>
      </c>
      <c r="S195" s="7">
        <f ca="1">IFERROR(__xludf.DUMMYFUNCTION("""COMPUTED_VALUE"""),0)</f>
        <v>0</v>
      </c>
      <c r="T195" s="7">
        <f ca="1">IFERROR(__xludf.DUMMYFUNCTION("""COMPUTED_VALUE"""),0)</f>
        <v>0</v>
      </c>
      <c r="U195" s="61"/>
      <c r="V195" s="61"/>
      <c r="W195" s="61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0" t="str">
        <f ca="1">IFERROR(__xludf.DUMMYFUNCTION("""COMPUTED_VALUE"""),"A.A.  COLEGIO ESTADUAL DE ALVORADA")</f>
        <v>A.A.  COLEGIO ESTADUAL DE ALVORADA</v>
      </c>
      <c r="D196" s="136" t="str">
        <f ca="1">IFERROR(__xludf.DUMMYFUNCTION("""COMPUTED_VALUE"""),"01269283000134")</f>
        <v>01269283000134</v>
      </c>
      <c r="E196" s="6" t="str">
        <f ca="1">IFERROR(__xludf.DUMMYFUNCTION("""COMPUTED_VALUE"""),"001")</f>
        <v>001</v>
      </c>
      <c r="F196" s="7" t="str">
        <f ca="1">IFERROR(__xludf.DUMMYFUNCTION("""COMPUTED_VALUE"""),"1303")</f>
        <v>1303</v>
      </c>
      <c r="G196" s="7" t="str">
        <f ca="1">IFERROR(__xludf.DUMMYFUNCTION("""COMPUTED_VALUE"""),"0088544")</f>
        <v>0088544</v>
      </c>
      <c r="H196" s="7">
        <f ca="1">IFERROR(__xludf.DUMMYFUNCTION("""COMPUTED_VALUE"""),0)</f>
        <v>0</v>
      </c>
      <c r="I196" s="7">
        <f ca="1">IFERROR(__xludf.DUMMYFUNCTION("""COMPUTED_VALUE"""),0)</f>
        <v>0</v>
      </c>
      <c r="J196" s="7">
        <f ca="1">IFERROR(__xludf.DUMMYFUNCTION("""COMPUTED_VALUE"""),0)</f>
        <v>0</v>
      </c>
      <c r="K196" s="7">
        <f ca="1">IFERROR(__xludf.DUMMYFUNCTION("""COMPUTED_VALUE"""),0)</f>
        <v>0</v>
      </c>
      <c r="L196" s="7">
        <f ca="1">IFERROR(__xludf.DUMMYFUNCTION("""COMPUTED_VALUE"""),0)</f>
        <v>0</v>
      </c>
      <c r="M196" s="7">
        <f ca="1">IFERROR(__xludf.DUMMYFUNCTION("""COMPUTED_VALUE"""),0)</f>
        <v>0</v>
      </c>
      <c r="N196" s="7">
        <f ca="1">IFERROR(__xludf.DUMMYFUNCTION("""COMPUTED_VALUE"""),0)</f>
        <v>0</v>
      </c>
      <c r="O196" s="7">
        <f ca="1">IFERROR(__xludf.DUMMYFUNCTION("""COMPUTED_VALUE"""),0)</f>
        <v>0</v>
      </c>
      <c r="P196" s="7">
        <f ca="1">IFERROR(__xludf.DUMMYFUNCTION("""COMPUTED_VALUE"""),0)</f>
        <v>0</v>
      </c>
      <c r="Q196" s="7">
        <f ca="1">IFERROR(__xludf.DUMMYFUNCTION("""COMPUTED_VALUE"""),3130)</f>
        <v>3130</v>
      </c>
      <c r="R196" s="7">
        <f ca="1">IFERROR(__xludf.DUMMYFUNCTION("""COMPUTED_VALUE"""),0)</f>
        <v>0</v>
      </c>
      <c r="S196" s="7">
        <f ca="1">IFERROR(__xludf.DUMMYFUNCTION("""COMPUTED_VALUE"""),0)</f>
        <v>0</v>
      </c>
      <c r="T196" s="7">
        <f ca="1">IFERROR(__xludf.DUMMYFUNCTION("""COMPUTED_VALUE"""),0)</f>
        <v>0</v>
      </c>
      <c r="U196" s="61"/>
      <c r="V196" s="61"/>
      <c r="W196" s="61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0" t="str">
        <f ca="1">IFERROR(__xludf.DUMMYFUNCTION("""COMPUTED_VALUE"""),"A.P.A.DOS EXCEP. DE ALVORADA-APAE")</f>
        <v>A.P.A.DOS EXCEP. DE ALVORADA-APAE</v>
      </c>
      <c r="D197" s="136" t="str">
        <f ca="1">IFERROR(__xludf.DUMMYFUNCTION("""COMPUTED_VALUE"""),"02201735000109")</f>
        <v>02201735000109</v>
      </c>
      <c r="E197" s="6" t="str">
        <f ca="1">IFERROR(__xludf.DUMMYFUNCTION("""COMPUTED_VALUE"""),"001")</f>
        <v>001</v>
      </c>
      <c r="F197" s="7" t="str">
        <f ca="1">IFERROR(__xludf.DUMMYFUNCTION("""COMPUTED_VALUE"""),"1303")</f>
        <v>1303</v>
      </c>
      <c r="G197" s="7" t="str">
        <f ca="1">IFERROR(__xludf.DUMMYFUNCTION("""COMPUTED_VALUE"""),"101826")</f>
        <v>101826</v>
      </c>
      <c r="H197" s="7">
        <f ca="1">IFERROR(__xludf.DUMMYFUNCTION("""COMPUTED_VALUE"""),0)</f>
        <v>0</v>
      </c>
      <c r="I197" s="7">
        <f ca="1">IFERROR(__xludf.DUMMYFUNCTION("""COMPUTED_VALUE"""),201.6)</f>
        <v>201.6</v>
      </c>
      <c r="J197" s="7">
        <f ca="1">IFERROR(__xludf.DUMMYFUNCTION("""COMPUTED_VALUE"""),60)</f>
        <v>60</v>
      </c>
      <c r="K197" s="7">
        <f ca="1">IFERROR(__xludf.DUMMYFUNCTION("""COMPUTED_VALUE"""),0)</f>
        <v>0</v>
      </c>
      <c r="L197" s="7">
        <f ca="1">IFERROR(__xludf.DUMMYFUNCTION("""COMPUTED_VALUE"""),0)</f>
        <v>0</v>
      </c>
      <c r="M197" s="7">
        <f ca="1">IFERROR(__xludf.DUMMYFUNCTION("""COMPUTED_VALUE"""),0)</f>
        <v>0</v>
      </c>
      <c r="N197" s="7">
        <f ca="1">IFERROR(__xludf.DUMMYFUNCTION("""COMPUTED_VALUE"""),0)</f>
        <v>0</v>
      </c>
      <c r="O197" s="7">
        <f ca="1">IFERROR(__xludf.DUMMYFUNCTION("""COMPUTED_VALUE"""),0)</f>
        <v>0</v>
      </c>
      <c r="P197" s="7">
        <f ca="1">IFERROR(__xludf.DUMMYFUNCTION("""COMPUTED_VALUE"""),353.599999999999)</f>
        <v>353.599999999999</v>
      </c>
      <c r="Q197" s="7">
        <f ca="1">IFERROR(__xludf.DUMMYFUNCTION("""COMPUTED_VALUE"""),0)</f>
        <v>0</v>
      </c>
      <c r="R197" s="7">
        <f ca="1">IFERROR(__xludf.DUMMYFUNCTION("""COMPUTED_VALUE"""),0)</f>
        <v>0</v>
      </c>
      <c r="S197" s="7">
        <f ca="1">IFERROR(__xludf.DUMMYFUNCTION("""COMPUTED_VALUE"""),0)</f>
        <v>0</v>
      </c>
      <c r="T197" s="7">
        <f ca="1">IFERROR(__xludf.DUMMYFUNCTION("""COMPUTED_VALUE"""),590.4)</f>
        <v>590.4</v>
      </c>
      <c r="U197" s="61"/>
      <c r="V197" s="61"/>
      <c r="W197" s="61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0" t="str">
        <f ca="1">IFERROR(__xludf.DUMMYFUNCTION("""COMPUTED_VALUE"""),"ASS. APOIO ESC. EST. ANA MARIA DE JESUS")</f>
        <v>ASS. APOIO ESC. EST. ANA MARIA DE JESUS</v>
      </c>
      <c r="D198" s="136" t="str">
        <f ca="1">IFERROR(__xludf.DUMMYFUNCTION("""COMPUTED_VALUE"""),"01221145000185")</f>
        <v>01221145000185</v>
      </c>
      <c r="E198" s="6" t="str">
        <f ca="1">IFERROR(__xludf.DUMMYFUNCTION("""COMPUTED_VALUE"""),"001")</f>
        <v>001</v>
      </c>
      <c r="F198" s="7" t="str">
        <f ca="1">IFERROR(__xludf.DUMMYFUNCTION("""COMPUTED_VALUE"""),"1303")</f>
        <v>1303</v>
      </c>
      <c r="G198" s="7" t="str">
        <f ca="1">IFERROR(__xludf.DUMMYFUNCTION("""COMPUTED_VALUE"""),"103691")</f>
        <v>103691</v>
      </c>
      <c r="H198" s="7">
        <f ca="1">IFERROR(__xludf.DUMMYFUNCTION("""COMPUTED_VALUE"""),0)</f>
        <v>0</v>
      </c>
      <c r="I198" s="7">
        <f ca="1">IFERROR(__xludf.DUMMYFUNCTION("""COMPUTED_VALUE"""),0)</f>
        <v>0</v>
      </c>
      <c r="J198" s="7">
        <f ca="1">IFERROR(__xludf.DUMMYFUNCTION("""COMPUTED_VALUE"""),700)</f>
        <v>700</v>
      </c>
      <c r="K198" s="7">
        <f ca="1">IFERROR(__xludf.DUMMYFUNCTION("""COMPUTED_VALUE"""),0)</f>
        <v>0</v>
      </c>
      <c r="L198" s="7">
        <f ca="1">IFERROR(__xludf.DUMMYFUNCTION("""COMPUTED_VALUE"""),0)</f>
        <v>0</v>
      </c>
      <c r="M198" s="7">
        <f ca="1">IFERROR(__xludf.DUMMYFUNCTION("""COMPUTED_VALUE"""),0)</f>
        <v>0</v>
      </c>
      <c r="N198" s="7">
        <f ca="1">IFERROR(__xludf.DUMMYFUNCTION("""COMPUTED_VALUE"""),0)</f>
        <v>0</v>
      </c>
      <c r="O198" s="7">
        <f ca="1">IFERROR(__xludf.DUMMYFUNCTION("""COMPUTED_VALUE"""),0)</f>
        <v>0</v>
      </c>
      <c r="P198" s="7">
        <f ca="1">IFERROR(__xludf.DUMMYFUNCTION("""COMPUTED_VALUE"""),136)</f>
        <v>136</v>
      </c>
      <c r="Q198" s="7">
        <f ca="1">IFERROR(__xludf.DUMMYFUNCTION("""COMPUTED_VALUE"""),0)</f>
        <v>0</v>
      </c>
      <c r="R198" s="7">
        <f ca="1">IFERROR(__xludf.DUMMYFUNCTION("""COMPUTED_VALUE"""),0)</f>
        <v>0</v>
      </c>
      <c r="S198" s="7">
        <f ca="1">IFERROR(__xludf.DUMMYFUNCTION("""COMPUTED_VALUE"""),0)</f>
        <v>0</v>
      </c>
      <c r="T198" s="7">
        <f ca="1">IFERROR(__xludf.DUMMYFUNCTION("""COMPUTED_VALUE"""),516.599999999999)</f>
        <v>516.599999999999</v>
      </c>
      <c r="U198" s="61"/>
      <c r="V198" s="61"/>
      <c r="W198" s="61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0" t="str">
        <f ca="1">IFERROR(__xludf.DUMMYFUNCTION("""COMPUTED_VALUE"""),"ASS. APOIO ESC. EST. JOAO TAVARES MARTINS")</f>
        <v>ASS. APOIO ESC. EST. JOAO TAVARES MARTINS</v>
      </c>
      <c r="D199" s="136" t="str">
        <f ca="1">IFERROR(__xludf.DUMMYFUNCTION("""COMPUTED_VALUE"""),"01133707000139")</f>
        <v>01133707000139</v>
      </c>
      <c r="E199" s="6" t="str">
        <f ca="1">IFERROR(__xludf.DUMMYFUNCTION("""COMPUTED_VALUE"""),"001")</f>
        <v>001</v>
      </c>
      <c r="F199" s="7" t="str">
        <f ca="1">IFERROR(__xludf.DUMMYFUNCTION("""COMPUTED_VALUE"""),"1304")</f>
        <v>1304</v>
      </c>
      <c r="G199" s="7" t="str">
        <f ca="1">IFERROR(__xludf.DUMMYFUNCTION("""COMPUTED_VALUE"""),"112542")</f>
        <v>112542</v>
      </c>
      <c r="H199" s="7">
        <f ca="1">IFERROR(__xludf.DUMMYFUNCTION("""COMPUTED_VALUE"""),0)</f>
        <v>0</v>
      </c>
      <c r="I199" s="7">
        <f ca="1">IFERROR(__xludf.DUMMYFUNCTION("""COMPUTED_VALUE"""),0)</f>
        <v>0</v>
      </c>
      <c r="J199" s="7">
        <f ca="1">IFERROR(__xludf.DUMMYFUNCTION("""COMPUTED_VALUE"""),0)</f>
        <v>0</v>
      </c>
      <c r="K199" s="7">
        <f ca="1">IFERROR(__xludf.DUMMYFUNCTION("""COMPUTED_VALUE"""),0)</f>
        <v>0</v>
      </c>
      <c r="L199" s="7">
        <f ca="1">IFERROR(__xludf.DUMMYFUNCTION("""COMPUTED_VALUE"""),0)</f>
        <v>0</v>
      </c>
      <c r="M199" s="7">
        <f ca="1">IFERROR(__xludf.DUMMYFUNCTION("""COMPUTED_VALUE"""),0)</f>
        <v>0</v>
      </c>
      <c r="N199" s="7">
        <f ca="1">IFERROR(__xludf.DUMMYFUNCTION("""COMPUTED_VALUE"""),0)</f>
        <v>0</v>
      </c>
      <c r="O199" s="7">
        <f ca="1">IFERROR(__xludf.DUMMYFUNCTION("""COMPUTED_VALUE"""),0)</f>
        <v>0</v>
      </c>
      <c r="P199" s="7">
        <f ca="1">IFERROR(__xludf.DUMMYFUNCTION("""COMPUTED_VALUE"""),0)</f>
        <v>0</v>
      </c>
      <c r="Q199" s="7">
        <f ca="1">IFERROR(__xludf.DUMMYFUNCTION("""COMPUTED_VALUE"""),2760)</f>
        <v>2760</v>
      </c>
      <c r="R199" s="7">
        <f ca="1">IFERROR(__xludf.DUMMYFUNCTION("""COMPUTED_VALUE"""),0)</f>
        <v>0</v>
      </c>
      <c r="S199" s="7">
        <f ca="1">IFERROR(__xludf.DUMMYFUNCTION("""COMPUTED_VALUE"""),0)</f>
        <v>0</v>
      </c>
      <c r="T199" s="7">
        <f ca="1">IFERROR(__xludf.DUMMYFUNCTION("""COMPUTED_VALUE"""),0)</f>
        <v>0</v>
      </c>
      <c r="U199" s="61"/>
      <c r="V199" s="61"/>
      <c r="W199" s="61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0" t="str">
        <f ca="1">IFERROR(__xludf.DUMMYFUNCTION("""COMPUTED_VALUE"""),"A..A. ESC. ESPECIAL  ABELINHA EM BUSCA DO SABER")</f>
        <v>A..A. ESC. ESPECIAL  ABELINHA EM BUSCA DO SABER</v>
      </c>
      <c r="D200" s="136" t="str">
        <f ca="1">IFERROR(__xludf.DUMMYFUNCTION("""COMPUTED_VALUE"""),"07924466000122")</f>
        <v>07924466000122</v>
      </c>
      <c r="E200" s="6" t="str">
        <f ca="1">IFERROR(__xludf.DUMMYFUNCTION("""COMPUTED_VALUE"""),"001")</f>
        <v>001</v>
      </c>
      <c r="F200" s="7" t="str">
        <f ca="1">IFERROR(__xludf.DUMMYFUNCTION("""COMPUTED_VALUE"""),"1304")</f>
        <v>1304</v>
      </c>
      <c r="G200" s="7" t="str">
        <f ca="1">IFERROR(__xludf.DUMMYFUNCTION("""COMPUTED_VALUE"""),"136417")</f>
        <v>136417</v>
      </c>
      <c r="H200" s="7">
        <f ca="1">IFERROR(__xludf.DUMMYFUNCTION("""COMPUTED_VALUE"""),0)</f>
        <v>0</v>
      </c>
      <c r="I200" s="7">
        <f ca="1">IFERROR(__xludf.DUMMYFUNCTION("""COMPUTED_VALUE"""),57.6)</f>
        <v>57.6</v>
      </c>
      <c r="J200" s="7">
        <f ca="1">IFERROR(__xludf.DUMMYFUNCTION("""COMPUTED_VALUE"""),60)</f>
        <v>60</v>
      </c>
      <c r="K200" s="7">
        <f ca="1">IFERROR(__xludf.DUMMYFUNCTION("""COMPUTED_VALUE"""),0)</f>
        <v>0</v>
      </c>
      <c r="L200" s="7">
        <f ca="1">IFERROR(__xludf.DUMMYFUNCTION("""COMPUTED_VALUE"""),0)</f>
        <v>0</v>
      </c>
      <c r="M200" s="7">
        <f ca="1">IFERROR(__xludf.DUMMYFUNCTION("""COMPUTED_VALUE"""),0)</f>
        <v>0</v>
      </c>
      <c r="N200" s="7">
        <f ca="1">IFERROR(__xludf.DUMMYFUNCTION("""COMPUTED_VALUE"""),0)</f>
        <v>0</v>
      </c>
      <c r="O200" s="7">
        <f ca="1">IFERROR(__xludf.DUMMYFUNCTION("""COMPUTED_VALUE"""),0)</f>
        <v>0</v>
      </c>
      <c r="P200" s="7">
        <f ca="1">IFERROR(__xludf.DUMMYFUNCTION("""COMPUTED_VALUE"""),231.2)</f>
        <v>231.2</v>
      </c>
      <c r="Q200" s="7">
        <f ca="1">IFERROR(__xludf.DUMMYFUNCTION("""COMPUTED_VALUE"""),0)</f>
        <v>0</v>
      </c>
      <c r="R200" s="7">
        <f ca="1">IFERROR(__xludf.DUMMYFUNCTION("""COMPUTED_VALUE"""),0)</f>
        <v>0</v>
      </c>
      <c r="S200" s="7">
        <f ca="1">IFERROR(__xludf.DUMMYFUNCTION("""COMPUTED_VALUE"""),0)</f>
        <v>0</v>
      </c>
      <c r="T200" s="7">
        <f ca="1">IFERROR(__xludf.DUMMYFUNCTION("""COMPUTED_VALUE"""),582.199999999999)</f>
        <v>582.19999999999902</v>
      </c>
      <c r="U200" s="61"/>
      <c r="V200" s="61"/>
      <c r="W200" s="61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0" t="str">
        <f ca="1">IFERROR(__xludf.DUMMYFUNCTION("""COMPUTED_VALUE"""),"ASS. APOIO ESC. EST. SALVADOR CAETANO")</f>
        <v>ASS. APOIO ESC. EST. SALVADOR CAETANO</v>
      </c>
      <c r="D201" s="136" t="str">
        <f ca="1">IFERROR(__xludf.DUMMYFUNCTION("""COMPUTED_VALUE"""),"01341484000103")</f>
        <v>01341484000103</v>
      </c>
      <c r="E201" s="6" t="str">
        <f ca="1">IFERROR(__xludf.DUMMYFUNCTION("""COMPUTED_VALUE"""),"001")</f>
        <v>001</v>
      </c>
      <c r="F201" s="7" t="str">
        <f ca="1">IFERROR(__xludf.DUMMYFUNCTION("""COMPUTED_VALUE"""),"1304")</f>
        <v>1304</v>
      </c>
      <c r="G201" s="7" t="str">
        <f ca="1">IFERROR(__xludf.DUMMYFUNCTION("""COMPUTED_VALUE"""),"0105589")</f>
        <v>0105589</v>
      </c>
      <c r="H201" s="7">
        <f ca="1">IFERROR(__xludf.DUMMYFUNCTION("""COMPUTED_VALUE"""),0)</f>
        <v>0</v>
      </c>
      <c r="I201" s="7">
        <f ca="1">IFERROR(__xludf.DUMMYFUNCTION("""COMPUTED_VALUE"""),0)</f>
        <v>0</v>
      </c>
      <c r="J201" s="7">
        <f ca="1">IFERROR(__xludf.DUMMYFUNCTION("""COMPUTED_VALUE"""),2300)</f>
        <v>2300</v>
      </c>
      <c r="K201" s="7">
        <f ca="1">IFERROR(__xludf.DUMMYFUNCTION("""COMPUTED_VALUE"""),0)</f>
        <v>0</v>
      </c>
      <c r="L201" s="7">
        <f ca="1">IFERROR(__xludf.DUMMYFUNCTION("""COMPUTED_VALUE"""),0)</f>
        <v>0</v>
      </c>
      <c r="M201" s="7">
        <f ca="1">IFERROR(__xludf.DUMMYFUNCTION("""COMPUTED_VALUE"""),0)</f>
        <v>0</v>
      </c>
      <c r="N201" s="7">
        <f ca="1">IFERROR(__xludf.DUMMYFUNCTION("""COMPUTED_VALUE"""),0)</f>
        <v>0</v>
      </c>
      <c r="O201" s="7">
        <f ca="1">IFERROR(__xludf.DUMMYFUNCTION("""COMPUTED_VALUE"""),0)</f>
        <v>0</v>
      </c>
      <c r="P201" s="7">
        <f ca="1">IFERROR(__xludf.DUMMYFUNCTION("""COMPUTED_VALUE"""),353.599999999999)</f>
        <v>353.599999999999</v>
      </c>
      <c r="Q201" s="7">
        <f ca="1">IFERROR(__xludf.DUMMYFUNCTION("""COMPUTED_VALUE"""),0)</f>
        <v>0</v>
      </c>
      <c r="R201" s="7">
        <f ca="1">IFERROR(__xludf.DUMMYFUNCTION("""COMPUTED_VALUE"""),0)</f>
        <v>0</v>
      </c>
      <c r="S201" s="7">
        <f ca="1">IFERROR(__xludf.DUMMYFUNCTION("""COMPUTED_VALUE"""),0)</f>
        <v>0</v>
      </c>
      <c r="T201" s="7">
        <f ca="1">IFERROR(__xludf.DUMMYFUNCTION("""COMPUTED_VALUE"""),0)</f>
        <v>0</v>
      </c>
      <c r="U201" s="61"/>
      <c r="V201" s="61"/>
      <c r="W201" s="61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0" t="str">
        <f ca="1">IFERROR(__xludf.DUMMYFUNCTION("""COMPUTED_VALUE"""),"ASS. APOIO ESCOLA ESTADUAL TARSO DUTRA")</f>
        <v>ASS. APOIO ESCOLA ESTADUAL TARSO DUTRA</v>
      </c>
      <c r="D202" s="136" t="str">
        <f ca="1">IFERROR(__xludf.DUMMYFUNCTION("""COMPUTED_VALUE"""),"01239275000145")</f>
        <v>01239275000145</v>
      </c>
      <c r="E202" s="6" t="str">
        <f ca="1">IFERROR(__xludf.DUMMYFUNCTION("""COMPUTED_VALUE"""),"001")</f>
        <v>001</v>
      </c>
      <c r="F202" s="7" t="str">
        <f ca="1">IFERROR(__xludf.DUMMYFUNCTION("""COMPUTED_VALUE"""),"0794")</f>
        <v>0794</v>
      </c>
      <c r="G202" s="7" t="str">
        <f ca="1">IFERROR(__xludf.DUMMYFUNCTION("""COMPUTED_VALUE"""),"245496")</f>
        <v>245496</v>
      </c>
      <c r="H202" s="7">
        <f ca="1">IFERROR(__xludf.DUMMYFUNCTION("""COMPUTED_VALUE"""),0)</f>
        <v>0</v>
      </c>
      <c r="I202" s="7">
        <f ca="1">IFERROR(__xludf.DUMMYFUNCTION("""COMPUTED_VALUE"""),0)</f>
        <v>0</v>
      </c>
      <c r="J202" s="7">
        <f ca="1">IFERROR(__xludf.DUMMYFUNCTION("""COMPUTED_VALUE"""),900)</f>
        <v>900</v>
      </c>
      <c r="K202" s="7">
        <f ca="1">IFERROR(__xludf.DUMMYFUNCTION("""COMPUTED_VALUE"""),0)</f>
        <v>0</v>
      </c>
      <c r="L202" s="7">
        <f ca="1">IFERROR(__xludf.DUMMYFUNCTION("""COMPUTED_VALUE"""),0)</f>
        <v>0</v>
      </c>
      <c r="M202" s="7">
        <f ca="1">IFERROR(__xludf.DUMMYFUNCTION("""COMPUTED_VALUE"""),0)</f>
        <v>0</v>
      </c>
      <c r="N202" s="7">
        <f ca="1">IFERROR(__xludf.DUMMYFUNCTION("""COMPUTED_VALUE"""),0)</f>
        <v>0</v>
      </c>
      <c r="O202" s="7">
        <f ca="1">IFERROR(__xludf.DUMMYFUNCTION("""COMPUTED_VALUE"""),0)</f>
        <v>0</v>
      </c>
      <c r="P202" s="7">
        <f ca="1">IFERROR(__xludf.DUMMYFUNCTION("""COMPUTED_VALUE"""),0)</f>
        <v>0</v>
      </c>
      <c r="Q202" s="7">
        <f ca="1">IFERROR(__xludf.DUMMYFUNCTION("""COMPUTED_VALUE"""),1520)</f>
        <v>1520</v>
      </c>
      <c r="R202" s="7">
        <f ca="1">IFERROR(__xludf.DUMMYFUNCTION("""COMPUTED_VALUE"""),0)</f>
        <v>0</v>
      </c>
      <c r="S202" s="7">
        <f ca="1">IFERROR(__xludf.DUMMYFUNCTION("""COMPUTED_VALUE"""),0)</f>
        <v>0</v>
      </c>
      <c r="T202" s="7">
        <f ca="1">IFERROR(__xludf.DUMMYFUNCTION("""COMPUTED_VALUE"""),122.999999999999)</f>
        <v>122.99999999999901</v>
      </c>
      <c r="U202" s="61"/>
      <c r="V202" s="61"/>
      <c r="W202" s="61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0" t="str">
        <f ca="1">IFERROR(__xludf.DUMMYFUNCTION("""COMPUTED_VALUE"""),"ASSOC. DE AP. DA ESC. EST. OLAVO BILAC")</f>
        <v>ASSOC. DE AP. DA ESC. EST. OLAVO BILAC</v>
      </c>
      <c r="D203" s="136" t="str">
        <f ca="1">IFERROR(__xludf.DUMMYFUNCTION("""COMPUTED_VALUE"""),"01892440000163")</f>
        <v>01892440000163</v>
      </c>
      <c r="E203" s="6" t="str">
        <f ca="1">IFERROR(__xludf.DUMMYFUNCTION("""COMPUTED_VALUE"""),"001")</f>
        <v>001</v>
      </c>
      <c r="F203" s="7" t="str">
        <f ca="1">IFERROR(__xludf.DUMMYFUNCTION("""COMPUTED_VALUE"""),"0794")</f>
        <v>0794</v>
      </c>
      <c r="G203" s="7" t="str">
        <f ca="1">IFERROR(__xludf.DUMMYFUNCTION("""COMPUTED_VALUE"""),"13498")</f>
        <v>13498</v>
      </c>
      <c r="H203" s="7">
        <f ca="1">IFERROR(__xludf.DUMMYFUNCTION("""COMPUTED_VALUE"""),0)</f>
        <v>0</v>
      </c>
      <c r="I203" s="7">
        <f ca="1">IFERROR(__xludf.DUMMYFUNCTION("""COMPUTED_VALUE"""),0)</f>
        <v>0</v>
      </c>
      <c r="J203" s="7">
        <f ca="1">IFERROR(__xludf.DUMMYFUNCTION("""COMPUTED_VALUE"""),610)</f>
        <v>610</v>
      </c>
      <c r="K203" s="7">
        <f ca="1">IFERROR(__xludf.DUMMYFUNCTION("""COMPUTED_VALUE"""),0)</f>
        <v>0</v>
      </c>
      <c r="L203" s="7">
        <f ca="1">IFERROR(__xludf.DUMMYFUNCTION("""COMPUTED_VALUE"""),0)</f>
        <v>0</v>
      </c>
      <c r="M203" s="7">
        <f ca="1">IFERROR(__xludf.DUMMYFUNCTION("""COMPUTED_VALUE"""),0)</f>
        <v>0</v>
      </c>
      <c r="N203" s="7">
        <f ca="1">IFERROR(__xludf.DUMMYFUNCTION("""COMPUTED_VALUE"""),0)</f>
        <v>0</v>
      </c>
      <c r="O203" s="7">
        <f ca="1">IFERROR(__xludf.DUMMYFUNCTION("""COMPUTED_VALUE"""),0)</f>
        <v>0</v>
      </c>
      <c r="P203" s="7">
        <f ca="1">IFERROR(__xludf.DUMMYFUNCTION("""COMPUTED_VALUE"""),0)</f>
        <v>0</v>
      </c>
      <c r="Q203" s="7">
        <f ca="1">IFERROR(__xludf.DUMMYFUNCTION("""COMPUTED_VALUE"""),530)</f>
        <v>530</v>
      </c>
      <c r="R203" s="7">
        <f ca="1">IFERROR(__xludf.DUMMYFUNCTION("""COMPUTED_VALUE"""),0)</f>
        <v>0</v>
      </c>
      <c r="S203" s="7">
        <f ca="1">IFERROR(__xludf.DUMMYFUNCTION("""COMPUTED_VALUE"""),0)</f>
        <v>0</v>
      </c>
      <c r="T203" s="7">
        <f ca="1">IFERROR(__xludf.DUMMYFUNCTION("""COMPUTED_VALUE"""),0)</f>
        <v>0</v>
      </c>
      <c r="U203" s="61"/>
      <c r="V203" s="61"/>
      <c r="W203" s="61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0" t="str">
        <f ca="1">IFERROR(__xludf.DUMMYFUNCTION("""COMPUTED_VALUE"""),"A.P.MESTRES DA ESCOLA EST.ELESBAO LIMA")</f>
        <v>A.P.MESTRES DA ESCOLA EST.ELESBAO LIMA</v>
      </c>
      <c r="D204" s="136" t="str">
        <f ca="1">IFERROR(__xludf.DUMMYFUNCTION("""COMPUTED_VALUE"""),"01865387000101")</f>
        <v>01865387000101</v>
      </c>
      <c r="E204" s="6" t="str">
        <f ca="1">IFERROR(__xludf.DUMMYFUNCTION("""COMPUTED_VALUE"""),"001")</f>
        <v>001</v>
      </c>
      <c r="F204" s="7" t="str">
        <f ca="1">IFERROR(__xludf.DUMMYFUNCTION("""COMPUTED_VALUE"""),"0794")</f>
        <v>0794</v>
      </c>
      <c r="G204" s="7" t="str">
        <f ca="1">IFERROR(__xludf.DUMMYFUNCTION("""COMPUTED_VALUE"""),"6758X")</f>
        <v>6758X</v>
      </c>
      <c r="H204" s="7">
        <f ca="1">IFERROR(__xludf.DUMMYFUNCTION("""COMPUTED_VALUE"""),0)</f>
        <v>0</v>
      </c>
      <c r="I204" s="7">
        <f ca="1">IFERROR(__xludf.DUMMYFUNCTION("""COMPUTED_VALUE"""),0)</f>
        <v>0</v>
      </c>
      <c r="J204" s="7">
        <f ca="1">IFERROR(__xludf.DUMMYFUNCTION("""COMPUTED_VALUE"""),2860)</f>
        <v>2860</v>
      </c>
      <c r="K204" s="7">
        <f ca="1">IFERROR(__xludf.DUMMYFUNCTION("""COMPUTED_VALUE"""),0)</f>
        <v>0</v>
      </c>
      <c r="L204" s="7">
        <f ca="1">IFERROR(__xludf.DUMMYFUNCTION("""COMPUTED_VALUE"""),0)</f>
        <v>0</v>
      </c>
      <c r="M204" s="7">
        <f ca="1">IFERROR(__xludf.DUMMYFUNCTION("""COMPUTED_VALUE"""),0)</f>
        <v>0</v>
      </c>
      <c r="N204" s="7">
        <f ca="1">IFERROR(__xludf.DUMMYFUNCTION("""COMPUTED_VALUE"""),0)</f>
        <v>0</v>
      </c>
      <c r="O204" s="7">
        <f ca="1">IFERROR(__xludf.DUMMYFUNCTION("""COMPUTED_VALUE"""),0)</f>
        <v>0</v>
      </c>
      <c r="P204" s="7">
        <f ca="1">IFERROR(__xludf.DUMMYFUNCTION("""COMPUTED_VALUE"""),326.4)</f>
        <v>326.39999999999998</v>
      </c>
      <c r="Q204" s="7">
        <f ca="1">IFERROR(__xludf.DUMMYFUNCTION("""COMPUTED_VALUE"""),1380)</f>
        <v>1380</v>
      </c>
      <c r="R204" s="7">
        <f ca="1">IFERROR(__xludf.DUMMYFUNCTION("""COMPUTED_VALUE"""),0)</f>
        <v>0</v>
      </c>
      <c r="S204" s="7">
        <f ca="1">IFERROR(__xludf.DUMMYFUNCTION("""COMPUTED_VALUE"""),0)</f>
        <v>0</v>
      </c>
      <c r="T204" s="7">
        <f ca="1">IFERROR(__xludf.DUMMYFUNCTION("""COMPUTED_VALUE"""),0)</f>
        <v>0</v>
      </c>
      <c r="U204" s="61"/>
      <c r="V204" s="61"/>
      <c r="W204" s="61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0" t="str">
        <f ca="1">IFERROR(__xludf.DUMMYFUNCTION("""COMPUTED_VALUE"""),"A. APOIO COL. EST. ALAIR SENA CONCEICAO")</f>
        <v>A. APOIO COL. EST. ALAIR SENA CONCEICAO</v>
      </c>
      <c r="D205" s="136" t="str">
        <f ca="1">IFERROR(__xludf.DUMMYFUNCTION("""COMPUTED_VALUE"""),"01257080000128")</f>
        <v>01257080000128</v>
      </c>
      <c r="E205" s="6" t="str">
        <f ca="1">IFERROR(__xludf.DUMMYFUNCTION("""COMPUTED_VALUE"""),"001")</f>
        <v>001</v>
      </c>
      <c r="F205" s="7" t="str">
        <f ca="1">IFERROR(__xludf.DUMMYFUNCTION("""COMPUTED_VALUE"""),"3978")</f>
        <v>3978</v>
      </c>
      <c r="G205" s="7" t="str">
        <f ca="1">IFERROR(__xludf.DUMMYFUNCTION("""COMPUTED_VALUE"""),"52639")</f>
        <v>52639</v>
      </c>
      <c r="H205" s="7">
        <f ca="1">IFERROR(__xludf.DUMMYFUNCTION("""COMPUTED_VALUE"""),0)</f>
        <v>0</v>
      </c>
      <c r="I205" s="7">
        <f ca="1">IFERROR(__xludf.DUMMYFUNCTION("""COMPUTED_VALUE"""),0)</f>
        <v>0</v>
      </c>
      <c r="J205" s="7">
        <f ca="1">IFERROR(__xludf.DUMMYFUNCTION("""COMPUTED_VALUE"""),0)</f>
        <v>0</v>
      </c>
      <c r="K205" s="7">
        <f ca="1">IFERROR(__xludf.DUMMYFUNCTION("""COMPUTED_VALUE"""),0)</f>
        <v>0</v>
      </c>
      <c r="L205" s="7">
        <f ca="1">IFERROR(__xludf.DUMMYFUNCTION("""COMPUTED_VALUE"""),0)</f>
        <v>0</v>
      </c>
      <c r="M205" s="7">
        <f ca="1">IFERROR(__xludf.DUMMYFUNCTION("""COMPUTED_VALUE"""),0)</f>
        <v>0</v>
      </c>
      <c r="N205" s="7">
        <f ca="1">IFERROR(__xludf.DUMMYFUNCTION("""COMPUTED_VALUE"""),0)</f>
        <v>0</v>
      </c>
      <c r="O205" s="7">
        <f ca="1">IFERROR(__xludf.DUMMYFUNCTION("""COMPUTED_VALUE"""),0)</f>
        <v>0</v>
      </c>
      <c r="P205" s="7">
        <f ca="1">IFERROR(__xludf.DUMMYFUNCTION("""COMPUTED_VALUE"""),0)</f>
        <v>0</v>
      </c>
      <c r="Q205" s="7">
        <f ca="1">IFERROR(__xludf.DUMMYFUNCTION("""COMPUTED_VALUE"""),1610)</f>
        <v>1610</v>
      </c>
      <c r="R205" s="7">
        <f ca="1">IFERROR(__xludf.DUMMYFUNCTION("""COMPUTED_VALUE"""),0)</f>
        <v>0</v>
      </c>
      <c r="S205" s="7">
        <f ca="1">IFERROR(__xludf.DUMMYFUNCTION("""COMPUTED_VALUE"""),0)</f>
        <v>0</v>
      </c>
      <c r="T205" s="7">
        <f ca="1">IFERROR(__xludf.DUMMYFUNCTION("""COMPUTED_VALUE"""),0)</f>
        <v>0</v>
      </c>
      <c r="U205" s="61"/>
      <c r="V205" s="61"/>
      <c r="W205" s="61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0" t="str">
        <f ca="1">IFERROR(__xludf.DUMMYFUNCTION("""COMPUTED_VALUE"""),"A. APOIO COLEGIO EST. CANDIDO FIGUEIRA")</f>
        <v>A. APOIO COLEGIO EST. CANDIDO FIGUEIRA</v>
      </c>
      <c r="D206" s="136" t="str">
        <f ca="1">IFERROR(__xludf.DUMMYFUNCTION("""COMPUTED_VALUE"""),"01262902000169")</f>
        <v>01262902000169</v>
      </c>
      <c r="E206" s="6" t="str">
        <f ca="1">IFERROR(__xludf.DUMMYFUNCTION("""COMPUTED_VALUE"""),"001")</f>
        <v>001</v>
      </c>
      <c r="F206" s="7" t="str">
        <f ca="1">IFERROR(__xludf.DUMMYFUNCTION("""COMPUTED_VALUE"""),"3978")</f>
        <v>3978</v>
      </c>
      <c r="G206" s="7" t="str">
        <f ca="1">IFERROR(__xludf.DUMMYFUNCTION("""COMPUTED_VALUE"""),"4802X")</f>
        <v>4802X</v>
      </c>
      <c r="H206" s="7">
        <f ca="1">IFERROR(__xludf.DUMMYFUNCTION("""COMPUTED_VALUE"""),0)</f>
        <v>0</v>
      </c>
      <c r="I206" s="7">
        <f ca="1">IFERROR(__xludf.DUMMYFUNCTION("""COMPUTED_VALUE"""),0)</f>
        <v>0</v>
      </c>
      <c r="J206" s="7">
        <f ca="1">IFERROR(__xludf.DUMMYFUNCTION("""COMPUTED_VALUE"""),3280)</f>
        <v>3280</v>
      </c>
      <c r="K206" s="7">
        <f ca="1">IFERROR(__xludf.DUMMYFUNCTION("""COMPUTED_VALUE"""),0)</f>
        <v>0</v>
      </c>
      <c r="L206" s="7">
        <f ca="1">IFERROR(__xludf.DUMMYFUNCTION("""COMPUTED_VALUE"""),0)</f>
        <v>0</v>
      </c>
      <c r="M206" s="7">
        <f ca="1">IFERROR(__xludf.DUMMYFUNCTION("""COMPUTED_VALUE"""),0)</f>
        <v>0</v>
      </c>
      <c r="N206" s="7">
        <f ca="1">IFERROR(__xludf.DUMMYFUNCTION("""COMPUTED_VALUE"""),0)</f>
        <v>0</v>
      </c>
      <c r="O206" s="7">
        <f ca="1">IFERROR(__xludf.DUMMYFUNCTION("""COMPUTED_VALUE"""),0)</f>
        <v>0</v>
      </c>
      <c r="P206" s="7">
        <f ca="1">IFERROR(__xludf.DUMMYFUNCTION("""COMPUTED_VALUE"""),163.2)</f>
        <v>163.19999999999999</v>
      </c>
      <c r="Q206" s="7">
        <f ca="1">IFERROR(__xludf.DUMMYFUNCTION("""COMPUTED_VALUE"""),0)</f>
        <v>0</v>
      </c>
      <c r="R206" s="7">
        <f ca="1">IFERROR(__xludf.DUMMYFUNCTION("""COMPUTED_VALUE"""),0)</f>
        <v>0</v>
      </c>
      <c r="S206" s="7">
        <f ca="1">IFERROR(__xludf.DUMMYFUNCTION("""COMPUTED_VALUE"""),0)</f>
        <v>0</v>
      </c>
      <c r="T206" s="7">
        <f ca="1">IFERROR(__xludf.DUMMYFUNCTION("""COMPUTED_VALUE"""),0)</f>
        <v>0</v>
      </c>
      <c r="U206" s="61"/>
      <c r="V206" s="61"/>
      <c r="W206" s="61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0" t="str">
        <f ca="1">IFERROR(__xludf.DUMMYFUNCTION("""COMPUTED_VALUE"""),"A.P.E MESTRES DA E. E.BENEDITO P.BANDEIRA")</f>
        <v>A.P.E MESTRES DA E. E.BENEDITO P.BANDEIRA</v>
      </c>
      <c r="D207" s="136" t="str">
        <f ca="1">IFERROR(__xludf.DUMMYFUNCTION("""COMPUTED_VALUE"""),"01136026000124")</f>
        <v>01136026000124</v>
      </c>
      <c r="E207" s="6" t="str">
        <f ca="1">IFERROR(__xludf.DUMMYFUNCTION("""COMPUTED_VALUE"""),"001")</f>
        <v>001</v>
      </c>
      <c r="F207" s="7" t="str">
        <f ca="1">IFERROR(__xludf.DUMMYFUNCTION("""COMPUTED_VALUE"""),"3123")</f>
        <v>3123</v>
      </c>
      <c r="G207" s="7" t="str">
        <f ca="1">IFERROR(__xludf.DUMMYFUNCTION("""COMPUTED_VALUE"""),"0303240")</f>
        <v>0303240</v>
      </c>
      <c r="H207" s="7">
        <f ca="1">IFERROR(__xludf.DUMMYFUNCTION("""COMPUTED_VALUE"""),0)</f>
        <v>0</v>
      </c>
      <c r="I207" s="7">
        <f ca="1">IFERROR(__xludf.DUMMYFUNCTION("""COMPUTED_VALUE"""),0)</f>
        <v>0</v>
      </c>
      <c r="J207" s="7">
        <f ca="1">IFERROR(__xludf.DUMMYFUNCTION("""COMPUTED_VALUE"""),990)</f>
        <v>990</v>
      </c>
      <c r="K207" s="7">
        <f ca="1">IFERROR(__xludf.DUMMYFUNCTION("""COMPUTED_VALUE"""),0)</f>
        <v>0</v>
      </c>
      <c r="L207" s="7">
        <f ca="1">IFERROR(__xludf.DUMMYFUNCTION("""COMPUTED_VALUE"""),0)</f>
        <v>0</v>
      </c>
      <c r="M207" s="7">
        <f ca="1">IFERROR(__xludf.DUMMYFUNCTION("""COMPUTED_VALUE"""),0)</f>
        <v>0</v>
      </c>
      <c r="N207" s="7">
        <f ca="1">IFERROR(__xludf.DUMMYFUNCTION("""COMPUTED_VALUE"""),0)</f>
        <v>0</v>
      </c>
      <c r="O207" s="7">
        <f ca="1">IFERROR(__xludf.DUMMYFUNCTION("""COMPUTED_VALUE"""),0)</f>
        <v>0</v>
      </c>
      <c r="P207" s="7">
        <f ca="1">IFERROR(__xludf.DUMMYFUNCTION("""COMPUTED_VALUE"""),0)</f>
        <v>0</v>
      </c>
      <c r="Q207" s="7">
        <f ca="1">IFERROR(__xludf.DUMMYFUNCTION("""COMPUTED_VALUE"""),850)</f>
        <v>850</v>
      </c>
      <c r="R207" s="7">
        <f ca="1">IFERROR(__xludf.DUMMYFUNCTION("""COMPUTED_VALUE"""),0)</f>
        <v>0</v>
      </c>
      <c r="S207" s="7">
        <f ca="1">IFERROR(__xludf.DUMMYFUNCTION("""COMPUTED_VALUE"""),0)</f>
        <v>0</v>
      </c>
      <c r="T207" s="7">
        <f ca="1">IFERROR(__xludf.DUMMYFUNCTION("""COMPUTED_VALUE"""),0)</f>
        <v>0</v>
      </c>
      <c r="U207" s="61"/>
      <c r="V207" s="61"/>
      <c r="W207" s="61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0" t="str">
        <f ca="1">IFERROR(__xludf.DUMMYFUNCTION("""COMPUTED_VALUE"""),"A.A. COLEGIO ESTADUAL TIRADENTES")</f>
        <v>A.A. COLEGIO ESTADUAL TIRADENTES</v>
      </c>
      <c r="D208" s="136" t="str">
        <f ca="1">IFERROR(__xludf.DUMMYFUNCTION("""COMPUTED_VALUE"""),"01263350000103")</f>
        <v>01263350000103</v>
      </c>
      <c r="E208" s="6" t="str">
        <f ca="1">IFERROR(__xludf.DUMMYFUNCTION("""COMPUTED_VALUE"""),"001")</f>
        <v>001</v>
      </c>
      <c r="F208" s="7" t="str">
        <f ca="1">IFERROR(__xludf.DUMMYFUNCTION("""COMPUTED_VALUE"""),"3123")</f>
        <v>3123</v>
      </c>
      <c r="G208" s="7" t="str">
        <f ca="1">IFERROR(__xludf.DUMMYFUNCTION("""COMPUTED_VALUE"""),"302988")</f>
        <v>302988</v>
      </c>
      <c r="H208" s="7">
        <f ca="1">IFERROR(__xludf.DUMMYFUNCTION("""COMPUTED_VALUE"""),0)</f>
        <v>0</v>
      </c>
      <c r="I208" s="7">
        <f ca="1">IFERROR(__xludf.DUMMYFUNCTION("""COMPUTED_VALUE"""),0)</f>
        <v>0</v>
      </c>
      <c r="J208" s="7">
        <f ca="1">IFERROR(__xludf.DUMMYFUNCTION("""COMPUTED_VALUE"""),0)</f>
        <v>0</v>
      </c>
      <c r="K208" s="7">
        <f ca="1">IFERROR(__xludf.DUMMYFUNCTION("""COMPUTED_VALUE"""),0)</f>
        <v>0</v>
      </c>
      <c r="L208" s="7">
        <f ca="1">IFERROR(__xludf.DUMMYFUNCTION("""COMPUTED_VALUE"""),0)</f>
        <v>0</v>
      </c>
      <c r="M208" s="7">
        <f ca="1">IFERROR(__xludf.DUMMYFUNCTION("""COMPUTED_VALUE"""),0)</f>
        <v>0</v>
      </c>
      <c r="N208" s="7">
        <f ca="1">IFERROR(__xludf.DUMMYFUNCTION("""COMPUTED_VALUE"""),0)</f>
        <v>0</v>
      </c>
      <c r="O208" s="7">
        <f ca="1">IFERROR(__xludf.DUMMYFUNCTION("""COMPUTED_VALUE"""),0)</f>
        <v>0</v>
      </c>
      <c r="P208" s="7">
        <f ca="1">IFERROR(__xludf.DUMMYFUNCTION("""COMPUTED_VALUE"""),0)</f>
        <v>0</v>
      </c>
      <c r="Q208" s="7">
        <f ca="1">IFERROR(__xludf.DUMMYFUNCTION("""COMPUTED_VALUE"""),2490)</f>
        <v>2490</v>
      </c>
      <c r="R208" s="7">
        <f ca="1">IFERROR(__xludf.DUMMYFUNCTION("""COMPUTED_VALUE"""),0)</f>
        <v>0</v>
      </c>
      <c r="S208" s="7">
        <f ca="1">IFERROR(__xludf.DUMMYFUNCTION("""COMPUTED_VALUE"""),0)</f>
        <v>0</v>
      </c>
      <c r="T208" s="7">
        <f ca="1">IFERROR(__xludf.DUMMYFUNCTION("""COMPUTED_VALUE"""),0)</f>
        <v>0</v>
      </c>
      <c r="U208" s="61"/>
      <c r="V208" s="61"/>
      <c r="W208" s="61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0" t="str">
        <f ca="1">IFERROR(__xludf.DUMMYFUNCTION("""COMPUTED_VALUE"""),"A.A. ESC ESPECIAL ANJO DA GUARDA")</f>
        <v>A.A. ESC ESPECIAL ANJO DA GUARDA</v>
      </c>
      <c r="D209" s="136" t="str">
        <f ca="1">IFERROR(__xludf.DUMMYFUNCTION("""COMPUTED_VALUE"""),"17617389000111")</f>
        <v>17617389000111</v>
      </c>
      <c r="E209" s="6" t="str">
        <f ca="1">IFERROR(__xludf.DUMMYFUNCTION("""COMPUTED_VALUE"""),"001")</f>
        <v>001</v>
      </c>
      <c r="F209" s="7" t="str">
        <f ca="1">IFERROR(__xludf.DUMMYFUNCTION("""COMPUTED_VALUE"""),"3123")</f>
        <v>3123</v>
      </c>
      <c r="G209" s="7" t="str">
        <f ca="1">IFERROR(__xludf.DUMMYFUNCTION("""COMPUTED_VALUE"""),"168211")</f>
        <v>168211</v>
      </c>
      <c r="H209" s="7">
        <f ca="1">IFERROR(__xludf.DUMMYFUNCTION("""COMPUTED_VALUE"""),0)</f>
        <v>0</v>
      </c>
      <c r="I209" s="7">
        <f ca="1">IFERROR(__xludf.DUMMYFUNCTION("""COMPUTED_VALUE"""),0)</f>
        <v>0</v>
      </c>
      <c r="J209" s="7">
        <f ca="1">IFERROR(__xludf.DUMMYFUNCTION("""COMPUTED_VALUE"""),280)</f>
        <v>280</v>
      </c>
      <c r="K209" s="7">
        <f ca="1">IFERROR(__xludf.DUMMYFUNCTION("""COMPUTED_VALUE"""),0)</f>
        <v>0</v>
      </c>
      <c r="L209" s="7">
        <f ca="1">IFERROR(__xludf.DUMMYFUNCTION("""COMPUTED_VALUE"""),0)</f>
        <v>0</v>
      </c>
      <c r="M209" s="7">
        <f ca="1">IFERROR(__xludf.DUMMYFUNCTION("""COMPUTED_VALUE"""),0)</f>
        <v>0</v>
      </c>
      <c r="N209" s="7">
        <f ca="1">IFERROR(__xludf.DUMMYFUNCTION("""COMPUTED_VALUE"""),0)</f>
        <v>0</v>
      </c>
      <c r="O209" s="7">
        <f ca="1">IFERROR(__xludf.DUMMYFUNCTION("""COMPUTED_VALUE"""),0)</f>
        <v>0</v>
      </c>
      <c r="P209" s="7">
        <f ca="1">IFERROR(__xludf.DUMMYFUNCTION("""COMPUTED_VALUE"""),476)</f>
        <v>476</v>
      </c>
      <c r="Q209" s="7">
        <f ca="1">IFERROR(__xludf.DUMMYFUNCTION("""COMPUTED_VALUE"""),0)</f>
        <v>0</v>
      </c>
      <c r="R209" s="7">
        <f ca="1">IFERROR(__xludf.DUMMYFUNCTION("""COMPUTED_VALUE"""),0)</f>
        <v>0</v>
      </c>
      <c r="S209" s="7">
        <f ca="1">IFERROR(__xludf.DUMMYFUNCTION("""COMPUTED_VALUE"""),0)</f>
        <v>0</v>
      </c>
      <c r="T209" s="7">
        <f ca="1">IFERROR(__xludf.DUMMYFUNCTION("""COMPUTED_VALUE"""),360.799999999999)</f>
        <v>360.79999999999899</v>
      </c>
      <c r="U209" s="61"/>
      <c r="V209" s="61"/>
      <c r="W209" s="61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0" t="str">
        <f ca="1">IFERROR(__xludf.DUMMYFUNCTION("""COMPUTED_VALUE"""),"A.A. ESC. EST. DONA GERCINA BORGES TEIXEIRA")</f>
        <v>A.A. ESC. EST. DONA GERCINA BORGES TEIXEIRA</v>
      </c>
      <c r="D210" s="136" t="str">
        <f ca="1">IFERROR(__xludf.DUMMYFUNCTION("""COMPUTED_VALUE"""),"01268334000103")</f>
        <v>01268334000103</v>
      </c>
      <c r="E210" s="6" t="str">
        <f ca="1">IFERROR(__xludf.DUMMYFUNCTION("""COMPUTED_VALUE"""),"001")</f>
        <v>001</v>
      </c>
      <c r="F210" s="7" t="str">
        <f ca="1">IFERROR(__xludf.DUMMYFUNCTION("""COMPUTED_VALUE"""),"3123")</f>
        <v>3123</v>
      </c>
      <c r="G210" s="7" t="str">
        <f ca="1">IFERROR(__xludf.DUMMYFUNCTION("""COMPUTED_VALUE"""),"302880")</f>
        <v>302880</v>
      </c>
      <c r="H210" s="7">
        <f ca="1">IFERROR(__xludf.DUMMYFUNCTION("""COMPUTED_VALUE"""),0)</f>
        <v>0</v>
      </c>
      <c r="I210" s="7">
        <f ca="1">IFERROR(__xludf.DUMMYFUNCTION("""COMPUTED_VALUE"""),0)</f>
        <v>0</v>
      </c>
      <c r="J210" s="7">
        <f ca="1">IFERROR(__xludf.DUMMYFUNCTION("""COMPUTED_VALUE"""),7740)</f>
        <v>7740</v>
      </c>
      <c r="K210" s="7">
        <f ca="1">IFERROR(__xludf.DUMMYFUNCTION("""COMPUTED_VALUE"""),0)</f>
        <v>0</v>
      </c>
      <c r="L210" s="7">
        <f ca="1">IFERROR(__xludf.DUMMYFUNCTION("""COMPUTED_VALUE"""),0)</f>
        <v>0</v>
      </c>
      <c r="M210" s="7">
        <f ca="1">IFERROR(__xludf.DUMMYFUNCTION("""COMPUTED_VALUE"""),0)</f>
        <v>0</v>
      </c>
      <c r="N210" s="7">
        <f ca="1">IFERROR(__xludf.DUMMYFUNCTION("""COMPUTED_VALUE"""),0)</f>
        <v>0</v>
      </c>
      <c r="O210" s="7">
        <f ca="1">IFERROR(__xludf.DUMMYFUNCTION("""COMPUTED_VALUE"""),0)</f>
        <v>0</v>
      </c>
      <c r="P210" s="7">
        <f ca="1">IFERROR(__xludf.DUMMYFUNCTION("""COMPUTED_VALUE"""),761.6)</f>
        <v>761.6</v>
      </c>
      <c r="Q210" s="7">
        <f ca="1">IFERROR(__xludf.DUMMYFUNCTION("""COMPUTED_VALUE"""),0)</f>
        <v>0</v>
      </c>
      <c r="R210" s="7">
        <f ca="1">IFERROR(__xludf.DUMMYFUNCTION("""COMPUTED_VALUE"""),0)</f>
        <v>0</v>
      </c>
      <c r="S210" s="7">
        <f ca="1">IFERROR(__xludf.DUMMYFUNCTION("""COMPUTED_VALUE"""),0)</f>
        <v>0</v>
      </c>
      <c r="T210" s="7">
        <f ca="1">IFERROR(__xludf.DUMMYFUNCTION("""COMPUTED_VALUE"""),1393.99999999999)</f>
        <v>1393.99999999999</v>
      </c>
      <c r="U210" s="61"/>
      <c r="V210" s="61"/>
      <c r="W210" s="61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0" t="str">
        <f ca="1">IFERROR(__xludf.DUMMYFUNCTION("""COMPUTED_VALUE"""),"ASSOCIAÇÃO DE APOIO DA ESCOLA INDÍGENA TAINÁ DA ALDEIA CANUANA")</f>
        <v>ASSOCIAÇÃO DE APOIO DA ESCOLA INDÍGENA TAINÁ DA ALDEIA CANUANA</v>
      </c>
      <c r="D211" s="136" t="str">
        <f ca="1">IFERROR(__xludf.DUMMYFUNCTION("""COMPUTED_VALUE"""),"27701257000127")</f>
        <v>27701257000127</v>
      </c>
      <c r="E211" s="6" t="str">
        <f ca="1">IFERROR(__xludf.DUMMYFUNCTION("""COMPUTED_VALUE"""),"001")</f>
        <v>001</v>
      </c>
      <c r="F211" s="7" t="str">
        <f ca="1">IFERROR(__xludf.DUMMYFUNCTION("""COMPUTED_VALUE"""),"3123")</f>
        <v>3123</v>
      </c>
      <c r="G211" s="7" t="str">
        <f ca="1">IFERROR(__xludf.DUMMYFUNCTION("""COMPUTED_VALUE"""),"171174")</f>
        <v>171174</v>
      </c>
      <c r="H211" s="7">
        <f ca="1">IFERROR(__xludf.DUMMYFUNCTION("""COMPUTED_VALUE"""),0)</f>
        <v>0</v>
      </c>
      <c r="I211" s="7">
        <f ca="1">IFERROR(__xludf.DUMMYFUNCTION("""COMPUTED_VALUE"""),0)</f>
        <v>0</v>
      </c>
      <c r="J211" s="7">
        <f ca="1">IFERROR(__xludf.DUMMYFUNCTION("""COMPUTED_VALUE"""),0)</f>
        <v>0</v>
      </c>
      <c r="K211" s="7">
        <f ca="1">IFERROR(__xludf.DUMMYFUNCTION("""COMPUTED_VALUE"""),0)</f>
        <v>0</v>
      </c>
      <c r="L211" s="7">
        <f ca="1">IFERROR(__xludf.DUMMYFUNCTION("""COMPUTED_VALUE"""),0)</f>
        <v>0</v>
      </c>
      <c r="M211" s="7">
        <f ca="1">IFERROR(__xludf.DUMMYFUNCTION("""COMPUTED_VALUE"""),0)</f>
        <v>0</v>
      </c>
      <c r="N211" s="7">
        <f ca="1">IFERROR(__xludf.DUMMYFUNCTION("""COMPUTED_VALUE"""),0)</f>
        <v>0</v>
      </c>
      <c r="O211" s="7">
        <f ca="1">IFERROR(__xludf.DUMMYFUNCTION("""COMPUTED_VALUE"""),2081.2)</f>
        <v>2081.1999999999998</v>
      </c>
      <c r="P211" s="7">
        <f ca="1">IFERROR(__xludf.DUMMYFUNCTION("""COMPUTED_VALUE"""),0)</f>
        <v>0</v>
      </c>
      <c r="Q211" s="7">
        <f ca="1">IFERROR(__xludf.DUMMYFUNCTION("""COMPUTED_VALUE"""),0)</f>
        <v>0</v>
      </c>
      <c r="R211" s="7">
        <f ca="1">IFERROR(__xludf.DUMMYFUNCTION("""COMPUTED_VALUE"""),0)</f>
        <v>0</v>
      </c>
      <c r="S211" s="7">
        <f ca="1">IFERROR(__xludf.DUMMYFUNCTION("""COMPUTED_VALUE"""),0)</f>
        <v>0</v>
      </c>
      <c r="T211" s="7">
        <f ca="1">IFERROR(__xludf.DUMMYFUNCTION("""COMPUTED_VALUE"""),0)</f>
        <v>0</v>
      </c>
      <c r="U211" s="61"/>
      <c r="V211" s="61"/>
      <c r="W211" s="61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IFERROR(__xludf.DUMMYFUNCTION("""COMPUTED_VALUE"""),"Formoso do Araguaia")</f>
        <v>Formoso do Araguaia</v>
      </c>
      <c r="C212" s="60" t="str">
        <f ca="1">IFERROR(__xludf.DUMMYFUNCTION("""COMPUTED_VALUE"""),"ASSOCIAÇÃO DE APOIO DA ESCOLA INDÍGENA TEMANARE")</f>
        <v>ASSOCIAÇÃO DE APOIO DA ESCOLA INDÍGENA TEMANARE</v>
      </c>
      <c r="D212" s="136" t="str">
        <f ca="1">IFERROR(__xludf.DUMMYFUNCTION("""COMPUTED_VALUE"""),"47800676000123")</f>
        <v>47800676000123</v>
      </c>
      <c r="E212" s="6" t="str">
        <f ca="1">IFERROR(__xludf.DUMMYFUNCTION("""COMPUTED_VALUE"""),"001")</f>
        <v>001</v>
      </c>
      <c r="F212" s="7" t="str">
        <f ca="1">IFERROR(__xludf.DUMMYFUNCTION("""COMPUTED_VALUE"""),"3123")</f>
        <v>3123</v>
      </c>
      <c r="G212" s="7" t="str">
        <f ca="1">IFERROR(__xludf.DUMMYFUNCTION("""COMPUTED_VALUE"""),"207160")</f>
        <v>207160</v>
      </c>
      <c r="H212" s="7">
        <f ca="1">IFERROR(__xludf.DUMMYFUNCTION("""COMPUTED_VALUE"""),0)</f>
        <v>0</v>
      </c>
      <c r="I212" s="7">
        <f ca="1">IFERROR(__xludf.DUMMYFUNCTION("""COMPUTED_VALUE"""),0)</f>
        <v>0</v>
      </c>
      <c r="J212" s="7">
        <f ca="1">IFERROR(__xludf.DUMMYFUNCTION("""COMPUTED_VALUE"""),0)</f>
        <v>0</v>
      </c>
      <c r="K212" s="7">
        <f ca="1">IFERROR(__xludf.DUMMYFUNCTION("""COMPUTED_VALUE"""),0)</f>
        <v>0</v>
      </c>
      <c r="L212" s="7">
        <f ca="1">IFERROR(__xludf.DUMMYFUNCTION("""COMPUTED_VALUE"""),0)</f>
        <v>0</v>
      </c>
      <c r="M212" s="7">
        <f ca="1">IFERROR(__xludf.DUMMYFUNCTION("""COMPUTED_VALUE"""),0)</f>
        <v>0</v>
      </c>
      <c r="N212" s="7">
        <f ca="1">IFERROR(__xludf.DUMMYFUNCTION("""COMPUTED_VALUE"""),0)</f>
        <v>0</v>
      </c>
      <c r="O212" s="7">
        <f ca="1">IFERROR(__xludf.DUMMYFUNCTION("""COMPUTED_VALUE"""),1685.6)</f>
        <v>1685.6</v>
      </c>
      <c r="P212" s="7">
        <f ca="1">IFERROR(__xludf.DUMMYFUNCTION("""COMPUTED_VALUE"""),0)</f>
        <v>0</v>
      </c>
      <c r="Q212" s="7">
        <f ca="1">IFERROR(__xludf.DUMMYFUNCTION("""COMPUTED_VALUE"""),0)</f>
        <v>0</v>
      </c>
      <c r="R212" s="7">
        <f ca="1">IFERROR(__xludf.DUMMYFUNCTION("""COMPUTED_VALUE"""),0)</f>
        <v>0</v>
      </c>
      <c r="S212" s="7">
        <f ca="1">IFERROR(__xludf.DUMMYFUNCTION("""COMPUTED_VALUE"""),0)</f>
        <v>0</v>
      </c>
      <c r="T212" s="7">
        <f ca="1">IFERROR(__xludf.DUMMYFUNCTION("""COMPUTED_VALUE"""),0)</f>
        <v>0</v>
      </c>
      <c r="U212" s="61"/>
      <c r="V212" s="61"/>
      <c r="W212" s="61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IFERROR(__xludf.DUMMYFUNCTION("""COMPUTED_VALUE"""),"Formoso do Araguaia")</f>
        <v>Formoso do Araguaia</v>
      </c>
      <c r="C213" s="60" t="str">
        <f ca="1">IFERROR(__xludf.DUMMYFUNCTION("""COMPUTED_VALUE"""),"ASSOCIAÇÃO DE APOIO ESCOLAR DA ESCOLA INDÍGENA TXUIRI HINÃ")</f>
        <v>ASSOCIAÇÃO DE APOIO ESCOLAR DA ESCOLA INDÍGENA TXUIRI HINÃ</v>
      </c>
      <c r="D213" s="136" t="str">
        <f ca="1">IFERROR(__xludf.DUMMYFUNCTION("""COMPUTED_VALUE"""),"47801073000146")</f>
        <v>47801073000146</v>
      </c>
      <c r="E213" s="6" t="str">
        <f ca="1">IFERROR(__xludf.DUMMYFUNCTION("""COMPUTED_VALUE"""),"001")</f>
        <v>001</v>
      </c>
      <c r="F213" s="7" t="str">
        <f ca="1">IFERROR(__xludf.DUMMYFUNCTION("""COMPUTED_VALUE"""),"3123")</f>
        <v>3123</v>
      </c>
      <c r="G213" s="7" t="str">
        <f ca="1">IFERROR(__xludf.DUMMYFUNCTION("""COMPUTED_VALUE"""),"206458")</f>
        <v>206458</v>
      </c>
      <c r="H213" s="7">
        <f ca="1">IFERROR(__xludf.DUMMYFUNCTION("""COMPUTED_VALUE"""),0)</f>
        <v>0</v>
      </c>
      <c r="I213" s="7">
        <f ca="1">IFERROR(__xludf.DUMMYFUNCTION("""COMPUTED_VALUE"""),0)</f>
        <v>0</v>
      </c>
      <c r="J213" s="7">
        <f ca="1">IFERROR(__xludf.DUMMYFUNCTION("""COMPUTED_VALUE"""),0)</f>
        <v>0</v>
      </c>
      <c r="K213" s="7">
        <f ca="1">IFERROR(__xludf.DUMMYFUNCTION("""COMPUTED_VALUE"""),0)</f>
        <v>0</v>
      </c>
      <c r="L213" s="7">
        <f ca="1">IFERROR(__xludf.DUMMYFUNCTION("""COMPUTED_VALUE"""),0)</f>
        <v>0</v>
      </c>
      <c r="M213" s="7">
        <f ca="1">IFERROR(__xludf.DUMMYFUNCTION("""COMPUTED_VALUE"""),0)</f>
        <v>0</v>
      </c>
      <c r="N213" s="7">
        <f ca="1">IFERROR(__xludf.DUMMYFUNCTION("""COMPUTED_VALUE"""),0)</f>
        <v>0</v>
      </c>
      <c r="O213" s="7">
        <f ca="1">IFERROR(__xludf.DUMMYFUNCTION("""COMPUTED_VALUE"""),1341.6)</f>
        <v>1341.6</v>
      </c>
      <c r="P213" s="7">
        <f ca="1">IFERROR(__xludf.DUMMYFUNCTION("""COMPUTED_VALUE"""),0)</f>
        <v>0</v>
      </c>
      <c r="Q213" s="7">
        <f ca="1">IFERROR(__xludf.DUMMYFUNCTION("""COMPUTED_VALUE"""),0)</f>
        <v>0</v>
      </c>
      <c r="R213" s="7">
        <f ca="1">IFERROR(__xludf.DUMMYFUNCTION("""COMPUTED_VALUE"""),0)</f>
        <v>0</v>
      </c>
      <c r="S213" s="7">
        <f ca="1">IFERROR(__xludf.DUMMYFUNCTION("""COMPUTED_VALUE"""),0)</f>
        <v>0</v>
      </c>
      <c r="T213" s="7">
        <f ca="1">IFERROR(__xludf.DUMMYFUNCTION("""COMPUTED_VALUE"""),0)</f>
        <v>0</v>
      </c>
      <c r="U213" s="61"/>
      <c r="V213" s="61"/>
      <c r="W213" s="61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IFERROR(__xludf.DUMMYFUNCTION("""COMPUTED_VALUE"""),"Formoso do Araguaia")</f>
        <v>Formoso do Araguaia</v>
      </c>
      <c r="C214" s="60" t="str">
        <f ca="1">IFERROR(__xludf.DUMMYFUNCTION("""COMPUTED_VALUE"""),"ASSOCIAÇÃO DE APOIO ESCOLAR DA ESCOLA INDÍGENA WATAKURI")</f>
        <v>ASSOCIAÇÃO DE APOIO ESCOLAR DA ESCOLA INDÍGENA WATAKURI</v>
      </c>
      <c r="D214" s="136" t="str">
        <f ca="1">IFERROR(__xludf.DUMMYFUNCTION("""COMPUTED_VALUE"""),"48057828000102")</f>
        <v>48057828000102</v>
      </c>
      <c r="E214" s="6" t="str">
        <f ca="1">IFERROR(__xludf.DUMMYFUNCTION("""COMPUTED_VALUE"""),"001")</f>
        <v>001</v>
      </c>
      <c r="F214" s="7" t="str">
        <f ca="1">IFERROR(__xludf.DUMMYFUNCTION("""COMPUTED_VALUE"""),"3123")</f>
        <v>3123</v>
      </c>
      <c r="G214" s="7" t="str">
        <f ca="1">IFERROR(__xludf.DUMMYFUNCTION("""COMPUTED_VALUE"""),"206695")</f>
        <v>206695</v>
      </c>
      <c r="H214" s="7">
        <f ca="1">IFERROR(__xludf.DUMMYFUNCTION("""COMPUTED_VALUE"""),0)</f>
        <v>0</v>
      </c>
      <c r="I214" s="7">
        <f ca="1">IFERROR(__xludf.DUMMYFUNCTION("""COMPUTED_VALUE"""),0)</f>
        <v>0</v>
      </c>
      <c r="J214" s="7">
        <f ca="1">IFERROR(__xludf.DUMMYFUNCTION("""COMPUTED_VALUE"""),0)</f>
        <v>0</v>
      </c>
      <c r="K214" s="7">
        <f ca="1">IFERROR(__xludf.DUMMYFUNCTION("""COMPUTED_VALUE"""),0)</f>
        <v>0</v>
      </c>
      <c r="L214" s="7">
        <f ca="1">IFERROR(__xludf.DUMMYFUNCTION("""COMPUTED_VALUE"""),0)</f>
        <v>0</v>
      </c>
      <c r="M214" s="7">
        <f ca="1">IFERROR(__xludf.DUMMYFUNCTION("""COMPUTED_VALUE"""),0)</f>
        <v>0</v>
      </c>
      <c r="N214" s="7">
        <f ca="1">IFERROR(__xludf.DUMMYFUNCTION("""COMPUTED_VALUE"""),0)</f>
        <v>0</v>
      </c>
      <c r="O214" s="7">
        <f ca="1">IFERROR(__xludf.DUMMYFUNCTION("""COMPUTED_VALUE"""),1341.6)</f>
        <v>1341.6</v>
      </c>
      <c r="P214" s="7">
        <f ca="1">IFERROR(__xludf.DUMMYFUNCTION("""COMPUTED_VALUE"""),0)</f>
        <v>0</v>
      </c>
      <c r="Q214" s="7">
        <f ca="1">IFERROR(__xludf.DUMMYFUNCTION("""COMPUTED_VALUE"""),0)</f>
        <v>0</v>
      </c>
      <c r="R214" s="7">
        <f ca="1">IFERROR(__xludf.DUMMYFUNCTION("""COMPUTED_VALUE"""),0)</f>
        <v>0</v>
      </c>
      <c r="S214" s="7">
        <f ca="1">IFERROR(__xludf.DUMMYFUNCTION("""COMPUTED_VALUE"""),0)</f>
        <v>0</v>
      </c>
      <c r="T214" s="7">
        <f ca="1">IFERROR(__xludf.DUMMYFUNCTION("""COMPUTED_VALUE"""),0)</f>
        <v>0</v>
      </c>
      <c r="U214" s="61"/>
      <c r="V214" s="61"/>
      <c r="W214" s="61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0" t="str">
        <f ca="1">IFERROR(__xludf.DUMMYFUNCTION("""COMPUTED_VALUE"""),"A.A. ESC. EST.ISOL.E IND.REG.DE GURUPI")</f>
        <v>A.A. ESC. EST.ISOL.E IND.REG.DE GURUPI</v>
      </c>
      <c r="D215" s="136" t="str">
        <f ca="1">IFERROR(__xludf.DUMMYFUNCTION("""COMPUTED_VALUE"""),"03011592000135")</f>
        <v>03011592000135</v>
      </c>
      <c r="E215" s="6" t="str">
        <f ca="1">IFERROR(__xludf.DUMMYFUNCTION("""COMPUTED_VALUE"""),"001")</f>
        <v>001</v>
      </c>
      <c r="F215" s="7" t="str">
        <f ca="1">IFERROR(__xludf.DUMMYFUNCTION("""COMPUTED_VALUE"""),"0794")</f>
        <v>0794</v>
      </c>
      <c r="G215" s="7" t="str">
        <f ca="1">IFERROR(__xludf.DUMMYFUNCTION("""COMPUTED_VALUE"""),"67563")</f>
        <v>67563</v>
      </c>
      <c r="H215" s="7">
        <f ca="1">IFERROR(__xludf.DUMMYFUNCTION("""COMPUTED_VALUE"""),0)</f>
        <v>0</v>
      </c>
      <c r="I215" s="7">
        <f ca="1">IFERROR(__xludf.DUMMYFUNCTION("""COMPUTED_VALUE"""),0)</f>
        <v>0</v>
      </c>
      <c r="J215" s="7">
        <f ca="1">IFERROR(__xludf.DUMMYFUNCTION("""COMPUTED_VALUE"""),0)</f>
        <v>0</v>
      </c>
      <c r="K215" s="7">
        <f ca="1">IFERROR(__xludf.DUMMYFUNCTION("""COMPUTED_VALUE"""),0)</f>
        <v>0</v>
      </c>
      <c r="L215" s="7">
        <f ca="1">IFERROR(__xludf.DUMMYFUNCTION("""COMPUTED_VALUE"""),0)</f>
        <v>0</v>
      </c>
      <c r="M215" s="7">
        <f ca="1">IFERROR(__xludf.DUMMYFUNCTION("""COMPUTED_VALUE"""),0)</f>
        <v>0</v>
      </c>
      <c r="N215" s="7">
        <f ca="1">IFERROR(__xludf.DUMMYFUNCTION("""COMPUTED_VALUE"""),0)</f>
        <v>0</v>
      </c>
      <c r="O215" s="7">
        <f ca="1">IFERROR(__xludf.DUMMYFUNCTION("""COMPUTED_VALUE"""),2803.6)</f>
        <v>2803.6</v>
      </c>
      <c r="P215" s="7">
        <f ca="1">IFERROR(__xludf.DUMMYFUNCTION("""COMPUTED_VALUE"""),0)</f>
        <v>0</v>
      </c>
      <c r="Q215" s="7">
        <f ca="1">IFERROR(__xludf.DUMMYFUNCTION("""COMPUTED_VALUE"""),0)</f>
        <v>0</v>
      </c>
      <c r="R215" s="7">
        <f ca="1">IFERROR(__xludf.DUMMYFUNCTION("""COMPUTED_VALUE"""),0)</f>
        <v>0</v>
      </c>
      <c r="S215" s="7">
        <f ca="1">IFERROR(__xludf.DUMMYFUNCTION("""COMPUTED_VALUE"""),0)</f>
        <v>0</v>
      </c>
      <c r="T215" s="7">
        <f ca="1">IFERROR(__xludf.DUMMYFUNCTION("""COMPUTED_VALUE"""),0)</f>
        <v>0</v>
      </c>
      <c r="U215" s="61"/>
      <c r="V215" s="61"/>
      <c r="W215" s="61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0" t="str">
        <f ca="1">IFERROR(__xludf.DUMMYFUNCTION("""COMPUTED_VALUE"""),"ASSOC. A. CENTRO DE ENS. MÉDIO ARY R. VALADÃO FILHO")</f>
        <v>ASSOC. A. CENTRO DE ENS. MÉDIO ARY R. VALADÃO FILHO</v>
      </c>
      <c r="D216" s="136" t="str">
        <f ca="1">IFERROR(__xludf.DUMMYFUNCTION("""COMPUTED_VALUE"""),"02152392000130")</f>
        <v>02152392000130</v>
      </c>
      <c r="E216" s="6" t="str">
        <f ca="1">IFERROR(__xludf.DUMMYFUNCTION("""COMPUTED_VALUE"""),"001")</f>
        <v>001</v>
      </c>
      <c r="F216" s="7" t="str">
        <f ca="1">IFERROR(__xludf.DUMMYFUNCTION("""COMPUTED_VALUE"""),"0794")</f>
        <v>0794</v>
      </c>
      <c r="G216" s="7" t="str">
        <f ca="1">IFERROR(__xludf.DUMMYFUNCTION("""COMPUTED_VALUE"""),"420646")</f>
        <v>420646</v>
      </c>
      <c r="H216" s="7">
        <f ca="1">IFERROR(__xludf.DUMMYFUNCTION("""COMPUTED_VALUE"""),0)</f>
        <v>0</v>
      </c>
      <c r="I216" s="7">
        <f ca="1">IFERROR(__xludf.DUMMYFUNCTION("""COMPUTED_VALUE"""),0)</f>
        <v>0</v>
      </c>
      <c r="J216" s="7">
        <f ca="1">IFERROR(__xludf.DUMMYFUNCTION("""COMPUTED_VALUE"""),0)</f>
        <v>0</v>
      </c>
      <c r="K216" s="7">
        <f ca="1">IFERROR(__xludf.DUMMYFUNCTION("""COMPUTED_VALUE"""),0)</f>
        <v>0</v>
      </c>
      <c r="L216" s="7">
        <f ca="1">IFERROR(__xludf.DUMMYFUNCTION("""COMPUTED_VALUE"""),0)</f>
        <v>0</v>
      </c>
      <c r="M216" s="7">
        <f ca="1">IFERROR(__xludf.DUMMYFUNCTION("""COMPUTED_VALUE"""),0)</f>
        <v>0</v>
      </c>
      <c r="N216" s="7">
        <f ca="1">IFERROR(__xludf.DUMMYFUNCTION("""COMPUTED_VALUE"""),0)</f>
        <v>0</v>
      </c>
      <c r="O216" s="7">
        <f ca="1">IFERROR(__xludf.DUMMYFUNCTION("""COMPUTED_VALUE"""),0)</f>
        <v>0</v>
      </c>
      <c r="P216" s="7">
        <f ca="1">IFERROR(__xludf.DUMMYFUNCTION("""COMPUTED_VALUE"""),394.4)</f>
        <v>394.4</v>
      </c>
      <c r="Q216" s="7">
        <f ca="1">IFERROR(__xludf.DUMMYFUNCTION("""COMPUTED_VALUE"""),7860)</f>
        <v>7860</v>
      </c>
      <c r="R216" s="7">
        <f ca="1">IFERROR(__xludf.DUMMYFUNCTION("""COMPUTED_VALUE"""),0)</f>
        <v>0</v>
      </c>
      <c r="S216" s="7">
        <f ca="1">IFERROR(__xludf.DUMMYFUNCTION("""COMPUTED_VALUE"""),0)</f>
        <v>0</v>
      </c>
      <c r="T216" s="7">
        <f ca="1">IFERROR(__xludf.DUMMYFUNCTION("""COMPUTED_VALUE"""),0)</f>
        <v>0</v>
      </c>
      <c r="U216" s="61"/>
      <c r="V216" s="61"/>
      <c r="W216" s="61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0" t="str">
        <f ca="1">IFERROR(__xludf.DUMMYFUNCTION("""COMPUTED_VALUE"""),"ASSOC. DE APOIO ESC. EST. BOM JESUS")</f>
        <v>ASSOC. DE APOIO ESC. EST. BOM JESUS</v>
      </c>
      <c r="D217" s="136" t="str">
        <f ca="1">IFERROR(__xludf.DUMMYFUNCTION("""COMPUTED_VALUE"""),"01865430000139")</f>
        <v>01865430000139</v>
      </c>
      <c r="E217" s="6" t="str">
        <f ca="1">IFERROR(__xludf.DUMMYFUNCTION("""COMPUTED_VALUE"""),"001")</f>
        <v>001</v>
      </c>
      <c r="F217" s="7" t="str">
        <f ca="1">IFERROR(__xludf.DUMMYFUNCTION("""COMPUTED_VALUE"""),"0794")</f>
        <v>0794</v>
      </c>
      <c r="G217" s="7" t="str">
        <f ca="1">IFERROR(__xludf.DUMMYFUNCTION("""COMPUTED_VALUE"""),"420603")</f>
        <v>420603</v>
      </c>
      <c r="H217" s="7">
        <f ca="1">IFERROR(__xludf.DUMMYFUNCTION("""COMPUTED_VALUE"""),0)</f>
        <v>0</v>
      </c>
      <c r="I217" s="7">
        <f ca="1">IFERROR(__xludf.DUMMYFUNCTION("""COMPUTED_VALUE"""),0)</f>
        <v>0</v>
      </c>
      <c r="J217" s="7">
        <f ca="1">IFERROR(__xludf.DUMMYFUNCTION("""COMPUTED_VALUE"""),0)</f>
        <v>0</v>
      </c>
      <c r="K217" s="7">
        <f ca="1">IFERROR(__xludf.DUMMYFUNCTION("""COMPUTED_VALUE"""),0)</f>
        <v>0</v>
      </c>
      <c r="L217" s="7">
        <f ca="1">IFERROR(__xludf.DUMMYFUNCTION("""COMPUTED_VALUE"""),0)</f>
        <v>0</v>
      </c>
      <c r="M217" s="7">
        <f ca="1">IFERROR(__xludf.DUMMYFUNCTION("""COMPUTED_VALUE"""),0)</f>
        <v>0</v>
      </c>
      <c r="N217" s="7">
        <f ca="1">IFERROR(__xludf.DUMMYFUNCTION("""COMPUTED_VALUE"""),0)</f>
        <v>0</v>
      </c>
      <c r="O217" s="7">
        <f ca="1">IFERROR(__xludf.DUMMYFUNCTION("""COMPUTED_VALUE"""),0)</f>
        <v>0</v>
      </c>
      <c r="P217" s="7">
        <f ca="1">IFERROR(__xludf.DUMMYFUNCTION("""COMPUTED_VALUE"""),231.2)</f>
        <v>231.2</v>
      </c>
      <c r="Q217" s="7">
        <f ca="1">IFERROR(__xludf.DUMMYFUNCTION("""COMPUTED_VALUE"""),0)</f>
        <v>0</v>
      </c>
      <c r="R217" s="7">
        <f ca="1">IFERROR(__xludf.DUMMYFUNCTION("""COMPUTED_VALUE"""),0)</f>
        <v>0</v>
      </c>
      <c r="S217" s="7">
        <f ca="1">IFERROR(__xludf.DUMMYFUNCTION("""COMPUTED_VALUE"""),14950.4)</f>
        <v>14950.4</v>
      </c>
      <c r="T217" s="7">
        <f ca="1">IFERROR(__xludf.DUMMYFUNCTION("""COMPUTED_VALUE"""),0)</f>
        <v>0</v>
      </c>
      <c r="U217" s="61"/>
      <c r="V217" s="61"/>
      <c r="W217" s="61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0" t="str">
        <f ca="1">IFERROR(__xludf.DUMMYFUNCTION("""COMPUTED_VALUE"""),"ASSOC. DE APOIO COL. EST. DE GURUPI")</f>
        <v>ASSOC. DE APOIO COL. EST. DE GURUPI</v>
      </c>
      <c r="D218" s="136" t="str">
        <f ca="1">IFERROR(__xludf.DUMMYFUNCTION("""COMPUTED_VALUE"""),"01887135000183")</f>
        <v>01887135000183</v>
      </c>
      <c r="E218" s="6" t="str">
        <f ca="1">IFERROR(__xludf.DUMMYFUNCTION("""COMPUTED_VALUE"""),"001")</f>
        <v>001</v>
      </c>
      <c r="F218" s="7" t="str">
        <f ca="1">IFERROR(__xludf.DUMMYFUNCTION("""COMPUTED_VALUE"""),"0794")</f>
        <v>0794</v>
      </c>
      <c r="G218" s="7" t="str">
        <f ca="1">IFERROR(__xludf.DUMMYFUNCTION("""COMPUTED_VALUE"""),"420700")</f>
        <v>420700</v>
      </c>
      <c r="H218" s="7">
        <f ca="1">IFERROR(__xludf.DUMMYFUNCTION("""COMPUTED_VALUE"""),0)</f>
        <v>0</v>
      </c>
      <c r="I218" s="7">
        <f ca="1">IFERROR(__xludf.DUMMYFUNCTION("""COMPUTED_VALUE"""),0)</f>
        <v>0</v>
      </c>
      <c r="J218" s="7">
        <f ca="1">IFERROR(__xludf.DUMMYFUNCTION("""COMPUTED_VALUE"""),0)</f>
        <v>0</v>
      </c>
      <c r="K218" s="7">
        <f ca="1">IFERROR(__xludf.DUMMYFUNCTION("""COMPUTED_VALUE"""),0)</f>
        <v>0</v>
      </c>
      <c r="L218" s="7">
        <f ca="1">IFERROR(__xludf.DUMMYFUNCTION("""COMPUTED_VALUE"""),0)</f>
        <v>0</v>
      </c>
      <c r="M218" s="7">
        <f ca="1">IFERROR(__xludf.DUMMYFUNCTION("""COMPUTED_VALUE"""),0)</f>
        <v>0</v>
      </c>
      <c r="N218" s="7">
        <f ca="1">IFERROR(__xludf.DUMMYFUNCTION("""COMPUTED_VALUE"""),0)</f>
        <v>0</v>
      </c>
      <c r="O218" s="7">
        <f ca="1">IFERROR(__xludf.DUMMYFUNCTION("""COMPUTED_VALUE"""),0)</f>
        <v>0</v>
      </c>
      <c r="P218" s="7">
        <f ca="1">IFERROR(__xludf.DUMMYFUNCTION("""COMPUTED_VALUE"""),108.8)</f>
        <v>108.8</v>
      </c>
      <c r="Q218" s="7">
        <f ca="1">IFERROR(__xludf.DUMMYFUNCTION("""COMPUTED_VALUE"""),0)</f>
        <v>0</v>
      </c>
      <c r="R218" s="7">
        <f ca="1">IFERROR(__xludf.DUMMYFUNCTION("""COMPUTED_VALUE"""),0)</f>
        <v>0</v>
      </c>
      <c r="S218" s="7">
        <f ca="1">IFERROR(__xludf.DUMMYFUNCTION("""COMPUTED_VALUE"""),4710.4)</f>
        <v>4710.3999999999996</v>
      </c>
      <c r="T218" s="7">
        <f ca="1">IFERROR(__xludf.DUMMYFUNCTION("""COMPUTED_VALUE"""),0)</f>
        <v>0</v>
      </c>
      <c r="U218" s="61"/>
      <c r="V218" s="61"/>
      <c r="W218" s="61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0" t="str">
        <f ca="1">IFERROR(__xludf.DUMMYFUNCTION("""COMPUTED_VALUE"""),"A.A.  DO COL. PAROQUIAL BERNARDO SAYAO")</f>
        <v>A.A.  DO COL. PAROQUIAL BERNARDO SAYAO</v>
      </c>
      <c r="D219" s="136" t="str">
        <f ca="1">IFERROR(__xludf.DUMMYFUNCTION("""COMPUTED_VALUE"""),"01865371000107")</f>
        <v>01865371000107</v>
      </c>
      <c r="E219" s="6" t="str">
        <f ca="1">IFERROR(__xludf.DUMMYFUNCTION("""COMPUTED_VALUE"""),"001")</f>
        <v>001</v>
      </c>
      <c r="F219" s="7" t="str">
        <f ca="1">IFERROR(__xludf.DUMMYFUNCTION("""COMPUTED_VALUE"""),"0794")</f>
        <v>0794</v>
      </c>
      <c r="G219" s="7" t="str">
        <f ca="1">IFERROR(__xludf.DUMMYFUNCTION("""COMPUTED_VALUE"""),"66796")</f>
        <v>66796</v>
      </c>
      <c r="H219" s="7">
        <f ca="1">IFERROR(__xludf.DUMMYFUNCTION("""COMPUTED_VALUE"""),0)</f>
        <v>0</v>
      </c>
      <c r="I219" s="7">
        <f ca="1">IFERROR(__xludf.DUMMYFUNCTION("""COMPUTED_VALUE"""),0)</f>
        <v>0</v>
      </c>
      <c r="J219" s="7">
        <f ca="1">IFERROR(__xludf.DUMMYFUNCTION("""COMPUTED_VALUE"""),5310)</f>
        <v>5310</v>
      </c>
      <c r="K219" s="7">
        <f ca="1">IFERROR(__xludf.DUMMYFUNCTION("""COMPUTED_VALUE"""),0)</f>
        <v>0</v>
      </c>
      <c r="L219" s="7">
        <f ca="1">IFERROR(__xludf.DUMMYFUNCTION("""COMPUTED_VALUE"""),0)</f>
        <v>0</v>
      </c>
      <c r="M219" s="7">
        <f ca="1">IFERROR(__xludf.DUMMYFUNCTION("""COMPUTED_VALUE"""),0)</f>
        <v>0</v>
      </c>
      <c r="N219" s="7">
        <f ca="1">IFERROR(__xludf.DUMMYFUNCTION("""COMPUTED_VALUE"""),0)</f>
        <v>0</v>
      </c>
      <c r="O219" s="7">
        <f ca="1">IFERROR(__xludf.DUMMYFUNCTION("""COMPUTED_VALUE"""),0)</f>
        <v>0</v>
      </c>
      <c r="P219" s="7">
        <f ca="1">IFERROR(__xludf.DUMMYFUNCTION("""COMPUTED_VALUE"""),435.2)</f>
        <v>435.2</v>
      </c>
      <c r="Q219" s="7">
        <f ca="1">IFERROR(__xludf.DUMMYFUNCTION("""COMPUTED_VALUE"""),0)</f>
        <v>0</v>
      </c>
      <c r="R219" s="7">
        <f ca="1">IFERROR(__xludf.DUMMYFUNCTION("""COMPUTED_VALUE"""),0)</f>
        <v>0</v>
      </c>
      <c r="S219" s="7">
        <f ca="1">IFERROR(__xludf.DUMMYFUNCTION("""COMPUTED_VALUE"""),0)</f>
        <v>0</v>
      </c>
      <c r="T219" s="7">
        <f ca="1">IFERROR(__xludf.DUMMYFUNCTION("""COMPUTED_VALUE"""),0)</f>
        <v>0</v>
      </c>
      <c r="U219" s="61"/>
      <c r="V219" s="61"/>
      <c r="W219" s="61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0" t="str">
        <f ca="1">IFERROR(__xludf.DUMMYFUNCTION("""COMPUTED_VALUE"""),"A.A.  ESCOLAR DO COL. EST. JOSE SEABRA")</f>
        <v>A.A.  ESCOLAR DO COL. EST. JOSE SEABRA</v>
      </c>
      <c r="D220" s="136" t="str">
        <f ca="1">IFERROR(__xludf.DUMMYFUNCTION("""COMPUTED_VALUE"""),"01910570000181")</f>
        <v>01910570000181</v>
      </c>
      <c r="E220" s="6" t="str">
        <f ca="1">IFERROR(__xludf.DUMMYFUNCTION("""COMPUTED_VALUE"""),"001")</f>
        <v>001</v>
      </c>
      <c r="F220" s="7" t="str">
        <f ca="1">IFERROR(__xludf.DUMMYFUNCTION("""COMPUTED_VALUE"""),"0794")</f>
        <v>0794</v>
      </c>
      <c r="G220" s="7" t="str">
        <f ca="1">IFERROR(__xludf.DUMMYFUNCTION("""COMPUTED_VALUE"""),"66982")</f>
        <v>66982</v>
      </c>
      <c r="H220" s="7">
        <f ca="1">IFERROR(__xludf.DUMMYFUNCTION("""COMPUTED_VALUE"""),0)</f>
        <v>0</v>
      </c>
      <c r="I220" s="7">
        <f ca="1">IFERROR(__xludf.DUMMYFUNCTION("""COMPUTED_VALUE"""),0)</f>
        <v>0</v>
      </c>
      <c r="J220" s="7">
        <f ca="1">IFERROR(__xludf.DUMMYFUNCTION("""COMPUTED_VALUE"""),0)</f>
        <v>0</v>
      </c>
      <c r="K220" s="7">
        <f ca="1">IFERROR(__xludf.DUMMYFUNCTION("""COMPUTED_VALUE"""),17426.3999999999)</f>
        <v>17426.3999999999</v>
      </c>
      <c r="L220" s="7">
        <f ca="1">IFERROR(__xludf.DUMMYFUNCTION("""COMPUTED_VALUE"""),0)</f>
        <v>0</v>
      </c>
      <c r="M220" s="7">
        <f ca="1">IFERROR(__xludf.DUMMYFUNCTION("""COMPUTED_VALUE"""),0)</f>
        <v>0</v>
      </c>
      <c r="N220" s="7">
        <f ca="1">IFERROR(__xludf.DUMMYFUNCTION("""COMPUTED_VALUE"""),0)</f>
        <v>0</v>
      </c>
      <c r="O220" s="7">
        <f ca="1">IFERROR(__xludf.DUMMYFUNCTION("""COMPUTED_VALUE"""),0)</f>
        <v>0</v>
      </c>
      <c r="P220" s="7">
        <f ca="1">IFERROR(__xludf.DUMMYFUNCTION("""COMPUTED_VALUE"""),0)</f>
        <v>0</v>
      </c>
      <c r="Q220" s="7">
        <f ca="1">IFERROR(__xludf.DUMMYFUNCTION("""COMPUTED_VALUE"""),0)</f>
        <v>0</v>
      </c>
      <c r="R220" s="7">
        <f ca="1">IFERROR(__xludf.DUMMYFUNCTION("""COMPUTED_VALUE"""),0)</f>
        <v>0</v>
      </c>
      <c r="S220" s="7">
        <f ca="1">IFERROR(__xludf.DUMMYFUNCTION("""COMPUTED_VALUE"""),0)</f>
        <v>0</v>
      </c>
      <c r="T220" s="7">
        <f ca="1">IFERROR(__xludf.DUMMYFUNCTION("""COMPUTED_VALUE"""),0)</f>
        <v>0</v>
      </c>
      <c r="U220" s="61"/>
      <c r="V220" s="61"/>
      <c r="W220" s="61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0" t="str">
        <f ca="1">IFERROR(__xludf.DUMMYFUNCTION("""COMPUTED_VALUE"""),"A.P.M.AL.MAIORES DE ID.C.POSITIVO GURUPI")</f>
        <v>A.P.M.AL.MAIORES DE ID.C.POSITIVO GURUPI</v>
      </c>
      <c r="D221" s="136" t="str">
        <f ca="1">IFERROR(__xludf.DUMMYFUNCTION("""COMPUTED_VALUE"""),"01865432000128")</f>
        <v>01865432000128</v>
      </c>
      <c r="E221" s="6" t="str">
        <f ca="1">IFERROR(__xludf.DUMMYFUNCTION("""COMPUTED_VALUE"""),"104")</f>
        <v>104</v>
      </c>
      <c r="F221" s="7" t="str">
        <f ca="1">IFERROR(__xludf.DUMMYFUNCTION("""COMPUTED_VALUE"""),"0793")</f>
        <v>0793</v>
      </c>
      <c r="G221" s="7" t="str">
        <f ca="1">IFERROR(__xludf.DUMMYFUNCTION("""COMPUTED_VALUE"""),"12138")</f>
        <v>12138</v>
      </c>
      <c r="H221" s="7">
        <f ca="1">IFERROR(__xludf.DUMMYFUNCTION("""COMPUTED_VALUE"""),0)</f>
        <v>0</v>
      </c>
      <c r="I221" s="7">
        <f ca="1">IFERROR(__xludf.DUMMYFUNCTION("""COMPUTED_VALUE"""),0)</f>
        <v>0</v>
      </c>
      <c r="J221" s="7">
        <f ca="1">IFERROR(__xludf.DUMMYFUNCTION("""COMPUTED_VALUE"""),4510)</f>
        <v>4510</v>
      </c>
      <c r="K221" s="7">
        <f ca="1">IFERROR(__xludf.DUMMYFUNCTION("""COMPUTED_VALUE"""),0)</f>
        <v>0</v>
      </c>
      <c r="L221" s="7">
        <f ca="1">IFERROR(__xludf.DUMMYFUNCTION("""COMPUTED_VALUE"""),0)</f>
        <v>0</v>
      </c>
      <c r="M221" s="7">
        <f ca="1">IFERROR(__xludf.DUMMYFUNCTION("""COMPUTED_VALUE"""),0)</f>
        <v>0</v>
      </c>
      <c r="N221" s="7">
        <f ca="1">IFERROR(__xludf.DUMMYFUNCTION("""COMPUTED_VALUE"""),0)</f>
        <v>0</v>
      </c>
      <c r="O221" s="7">
        <f ca="1">IFERROR(__xludf.DUMMYFUNCTION("""COMPUTED_VALUE"""),0)</f>
        <v>0</v>
      </c>
      <c r="P221" s="7">
        <f ca="1">IFERROR(__xludf.DUMMYFUNCTION("""COMPUTED_VALUE"""),0)</f>
        <v>0</v>
      </c>
      <c r="Q221" s="7">
        <f ca="1">IFERROR(__xludf.DUMMYFUNCTION("""COMPUTED_VALUE"""),0)</f>
        <v>0</v>
      </c>
      <c r="R221" s="7">
        <f ca="1">IFERROR(__xludf.DUMMYFUNCTION("""COMPUTED_VALUE"""),0)</f>
        <v>0</v>
      </c>
      <c r="S221" s="7">
        <f ca="1">IFERROR(__xludf.DUMMYFUNCTION("""COMPUTED_VALUE"""),0)</f>
        <v>0</v>
      </c>
      <c r="T221" s="7">
        <f ca="1">IFERROR(__xludf.DUMMYFUNCTION("""COMPUTED_VALUE"""),0)</f>
        <v>0</v>
      </c>
      <c r="U221" s="61"/>
      <c r="V221" s="61"/>
      <c r="W221" s="61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0" t="str">
        <f ca="1">IFERROR(__xludf.DUMMYFUNCTION("""COMPUTED_VALUE"""),"INSTITUTO SOCIAL EVANG DE GURUPI/EDUC. EVANG. EBENÉZER")</f>
        <v>INSTITUTO SOCIAL EVANG DE GURUPI/EDUC. EVANG. EBENÉZER</v>
      </c>
      <c r="D222" s="136" t="str">
        <f ca="1">IFERROR(__xludf.DUMMYFUNCTION("""COMPUTED_VALUE"""),"17194297000176")</f>
        <v>17194297000176</v>
      </c>
      <c r="E222" s="6" t="str">
        <f ca="1">IFERROR(__xludf.DUMMYFUNCTION("""COMPUTED_VALUE"""),"001")</f>
        <v>001</v>
      </c>
      <c r="F222" s="7" t="str">
        <f ca="1">IFERROR(__xludf.DUMMYFUNCTION("""COMPUTED_VALUE"""),"0794")</f>
        <v>0794</v>
      </c>
      <c r="G222" s="7" t="str">
        <f ca="1">IFERROR(__xludf.DUMMYFUNCTION("""COMPUTED_VALUE"""),"493066")</f>
        <v>493066</v>
      </c>
      <c r="H222" s="7">
        <f ca="1">IFERROR(__xludf.DUMMYFUNCTION("""COMPUTED_VALUE"""),0)</f>
        <v>0</v>
      </c>
      <c r="I222" s="7">
        <f ca="1">IFERROR(__xludf.DUMMYFUNCTION("""COMPUTED_VALUE"""),0)</f>
        <v>0</v>
      </c>
      <c r="J222" s="7">
        <f ca="1">IFERROR(__xludf.DUMMYFUNCTION("""COMPUTED_VALUE"""),7500)</f>
        <v>7500</v>
      </c>
      <c r="K222" s="7">
        <f ca="1">IFERROR(__xludf.DUMMYFUNCTION("""COMPUTED_VALUE"""),0)</f>
        <v>0</v>
      </c>
      <c r="L222" s="7">
        <f ca="1">IFERROR(__xludf.DUMMYFUNCTION("""COMPUTED_VALUE"""),0)</f>
        <v>0</v>
      </c>
      <c r="M222" s="7">
        <f ca="1">IFERROR(__xludf.DUMMYFUNCTION("""COMPUTED_VALUE"""),0)</f>
        <v>0</v>
      </c>
      <c r="N222" s="7">
        <f ca="1">IFERROR(__xludf.DUMMYFUNCTION("""COMPUTED_VALUE"""),0)</f>
        <v>0</v>
      </c>
      <c r="O222" s="7">
        <f ca="1">IFERROR(__xludf.DUMMYFUNCTION("""COMPUTED_VALUE"""),0)</f>
        <v>0</v>
      </c>
      <c r="P222" s="7">
        <f ca="1">IFERROR(__xludf.DUMMYFUNCTION("""COMPUTED_VALUE"""),0)</f>
        <v>0</v>
      </c>
      <c r="Q222" s="7">
        <f ca="1">IFERROR(__xludf.DUMMYFUNCTION("""COMPUTED_VALUE"""),0)</f>
        <v>0</v>
      </c>
      <c r="R222" s="7">
        <f ca="1">IFERROR(__xludf.DUMMYFUNCTION("""COMPUTED_VALUE"""),0)</f>
        <v>0</v>
      </c>
      <c r="S222" s="7">
        <f ca="1">IFERROR(__xludf.DUMMYFUNCTION("""COMPUTED_VALUE"""),0)</f>
        <v>0</v>
      </c>
      <c r="T222" s="7">
        <f ca="1">IFERROR(__xludf.DUMMYFUNCTION("""COMPUTED_VALUE"""),0)</f>
        <v>0</v>
      </c>
      <c r="U222" s="61"/>
      <c r="V222" s="61"/>
      <c r="W222" s="61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0" t="str">
        <f ca="1">IFERROR(__xludf.DUMMYFUNCTION("""COMPUTED_VALUE"""),"ASSOCIAÇÃO DE APOIO A ESCOLA ESPECIAL SÃO FRANCISCO DE ASSIS")</f>
        <v>ASSOCIAÇÃO DE APOIO A ESCOLA ESPECIAL SÃO FRANCISCO DE ASSIS</v>
      </c>
      <c r="D223" s="136" t="str">
        <f ca="1">IFERROR(__xludf.DUMMYFUNCTION("""COMPUTED_VALUE"""),"07947356000186")</f>
        <v>07947356000186</v>
      </c>
      <c r="E223" s="6" t="str">
        <f ca="1">IFERROR(__xludf.DUMMYFUNCTION("""COMPUTED_VALUE"""),"001")</f>
        <v>001</v>
      </c>
      <c r="F223" s="7" t="str">
        <f ca="1">IFERROR(__xludf.DUMMYFUNCTION("""COMPUTED_VALUE"""),"0794")</f>
        <v>0794</v>
      </c>
      <c r="G223" s="7" t="str">
        <f ca="1">IFERROR(__xludf.DUMMYFUNCTION("""COMPUTED_VALUE"""),"431109")</f>
        <v>431109</v>
      </c>
      <c r="H223" s="7">
        <f ca="1">IFERROR(__xludf.DUMMYFUNCTION("""COMPUTED_VALUE"""),0)</f>
        <v>0</v>
      </c>
      <c r="I223" s="7">
        <f ca="1">IFERROR(__xludf.DUMMYFUNCTION("""COMPUTED_VALUE"""),331.2)</f>
        <v>331.2</v>
      </c>
      <c r="J223" s="7">
        <f ca="1">IFERROR(__xludf.DUMMYFUNCTION("""COMPUTED_VALUE"""),220)</f>
        <v>220</v>
      </c>
      <c r="K223" s="7">
        <f ca="1">IFERROR(__xludf.DUMMYFUNCTION("""COMPUTED_VALUE"""),0)</f>
        <v>0</v>
      </c>
      <c r="L223" s="7">
        <f ca="1">IFERROR(__xludf.DUMMYFUNCTION("""COMPUTED_VALUE"""),0)</f>
        <v>0</v>
      </c>
      <c r="M223" s="7">
        <f ca="1">IFERROR(__xludf.DUMMYFUNCTION("""COMPUTED_VALUE"""),0)</f>
        <v>0</v>
      </c>
      <c r="N223" s="7">
        <f ca="1">IFERROR(__xludf.DUMMYFUNCTION("""COMPUTED_VALUE"""),0)</f>
        <v>0</v>
      </c>
      <c r="O223" s="7">
        <f ca="1">IFERROR(__xludf.DUMMYFUNCTION("""COMPUTED_VALUE"""),0)</f>
        <v>0</v>
      </c>
      <c r="P223" s="7">
        <f ca="1">IFERROR(__xludf.DUMMYFUNCTION("""COMPUTED_VALUE"""),258.4)</f>
        <v>258.39999999999998</v>
      </c>
      <c r="Q223" s="7">
        <f ca="1">IFERROR(__xludf.DUMMYFUNCTION("""COMPUTED_VALUE"""),0)</f>
        <v>0</v>
      </c>
      <c r="R223" s="7">
        <f ca="1">IFERROR(__xludf.DUMMYFUNCTION("""COMPUTED_VALUE"""),0)</f>
        <v>0</v>
      </c>
      <c r="S223" s="7">
        <f ca="1">IFERROR(__xludf.DUMMYFUNCTION("""COMPUTED_VALUE"""),0)</f>
        <v>0</v>
      </c>
      <c r="T223" s="7">
        <f ca="1">IFERROR(__xludf.DUMMYFUNCTION("""COMPUTED_VALUE"""),926.599999999999)</f>
        <v>926.599999999999</v>
      </c>
      <c r="U223" s="61"/>
      <c r="V223" s="61"/>
      <c r="W223" s="61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0" t="str">
        <f ca="1">IFERROR(__xludf.DUMMYFUNCTION("""COMPUTED_VALUE"""),"A.A. ESC. EST. DR. JOAQUIM P. DA COSTA")</f>
        <v>A.A. ESC. EST. DR. JOAQUIM P. DA COSTA</v>
      </c>
      <c r="D224" s="136" t="str">
        <f ca="1">IFERROR(__xludf.DUMMYFUNCTION("""COMPUTED_VALUE"""),"01865386000167")</f>
        <v>01865386000167</v>
      </c>
      <c r="E224" s="6" t="str">
        <f ca="1">IFERROR(__xludf.DUMMYFUNCTION("""COMPUTED_VALUE"""),"001")</f>
        <v>001</v>
      </c>
      <c r="F224" s="7" t="str">
        <f ca="1">IFERROR(__xludf.DUMMYFUNCTION("""COMPUTED_VALUE"""),"0794")</f>
        <v>0794</v>
      </c>
      <c r="G224" s="7" t="str">
        <f ca="1">IFERROR(__xludf.DUMMYFUNCTION("""COMPUTED_VALUE"""),"67288")</f>
        <v>67288</v>
      </c>
      <c r="H224" s="7">
        <f ca="1">IFERROR(__xludf.DUMMYFUNCTION("""COMPUTED_VALUE"""),0)</f>
        <v>0</v>
      </c>
      <c r="I224" s="7">
        <f ca="1">IFERROR(__xludf.DUMMYFUNCTION("""COMPUTED_VALUE"""),0)</f>
        <v>0</v>
      </c>
      <c r="J224" s="7">
        <f ca="1">IFERROR(__xludf.DUMMYFUNCTION("""COMPUTED_VALUE"""),2250)</f>
        <v>2250</v>
      </c>
      <c r="K224" s="7">
        <f ca="1">IFERROR(__xludf.DUMMYFUNCTION("""COMPUTED_VALUE"""),0)</f>
        <v>0</v>
      </c>
      <c r="L224" s="7">
        <f ca="1">IFERROR(__xludf.DUMMYFUNCTION("""COMPUTED_VALUE"""),0)</f>
        <v>0</v>
      </c>
      <c r="M224" s="7">
        <f ca="1">IFERROR(__xludf.DUMMYFUNCTION("""COMPUTED_VALUE"""),0)</f>
        <v>0</v>
      </c>
      <c r="N224" s="7">
        <f ca="1">IFERROR(__xludf.DUMMYFUNCTION("""COMPUTED_VALUE"""),0)</f>
        <v>0</v>
      </c>
      <c r="O224" s="7">
        <f ca="1">IFERROR(__xludf.DUMMYFUNCTION("""COMPUTED_VALUE"""),0)</f>
        <v>0</v>
      </c>
      <c r="P224" s="7">
        <f ca="1">IFERROR(__xludf.DUMMYFUNCTION("""COMPUTED_VALUE"""),462.4)</f>
        <v>462.4</v>
      </c>
      <c r="Q224" s="7">
        <f ca="1">IFERROR(__xludf.DUMMYFUNCTION("""COMPUTED_VALUE"""),6610)</f>
        <v>6610</v>
      </c>
      <c r="R224" s="7">
        <f ca="1">IFERROR(__xludf.DUMMYFUNCTION("""COMPUTED_VALUE"""),0)</f>
        <v>0</v>
      </c>
      <c r="S224" s="7">
        <f ca="1">IFERROR(__xludf.DUMMYFUNCTION("""COMPUTED_VALUE"""),0)</f>
        <v>0</v>
      </c>
      <c r="T224" s="7">
        <f ca="1">IFERROR(__xludf.DUMMYFUNCTION("""COMPUTED_VALUE"""),426.4)</f>
        <v>426.4</v>
      </c>
      <c r="U224" s="61"/>
      <c r="V224" s="61"/>
      <c r="W224" s="61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0" t="str">
        <f ca="1">IFERROR(__xludf.DUMMYFUNCTION("""COMPUTED_VALUE"""),"A.A. ESCOLAR DA ESC. EST. DR.WALDIR LINS")</f>
        <v>A.A. ESCOLAR DA ESC. EST. DR.WALDIR LINS</v>
      </c>
      <c r="D225" s="136" t="str">
        <f ca="1">IFERROR(__xludf.DUMMYFUNCTION("""COMPUTED_VALUE"""),"01936535000131")</f>
        <v>01936535000131</v>
      </c>
      <c r="E225" s="6" t="str">
        <f ca="1">IFERROR(__xludf.DUMMYFUNCTION("""COMPUTED_VALUE"""),"001")</f>
        <v>001</v>
      </c>
      <c r="F225" s="7" t="str">
        <f ca="1">IFERROR(__xludf.DUMMYFUNCTION("""COMPUTED_VALUE"""),"0794")</f>
        <v>0794</v>
      </c>
      <c r="G225" s="7" t="str">
        <f ca="1">IFERROR(__xludf.DUMMYFUNCTION("""COMPUTED_VALUE"""),"66966")</f>
        <v>66966</v>
      </c>
      <c r="H225" s="7">
        <f ca="1">IFERROR(__xludf.DUMMYFUNCTION("""COMPUTED_VALUE"""),0)</f>
        <v>0</v>
      </c>
      <c r="I225" s="7">
        <f ca="1">IFERROR(__xludf.DUMMYFUNCTION("""COMPUTED_VALUE"""),0)</f>
        <v>0</v>
      </c>
      <c r="J225" s="7">
        <f ca="1">IFERROR(__xludf.DUMMYFUNCTION("""COMPUTED_VALUE"""),40)</f>
        <v>40</v>
      </c>
      <c r="K225" s="7">
        <f ca="1">IFERROR(__xludf.DUMMYFUNCTION("""COMPUTED_VALUE"""),0)</f>
        <v>0</v>
      </c>
      <c r="L225" s="7">
        <f ca="1">IFERROR(__xludf.DUMMYFUNCTION("""COMPUTED_VALUE"""),0)</f>
        <v>0</v>
      </c>
      <c r="M225" s="7">
        <f ca="1">IFERROR(__xludf.DUMMYFUNCTION("""COMPUTED_VALUE"""),0)</f>
        <v>0</v>
      </c>
      <c r="N225" s="7">
        <f ca="1">IFERROR(__xludf.DUMMYFUNCTION("""COMPUTED_VALUE"""),0)</f>
        <v>0</v>
      </c>
      <c r="O225" s="7">
        <f ca="1">IFERROR(__xludf.DUMMYFUNCTION("""COMPUTED_VALUE"""),0)</f>
        <v>0</v>
      </c>
      <c r="P225" s="7">
        <f ca="1">IFERROR(__xludf.DUMMYFUNCTION("""COMPUTED_VALUE"""),163.2)</f>
        <v>163.19999999999999</v>
      </c>
      <c r="Q225" s="7">
        <f ca="1">IFERROR(__xludf.DUMMYFUNCTION("""COMPUTED_VALUE"""),1130)</f>
        <v>1130</v>
      </c>
      <c r="R225" s="7">
        <f ca="1">IFERROR(__xludf.DUMMYFUNCTION("""COMPUTED_VALUE"""),0)</f>
        <v>0</v>
      </c>
      <c r="S225" s="7">
        <f ca="1">IFERROR(__xludf.DUMMYFUNCTION("""COMPUTED_VALUE"""),0)</f>
        <v>0</v>
      </c>
      <c r="T225" s="7">
        <f ca="1">IFERROR(__xludf.DUMMYFUNCTION("""COMPUTED_VALUE"""),0)</f>
        <v>0</v>
      </c>
      <c r="U225" s="61"/>
      <c r="V225" s="61"/>
      <c r="W225" s="61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0" t="str">
        <f ca="1">IFERROR(__xludf.DUMMYFUNCTION("""COMPUTED_VALUE"""),"A. EDUCACIONAL PRES. COSTA E SILVA")</f>
        <v>A. EDUCACIONAL PRES. COSTA E SILVA</v>
      </c>
      <c r="D226" s="136" t="str">
        <f ca="1">IFERROR(__xludf.DUMMYFUNCTION("""COMPUTED_VALUE"""),"01888719000173")</f>
        <v>01888719000173</v>
      </c>
      <c r="E226" s="6" t="str">
        <f ca="1">IFERROR(__xludf.DUMMYFUNCTION("""COMPUTED_VALUE"""),"001")</f>
        <v>001</v>
      </c>
      <c r="F226" s="7" t="str">
        <f ca="1">IFERROR(__xludf.DUMMYFUNCTION("""COMPUTED_VALUE"""),"0794")</f>
        <v>0794</v>
      </c>
      <c r="G226" s="7" t="str">
        <f ca="1">IFERROR(__xludf.DUMMYFUNCTION("""COMPUTED_VALUE"""),"67490")</f>
        <v>67490</v>
      </c>
      <c r="H226" s="7">
        <f ca="1">IFERROR(__xludf.DUMMYFUNCTION("""COMPUTED_VALUE"""),0)</f>
        <v>0</v>
      </c>
      <c r="I226" s="7">
        <f ca="1">IFERROR(__xludf.DUMMYFUNCTION("""COMPUTED_VALUE"""),0)</f>
        <v>0</v>
      </c>
      <c r="J226" s="7">
        <f ca="1">IFERROR(__xludf.DUMMYFUNCTION("""COMPUTED_VALUE"""),0)</f>
        <v>0</v>
      </c>
      <c r="K226" s="7">
        <f ca="1">IFERROR(__xludf.DUMMYFUNCTION("""COMPUTED_VALUE"""),22742)</f>
        <v>22742</v>
      </c>
      <c r="L226" s="7">
        <f ca="1">IFERROR(__xludf.DUMMYFUNCTION("""COMPUTED_VALUE"""),0)</f>
        <v>0</v>
      </c>
      <c r="M226" s="7">
        <f ca="1">IFERROR(__xludf.DUMMYFUNCTION("""COMPUTED_VALUE"""),0)</f>
        <v>0</v>
      </c>
      <c r="N226" s="7">
        <f ca="1">IFERROR(__xludf.DUMMYFUNCTION("""COMPUTED_VALUE"""),0)</f>
        <v>0</v>
      </c>
      <c r="O226" s="7">
        <f ca="1">IFERROR(__xludf.DUMMYFUNCTION("""COMPUTED_VALUE"""),0)</f>
        <v>0</v>
      </c>
      <c r="P226" s="7">
        <f ca="1">IFERROR(__xludf.DUMMYFUNCTION("""COMPUTED_VALUE"""),734.4)</f>
        <v>734.4</v>
      </c>
      <c r="Q226" s="7">
        <f ca="1">IFERROR(__xludf.DUMMYFUNCTION("""COMPUTED_VALUE"""),0)</f>
        <v>0</v>
      </c>
      <c r="R226" s="7">
        <f ca="1">IFERROR(__xludf.DUMMYFUNCTION("""COMPUTED_VALUE"""),8220)</f>
        <v>8220</v>
      </c>
      <c r="S226" s="7">
        <f ca="1">IFERROR(__xludf.DUMMYFUNCTION("""COMPUTED_VALUE"""),0)</f>
        <v>0</v>
      </c>
      <c r="T226" s="7">
        <f ca="1">IFERROR(__xludf.DUMMYFUNCTION("""COMPUTED_VALUE"""),0)</f>
        <v>0</v>
      </c>
      <c r="U226" s="61"/>
      <c r="V226" s="61"/>
      <c r="W226" s="61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0" t="str">
        <f ca="1">IFERROR(__xludf.DUMMYFUNCTION("""COMPUTED_VALUE"""),"A.A. ESC. EST. HERCILIA CARVALHO DA SILVA")</f>
        <v>A.A. ESC. EST. HERCILIA CARVALHO DA SILVA</v>
      </c>
      <c r="D227" s="136" t="str">
        <f ca="1">IFERROR(__xludf.DUMMYFUNCTION("""COMPUTED_VALUE"""),"01465790000143")</f>
        <v>01465790000143</v>
      </c>
      <c r="E227" s="6" t="str">
        <f ca="1">IFERROR(__xludf.DUMMYFUNCTION("""COMPUTED_VALUE"""),"001")</f>
        <v>001</v>
      </c>
      <c r="F227" s="7" t="str">
        <f ca="1">IFERROR(__xludf.DUMMYFUNCTION("""COMPUTED_VALUE"""),"0794")</f>
        <v>0794</v>
      </c>
      <c r="G227" s="7" t="str">
        <f ca="1">IFERROR(__xludf.DUMMYFUNCTION("""COMPUTED_VALUE"""),"66834")</f>
        <v>66834</v>
      </c>
      <c r="H227" s="7">
        <f ca="1">IFERROR(__xludf.DUMMYFUNCTION("""COMPUTED_VALUE"""),0)</f>
        <v>0</v>
      </c>
      <c r="I227" s="7">
        <f ca="1">IFERROR(__xludf.DUMMYFUNCTION("""COMPUTED_VALUE"""),0)</f>
        <v>0</v>
      </c>
      <c r="J227" s="7">
        <f ca="1">IFERROR(__xludf.DUMMYFUNCTION("""COMPUTED_VALUE"""),3180)</f>
        <v>3180</v>
      </c>
      <c r="K227" s="7">
        <f ca="1">IFERROR(__xludf.DUMMYFUNCTION("""COMPUTED_VALUE"""),0)</f>
        <v>0</v>
      </c>
      <c r="L227" s="7">
        <f ca="1">IFERROR(__xludf.DUMMYFUNCTION("""COMPUTED_VALUE"""),0)</f>
        <v>0</v>
      </c>
      <c r="M227" s="7">
        <f ca="1">IFERROR(__xludf.DUMMYFUNCTION("""COMPUTED_VALUE"""),0)</f>
        <v>0</v>
      </c>
      <c r="N227" s="7">
        <f ca="1">IFERROR(__xludf.DUMMYFUNCTION("""COMPUTED_VALUE"""),0)</f>
        <v>0</v>
      </c>
      <c r="O227" s="7">
        <f ca="1">IFERROR(__xludf.DUMMYFUNCTION("""COMPUTED_VALUE"""),0)</f>
        <v>0</v>
      </c>
      <c r="P227" s="7">
        <f ca="1">IFERROR(__xludf.DUMMYFUNCTION("""COMPUTED_VALUE"""),244.799999999999)</f>
        <v>244.79999999999899</v>
      </c>
      <c r="Q227" s="7">
        <f ca="1">IFERROR(__xludf.DUMMYFUNCTION("""COMPUTED_VALUE"""),1660)</f>
        <v>1660</v>
      </c>
      <c r="R227" s="7">
        <f ca="1">IFERROR(__xludf.DUMMYFUNCTION("""COMPUTED_VALUE"""),0)</f>
        <v>0</v>
      </c>
      <c r="S227" s="7">
        <f ca="1">IFERROR(__xludf.DUMMYFUNCTION("""COMPUTED_VALUE"""),0)</f>
        <v>0</v>
      </c>
      <c r="T227" s="7">
        <f ca="1">IFERROR(__xludf.DUMMYFUNCTION("""COMPUTED_VALUE"""),0)</f>
        <v>0</v>
      </c>
      <c r="U227" s="61"/>
      <c r="V227" s="61"/>
      <c r="W227" s="61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0" t="str">
        <f ca="1">IFERROR(__xludf.DUMMYFUNCTION("""COMPUTED_VALUE"""),"A.A. DA ESCOLA ESTADUAL RUI BARBOSA")</f>
        <v>A.A. DA ESCOLA ESTADUAL RUI BARBOSA</v>
      </c>
      <c r="D228" s="136" t="str">
        <f ca="1">IFERROR(__xludf.DUMMYFUNCTION("""COMPUTED_VALUE"""),"43753475000161")</f>
        <v>43753475000161</v>
      </c>
      <c r="E228" s="6" t="str">
        <f ca="1">IFERROR(__xludf.DUMMYFUNCTION("""COMPUTED_VALUE"""),"001")</f>
        <v>001</v>
      </c>
      <c r="F228" s="7" t="str">
        <f ca="1">IFERROR(__xludf.DUMMYFUNCTION("""COMPUTED_VALUE"""),"0794")</f>
        <v>0794</v>
      </c>
      <c r="G228" s="7" t="str">
        <f ca="1">IFERROR(__xludf.DUMMYFUNCTION("""COMPUTED_VALUE"""),"682969")</f>
        <v>682969</v>
      </c>
      <c r="H228" s="7">
        <f ca="1">IFERROR(__xludf.DUMMYFUNCTION("""COMPUTED_VALUE"""),0)</f>
        <v>0</v>
      </c>
      <c r="I228" s="7">
        <f ca="1">IFERROR(__xludf.DUMMYFUNCTION("""COMPUTED_VALUE"""),0)</f>
        <v>0</v>
      </c>
      <c r="J228" s="7">
        <f ca="1">IFERROR(__xludf.DUMMYFUNCTION("""COMPUTED_VALUE"""),0)</f>
        <v>0</v>
      </c>
      <c r="K228" s="7">
        <f ca="1">IFERROR(__xludf.DUMMYFUNCTION("""COMPUTED_VALUE"""),0)</f>
        <v>0</v>
      </c>
      <c r="L228" s="7">
        <f ca="1">IFERROR(__xludf.DUMMYFUNCTION("""COMPUTED_VALUE"""),0)</f>
        <v>0</v>
      </c>
      <c r="M228" s="7">
        <f ca="1">IFERROR(__xludf.DUMMYFUNCTION("""COMPUTED_VALUE"""),0)</f>
        <v>0</v>
      </c>
      <c r="N228" s="7">
        <f ca="1">IFERROR(__xludf.DUMMYFUNCTION("""COMPUTED_VALUE"""),0)</f>
        <v>0</v>
      </c>
      <c r="O228" s="7">
        <f ca="1">IFERROR(__xludf.DUMMYFUNCTION("""COMPUTED_VALUE"""),0)</f>
        <v>0</v>
      </c>
      <c r="P228" s="7">
        <f ca="1">IFERROR(__xludf.DUMMYFUNCTION("""COMPUTED_VALUE"""),0)</f>
        <v>0</v>
      </c>
      <c r="Q228" s="7">
        <f ca="1">IFERROR(__xludf.DUMMYFUNCTION("""COMPUTED_VALUE"""),0)</f>
        <v>0</v>
      </c>
      <c r="R228" s="7">
        <f ca="1">IFERROR(__xludf.DUMMYFUNCTION("""COMPUTED_VALUE"""),0)</f>
        <v>0</v>
      </c>
      <c r="S228" s="7">
        <f ca="1">IFERROR(__xludf.DUMMYFUNCTION("""COMPUTED_VALUE"""),0)</f>
        <v>0</v>
      </c>
      <c r="T228" s="7">
        <f ca="1">IFERROR(__xludf.DUMMYFUNCTION("""COMPUTED_VALUE"""),2025.39999999999)</f>
        <v>2025.3999999999901</v>
      </c>
      <c r="U228" s="61"/>
      <c r="V228" s="61"/>
      <c r="W228" s="61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0" t="str">
        <f ca="1">IFERROR(__xludf.DUMMYFUNCTION("""COMPUTED_VALUE"""),"A. DE PAIS E MESTRES/ESC. EST. VILA GUARACY")</f>
        <v>A. DE PAIS E MESTRES/ESC. EST. VILA GUARACY</v>
      </c>
      <c r="D229" s="136" t="str">
        <f ca="1">IFERROR(__xludf.DUMMYFUNCTION("""COMPUTED_VALUE"""),"01918955000195")</f>
        <v>01918955000195</v>
      </c>
      <c r="E229" s="6" t="str">
        <f ca="1">IFERROR(__xludf.DUMMYFUNCTION("""COMPUTED_VALUE"""),"001")</f>
        <v>001</v>
      </c>
      <c r="F229" s="7" t="str">
        <f ca="1">IFERROR(__xludf.DUMMYFUNCTION("""COMPUTED_VALUE"""),"0794")</f>
        <v>0794</v>
      </c>
      <c r="G229" s="7" t="str">
        <f ca="1">IFERROR(__xludf.DUMMYFUNCTION("""COMPUTED_VALUE"""),"67008")</f>
        <v>67008</v>
      </c>
      <c r="H229" s="7">
        <f ca="1">IFERROR(__xludf.DUMMYFUNCTION("""COMPUTED_VALUE"""),0)</f>
        <v>0</v>
      </c>
      <c r="I229" s="7">
        <f ca="1">IFERROR(__xludf.DUMMYFUNCTION("""COMPUTED_VALUE"""),0)</f>
        <v>0</v>
      </c>
      <c r="J229" s="7">
        <f ca="1">IFERROR(__xludf.DUMMYFUNCTION("""COMPUTED_VALUE"""),1760)</f>
        <v>1760</v>
      </c>
      <c r="K229" s="7">
        <f ca="1">IFERROR(__xludf.DUMMYFUNCTION("""COMPUTED_VALUE"""),0)</f>
        <v>0</v>
      </c>
      <c r="L229" s="7">
        <f ca="1">IFERROR(__xludf.DUMMYFUNCTION("""COMPUTED_VALUE"""),0)</f>
        <v>0</v>
      </c>
      <c r="M229" s="7">
        <f ca="1">IFERROR(__xludf.DUMMYFUNCTION("""COMPUTED_VALUE"""),0)</f>
        <v>0</v>
      </c>
      <c r="N229" s="7">
        <f ca="1">IFERROR(__xludf.DUMMYFUNCTION("""COMPUTED_VALUE"""),0)</f>
        <v>0</v>
      </c>
      <c r="O229" s="7">
        <f ca="1">IFERROR(__xludf.DUMMYFUNCTION("""COMPUTED_VALUE"""),0)</f>
        <v>0</v>
      </c>
      <c r="P229" s="7">
        <f ca="1">IFERROR(__xludf.DUMMYFUNCTION("""COMPUTED_VALUE"""),204)</f>
        <v>204</v>
      </c>
      <c r="Q229" s="7">
        <f ca="1">IFERROR(__xludf.DUMMYFUNCTION("""COMPUTED_VALUE"""),0)</f>
        <v>0</v>
      </c>
      <c r="R229" s="7">
        <f ca="1">IFERROR(__xludf.DUMMYFUNCTION("""COMPUTED_VALUE"""),0)</f>
        <v>0</v>
      </c>
      <c r="S229" s="7">
        <f ca="1">IFERROR(__xludf.DUMMYFUNCTION("""COMPUTED_VALUE"""),0)</f>
        <v>0</v>
      </c>
      <c r="T229" s="7">
        <f ca="1">IFERROR(__xludf.DUMMYFUNCTION("""COMPUTED_VALUE"""),0)</f>
        <v>0</v>
      </c>
      <c r="U229" s="61"/>
      <c r="V229" s="61"/>
      <c r="W229" s="61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0" t="str">
        <f ca="1">IFERROR(__xludf.DUMMYFUNCTION("""COMPUTED_VALUE"""),"APM. DA INSTITUIÇÃO BENEFICENTE IRMÃ DULCE")</f>
        <v>APM. DA INSTITUIÇÃO BENEFICENTE IRMÃ DULCE</v>
      </c>
      <c r="D230" s="136" t="str">
        <f ca="1">IFERROR(__xludf.DUMMYFUNCTION("""COMPUTED_VALUE"""),"10807313000100")</f>
        <v>10807313000100</v>
      </c>
      <c r="E230" s="6" t="str">
        <f ca="1">IFERROR(__xludf.DUMMYFUNCTION("""COMPUTED_VALUE"""),"001")</f>
        <v>001</v>
      </c>
      <c r="F230" s="7" t="str">
        <f ca="1">IFERROR(__xludf.DUMMYFUNCTION("""COMPUTED_VALUE"""),"0794")</f>
        <v>0794</v>
      </c>
      <c r="G230" s="7" t="str">
        <f ca="1">IFERROR(__xludf.DUMMYFUNCTION("""COMPUTED_VALUE"""),"447218")</f>
        <v>447218</v>
      </c>
      <c r="H230" s="7">
        <f ca="1">IFERROR(__xludf.DUMMYFUNCTION("""COMPUTED_VALUE"""),0)</f>
        <v>0</v>
      </c>
      <c r="I230" s="7">
        <f ca="1">IFERROR(__xludf.DUMMYFUNCTION("""COMPUTED_VALUE"""),0)</f>
        <v>0</v>
      </c>
      <c r="J230" s="7">
        <f ca="1">IFERROR(__xludf.DUMMYFUNCTION("""COMPUTED_VALUE"""),0)</f>
        <v>0</v>
      </c>
      <c r="K230" s="7">
        <f ca="1">IFERROR(__xludf.DUMMYFUNCTION("""COMPUTED_VALUE"""),5069)</f>
        <v>5069</v>
      </c>
      <c r="L230" s="7">
        <f ca="1">IFERROR(__xludf.DUMMYFUNCTION("""COMPUTED_VALUE"""),0)</f>
        <v>0</v>
      </c>
      <c r="M230" s="7">
        <f ca="1">IFERROR(__xludf.DUMMYFUNCTION("""COMPUTED_VALUE"""),0)</f>
        <v>0</v>
      </c>
      <c r="N230" s="7">
        <f ca="1">IFERROR(__xludf.DUMMYFUNCTION("""COMPUTED_VALUE"""),0)</f>
        <v>0</v>
      </c>
      <c r="O230" s="7">
        <f ca="1">IFERROR(__xludf.DUMMYFUNCTION("""COMPUTED_VALUE"""),0)</f>
        <v>0</v>
      </c>
      <c r="P230" s="7">
        <f ca="1">IFERROR(__xludf.DUMMYFUNCTION("""COMPUTED_VALUE"""),0)</f>
        <v>0</v>
      </c>
      <c r="Q230" s="7">
        <f ca="1">IFERROR(__xludf.DUMMYFUNCTION("""COMPUTED_VALUE"""),0)</f>
        <v>0</v>
      </c>
      <c r="R230" s="7">
        <f ca="1">IFERROR(__xludf.DUMMYFUNCTION("""COMPUTED_VALUE"""),0)</f>
        <v>0</v>
      </c>
      <c r="S230" s="7">
        <f ca="1">IFERROR(__xludf.DUMMYFUNCTION("""COMPUTED_VALUE"""),0)</f>
        <v>0</v>
      </c>
      <c r="T230" s="7">
        <f ca="1">IFERROR(__xludf.DUMMYFUNCTION("""COMPUTED_VALUE"""),0)</f>
        <v>0</v>
      </c>
      <c r="U230" s="61"/>
      <c r="V230" s="61"/>
      <c r="W230" s="61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IFERROR(__xludf.DUMMYFUNCTION("""COMPUTED_VALUE"""),"Gurupi")</f>
        <v>Gurupi</v>
      </c>
      <c r="C231" s="60" t="str">
        <f ca="1">IFERROR(__xludf.DUMMYFUNCTION("""COMPUTED_VALUE"""),"ASSOC APOIO INSTITUTO EDUCACIONAL PASSO A PASSO")</f>
        <v>ASSOC APOIO INSTITUTO EDUCACIONAL PASSO A PASSO</v>
      </c>
      <c r="D231" s="136" t="str">
        <f ca="1">IFERROR(__xludf.DUMMYFUNCTION("""COMPUTED_VALUE"""),"10450172000110")</f>
        <v>10450172000110</v>
      </c>
      <c r="E231" s="6" t="str">
        <f ca="1">IFERROR(__xludf.DUMMYFUNCTION("""COMPUTED_VALUE"""),"001")</f>
        <v>001</v>
      </c>
      <c r="F231" s="7" t="str">
        <f ca="1">IFERROR(__xludf.DUMMYFUNCTION("""COMPUTED_VALUE"""),"0794")</f>
        <v>0794</v>
      </c>
      <c r="G231" s="7" t="str">
        <f ca="1">IFERROR(__xludf.DUMMYFUNCTION("""COMPUTED_VALUE"""),"414263")</f>
        <v>414263</v>
      </c>
      <c r="H231" s="7">
        <f ca="1">IFERROR(__xludf.DUMMYFUNCTION("""COMPUTED_VALUE"""),0)</f>
        <v>0</v>
      </c>
      <c r="I231" s="7">
        <f ca="1">IFERROR(__xludf.DUMMYFUNCTION("""COMPUTED_VALUE"""),0)</f>
        <v>0</v>
      </c>
      <c r="J231" s="7">
        <f ca="1">IFERROR(__xludf.DUMMYFUNCTION("""COMPUTED_VALUE"""),4200)</f>
        <v>4200</v>
      </c>
      <c r="K231" s="7">
        <f ca="1">IFERROR(__xludf.DUMMYFUNCTION("""COMPUTED_VALUE"""),0)</f>
        <v>0</v>
      </c>
      <c r="L231" s="7">
        <f ca="1">IFERROR(__xludf.DUMMYFUNCTION("""COMPUTED_VALUE"""),0)</f>
        <v>0</v>
      </c>
      <c r="M231" s="7">
        <f ca="1">IFERROR(__xludf.DUMMYFUNCTION("""COMPUTED_VALUE"""),0)</f>
        <v>0</v>
      </c>
      <c r="N231" s="7">
        <f ca="1">IFERROR(__xludf.DUMMYFUNCTION("""COMPUTED_VALUE"""),0)</f>
        <v>0</v>
      </c>
      <c r="O231" s="7">
        <f ca="1">IFERROR(__xludf.DUMMYFUNCTION("""COMPUTED_VALUE"""),0)</f>
        <v>0</v>
      </c>
      <c r="P231" s="7">
        <f ca="1">IFERROR(__xludf.DUMMYFUNCTION("""COMPUTED_VALUE"""),0)</f>
        <v>0</v>
      </c>
      <c r="Q231" s="7">
        <f ca="1">IFERROR(__xludf.DUMMYFUNCTION("""COMPUTED_VALUE"""),0)</f>
        <v>0</v>
      </c>
      <c r="R231" s="7">
        <f ca="1">IFERROR(__xludf.DUMMYFUNCTION("""COMPUTED_VALUE"""),0)</f>
        <v>0</v>
      </c>
      <c r="S231" s="7">
        <f ca="1">IFERROR(__xludf.DUMMYFUNCTION("""COMPUTED_VALUE"""),0)</f>
        <v>0</v>
      </c>
      <c r="T231" s="7">
        <f ca="1">IFERROR(__xludf.DUMMYFUNCTION("""COMPUTED_VALUE"""),0)</f>
        <v>0</v>
      </c>
      <c r="U231" s="61"/>
      <c r="V231" s="61"/>
      <c r="W231" s="61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IFERROR(__xludf.DUMMYFUNCTION("""COMPUTED_VALUE"""),"Gurupi")</f>
        <v>Gurupi</v>
      </c>
      <c r="C232" s="60" t="str">
        <f ca="1">IFERROR(__xludf.DUMMYFUNCTION("""COMPUTED_VALUE"""),"A.A. DO INSTITUTO PRESBITERIANO ARAGUAIA")</f>
        <v>A.A. DO INSTITUTO PRESBITERIANO ARAGUAIA</v>
      </c>
      <c r="D232" s="136" t="str">
        <f ca="1">IFERROR(__xludf.DUMMYFUNCTION("""COMPUTED_VALUE"""),"03060918000114")</f>
        <v>03060918000114</v>
      </c>
      <c r="E232" s="6" t="str">
        <f ca="1">IFERROR(__xludf.DUMMYFUNCTION("""COMPUTED_VALUE"""),"104")</f>
        <v>104</v>
      </c>
      <c r="F232" s="7" t="str">
        <f ca="1">IFERROR(__xludf.DUMMYFUNCTION("""COMPUTED_VALUE"""),"0793")</f>
        <v>0793</v>
      </c>
      <c r="G232" s="7" t="str">
        <f ca="1">IFERROR(__xludf.DUMMYFUNCTION("""COMPUTED_VALUE"""),"12090")</f>
        <v>12090</v>
      </c>
      <c r="H232" s="7">
        <f ca="1">IFERROR(__xludf.DUMMYFUNCTION("""COMPUTED_VALUE"""),0)</f>
        <v>0</v>
      </c>
      <c r="I232" s="7">
        <f ca="1">IFERROR(__xludf.DUMMYFUNCTION("""COMPUTED_VALUE"""),0)</f>
        <v>0</v>
      </c>
      <c r="J232" s="7">
        <f ca="1">IFERROR(__xludf.DUMMYFUNCTION("""COMPUTED_VALUE"""),6360)</f>
        <v>6360</v>
      </c>
      <c r="K232" s="7">
        <f ca="1">IFERROR(__xludf.DUMMYFUNCTION("""COMPUTED_VALUE"""),0)</f>
        <v>0</v>
      </c>
      <c r="L232" s="7">
        <f ca="1">IFERROR(__xludf.DUMMYFUNCTION("""COMPUTED_VALUE"""),0)</f>
        <v>0</v>
      </c>
      <c r="M232" s="7">
        <f ca="1">IFERROR(__xludf.DUMMYFUNCTION("""COMPUTED_VALUE"""),0)</f>
        <v>0</v>
      </c>
      <c r="N232" s="7">
        <f ca="1">IFERROR(__xludf.DUMMYFUNCTION("""COMPUTED_VALUE"""),0)</f>
        <v>0</v>
      </c>
      <c r="O232" s="7">
        <f ca="1">IFERROR(__xludf.DUMMYFUNCTION("""COMPUTED_VALUE"""),0)</f>
        <v>0</v>
      </c>
      <c r="P232" s="7">
        <f ca="1">IFERROR(__xludf.DUMMYFUNCTION("""COMPUTED_VALUE"""),367.2)</f>
        <v>367.2</v>
      </c>
      <c r="Q232" s="7">
        <f ca="1">IFERROR(__xludf.DUMMYFUNCTION("""COMPUTED_VALUE"""),4630)</f>
        <v>4630</v>
      </c>
      <c r="R232" s="7">
        <f ca="1">IFERROR(__xludf.DUMMYFUNCTION("""COMPUTED_VALUE"""),0)</f>
        <v>0</v>
      </c>
      <c r="S232" s="7">
        <f ca="1">IFERROR(__xludf.DUMMYFUNCTION("""COMPUTED_VALUE"""),0)</f>
        <v>0</v>
      </c>
      <c r="T232" s="7">
        <f ca="1">IFERROR(__xludf.DUMMYFUNCTION("""COMPUTED_VALUE"""),0)</f>
        <v>0</v>
      </c>
      <c r="U232" s="61"/>
      <c r="V232" s="61"/>
      <c r="W232" s="61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IFERROR(__xludf.DUMMYFUNCTION("""COMPUTED_VALUE"""),"Gurupi")</f>
        <v>Gurupi</v>
      </c>
      <c r="C233" s="60" t="str">
        <f ca="1">IFERROR(__xludf.DUMMYFUNCTION("""COMPUTED_VALUE"""),"A.A. DO INSTITUTO PRESBITERIANO EDUCACIONAL")</f>
        <v>A.A. DO INSTITUTO PRESBITERIANO EDUCACIONAL</v>
      </c>
      <c r="D233" s="136" t="str">
        <f ca="1">IFERROR(__xludf.DUMMYFUNCTION("""COMPUTED_VALUE"""),"07217559000117")</f>
        <v>07217559000117</v>
      </c>
      <c r="E233" s="6" t="str">
        <f ca="1">IFERROR(__xludf.DUMMYFUNCTION("""COMPUTED_VALUE"""),"104")</f>
        <v>104</v>
      </c>
      <c r="F233" s="7" t="str">
        <f ca="1">IFERROR(__xludf.DUMMYFUNCTION("""COMPUTED_VALUE"""),"0793")</f>
        <v>0793</v>
      </c>
      <c r="G233" s="7" t="str">
        <f ca="1">IFERROR(__xludf.DUMMYFUNCTION("""COMPUTED_VALUE"""),"2663")</f>
        <v>2663</v>
      </c>
      <c r="H233" s="7">
        <f ca="1">IFERROR(__xludf.DUMMYFUNCTION("""COMPUTED_VALUE"""),0)</f>
        <v>0</v>
      </c>
      <c r="I233" s="7">
        <f ca="1">IFERROR(__xludf.DUMMYFUNCTION("""COMPUTED_VALUE"""),0)</f>
        <v>0</v>
      </c>
      <c r="J233" s="7">
        <f ca="1">IFERROR(__xludf.DUMMYFUNCTION("""COMPUTED_VALUE"""),2600)</f>
        <v>2600</v>
      </c>
      <c r="K233" s="7">
        <f ca="1">IFERROR(__xludf.DUMMYFUNCTION("""COMPUTED_VALUE"""),0)</f>
        <v>0</v>
      </c>
      <c r="L233" s="7">
        <f ca="1">IFERROR(__xludf.DUMMYFUNCTION("""COMPUTED_VALUE"""),0)</f>
        <v>0</v>
      </c>
      <c r="M233" s="7">
        <f ca="1">IFERROR(__xludf.DUMMYFUNCTION("""COMPUTED_VALUE"""),0)</f>
        <v>0</v>
      </c>
      <c r="N233" s="7">
        <f ca="1">IFERROR(__xludf.DUMMYFUNCTION("""COMPUTED_VALUE"""),0)</f>
        <v>0</v>
      </c>
      <c r="O233" s="7">
        <f ca="1">IFERROR(__xludf.DUMMYFUNCTION("""COMPUTED_VALUE"""),0)</f>
        <v>0</v>
      </c>
      <c r="P233" s="7">
        <f ca="1">IFERROR(__xludf.DUMMYFUNCTION("""COMPUTED_VALUE"""),0)</f>
        <v>0</v>
      </c>
      <c r="Q233" s="7">
        <f ca="1">IFERROR(__xludf.DUMMYFUNCTION("""COMPUTED_VALUE"""),0)</f>
        <v>0</v>
      </c>
      <c r="R233" s="7">
        <f ca="1">IFERROR(__xludf.DUMMYFUNCTION("""COMPUTED_VALUE"""),0)</f>
        <v>0</v>
      </c>
      <c r="S233" s="7">
        <f ca="1">IFERROR(__xludf.DUMMYFUNCTION("""COMPUTED_VALUE"""),0)</f>
        <v>0</v>
      </c>
      <c r="T233" s="7">
        <f ca="1">IFERROR(__xludf.DUMMYFUNCTION("""COMPUTED_VALUE"""),0)</f>
        <v>0</v>
      </c>
      <c r="U233" s="61"/>
      <c r="V233" s="61"/>
      <c r="W233" s="61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IFERROR(__xludf.DUMMYFUNCTION("""COMPUTED_VALUE"""),"Jau do Tocantins")</f>
        <v>Jau do Tocantins</v>
      </c>
      <c r="C234" s="60" t="str">
        <f ca="1">IFERROR(__xludf.DUMMYFUNCTION("""COMPUTED_VALUE"""),"AAEC PEDRO LUIZ BONFIM/ADELÁIDE FRANCISCO SOARES")</f>
        <v>AAEC PEDRO LUIZ BONFIM/ADELÁIDE FRANCISCO SOARES</v>
      </c>
      <c r="D234" s="136" t="str">
        <f ca="1">IFERROR(__xludf.DUMMYFUNCTION("""COMPUTED_VALUE"""),"02080228000164")</f>
        <v>02080228000164</v>
      </c>
      <c r="E234" s="6" t="str">
        <f ca="1">IFERROR(__xludf.DUMMYFUNCTION("""COMPUTED_VALUE"""),"001")</f>
        <v>001</v>
      </c>
      <c r="F234" s="7" t="str">
        <f ca="1">IFERROR(__xludf.DUMMYFUNCTION("""COMPUTED_VALUE"""),"0794")</f>
        <v>0794</v>
      </c>
      <c r="G234" s="7" t="str">
        <f ca="1">IFERROR(__xludf.DUMMYFUNCTION("""COMPUTED_VALUE"""),"420743")</f>
        <v>420743</v>
      </c>
      <c r="H234" s="7">
        <f ca="1">IFERROR(__xludf.DUMMYFUNCTION("""COMPUTED_VALUE"""),0)</f>
        <v>0</v>
      </c>
      <c r="I234" s="7">
        <f ca="1">IFERROR(__xludf.DUMMYFUNCTION("""COMPUTED_VALUE"""),0)</f>
        <v>0</v>
      </c>
      <c r="J234" s="7">
        <f ca="1">IFERROR(__xludf.DUMMYFUNCTION("""COMPUTED_VALUE"""),0)</f>
        <v>0</v>
      </c>
      <c r="K234" s="7">
        <f ca="1">IFERROR(__xludf.DUMMYFUNCTION("""COMPUTED_VALUE"""),0)</f>
        <v>0</v>
      </c>
      <c r="L234" s="7">
        <f ca="1">IFERROR(__xludf.DUMMYFUNCTION("""COMPUTED_VALUE"""),0)</f>
        <v>0</v>
      </c>
      <c r="M234" s="7">
        <f ca="1">IFERROR(__xludf.DUMMYFUNCTION("""COMPUTED_VALUE"""),0)</f>
        <v>0</v>
      </c>
      <c r="N234" s="7">
        <f ca="1">IFERROR(__xludf.DUMMYFUNCTION("""COMPUTED_VALUE"""),0)</f>
        <v>0</v>
      </c>
      <c r="O234" s="7">
        <f ca="1">IFERROR(__xludf.DUMMYFUNCTION("""COMPUTED_VALUE"""),0)</f>
        <v>0</v>
      </c>
      <c r="P234" s="7">
        <f ca="1">IFERROR(__xludf.DUMMYFUNCTION("""COMPUTED_VALUE"""),0)</f>
        <v>0</v>
      </c>
      <c r="Q234" s="7">
        <f ca="1">IFERROR(__xludf.DUMMYFUNCTION("""COMPUTED_VALUE"""),1300)</f>
        <v>1300</v>
      </c>
      <c r="R234" s="7">
        <f ca="1">IFERROR(__xludf.DUMMYFUNCTION("""COMPUTED_VALUE"""),0)</f>
        <v>0</v>
      </c>
      <c r="S234" s="7">
        <f ca="1">IFERROR(__xludf.DUMMYFUNCTION("""COMPUTED_VALUE"""),0)</f>
        <v>0</v>
      </c>
      <c r="T234" s="7">
        <f ca="1">IFERROR(__xludf.DUMMYFUNCTION("""COMPUTED_VALUE"""),0)</f>
        <v>0</v>
      </c>
      <c r="U234" s="61"/>
      <c r="V234" s="61"/>
      <c r="W234" s="61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IFERROR(__xludf.DUMMYFUNCTION("""COMPUTED_VALUE"""),"Palmeiropolis")</f>
        <v>Palmeiropolis</v>
      </c>
      <c r="C235" s="60" t="str">
        <f ca="1">IFERROR(__xludf.DUMMYFUNCTION("""COMPUTED_VALUE"""),"A.A. ESCOLA ESTADUAL PROFESSORA ONEIDES")</f>
        <v>A.A. ESCOLA ESTADUAL PROFESSORA ONEIDES</v>
      </c>
      <c r="D235" s="136" t="str">
        <f ca="1">IFERROR(__xludf.DUMMYFUNCTION("""COMPUTED_VALUE"""),"01262903000103")</f>
        <v>01262903000103</v>
      </c>
      <c r="E235" s="6" t="str">
        <f ca="1">IFERROR(__xludf.DUMMYFUNCTION("""COMPUTED_VALUE"""),"001")</f>
        <v>001</v>
      </c>
      <c r="F235" s="7" t="str">
        <f ca="1">IFERROR(__xludf.DUMMYFUNCTION("""COMPUTED_VALUE"""),"4608")</f>
        <v>4608</v>
      </c>
      <c r="G235" s="7" t="str">
        <f ca="1">IFERROR(__xludf.DUMMYFUNCTION("""COMPUTED_VALUE"""),"79758")</f>
        <v>79758</v>
      </c>
      <c r="H235" s="7">
        <f ca="1">IFERROR(__xludf.DUMMYFUNCTION("""COMPUTED_VALUE"""),0)</f>
        <v>0</v>
      </c>
      <c r="I235" s="7">
        <f ca="1">IFERROR(__xludf.DUMMYFUNCTION("""COMPUTED_VALUE"""),0)</f>
        <v>0</v>
      </c>
      <c r="J235" s="7">
        <f ca="1">IFERROR(__xludf.DUMMYFUNCTION("""COMPUTED_VALUE"""),2320)</f>
        <v>2320</v>
      </c>
      <c r="K235" s="7">
        <f ca="1">IFERROR(__xludf.DUMMYFUNCTION("""COMPUTED_VALUE"""),0)</f>
        <v>0</v>
      </c>
      <c r="L235" s="7">
        <f ca="1">IFERROR(__xludf.DUMMYFUNCTION("""COMPUTED_VALUE"""),0)</f>
        <v>0</v>
      </c>
      <c r="M235" s="7">
        <f ca="1">IFERROR(__xludf.DUMMYFUNCTION("""COMPUTED_VALUE"""),0)</f>
        <v>0</v>
      </c>
      <c r="N235" s="7">
        <f ca="1">IFERROR(__xludf.DUMMYFUNCTION("""COMPUTED_VALUE"""),0)</f>
        <v>0</v>
      </c>
      <c r="O235" s="7">
        <f ca="1">IFERROR(__xludf.DUMMYFUNCTION("""COMPUTED_VALUE"""),0)</f>
        <v>0</v>
      </c>
      <c r="P235" s="7">
        <f ca="1">IFERROR(__xludf.DUMMYFUNCTION("""COMPUTED_VALUE"""),353.599999999999)</f>
        <v>353.599999999999</v>
      </c>
      <c r="Q235" s="7">
        <f ca="1">IFERROR(__xludf.DUMMYFUNCTION("""COMPUTED_VALUE"""),1470)</f>
        <v>1470</v>
      </c>
      <c r="R235" s="7">
        <f ca="1">IFERROR(__xludf.DUMMYFUNCTION("""COMPUTED_VALUE"""),0)</f>
        <v>0</v>
      </c>
      <c r="S235" s="7">
        <f ca="1">IFERROR(__xludf.DUMMYFUNCTION("""COMPUTED_VALUE"""),0)</f>
        <v>0</v>
      </c>
      <c r="T235" s="7">
        <f ca="1">IFERROR(__xludf.DUMMYFUNCTION("""COMPUTED_VALUE"""),147.6)</f>
        <v>147.6</v>
      </c>
      <c r="U235" s="61"/>
      <c r="V235" s="61"/>
      <c r="W235" s="61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IFERROR(__xludf.DUMMYFUNCTION("""COMPUTED_VALUE"""),"Palmeiropolis")</f>
        <v>Palmeiropolis</v>
      </c>
      <c r="C236" s="60" t="str">
        <f ca="1">IFERROR(__xludf.DUMMYFUNCTION("""COMPUTED_VALUE"""),"A. A.DO COLEGIO EST. DE PALMEIROPOLIS (COLÉGIO MILITAR)")</f>
        <v>A. A.DO COLEGIO EST. DE PALMEIROPOLIS (COLÉGIO MILITAR)</v>
      </c>
      <c r="D236" s="136" t="str">
        <f ca="1">IFERROR(__xludf.DUMMYFUNCTION("""COMPUTED_VALUE"""),"01210496000190")</f>
        <v>01210496000190</v>
      </c>
      <c r="E236" s="6" t="str">
        <f ca="1">IFERROR(__xludf.DUMMYFUNCTION("""COMPUTED_VALUE"""),"001")</f>
        <v>001</v>
      </c>
      <c r="F236" s="7" t="str">
        <f ca="1">IFERROR(__xludf.DUMMYFUNCTION("""COMPUTED_VALUE"""),"1303")</f>
        <v>1303</v>
      </c>
      <c r="G236" s="7" t="str">
        <f ca="1">IFERROR(__xludf.DUMMYFUNCTION("""COMPUTED_VALUE"""),"97438")</f>
        <v>97438</v>
      </c>
      <c r="H236" s="7">
        <f ca="1">IFERROR(__xludf.DUMMYFUNCTION("""COMPUTED_VALUE"""),0)</f>
        <v>0</v>
      </c>
      <c r="I236" s="7">
        <f ca="1">IFERROR(__xludf.DUMMYFUNCTION("""COMPUTED_VALUE"""),0)</f>
        <v>0</v>
      </c>
      <c r="J236" s="7">
        <f ca="1">IFERROR(__xludf.DUMMYFUNCTION("""COMPUTED_VALUE"""),2220)</f>
        <v>2220</v>
      </c>
      <c r="K236" s="7">
        <f ca="1">IFERROR(__xludf.DUMMYFUNCTION("""COMPUTED_VALUE"""),0)</f>
        <v>0</v>
      </c>
      <c r="L236" s="7">
        <f ca="1">IFERROR(__xludf.DUMMYFUNCTION("""COMPUTED_VALUE"""),0)</f>
        <v>0</v>
      </c>
      <c r="M236" s="7">
        <f ca="1">IFERROR(__xludf.DUMMYFUNCTION("""COMPUTED_VALUE"""),0)</f>
        <v>0</v>
      </c>
      <c r="N236" s="7">
        <f ca="1">IFERROR(__xludf.DUMMYFUNCTION("""COMPUTED_VALUE"""),0)</f>
        <v>0</v>
      </c>
      <c r="O236" s="7">
        <f ca="1">IFERROR(__xludf.DUMMYFUNCTION("""COMPUTED_VALUE"""),0)</f>
        <v>0</v>
      </c>
      <c r="P236" s="7">
        <f ca="1">IFERROR(__xludf.DUMMYFUNCTION("""COMPUTED_VALUE"""),176.799999999999)</f>
        <v>176.79999999999899</v>
      </c>
      <c r="Q236" s="7">
        <f ca="1">IFERROR(__xludf.DUMMYFUNCTION("""COMPUTED_VALUE"""),1670)</f>
        <v>1670</v>
      </c>
      <c r="R236" s="7">
        <f ca="1">IFERROR(__xludf.DUMMYFUNCTION("""COMPUTED_VALUE"""),0)</f>
        <v>0</v>
      </c>
      <c r="S236" s="7">
        <f ca="1">IFERROR(__xludf.DUMMYFUNCTION("""COMPUTED_VALUE"""),0)</f>
        <v>0</v>
      </c>
      <c r="T236" s="7">
        <f ca="1">IFERROR(__xludf.DUMMYFUNCTION("""COMPUTED_VALUE"""),0)</f>
        <v>0</v>
      </c>
      <c r="U236" s="61"/>
      <c r="V236" s="61"/>
      <c r="W236" s="61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IFERROR(__xludf.DUMMYFUNCTION("""COMPUTED_VALUE"""),"Peixe")</f>
        <v>Peixe</v>
      </c>
      <c r="C237" s="60" t="str">
        <f ca="1">IFERROR(__xludf.DUMMYFUNCTION("""COMPUTED_VALUE"""),"A.A. AO COLEGIO ESTADUAL D. ALANO")</f>
        <v>A.A. AO COLEGIO ESTADUAL D. ALANO</v>
      </c>
      <c r="D237" s="136" t="str">
        <f ca="1">IFERROR(__xludf.DUMMYFUNCTION("""COMPUTED_VALUE"""),"01133705000140")</f>
        <v>01133705000140</v>
      </c>
      <c r="E237" s="6" t="str">
        <f ca="1">IFERROR(__xludf.DUMMYFUNCTION("""COMPUTED_VALUE"""),"001")</f>
        <v>001</v>
      </c>
      <c r="F237" s="7" t="str">
        <f ca="1">IFERROR(__xludf.DUMMYFUNCTION("""COMPUTED_VALUE"""),"3979")</f>
        <v>3979</v>
      </c>
      <c r="G237" s="7" t="str">
        <f ca="1">IFERROR(__xludf.DUMMYFUNCTION("""COMPUTED_VALUE"""),"53155")</f>
        <v>53155</v>
      </c>
      <c r="H237" s="7">
        <f ca="1">IFERROR(__xludf.DUMMYFUNCTION("""COMPUTED_VALUE"""),0)</f>
        <v>0</v>
      </c>
      <c r="I237" s="7">
        <f ca="1">IFERROR(__xludf.DUMMYFUNCTION("""COMPUTED_VALUE"""),0)</f>
        <v>0</v>
      </c>
      <c r="J237" s="7">
        <f ca="1">IFERROR(__xludf.DUMMYFUNCTION("""COMPUTED_VALUE"""),0)</f>
        <v>0</v>
      </c>
      <c r="K237" s="7">
        <f ca="1">IFERROR(__xludf.DUMMYFUNCTION("""COMPUTED_VALUE"""),0)</f>
        <v>0</v>
      </c>
      <c r="L237" s="7">
        <f ca="1">IFERROR(__xludf.DUMMYFUNCTION("""COMPUTED_VALUE"""),0)</f>
        <v>0</v>
      </c>
      <c r="M237" s="7">
        <f ca="1">IFERROR(__xludf.DUMMYFUNCTION("""COMPUTED_VALUE"""),0)</f>
        <v>0</v>
      </c>
      <c r="N237" s="7">
        <f ca="1">IFERROR(__xludf.DUMMYFUNCTION("""COMPUTED_VALUE"""),0)</f>
        <v>0</v>
      </c>
      <c r="O237" s="7">
        <f ca="1">IFERROR(__xludf.DUMMYFUNCTION("""COMPUTED_VALUE"""),0)</f>
        <v>0</v>
      </c>
      <c r="P237" s="7">
        <f ca="1">IFERROR(__xludf.DUMMYFUNCTION("""COMPUTED_VALUE"""),0)</f>
        <v>0</v>
      </c>
      <c r="Q237" s="7">
        <f ca="1">IFERROR(__xludf.DUMMYFUNCTION("""COMPUTED_VALUE"""),2860)</f>
        <v>2860</v>
      </c>
      <c r="R237" s="7">
        <f ca="1">IFERROR(__xludf.DUMMYFUNCTION("""COMPUTED_VALUE"""),0)</f>
        <v>0</v>
      </c>
      <c r="S237" s="7">
        <f ca="1">IFERROR(__xludf.DUMMYFUNCTION("""COMPUTED_VALUE"""),0)</f>
        <v>0</v>
      </c>
      <c r="T237" s="7">
        <f ca="1">IFERROR(__xludf.DUMMYFUNCTION("""COMPUTED_VALUE"""),139.399999999999)</f>
        <v>139.39999999999901</v>
      </c>
      <c r="U237" s="61"/>
      <c r="V237" s="61"/>
      <c r="W237" s="61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IFERROR(__xludf.DUMMYFUNCTION("""COMPUTED_VALUE"""),"Peixe")</f>
        <v>Peixe</v>
      </c>
      <c r="C238" s="60" t="str">
        <f ca="1">IFERROR(__xludf.DUMMYFUNCTION("""COMPUTED_VALUE"""),"A.A.  ESC. EST.TANCREDO DE ALMEIDA NEVES")</f>
        <v>A.A.  ESC. EST.TANCREDO DE ALMEIDA NEVES</v>
      </c>
      <c r="D238" s="136" t="str">
        <f ca="1">IFERROR(__xludf.DUMMYFUNCTION("""COMPUTED_VALUE"""),"01136008000142")</f>
        <v>01136008000142</v>
      </c>
      <c r="E238" s="6" t="str">
        <f ca="1">IFERROR(__xludf.DUMMYFUNCTION("""COMPUTED_VALUE"""),"001")</f>
        <v>001</v>
      </c>
      <c r="F238" s="7" t="str">
        <f ca="1">IFERROR(__xludf.DUMMYFUNCTION("""COMPUTED_VALUE"""),"3979")</f>
        <v>3979</v>
      </c>
      <c r="G238" s="7" t="str">
        <f ca="1">IFERROR(__xludf.DUMMYFUNCTION("""COMPUTED_VALUE"""),"52914")</f>
        <v>52914</v>
      </c>
      <c r="H238" s="7">
        <f ca="1">IFERROR(__xludf.DUMMYFUNCTION("""COMPUTED_VALUE"""),0)</f>
        <v>0</v>
      </c>
      <c r="I238" s="7">
        <f ca="1">IFERROR(__xludf.DUMMYFUNCTION("""COMPUTED_VALUE"""),0)</f>
        <v>0</v>
      </c>
      <c r="J238" s="7">
        <f ca="1">IFERROR(__xludf.DUMMYFUNCTION("""COMPUTED_VALUE"""),3560)</f>
        <v>3560</v>
      </c>
      <c r="K238" s="7">
        <f ca="1">IFERROR(__xludf.DUMMYFUNCTION("""COMPUTED_VALUE"""),0)</f>
        <v>0</v>
      </c>
      <c r="L238" s="7">
        <f ca="1">IFERROR(__xludf.DUMMYFUNCTION("""COMPUTED_VALUE"""),0)</f>
        <v>0</v>
      </c>
      <c r="M238" s="7">
        <f ca="1">IFERROR(__xludf.DUMMYFUNCTION("""COMPUTED_VALUE"""),0)</f>
        <v>0</v>
      </c>
      <c r="N238" s="7">
        <f ca="1">IFERROR(__xludf.DUMMYFUNCTION("""COMPUTED_VALUE"""),0)</f>
        <v>0</v>
      </c>
      <c r="O238" s="7">
        <f ca="1">IFERROR(__xludf.DUMMYFUNCTION("""COMPUTED_VALUE"""),0)</f>
        <v>0</v>
      </c>
      <c r="P238" s="7">
        <f ca="1">IFERROR(__xludf.DUMMYFUNCTION("""COMPUTED_VALUE"""),0)</f>
        <v>0</v>
      </c>
      <c r="Q238" s="7">
        <f ca="1">IFERROR(__xludf.DUMMYFUNCTION("""COMPUTED_VALUE"""),0)</f>
        <v>0</v>
      </c>
      <c r="R238" s="7">
        <f ca="1">IFERROR(__xludf.DUMMYFUNCTION("""COMPUTED_VALUE"""),0)</f>
        <v>0</v>
      </c>
      <c r="S238" s="7">
        <f ca="1">IFERROR(__xludf.DUMMYFUNCTION("""COMPUTED_VALUE"""),0)</f>
        <v>0</v>
      </c>
      <c r="T238" s="7">
        <f ca="1">IFERROR(__xludf.DUMMYFUNCTION("""COMPUTED_VALUE"""),0)</f>
        <v>0</v>
      </c>
      <c r="U238" s="61"/>
      <c r="V238" s="61"/>
      <c r="W238" s="61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IFERROR(__xludf.DUMMYFUNCTION("""COMPUTED_VALUE"""),"Sandolandia")</f>
        <v>Sandolandia</v>
      </c>
      <c r="C239" s="60" t="str">
        <f ca="1">IFERROR(__xludf.DUMMYFUNCTION("""COMPUTED_VALUE"""),"A.A. A ESC. EST.NOSSA SENHORA APARECIDA")</f>
        <v>A.A. A ESC. EST.NOSSA SENHORA APARECIDA</v>
      </c>
      <c r="D239" s="136" t="str">
        <f ca="1">IFERROR(__xludf.DUMMYFUNCTION("""COMPUTED_VALUE"""),"01393269000148")</f>
        <v>01393269000148</v>
      </c>
      <c r="E239" s="6" t="str">
        <f ca="1">IFERROR(__xludf.DUMMYFUNCTION("""COMPUTED_VALUE"""),"001")</f>
        <v>001</v>
      </c>
      <c r="F239" s="7" t="str">
        <f ca="1">IFERROR(__xludf.DUMMYFUNCTION("""COMPUTED_VALUE"""),"1304")</f>
        <v>1304</v>
      </c>
      <c r="G239" s="7" t="str">
        <f ca="1">IFERROR(__xludf.DUMMYFUNCTION("""COMPUTED_VALUE"""),"105163")</f>
        <v>105163</v>
      </c>
      <c r="H239" s="7">
        <f ca="1">IFERROR(__xludf.DUMMYFUNCTION("""COMPUTED_VALUE"""),0)</f>
        <v>0</v>
      </c>
      <c r="I239" s="7">
        <f ca="1">IFERROR(__xludf.DUMMYFUNCTION("""COMPUTED_VALUE"""),0)</f>
        <v>0</v>
      </c>
      <c r="J239" s="7">
        <f ca="1">IFERROR(__xludf.DUMMYFUNCTION("""COMPUTED_VALUE"""),2110)</f>
        <v>2110</v>
      </c>
      <c r="K239" s="7">
        <f ca="1">IFERROR(__xludf.DUMMYFUNCTION("""COMPUTED_VALUE"""),0)</f>
        <v>0</v>
      </c>
      <c r="L239" s="7">
        <f ca="1">IFERROR(__xludf.DUMMYFUNCTION("""COMPUTED_VALUE"""),0)</f>
        <v>0</v>
      </c>
      <c r="M239" s="7">
        <f ca="1">IFERROR(__xludf.DUMMYFUNCTION("""COMPUTED_VALUE"""),0)</f>
        <v>0</v>
      </c>
      <c r="N239" s="7">
        <f ca="1">IFERROR(__xludf.DUMMYFUNCTION("""COMPUTED_VALUE"""),0)</f>
        <v>0</v>
      </c>
      <c r="O239" s="7">
        <f ca="1">IFERROR(__xludf.DUMMYFUNCTION("""COMPUTED_VALUE"""),0)</f>
        <v>0</v>
      </c>
      <c r="P239" s="7">
        <f ca="1">IFERROR(__xludf.DUMMYFUNCTION("""COMPUTED_VALUE"""),258.4)</f>
        <v>258.39999999999998</v>
      </c>
      <c r="Q239" s="7">
        <f ca="1">IFERROR(__xludf.DUMMYFUNCTION("""COMPUTED_VALUE"""),1190)</f>
        <v>1190</v>
      </c>
      <c r="R239" s="7">
        <f ca="1">IFERROR(__xludf.DUMMYFUNCTION("""COMPUTED_VALUE"""),0)</f>
        <v>0</v>
      </c>
      <c r="S239" s="7">
        <f ca="1">IFERROR(__xludf.DUMMYFUNCTION("""COMPUTED_VALUE"""),0)</f>
        <v>0</v>
      </c>
      <c r="T239" s="7">
        <f ca="1">IFERROR(__xludf.DUMMYFUNCTION("""COMPUTED_VALUE"""),0)</f>
        <v>0</v>
      </c>
      <c r="U239" s="61"/>
      <c r="V239" s="61"/>
      <c r="W239" s="61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IFERROR(__xludf.DUMMYFUNCTION("""COMPUTED_VALUE"""),"Sandolandia")</f>
        <v>Sandolandia</v>
      </c>
      <c r="C240" s="60" t="str">
        <f ca="1">IFERROR(__xludf.DUMMYFUNCTION("""COMPUTED_VALUE"""),"ASS. DE APOIO ESC. EST.PE.JOSE DE ANCHIETA")</f>
        <v>ASS. DE APOIO ESC. EST.PE.JOSE DE ANCHIETA</v>
      </c>
      <c r="D240" s="136" t="str">
        <f ca="1">IFERROR(__xludf.DUMMYFUNCTION("""COMPUTED_VALUE"""),"01190190000110")</f>
        <v>01190190000110</v>
      </c>
      <c r="E240" s="6" t="str">
        <f ca="1">IFERROR(__xludf.DUMMYFUNCTION("""COMPUTED_VALUE"""),"001")</f>
        <v>001</v>
      </c>
      <c r="F240" s="7" t="str">
        <f ca="1">IFERROR(__xludf.DUMMYFUNCTION("""COMPUTED_VALUE"""),"1304")</f>
        <v>1304</v>
      </c>
      <c r="G240" s="7" t="str">
        <f ca="1">IFERROR(__xludf.DUMMYFUNCTION("""COMPUTED_VALUE"""),"105171")</f>
        <v>105171</v>
      </c>
      <c r="H240" s="7">
        <f ca="1">IFERROR(__xludf.DUMMYFUNCTION("""COMPUTED_VALUE"""),0)</f>
        <v>0</v>
      </c>
      <c r="I240" s="7">
        <f ca="1">IFERROR(__xludf.DUMMYFUNCTION("""COMPUTED_VALUE"""),0)</f>
        <v>0</v>
      </c>
      <c r="J240" s="7">
        <f ca="1">IFERROR(__xludf.DUMMYFUNCTION("""COMPUTED_VALUE"""),430)</f>
        <v>430</v>
      </c>
      <c r="K240" s="7">
        <f ca="1">IFERROR(__xludf.DUMMYFUNCTION("""COMPUTED_VALUE"""),0)</f>
        <v>0</v>
      </c>
      <c r="L240" s="7">
        <f ca="1">IFERROR(__xludf.DUMMYFUNCTION("""COMPUTED_VALUE"""),0)</f>
        <v>0</v>
      </c>
      <c r="M240" s="7">
        <f ca="1">IFERROR(__xludf.DUMMYFUNCTION("""COMPUTED_VALUE"""),0)</f>
        <v>0</v>
      </c>
      <c r="N240" s="7">
        <f ca="1">IFERROR(__xludf.DUMMYFUNCTION("""COMPUTED_VALUE"""),0)</f>
        <v>0</v>
      </c>
      <c r="O240" s="7">
        <f ca="1">IFERROR(__xludf.DUMMYFUNCTION("""COMPUTED_VALUE"""),0)</f>
        <v>0</v>
      </c>
      <c r="P240" s="7">
        <f ca="1">IFERROR(__xludf.DUMMYFUNCTION("""COMPUTED_VALUE"""),0)</f>
        <v>0</v>
      </c>
      <c r="Q240" s="7">
        <f ca="1">IFERROR(__xludf.DUMMYFUNCTION("""COMPUTED_VALUE"""),160)</f>
        <v>160</v>
      </c>
      <c r="R240" s="7">
        <f ca="1">IFERROR(__xludf.DUMMYFUNCTION("""COMPUTED_VALUE"""),0)</f>
        <v>0</v>
      </c>
      <c r="S240" s="7">
        <f ca="1">IFERROR(__xludf.DUMMYFUNCTION("""COMPUTED_VALUE"""),0)</f>
        <v>0</v>
      </c>
      <c r="T240" s="7">
        <f ca="1">IFERROR(__xludf.DUMMYFUNCTION("""COMPUTED_VALUE"""),0)</f>
        <v>0</v>
      </c>
      <c r="U240" s="61"/>
      <c r="V240" s="61"/>
      <c r="W240" s="61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IFERROR(__xludf.DUMMYFUNCTION("""COMPUTED_VALUE"""),"Sandolandia")</f>
        <v>Sandolandia</v>
      </c>
      <c r="C241" s="60" t="str">
        <f ca="1">IFERROR(__xludf.DUMMYFUNCTION("""COMPUTED_VALUE"""),"A.A.DE APOIO ESCOLAR DA ESCOLA INDÍGENA IJAWALA")</f>
        <v>A.A.DE APOIO ESCOLAR DA ESCOLA INDÍGENA IJAWALA</v>
      </c>
      <c r="D241" s="136" t="str">
        <f ca="1">IFERROR(__xludf.DUMMYFUNCTION("""COMPUTED_VALUE"""),"48240313000143")</f>
        <v>48240313000143</v>
      </c>
      <c r="E241" s="6" t="str">
        <f ca="1">IFERROR(__xludf.DUMMYFUNCTION("""COMPUTED_VALUE"""),"001")</f>
        <v>001</v>
      </c>
      <c r="F241" s="7" t="str">
        <f ca="1">IFERROR(__xludf.DUMMYFUNCTION("""COMPUTED_VALUE"""),"1304")</f>
        <v>1304</v>
      </c>
      <c r="G241" s="7" t="str">
        <f ca="1">IFERROR(__xludf.DUMMYFUNCTION("""COMPUTED_VALUE"""),"1949810")</f>
        <v>1949810</v>
      </c>
      <c r="H241" s="7">
        <f ca="1">IFERROR(__xludf.DUMMYFUNCTION("""COMPUTED_VALUE"""),0)</f>
        <v>0</v>
      </c>
      <c r="I241" s="7">
        <f ca="1">IFERROR(__xludf.DUMMYFUNCTION("""COMPUTED_VALUE"""),0)</f>
        <v>0</v>
      </c>
      <c r="J241" s="7">
        <f ca="1">IFERROR(__xludf.DUMMYFUNCTION("""COMPUTED_VALUE"""),0)</f>
        <v>0</v>
      </c>
      <c r="K241" s="7">
        <f ca="1">IFERROR(__xludf.DUMMYFUNCTION("""COMPUTED_VALUE"""),0)</f>
        <v>0</v>
      </c>
      <c r="L241" s="7">
        <f ca="1">IFERROR(__xludf.DUMMYFUNCTION("""COMPUTED_VALUE"""),0)</f>
        <v>0</v>
      </c>
      <c r="M241" s="7">
        <f ca="1">IFERROR(__xludf.DUMMYFUNCTION("""COMPUTED_VALUE"""),0)</f>
        <v>0</v>
      </c>
      <c r="N241" s="7">
        <f ca="1">IFERROR(__xludf.DUMMYFUNCTION("""COMPUTED_VALUE"""),0)</f>
        <v>0</v>
      </c>
      <c r="O241" s="7">
        <f ca="1">IFERROR(__xludf.DUMMYFUNCTION("""COMPUTED_VALUE"""),1152.39999999999)</f>
        <v>1152.3999999999901</v>
      </c>
      <c r="P241" s="7">
        <f ca="1">IFERROR(__xludf.DUMMYFUNCTION("""COMPUTED_VALUE"""),0)</f>
        <v>0</v>
      </c>
      <c r="Q241" s="7">
        <f ca="1">IFERROR(__xludf.DUMMYFUNCTION("""COMPUTED_VALUE"""),0)</f>
        <v>0</v>
      </c>
      <c r="R241" s="7">
        <f ca="1">IFERROR(__xludf.DUMMYFUNCTION("""COMPUTED_VALUE"""),0)</f>
        <v>0</v>
      </c>
      <c r="S241" s="7">
        <f ca="1">IFERROR(__xludf.DUMMYFUNCTION("""COMPUTED_VALUE"""),0)</f>
        <v>0</v>
      </c>
      <c r="T241" s="7">
        <f ca="1">IFERROR(__xludf.DUMMYFUNCTION("""COMPUTED_VALUE"""),0)</f>
        <v>0</v>
      </c>
      <c r="U241" s="61"/>
      <c r="V241" s="61"/>
      <c r="W241" s="61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IFERROR(__xludf.DUMMYFUNCTION("""COMPUTED_VALUE"""),"Sao Salvador do Tocantins")</f>
        <v>Sao Salvador do Tocantins</v>
      </c>
      <c r="C242" s="60" t="str">
        <f ca="1">IFERROR(__xludf.DUMMYFUNCTION("""COMPUTED_VALUE"""),"A.A. COLEGIO ESTADUAL AGRÍCOLA JOSÉ PORFÍRIO DE SOUZA")</f>
        <v>A.A. COLEGIO ESTADUAL AGRÍCOLA JOSÉ PORFÍRIO DE SOUZA</v>
      </c>
      <c r="D242" s="136" t="str">
        <f ca="1">IFERROR(__xludf.DUMMYFUNCTION("""COMPUTED_VALUE"""),"49952315000128")</f>
        <v>49952315000128</v>
      </c>
      <c r="E242" s="6" t="str">
        <f ca="1">IFERROR(__xludf.DUMMYFUNCTION("""COMPUTED_VALUE"""),"001")</f>
        <v>001</v>
      </c>
      <c r="F242" s="7" t="str">
        <f ca="1">IFERROR(__xludf.DUMMYFUNCTION("""COMPUTED_VALUE"""),"4608")</f>
        <v>4608</v>
      </c>
      <c r="G242" s="7" t="str">
        <f ca="1">IFERROR(__xludf.DUMMYFUNCTION("""COMPUTED_VALUE"""),"183679")</f>
        <v>183679</v>
      </c>
      <c r="H242" s="7">
        <f ca="1">IFERROR(__xludf.DUMMYFUNCTION("""COMPUTED_VALUE"""),0)</f>
        <v>0</v>
      </c>
      <c r="I242" s="7">
        <f ca="1">IFERROR(__xludf.DUMMYFUNCTION("""COMPUTED_VALUE"""),0)</f>
        <v>0</v>
      </c>
      <c r="J242" s="7">
        <f ca="1">IFERROR(__xludf.DUMMYFUNCTION("""COMPUTED_VALUE"""),0)</f>
        <v>0</v>
      </c>
      <c r="K242" s="7">
        <f ca="1">IFERROR(__xludf.DUMMYFUNCTION("""COMPUTED_VALUE"""),2904.39999999999)</f>
        <v>2904.3999999999901</v>
      </c>
      <c r="L242" s="7">
        <f ca="1">IFERROR(__xludf.DUMMYFUNCTION("""COMPUTED_VALUE"""),0)</f>
        <v>0</v>
      </c>
      <c r="M242" s="7">
        <f ca="1">IFERROR(__xludf.DUMMYFUNCTION("""COMPUTED_VALUE"""),0)</f>
        <v>0</v>
      </c>
      <c r="N242" s="7">
        <f ca="1">IFERROR(__xludf.DUMMYFUNCTION("""COMPUTED_VALUE"""),0)</f>
        <v>0</v>
      </c>
      <c r="O242" s="7">
        <f ca="1">IFERROR(__xludf.DUMMYFUNCTION("""COMPUTED_VALUE"""),0)</f>
        <v>0</v>
      </c>
      <c r="P242" s="7">
        <f ca="1">IFERROR(__xludf.DUMMYFUNCTION("""COMPUTED_VALUE"""),0)</f>
        <v>0</v>
      </c>
      <c r="Q242" s="7">
        <f ca="1">IFERROR(__xludf.DUMMYFUNCTION("""COMPUTED_VALUE"""),0)</f>
        <v>0</v>
      </c>
      <c r="R242" s="7">
        <f ca="1">IFERROR(__xludf.DUMMYFUNCTION("""COMPUTED_VALUE"""),2356.4)</f>
        <v>2356.4</v>
      </c>
      <c r="S242" s="7">
        <f ca="1">IFERROR(__xludf.DUMMYFUNCTION("""COMPUTED_VALUE"""),0)</f>
        <v>0</v>
      </c>
      <c r="T242" s="7">
        <f ca="1">IFERROR(__xludf.DUMMYFUNCTION("""COMPUTED_VALUE"""),0)</f>
        <v>0</v>
      </c>
      <c r="U242" s="61"/>
      <c r="V242" s="61"/>
      <c r="W242" s="61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IFERROR(__xludf.DUMMYFUNCTION("""COMPUTED_VALUE"""),"Sao Salvador do Tocantins")</f>
        <v>Sao Salvador do Tocantins</v>
      </c>
      <c r="C243" s="60" t="str">
        <f ca="1">IFERROR(__xludf.DUMMYFUNCTION("""COMPUTED_VALUE"""),"ASS.PAIS E M.ESC. EST.PORTO RIO MARANHAO")</f>
        <v>ASS.PAIS E M.ESC. EST.PORTO RIO MARANHAO</v>
      </c>
      <c r="D243" s="136" t="str">
        <f ca="1">IFERROR(__xludf.DUMMYFUNCTION("""COMPUTED_VALUE"""),"01296366000112")</f>
        <v>01296366000112</v>
      </c>
      <c r="E243" s="6" t="str">
        <f ca="1">IFERROR(__xludf.DUMMYFUNCTION("""COMPUTED_VALUE"""),"001")</f>
        <v>001</v>
      </c>
      <c r="F243" s="7" t="str">
        <f ca="1">IFERROR(__xludf.DUMMYFUNCTION("""COMPUTED_VALUE"""),"4608")</f>
        <v>4608</v>
      </c>
      <c r="G243" s="7" t="str">
        <f ca="1">IFERROR(__xludf.DUMMYFUNCTION("""COMPUTED_VALUE"""),"70270")</f>
        <v>70270</v>
      </c>
      <c r="H243" s="7">
        <f ca="1">IFERROR(__xludf.DUMMYFUNCTION("""COMPUTED_VALUE"""),0)</f>
        <v>0</v>
      </c>
      <c r="I243" s="7">
        <f ca="1">IFERROR(__xludf.DUMMYFUNCTION("""COMPUTED_VALUE"""),0)</f>
        <v>0</v>
      </c>
      <c r="J243" s="7">
        <f ca="1">IFERROR(__xludf.DUMMYFUNCTION("""COMPUTED_VALUE"""),1200)</f>
        <v>1200</v>
      </c>
      <c r="K243" s="7">
        <f ca="1">IFERROR(__xludf.DUMMYFUNCTION("""COMPUTED_VALUE"""),0)</f>
        <v>0</v>
      </c>
      <c r="L243" s="7">
        <f ca="1">IFERROR(__xludf.DUMMYFUNCTION("""COMPUTED_VALUE"""),0)</f>
        <v>0</v>
      </c>
      <c r="M243" s="7">
        <f ca="1">IFERROR(__xludf.DUMMYFUNCTION("""COMPUTED_VALUE"""),0)</f>
        <v>0</v>
      </c>
      <c r="N243" s="7">
        <f ca="1">IFERROR(__xludf.DUMMYFUNCTION("""COMPUTED_VALUE"""),0)</f>
        <v>0</v>
      </c>
      <c r="O243" s="7">
        <f ca="1">IFERROR(__xludf.DUMMYFUNCTION("""COMPUTED_VALUE"""),0)</f>
        <v>0</v>
      </c>
      <c r="P243" s="7">
        <f ca="1">IFERROR(__xludf.DUMMYFUNCTION("""COMPUTED_VALUE"""),0)</f>
        <v>0</v>
      </c>
      <c r="Q243" s="7">
        <f ca="1">IFERROR(__xludf.DUMMYFUNCTION("""COMPUTED_VALUE"""),510)</f>
        <v>510</v>
      </c>
      <c r="R243" s="7">
        <f ca="1">IFERROR(__xludf.DUMMYFUNCTION("""COMPUTED_VALUE"""),0)</f>
        <v>0</v>
      </c>
      <c r="S243" s="7">
        <f ca="1">IFERROR(__xludf.DUMMYFUNCTION("""COMPUTED_VALUE"""),0)</f>
        <v>0</v>
      </c>
      <c r="T243" s="7">
        <f ca="1">IFERROR(__xludf.DUMMYFUNCTION("""COMPUTED_VALUE"""),0)</f>
        <v>0</v>
      </c>
      <c r="U243" s="61"/>
      <c r="V243" s="61"/>
      <c r="W243" s="61"/>
    </row>
    <row r="244" spans="1:23" ht="12.75">
      <c r="A244" t="str">
        <f ca="1">IFERROR(__xludf.DUMMYFUNCTION("""COMPUTED_VALUE"""),"Gurupi")</f>
        <v>Gurupi</v>
      </c>
      <c r="B244" t="str">
        <f ca="1">IFERROR(__xludf.DUMMYFUNCTION("""COMPUTED_VALUE"""),"Sao Salvador do Tocantins")</f>
        <v>Sao Salvador do Tocantins</v>
      </c>
      <c r="C244" s="60" t="str">
        <f ca="1">IFERROR(__xludf.DUMMYFUNCTION("""COMPUTED_VALUE"""),"A.A DA ESCOLA ESTADUAL RETIRO")</f>
        <v>A.A DA ESCOLA ESTADUAL RETIRO</v>
      </c>
      <c r="D244" s="136" t="str">
        <f ca="1">IFERROR(__xludf.DUMMYFUNCTION("""COMPUTED_VALUE"""),"04205236000115")</f>
        <v>04205236000115</v>
      </c>
      <c r="E244" s="6" t="str">
        <f ca="1">IFERROR(__xludf.DUMMYFUNCTION("""COMPUTED_VALUE"""),"001")</f>
        <v>001</v>
      </c>
      <c r="F244" s="7" t="str">
        <f ca="1">IFERROR(__xludf.DUMMYFUNCTION("""COMPUTED_VALUE"""),"4608")</f>
        <v>4608</v>
      </c>
      <c r="G244" s="7" t="str">
        <f ca="1">IFERROR(__xludf.DUMMYFUNCTION("""COMPUTED_VALUE"""),"73563")</f>
        <v>73563</v>
      </c>
      <c r="H244" s="7">
        <f ca="1">IFERROR(__xludf.DUMMYFUNCTION("""COMPUTED_VALUE"""),0)</f>
        <v>0</v>
      </c>
      <c r="I244" s="7">
        <f ca="1">IFERROR(__xludf.DUMMYFUNCTION("""COMPUTED_VALUE"""),0)</f>
        <v>0</v>
      </c>
      <c r="J244" s="7">
        <f ca="1">IFERROR(__xludf.DUMMYFUNCTION("""COMPUTED_VALUE"""),0)</f>
        <v>0</v>
      </c>
      <c r="K244" s="7">
        <f ca="1">IFERROR(__xludf.DUMMYFUNCTION("""COMPUTED_VALUE"""),1781)</f>
        <v>1781</v>
      </c>
      <c r="L244" s="7">
        <f ca="1">IFERROR(__xludf.DUMMYFUNCTION("""COMPUTED_VALUE"""),0)</f>
        <v>0</v>
      </c>
      <c r="M244" s="7">
        <f ca="1">IFERROR(__xludf.DUMMYFUNCTION("""COMPUTED_VALUE"""),0)</f>
        <v>0</v>
      </c>
      <c r="N244" s="7">
        <f ca="1">IFERROR(__xludf.DUMMYFUNCTION("""COMPUTED_VALUE"""),0)</f>
        <v>0</v>
      </c>
      <c r="O244" s="7">
        <f ca="1">IFERROR(__xludf.DUMMYFUNCTION("""COMPUTED_VALUE"""),0)</f>
        <v>0</v>
      </c>
      <c r="P244" s="7">
        <f ca="1">IFERROR(__xludf.DUMMYFUNCTION("""COMPUTED_VALUE"""),0)</f>
        <v>0</v>
      </c>
      <c r="Q244" s="7">
        <f ca="1">IFERROR(__xludf.DUMMYFUNCTION("""COMPUTED_VALUE"""),320)</f>
        <v>320</v>
      </c>
      <c r="R244" s="7">
        <f ca="1">IFERROR(__xludf.DUMMYFUNCTION("""COMPUTED_VALUE"""),0)</f>
        <v>0</v>
      </c>
      <c r="S244" s="7">
        <f ca="1">IFERROR(__xludf.DUMMYFUNCTION("""COMPUTED_VALUE"""),0)</f>
        <v>0</v>
      </c>
      <c r="T244" s="7">
        <f ca="1">IFERROR(__xludf.DUMMYFUNCTION("""COMPUTED_VALUE"""),0)</f>
        <v>0</v>
      </c>
      <c r="U244" s="61"/>
      <c r="V244" s="61"/>
      <c r="W244" s="61"/>
    </row>
    <row r="245" spans="1:23" ht="12.75">
      <c r="A245" t="str">
        <f ca="1">IFERROR(__xludf.DUMMYFUNCTION("""COMPUTED_VALUE"""),"Gurupi")</f>
        <v>Gurupi</v>
      </c>
      <c r="B245" t="str">
        <f ca="1">IFERROR(__xludf.DUMMYFUNCTION("""COMPUTED_VALUE"""),"Sao Valerio da Natividade")</f>
        <v>Sao Valerio da Natividade</v>
      </c>
      <c r="C245" s="60" t="str">
        <f ca="1">IFERROR(__xludf.DUMMYFUNCTION("""COMPUTED_VALUE"""),"A.P.M.E ALUNOS COL. EST. REGINA S. CAMPOS")</f>
        <v>A.P.M.E ALUNOS COL. EST. REGINA S. CAMPOS</v>
      </c>
      <c r="D245" s="136" t="str">
        <f ca="1">IFERROR(__xludf.DUMMYFUNCTION("""COMPUTED_VALUE"""),"01431377000168")</f>
        <v>01431377000168</v>
      </c>
      <c r="E245" s="6" t="str">
        <f ca="1">IFERROR(__xludf.DUMMYFUNCTION("""COMPUTED_VALUE"""),"001")</f>
        <v>001</v>
      </c>
      <c r="F245" s="7" t="str">
        <f ca="1">IFERROR(__xludf.DUMMYFUNCTION("""COMPUTED_VALUE"""),"0794")</f>
        <v>0794</v>
      </c>
      <c r="G245" s="7" t="str">
        <f ca="1">IFERROR(__xludf.DUMMYFUNCTION("""COMPUTED_VALUE"""),"52477")</f>
        <v>52477</v>
      </c>
      <c r="H245" s="7">
        <f ca="1">IFERROR(__xludf.DUMMYFUNCTION("""COMPUTED_VALUE"""),0)</f>
        <v>0</v>
      </c>
      <c r="I245" s="7">
        <f ca="1">IFERROR(__xludf.DUMMYFUNCTION("""COMPUTED_VALUE"""),0)</f>
        <v>0</v>
      </c>
      <c r="J245" s="7">
        <f ca="1">IFERROR(__xludf.DUMMYFUNCTION("""COMPUTED_VALUE"""),2960)</f>
        <v>2960</v>
      </c>
      <c r="K245" s="7">
        <f ca="1">IFERROR(__xludf.DUMMYFUNCTION("""COMPUTED_VALUE"""),0)</f>
        <v>0</v>
      </c>
      <c r="L245" s="7">
        <f ca="1">IFERROR(__xludf.DUMMYFUNCTION("""COMPUTED_VALUE"""),0)</f>
        <v>0</v>
      </c>
      <c r="M245" s="7">
        <f ca="1">IFERROR(__xludf.DUMMYFUNCTION("""COMPUTED_VALUE"""),0)</f>
        <v>0</v>
      </c>
      <c r="N245" s="7">
        <f ca="1">IFERROR(__xludf.DUMMYFUNCTION("""COMPUTED_VALUE"""),0)</f>
        <v>0</v>
      </c>
      <c r="O245" s="7">
        <f ca="1">IFERROR(__xludf.DUMMYFUNCTION("""COMPUTED_VALUE"""),0)</f>
        <v>0</v>
      </c>
      <c r="P245" s="7">
        <f ca="1">IFERROR(__xludf.DUMMYFUNCTION("""COMPUTED_VALUE"""),625.6)</f>
        <v>625.6</v>
      </c>
      <c r="Q245" s="7">
        <f ca="1">IFERROR(__xludf.DUMMYFUNCTION("""COMPUTED_VALUE"""),3680)</f>
        <v>3680</v>
      </c>
      <c r="R245" s="7">
        <f ca="1">IFERROR(__xludf.DUMMYFUNCTION("""COMPUTED_VALUE"""),0)</f>
        <v>0</v>
      </c>
      <c r="S245" s="7">
        <f ca="1">IFERROR(__xludf.DUMMYFUNCTION("""COMPUTED_VALUE"""),0)</f>
        <v>0</v>
      </c>
      <c r="T245" s="7">
        <f ca="1">IFERROR(__xludf.DUMMYFUNCTION("""COMPUTED_VALUE"""),0)</f>
        <v>0</v>
      </c>
      <c r="U245" s="61"/>
      <c r="V245" s="61"/>
      <c r="W245" s="61"/>
    </row>
    <row r="246" spans="1:23" ht="12.75">
      <c r="A246" t="str">
        <f ca="1">IFERROR(__xludf.DUMMYFUNCTION("""COMPUTED_VALUE"""),"Gurupi")</f>
        <v>Gurupi</v>
      </c>
      <c r="B246" t="str">
        <f ca="1">IFERROR(__xludf.DUMMYFUNCTION("""COMPUTED_VALUE"""),"Sucupira")</f>
        <v>Sucupira</v>
      </c>
      <c r="C246" s="60" t="str">
        <f ca="1">IFERROR(__xludf.DUMMYFUNCTION("""COMPUTED_VALUE"""),"AS. APOIO ESCOLA ESTADUAL OLAVO BILAC")</f>
        <v>AS. APOIO ESCOLA ESTADUAL OLAVO BILAC</v>
      </c>
      <c r="D246" s="136" t="str">
        <f ca="1">IFERROR(__xludf.DUMMYFUNCTION("""COMPUTED_VALUE"""),"01268287000106")</f>
        <v>01268287000106</v>
      </c>
      <c r="E246" s="6" t="str">
        <f ca="1">IFERROR(__xludf.DUMMYFUNCTION("""COMPUTED_VALUE"""),"001")</f>
        <v>001</v>
      </c>
      <c r="F246" s="7" t="str">
        <f ca="1">IFERROR(__xludf.DUMMYFUNCTION("""COMPUTED_VALUE"""),"0794")</f>
        <v>0794</v>
      </c>
      <c r="G246" s="7" t="str">
        <f ca="1">IFERROR(__xludf.DUMMYFUNCTION("""COMPUTED_VALUE"""),"245852")</f>
        <v>245852</v>
      </c>
      <c r="H246" s="7">
        <f ca="1">IFERROR(__xludf.DUMMYFUNCTION("""COMPUTED_VALUE"""),0)</f>
        <v>0</v>
      </c>
      <c r="I246" s="7">
        <f ca="1">IFERROR(__xludf.DUMMYFUNCTION("""COMPUTED_VALUE"""),0)</f>
        <v>0</v>
      </c>
      <c r="J246" s="7">
        <f ca="1">IFERROR(__xludf.DUMMYFUNCTION("""COMPUTED_VALUE"""),1380)</f>
        <v>1380</v>
      </c>
      <c r="K246" s="7">
        <f ca="1">IFERROR(__xludf.DUMMYFUNCTION("""COMPUTED_VALUE"""),0)</f>
        <v>0</v>
      </c>
      <c r="L246" s="7">
        <f ca="1">IFERROR(__xludf.DUMMYFUNCTION("""COMPUTED_VALUE"""),0)</f>
        <v>0</v>
      </c>
      <c r="M246" s="7">
        <f ca="1">IFERROR(__xludf.DUMMYFUNCTION("""COMPUTED_VALUE"""),0)</f>
        <v>0</v>
      </c>
      <c r="N246" s="7">
        <f ca="1">IFERROR(__xludf.DUMMYFUNCTION("""COMPUTED_VALUE"""),0)</f>
        <v>0</v>
      </c>
      <c r="O246" s="7">
        <f ca="1">IFERROR(__xludf.DUMMYFUNCTION("""COMPUTED_VALUE"""),0)</f>
        <v>0</v>
      </c>
      <c r="P246" s="7">
        <f ca="1">IFERROR(__xludf.DUMMYFUNCTION("""COMPUTED_VALUE"""),0)</f>
        <v>0</v>
      </c>
      <c r="Q246" s="7">
        <f ca="1">IFERROR(__xludf.DUMMYFUNCTION("""COMPUTED_VALUE"""),640)</f>
        <v>640</v>
      </c>
      <c r="R246" s="7">
        <f ca="1">IFERROR(__xludf.DUMMYFUNCTION("""COMPUTED_VALUE"""),0)</f>
        <v>0</v>
      </c>
      <c r="S246" s="7">
        <f ca="1">IFERROR(__xludf.DUMMYFUNCTION("""COMPUTED_VALUE"""),0)</f>
        <v>0</v>
      </c>
      <c r="T246" s="7">
        <f ca="1">IFERROR(__xludf.DUMMYFUNCTION("""COMPUTED_VALUE"""),0)</f>
        <v>0</v>
      </c>
      <c r="U246" s="61"/>
      <c r="V246" s="61"/>
      <c r="W246" s="61"/>
    </row>
    <row r="247" spans="1:23" ht="12.75">
      <c r="A247" t="str">
        <f ca="1">IFERROR(__xludf.DUMMYFUNCTION("""COMPUTED_VALUE"""),"Gurupi")</f>
        <v>Gurupi</v>
      </c>
      <c r="B247" t="str">
        <f ca="1">IFERROR(__xludf.DUMMYFUNCTION("""COMPUTED_VALUE"""),"Talisma")</f>
        <v>Talisma</v>
      </c>
      <c r="C247" s="60" t="str">
        <f ca="1">IFERROR(__xludf.DUMMYFUNCTION("""COMPUTED_VALUE"""),"A.A.  DO COLEGIO ESTADUAL DE TALISMA")</f>
        <v>A.A.  DO COLEGIO ESTADUAL DE TALISMA</v>
      </c>
      <c r="D247" s="136" t="str">
        <f ca="1">IFERROR(__xludf.DUMMYFUNCTION("""COMPUTED_VALUE"""),"07547605000146")</f>
        <v>07547605000146</v>
      </c>
      <c r="E247" s="6" t="str">
        <f ca="1">IFERROR(__xludf.DUMMYFUNCTION("""COMPUTED_VALUE"""),"001")</f>
        <v>001</v>
      </c>
      <c r="F247" s="7" t="str">
        <f ca="1">IFERROR(__xludf.DUMMYFUNCTION("""COMPUTED_VALUE"""),"1303")</f>
        <v>1303</v>
      </c>
      <c r="G247" s="7" t="str">
        <f ca="1">IFERROR(__xludf.DUMMYFUNCTION("""COMPUTED_VALUE"""),"155446")</f>
        <v>155446</v>
      </c>
      <c r="H247" s="7">
        <f ca="1">IFERROR(__xludf.DUMMYFUNCTION("""COMPUTED_VALUE"""),0)</f>
        <v>0</v>
      </c>
      <c r="I247" s="7">
        <f ca="1">IFERROR(__xludf.DUMMYFUNCTION("""COMPUTED_VALUE"""),0)</f>
        <v>0</v>
      </c>
      <c r="J247" s="7">
        <f ca="1">IFERROR(__xludf.DUMMYFUNCTION("""COMPUTED_VALUE"""),0)</f>
        <v>0</v>
      </c>
      <c r="K247" s="7">
        <f ca="1">IFERROR(__xludf.DUMMYFUNCTION("""COMPUTED_VALUE"""),0)</f>
        <v>0</v>
      </c>
      <c r="L247" s="7">
        <f ca="1">IFERROR(__xludf.DUMMYFUNCTION("""COMPUTED_VALUE"""),0)</f>
        <v>0</v>
      </c>
      <c r="M247" s="7">
        <f ca="1">IFERROR(__xludf.DUMMYFUNCTION("""COMPUTED_VALUE"""),0)</f>
        <v>0</v>
      </c>
      <c r="N247" s="7">
        <f ca="1">IFERROR(__xludf.DUMMYFUNCTION("""COMPUTED_VALUE"""),0)</f>
        <v>0</v>
      </c>
      <c r="O247" s="7">
        <f ca="1">IFERROR(__xludf.DUMMYFUNCTION("""COMPUTED_VALUE"""),0)</f>
        <v>0</v>
      </c>
      <c r="P247" s="7">
        <f ca="1">IFERROR(__xludf.DUMMYFUNCTION("""COMPUTED_VALUE"""),0)</f>
        <v>0</v>
      </c>
      <c r="Q247" s="7">
        <f ca="1">IFERROR(__xludf.DUMMYFUNCTION("""COMPUTED_VALUE"""),860)</f>
        <v>860</v>
      </c>
      <c r="R247" s="7">
        <f ca="1">IFERROR(__xludf.DUMMYFUNCTION("""COMPUTED_VALUE"""),0)</f>
        <v>0</v>
      </c>
      <c r="S247" s="7">
        <f ca="1">IFERROR(__xludf.DUMMYFUNCTION("""COMPUTED_VALUE"""),0)</f>
        <v>0</v>
      </c>
      <c r="T247" s="7">
        <f ca="1">IFERROR(__xludf.DUMMYFUNCTION("""COMPUTED_VALUE"""),65.6)</f>
        <v>65.599999999999994</v>
      </c>
      <c r="U247" s="61"/>
      <c r="V247" s="61"/>
      <c r="W247" s="61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IFERROR(__xludf.DUMMYFUNCTION("""COMPUTED_VALUE"""),"dois Irmaos do Tocantins")</f>
        <v>dois Irmaos do Tocantins</v>
      </c>
      <c r="C248" s="60" t="str">
        <f ca="1">IFERROR(__xludf.DUMMYFUNCTION("""COMPUTED_VALUE"""),"A.C.E. COL PRES. CASTELO BRANCO")</f>
        <v>A.C.E. COL PRES. CASTELO BRANCO</v>
      </c>
      <c r="D248" s="136" t="str">
        <f ca="1">IFERROR(__xludf.DUMMYFUNCTION("""COMPUTED_VALUE"""),"01034882000179")</f>
        <v>01034882000179</v>
      </c>
      <c r="E248" s="6" t="str">
        <f ca="1">IFERROR(__xludf.DUMMYFUNCTION("""COMPUTED_VALUE"""),"001")</f>
        <v>001</v>
      </c>
      <c r="F248" s="7" t="str">
        <f ca="1">IFERROR(__xludf.DUMMYFUNCTION("""COMPUTED_VALUE"""),"0862")</f>
        <v>0862</v>
      </c>
      <c r="G248" s="7" t="str">
        <f ca="1">IFERROR(__xludf.DUMMYFUNCTION("""COMPUTED_VALUE"""),"68950")</f>
        <v>68950</v>
      </c>
      <c r="H248" s="7">
        <f ca="1">IFERROR(__xludf.DUMMYFUNCTION("""COMPUTED_VALUE"""),0)</f>
        <v>0</v>
      </c>
      <c r="I248" s="7">
        <f ca="1">IFERROR(__xludf.DUMMYFUNCTION("""COMPUTED_VALUE"""),0)</f>
        <v>0</v>
      </c>
      <c r="J248" s="7">
        <f ca="1">IFERROR(__xludf.DUMMYFUNCTION("""COMPUTED_VALUE"""),3710)</f>
        <v>3710</v>
      </c>
      <c r="K248" s="7">
        <f ca="1">IFERROR(__xludf.DUMMYFUNCTION("""COMPUTED_VALUE"""),0)</f>
        <v>0</v>
      </c>
      <c r="L248" s="7">
        <f ca="1">IFERROR(__xludf.DUMMYFUNCTION("""COMPUTED_VALUE"""),0)</f>
        <v>0</v>
      </c>
      <c r="M248" s="7">
        <f ca="1">IFERROR(__xludf.DUMMYFUNCTION("""COMPUTED_VALUE"""),0)</f>
        <v>0</v>
      </c>
      <c r="N248" s="7">
        <f ca="1">IFERROR(__xludf.DUMMYFUNCTION("""COMPUTED_VALUE"""),0)</f>
        <v>0</v>
      </c>
      <c r="O248" s="7">
        <f ca="1">IFERROR(__xludf.DUMMYFUNCTION("""COMPUTED_VALUE"""),0)</f>
        <v>0</v>
      </c>
      <c r="P248" s="7">
        <f ca="1">IFERROR(__xludf.DUMMYFUNCTION("""COMPUTED_VALUE"""),176.799999999999)</f>
        <v>176.79999999999899</v>
      </c>
      <c r="Q248" s="7">
        <f ca="1">IFERROR(__xludf.DUMMYFUNCTION("""COMPUTED_VALUE"""),2090)</f>
        <v>2090</v>
      </c>
      <c r="R248" s="7">
        <f ca="1">IFERROR(__xludf.DUMMYFUNCTION("""COMPUTED_VALUE"""),0)</f>
        <v>0</v>
      </c>
      <c r="S248" s="7">
        <f ca="1">IFERROR(__xludf.DUMMYFUNCTION("""COMPUTED_VALUE"""),0)</f>
        <v>0</v>
      </c>
      <c r="T248" s="7">
        <f ca="1">IFERROR(__xludf.DUMMYFUNCTION("""COMPUTED_VALUE"""),0)</f>
        <v>0</v>
      </c>
      <c r="U248" s="61"/>
      <c r="V248" s="61"/>
      <c r="W248" s="61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IFERROR(__xludf.DUMMYFUNCTION("""COMPUTED_VALUE"""),"dois Irmaos do Tocantins")</f>
        <v>dois Irmaos do Tocantins</v>
      </c>
      <c r="C249" s="60" t="str">
        <f ca="1">IFERROR(__xludf.DUMMYFUNCTION("""COMPUTED_VALUE"""),"ASSOC. DE APOIO A ESCOLA ESPECIAL CLOVIS DE ASSIS")</f>
        <v>ASSOC. DE APOIO A ESCOLA ESPECIAL CLOVIS DE ASSIS</v>
      </c>
      <c r="D249" s="136" t="str">
        <f ca="1">IFERROR(__xludf.DUMMYFUNCTION("""COMPUTED_VALUE"""),"09327390000183")</f>
        <v>09327390000183</v>
      </c>
      <c r="E249" s="6" t="str">
        <f ca="1">IFERROR(__xludf.DUMMYFUNCTION("""COMPUTED_VALUE"""),"001")</f>
        <v>001</v>
      </c>
      <c r="F249" s="7" t="str">
        <f ca="1">IFERROR(__xludf.DUMMYFUNCTION("""COMPUTED_VALUE"""),"0862")</f>
        <v>0862</v>
      </c>
      <c r="G249" s="7" t="str">
        <f ca="1">IFERROR(__xludf.DUMMYFUNCTION("""COMPUTED_VALUE"""),"211087")</f>
        <v>211087</v>
      </c>
      <c r="H249" s="7">
        <f ca="1">IFERROR(__xludf.DUMMYFUNCTION("""COMPUTED_VALUE"""),0)</f>
        <v>0</v>
      </c>
      <c r="I249" s="7">
        <f ca="1">IFERROR(__xludf.DUMMYFUNCTION("""COMPUTED_VALUE"""),0)</f>
        <v>0</v>
      </c>
      <c r="J249" s="7">
        <f ca="1">IFERROR(__xludf.DUMMYFUNCTION("""COMPUTED_VALUE"""),110)</f>
        <v>110</v>
      </c>
      <c r="K249" s="7">
        <f ca="1">IFERROR(__xludf.DUMMYFUNCTION("""COMPUTED_VALUE"""),0)</f>
        <v>0</v>
      </c>
      <c r="L249" s="7">
        <f ca="1">IFERROR(__xludf.DUMMYFUNCTION("""COMPUTED_VALUE"""),0)</f>
        <v>0</v>
      </c>
      <c r="M249" s="7">
        <f ca="1">IFERROR(__xludf.DUMMYFUNCTION("""COMPUTED_VALUE"""),0)</f>
        <v>0</v>
      </c>
      <c r="N249" s="7">
        <f ca="1">IFERROR(__xludf.DUMMYFUNCTION("""COMPUTED_VALUE"""),0)</f>
        <v>0</v>
      </c>
      <c r="O249" s="7">
        <f ca="1">IFERROR(__xludf.DUMMYFUNCTION("""COMPUTED_VALUE"""),0)</f>
        <v>0</v>
      </c>
      <c r="P249" s="7">
        <f ca="1">IFERROR(__xludf.DUMMYFUNCTION("""COMPUTED_VALUE"""),190.4)</f>
        <v>190.4</v>
      </c>
      <c r="Q249" s="7">
        <f ca="1">IFERROR(__xludf.DUMMYFUNCTION("""COMPUTED_VALUE"""),0)</f>
        <v>0</v>
      </c>
      <c r="R249" s="7">
        <f ca="1">IFERROR(__xludf.DUMMYFUNCTION("""COMPUTED_VALUE"""),0)</f>
        <v>0</v>
      </c>
      <c r="S249" s="7">
        <f ca="1">IFERROR(__xludf.DUMMYFUNCTION("""COMPUTED_VALUE"""),0)</f>
        <v>0</v>
      </c>
      <c r="T249" s="7">
        <f ca="1">IFERROR(__xludf.DUMMYFUNCTION("""COMPUTED_VALUE"""),368.999999999999)</f>
        <v>368.99999999999898</v>
      </c>
      <c r="U249" s="61"/>
      <c r="V249" s="61"/>
      <c r="W249" s="61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IFERROR(__xludf.DUMMYFUNCTION("""COMPUTED_VALUE"""),"Lizarda")</f>
        <v>Lizarda</v>
      </c>
      <c r="C250" s="60" t="str">
        <f ca="1">IFERROR(__xludf.DUMMYFUNCTION("""COMPUTED_VALUE"""),"A. ESC. COMUN. DO COL. EST. 31 DE MARCO")</f>
        <v>A. ESC. COMUN. DO COL. EST. 31 DE MARCO</v>
      </c>
      <c r="D250" s="136" t="str">
        <f ca="1">IFERROR(__xludf.DUMMYFUNCTION("""COMPUTED_VALUE"""),"01232873000192")</f>
        <v>01232873000192</v>
      </c>
      <c r="E250" s="6" t="str">
        <f ca="1">IFERROR(__xludf.DUMMYFUNCTION("""COMPUTED_VALUE"""),"001")</f>
        <v>001</v>
      </c>
      <c r="F250" s="7" t="str">
        <f ca="1">IFERROR(__xludf.DUMMYFUNCTION("""COMPUTED_VALUE"""),"0862")</f>
        <v>0862</v>
      </c>
      <c r="G250" s="7" t="str">
        <f ca="1">IFERROR(__xludf.DUMMYFUNCTION("""COMPUTED_VALUE"""),"68969")</f>
        <v>68969</v>
      </c>
      <c r="H250" s="7">
        <f ca="1">IFERROR(__xludf.DUMMYFUNCTION("""COMPUTED_VALUE"""),0)</f>
        <v>0</v>
      </c>
      <c r="I250" s="7">
        <f ca="1">IFERROR(__xludf.DUMMYFUNCTION("""COMPUTED_VALUE"""),0)</f>
        <v>0</v>
      </c>
      <c r="J250" s="7">
        <f ca="1">IFERROR(__xludf.DUMMYFUNCTION("""COMPUTED_VALUE"""),1780)</f>
        <v>1780</v>
      </c>
      <c r="K250" s="7">
        <f ca="1">IFERROR(__xludf.DUMMYFUNCTION("""COMPUTED_VALUE"""),0)</f>
        <v>0</v>
      </c>
      <c r="L250" s="7">
        <f ca="1">IFERROR(__xludf.DUMMYFUNCTION("""COMPUTED_VALUE"""),0)</f>
        <v>0</v>
      </c>
      <c r="M250" s="7">
        <f ca="1">IFERROR(__xludf.DUMMYFUNCTION("""COMPUTED_VALUE"""),0)</f>
        <v>0</v>
      </c>
      <c r="N250" s="7">
        <f ca="1">IFERROR(__xludf.DUMMYFUNCTION("""COMPUTED_VALUE"""),0)</f>
        <v>0</v>
      </c>
      <c r="O250" s="7">
        <f ca="1">IFERROR(__xludf.DUMMYFUNCTION("""COMPUTED_VALUE"""),0)</f>
        <v>0</v>
      </c>
      <c r="P250" s="7">
        <f ca="1">IFERROR(__xludf.DUMMYFUNCTION("""COMPUTED_VALUE"""),149.6)</f>
        <v>149.6</v>
      </c>
      <c r="Q250" s="7">
        <f ca="1">IFERROR(__xludf.DUMMYFUNCTION("""COMPUTED_VALUE"""),1610)</f>
        <v>1610</v>
      </c>
      <c r="R250" s="7">
        <f ca="1">IFERROR(__xludf.DUMMYFUNCTION("""COMPUTED_VALUE"""),0)</f>
        <v>0</v>
      </c>
      <c r="S250" s="7">
        <f ca="1">IFERROR(__xludf.DUMMYFUNCTION("""COMPUTED_VALUE"""),0)</f>
        <v>0</v>
      </c>
      <c r="T250" s="7">
        <f ca="1">IFERROR(__xludf.DUMMYFUNCTION("""COMPUTED_VALUE"""),0)</f>
        <v>0</v>
      </c>
      <c r="U250" s="61"/>
      <c r="V250" s="61"/>
      <c r="W250" s="61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IFERROR(__xludf.DUMMYFUNCTION("""COMPUTED_VALUE"""),"Lizarda")</f>
        <v>Lizarda</v>
      </c>
      <c r="C251" s="60" t="str">
        <f ca="1">IFERROR(__xludf.DUMMYFUNCTION("""COMPUTED_VALUE"""),"ESCOLA ESTADUAL AYRTON SENNA")</f>
        <v>ESCOLA ESTADUAL AYRTON SENNA</v>
      </c>
      <c r="D251" s="136" t="str">
        <f ca="1">IFERROR(__xludf.DUMMYFUNCTION("""COMPUTED_VALUE"""),"11406586000105")</f>
        <v>11406586000105</v>
      </c>
      <c r="E251" s="6" t="str">
        <f ca="1">IFERROR(__xludf.DUMMYFUNCTION("""COMPUTED_VALUE"""),"001")</f>
        <v>001</v>
      </c>
      <c r="F251" s="7" t="str">
        <f ca="1">IFERROR(__xludf.DUMMYFUNCTION("""COMPUTED_VALUE"""),"0862")</f>
        <v>0862</v>
      </c>
      <c r="G251" s="7" t="str">
        <f ca="1">IFERROR(__xludf.DUMMYFUNCTION("""COMPUTED_VALUE"""),"270393")</f>
        <v>270393</v>
      </c>
      <c r="H251" s="7">
        <f ca="1">IFERROR(__xludf.DUMMYFUNCTION("""COMPUTED_VALUE"""),0)</f>
        <v>0</v>
      </c>
      <c r="I251" s="7">
        <f ca="1">IFERROR(__xludf.DUMMYFUNCTION("""COMPUTED_VALUE"""),0)</f>
        <v>0</v>
      </c>
      <c r="J251" s="7">
        <f ca="1">IFERROR(__xludf.DUMMYFUNCTION("""COMPUTED_VALUE"""),680)</f>
        <v>680</v>
      </c>
      <c r="K251" s="7">
        <f ca="1">IFERROR(__xludf.DUMMYFUNCTION("""COMPUTED_VALUE"""),0)</f>
        <v>0</v>
      </c>
      <c r="L251" s="7">
        <f ca="1">IFERROR(__xludf.DUMMYFUNCTION("""COMPUTED_VALUE"""),0)</f>
        <v>0</v>
      </c>
      <c r="M251" s="7">
        <f ca="1">IFERROR(__xludf.DUMMYFUNCTION("""COMPUTED_VALUE"""),0)</f>
        <v>0</v>
      </c>
      <c r="N251" s="7">
        <f ca="1">IFERROR(__xludf.DUMMYFUNCTION("""COMPUTED_VALUE"""),0)</f>
        <v>0</v>
      </c>
      <c r="O251" s="7">
        <f ca="1">IFERROR(__xludf.DUMMYFUNCTION("""COMPUTED_VALUE"""),0)</f>
        <v>0</v>
      </c>
      <c r="P251" s="7">
        <f ca="1">IFERROR(__xludf.DUMMYFUNCTION("""COMPUTED_VALUE"""),68)</f>
        <v>68</v>
      </c>
      <c r="Q251" s="7">
        <f ca="1">IFERROR(__xludf.DUMMYFUNCTION("""COMPUTED_VALUE"""),250)</f>
        <v>250</v>
      </c>
      <c r="R251" s="7">
        <f ca="1">IFERROR(__xludf.DUMMYFUNCTION("""COMPUTED_VALUE"""),0)</f>
        <v>0</v>
      </c>
      <c r="S251" s="7">
        <f ca="1">IFERROR(__xludf.DUMMYFUNCTION("""COMPUTED_VALUE"""),0)</f>
        <v>0</v>
      </c>
      <c r="T251" s="7">
        <f ca="1">IFERROR(__xludf.DUMMYFUNCTION("""COMPUTED_VALUE"""),0)</f>
        <v>0</v>
      </c>
      <c r="U251" s="61"/>
      <c r="V251" s="61"/>
      <c r="W251" s="61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0" t="str">
        <f ca="1">IFERROR(__xludf.DUMMYFUNCTION("""COMPUTED_VALUE"""),"ASSOCIAÇÃO DE APOIO ÀS ESCOLAS INDIGENAS XERENTE")</f>
        <v>ASSOCIAÇÃO DE APOIO ÀS ESCOLAS INDIGENAS XERENTE</v>
      </c>
      <c r="D252" s="136" t="str">
        <f ca="1">IFERROR(__xludf.DUMMYFUNCTION("""COMPUTED_VALUE"""),"07671600000120")</f>
        <v>07671600000120</v>
      </c>
      <c r="E252" s="6" t="str">
        <f ca="1">IFERROR(__xludf.DUMMYFUNCTION("""COMPUTED_VALUE"""),"001")</f>
        <v>001</v>
      </c>
      <c r="F252" s="7" t="str">
        <f ca="1">IFERROR(__xludf.DUMMYFUNCTION("""COMPUTED_VALUE"""),"0862")</f>
        <v>0862</v>
      </c>
      <c r="G252" s="7" t="str">
        <f ca="1">IFERROR(__xludf.DUMMYFUNCTION("""COMPUTED_VALUE"""),"185884")</f>
        <v>185884</v>
      </c>
      <c r="H252" s="7">
        <f ca="1">IFERROR(__xludf.DUMMYFUNCTION("""COMPUTED_VALUE"""),0)</f>
        <v>0</v>
      </c>
      <c r="I252" s="7">
        <f ca="1">IFERROR(__xludf.DUMMYFUNCTION("""COMPUTED_VALUE"""),0)</f>
        <v>0</v>
      </c>
      <c r="J252" s="7">
        <f ca="1">IFERROR(__xludf.DUMMYFUNCTION("""COMPUTED_VALUE"""),0)</f>
        <v>0</v>
      </c>
      <c r="K252" s="7">
        <f ca="1">IFERROR(__xludf.DUMMYFUNCTION("""COMPUTED_VALUE"""),0)</f>
        <v>0</v>
      </c>
      <c r="L252" s="7">
        <f ca="1">IFERROR(__xludf.DUMMYFUNCTION("""COMPUTED_VALUE"""),0)</f>
        <v>0</v>
      </c>
      <c r="M252" s="7">
        <f ca="1">IFERROR(__xludf.DUMMYFUNCTION("""COMPUTED_VALUE"""),0)</f>
        <v>0</v>
      </c>
      <c r="N252" s="7">
        <f ca="1">IFERROR(__xludf.DUMMYFUNCTION("""COMPUTED_VALUE"""),0)</f>
        <v>0</v>
      </c>
      <c r="O252" s="7">
        <f ca="1">IFERROR(__xludf.DUMMYFUNCTION("""COMPUTED_VALUE"""),18816.8)</f>
        <v>18816.8</v>
      </c>
      <c r="P252" s="7">
        <f ca="1">IFERROR(__xludf.DUMMYFUNCTION("""COMPUTED_VALUE"""),0)</f>
        <v>0</v>
      </c>
      <c r="Q252" s="7">
        <f ca="1">IFERROR(__xludf.DUMMYFUNCTION("""COMPUTED_VALUE"""),0)</f>
        <v>0</v>
      </c>
      <c r="R252" s="7">
        <f ca="1">IFERROR(__xludf.DUMMYFUNCTION("""COMPUTED_VALUE"""),0)</f>
        <v>0</v>
      </c>
      <c r="S252" s="7">
        <f ca="1">IFERROR(__xludf.DUMMYFUNCTION("""COMPUTED_VALUE"""),0)</f>
        <v>0</v>
      </c>
      <c r="T252" s="7">
        <f ca="1">IFERROR(__xludf.DUMMYFUNCTION("""COMPUTED_VALUE"""),0)</f>
        <v>0</v>
      </c>
      <c r="U252" s="61"/>
      <c r="V252" s="61"/>
      <c r="W252" s="61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0" t="str">
        <f ca="1">IFERROR(__xludf.DUMMYFUNCTION("""COMPUTED_VALUE"""),"ASSOC ESC COM COL EST FILOMENA MOREIRA DE PAULA")</f>
        <v>ASSOC ESC COM COL EST FILOMENA MOREIRA DE PAULA</v>
      </c>
      <c r="D253" s="136" t="str">
        <f ca="1">IFERROR(__xludf.DUMMYFUNCTION("""COMPUTED_VALUE"""),"00900200000109")</f>
        <v>00900200000109</v>
      </c>
      <c r="E253" s="6" t="str">
        <f ca="1">IFERROR(__xludf.DUMMYFUNCTION("""COMPUTED_VALUE"""),"001")</f>
        <v>001</v>
      </c>
      <c r="F253" s="7" t="str">
        <f ca="1">IFERROR(__xludf.DUMMYFUNCTION("""COMPUTED_VALUE"""),"0862")</f>
        <v>0862</v>
      </c>
      <c r="G253" s="7" t="str">
        <f ca="1">IFERROR(__xludf.DUMMYFUNCTION("""COMPUTED_VALUE"""),"97527")</f>
        <v>97527</v>
      </c>
      <c r="H253" s="7">
        <f ca="1">IFERROR(__xludf.DUMMYFUNCTION("""COMPUTED_VALUE"""),0)</f>
        <v>0</v>
      </c>
      <c r="I253" s="7">
        <f ca="1">IFERROR(__xludf.DUMMYFUNCTION("""COMPUTED_VALUE"""),0)</f>
        <v>0</v>
      </c>
      <c r="J253" s="7">
        <f ca="1">IFERROR(__xludf.DUMMYFUNCTION("""COMPUTED_VALUE"""),0)</f>
        <v>0</v>
      </c>
      <c r="K253" s="7">
        <f ca="1">IFERROR(__xludf.DUMMYFUNCTION("""COMPUTED_VALUE"""),0)</f>
        <v>0</v>
      </c>
      <c r="L253" s="7">
        <f ca="1">IFERROR(__xludf.DUMMYFUNCTION("""COMPUTED_VALUE"""),0)</f>
        <v>0</v>
      </c>
      <c r="M253" s="7">
        <f ca="1">IFERROR(__xludf.DUMMYFUNCTION("""COMPUTED_VALUE"""),0)</f>
        <v>0</v>
      </c>
      <c r="N253" s="7">
        <f ca="1">IFERROR(__xludf.DUMMYFUNCTION("""COMPUTED_VALUE"""),0)</f>
        <v>0</v>
      </c>
      <c r="O253" s="7">
        <f ca="1">IFERROR(__xludf.DUMMYFUNCTION("""COMPUTED_VALUE"""),0)</f>
        <v>0</v>
      </c>
      <c r="P253" s="7">
        <f ca="1">IFERROR(__xludf.DUMMYFUNCTION("""COMPUTED_VALUE"""),204)</f>
        <v>204</v>
      </c>
      <c r="Q253" s="7">
        <f ca="1">IFERROR(__xludf.DUMMYFUNCTION("""COMPUTED_VALUE"""),0)</f>
        <v>0</v>
      </c>
      <c r="R253" s="7">
        <f ca="1">IFERROR(__xludf.DUMMYFUNCTION("""COMPUTED_VALUE"""),0)</f>
        <v>0</v>
      </c>
      <c r="S253" s="7">
        <f ca="1">IFERROR(__xludf.DUMMYFUNCTION("""COMPUTED_VALUE"""),5580.8)</f>
        <v>5580.8</v>
      </c>
      <c r="T253" s="7">
        <f ca="1">IFERROR(__xludf.DUMMYFUNCTION("""COMPUTED_VALUE"""),0)</f>
        <v>0</v>
      </c>
      <c r="U253" s="61"/>
      <c r="V253" s="61"/>
      <c r="W253" s="61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0" t="str">
        <f ca="1">IFERROR(__xludf.DUMMYFUNCTION("""COMPUTED_VALUE"""),"ASS. DE APOIO AO CEM SANTA TEREZINHA")</f>
        <v>ASS. DE APOIO AO CEM SANTA TEREZINHA</v>
      </c>
      <c r="D254" s="136" t="str">
        <f ca="1">IFERROR(__xludf.DUMMYFUNCTION("""COMPUTED_VALUE"""),"01085211000137")</f>
        <v>01085211000137</v>
      </c>
      <c r="E254" s="6" t="str">
        <f ca="1">IFERROR(__xludf.DUMMYFUNCTION("""COMPUTED_VALUE"""),"001")</f>
        <v>001</v>
      </c>
      <c r="F254" s="7" t="str">
        <f ca="1">IFERROR(__xludf.DUMMYFUNCTION("""COMPUTED_VALUE"""),"0862")</f>
        <v>0862</v>
      </c>
      <c r="G254" s="7" t="str">
        <f ca="1">IFERROR(__xludf.DUMMYFUNCTION("""COMPUTED_VALUE"""),"244589")</f>
        <v>244589</v>
      </c>
      <c r="H254" s="7">
        <f ca="1">IFERROR(__xludf.DUMMYFUNCTION("""COMPUTED_VALUE"""),0)</f>
        <v>0</v>
      </c>
      <c r="I254" s="7">
        <f ca="1">IFERROR(__xludf.DUMMYFUNCTION("""COMPUTED_VALUE"""),0)</f>
        <v>0</v>
      </c>
      <c r="J254" s="7">
        <f ca="1">IFERROR(__xludf.DUMMYFUNCTION("""COMPUTED_VALUE"""),2810)</f>
        <v>2810</v>
      </c>
      <c r="K254" s="7">
        <f ca="1">IFERROR(__xludf.DUMMYFUNCTION("""COMPUTED_VALUE"""),0)</f>
        <v>0</v>
      </c>
      <c r="L254" s="7">
        <f ca="1">IFERROR(__xludf.DUMMYFUNCTION("""COMPUTED_VALUE"""),0)</f>
        <v>0</v>
      </c>
      <c r="M254" s="7">
        <f ca="1">IFERROR(__xludf.DUMMYFUNCTION("""COMPUTED_VALUE"""),0)</f>
        <v>0</v>
      </c>
      <c r="N254" s="7">
        <f ca="1">IFERROR(__xludf.DUMMYFUNCTION("""COMPUTED_VALUE"""),0)</f>
        <v>0</v>
      </c>
      <c r="O254" s="7">
        <f ca="1">IFERROR(__xludf.DUMMYFUNCTION("""COMPUTED_VALUE"""),0)</f>
        <v>0</v>
      </c>
      <c r="P254" s="7">
        <f ca="1">IFERROR(__xludf.DUMMYFUNCTION("""COMPUTED_VALUE"""),272)</f>
        <v>272</v>
      </c>
      <c r="Q254" s="7">
        <f ca="1">IFERROR(__xludf.DUMMYFUNCTION("""COMPUTED_VALUE"""),1700)</f>
        <v>1700</v>
      </c>
      <c r="R254" s="7">
        <f ca="1">IFERROR(__xludf.DUMMYFUNCTION("""COMPUTED_VALUE"""),0)</f>
        <v>0</v>
      </c>
      <c r="S254" s="7">
        <f ca="1">IFERROR(__xludf.DUMMYFUNCTION("""COMPUTED_VALUE"""),0)</f>
        <v>0</v>
      </c>
      <c r="T254" s="7">
        <f ca="1">IFERROR(__xludf.DUMMYFUNCTION("""COMPUTED_VALUE"""),0)</f>
        <v>0</v>
      </c>
      <c r="U254" s="61"/>
      <c r="V254" s="61"/>
      <c r="W254" s="61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0" t="str">
        <f ca="1">IFERROR(__xludf.DUMMYFUNCTION("""COMPUTED_VALUE"""),"SOCIEDADE EDUCADORA FEMININA/COLÉGIO TOCANTINS")</f>
        <v>SOCIEDADE EDUCADORA FEMININA/COLÉGIO TOCANTINS</v>
      </c>
      <c r="D255" s="136" t="str">
        <f ca="1">IFERROR(__xludf.DUMMYFUNCTION("""COMPUTED_VALUE"""),"61373585000694")</f>
        <v>61373585000694</v>
      </c>
      <c r="E255" s="6" t="str">
        <f ca="1">IFERROR(__xludf.DUMMYFUNCTION("""COMPUTED_VALUE"""),"001")</f>
        <v>001</v>
      </c>
      <c r="F255" s="7" t="str">
        <f ca="1">IFERROR(__xludf.DUMMYFUNCTION("""COMPUTED_VALUE"""),"0862")</f>
        <v>0862</v>
      </c>
      <c r="G255" s="7" t="str">
        <f ca="1">IFERROR(__xludf.DUMMYFUNCTION("""COMPUTED_VALUE"""),"69086")</f>
        <v>69086</v>
      </c>
      <c r="H255" s="7">
        <f ca="1">IFERROR(__xludf.DUMMYFUNCTION("""COMPUTED_VALUE"""),0)</f>
        <v>0</v>
      </c>
      <c r="I255" s="7">
        <f ca="1">IFERROR(__xludf.DUMMYFUNCTION("""COMPUTED_VALUE"""),0)</f>
        <v>0</v>
      </c>
      <c r="J255" s="7">
        <f ca="1">IFERROR(__xludf.DUMMYFUNCTION("""COMPUTED_VALUE"""),2380)</f>
        <v>2380</v>
      </c>
      <c r="K255" s="7">
        <f ca="1">IFERROR(__xludf.DUMMYFUNCTION("""COMPUTED_VALUE"""),0)</f>
        <v>0</v>
      </c>
      <c r="L255" s="7">
        <f ca="1">IFERROR(__xludf.DUMMYFUNCTION("""COMPUTED_VALUE"""),0)</f>
        <v>0</v>
      </c>
      <c r="M255" s="7">
        <f ca="1">IFERROR(__xludf.DUMMYFUNCTION("""COMPUTED_VALUE"""),0)</f>
        <v>0</v>
      </c>
      <c r="N255" s="7">
        <f ca="1">IFERROR(__xludf.DUMMYFUNCTION("""COMPUTED_VALUE"""),0)</f>
        <v>0</v>
      </c>
      <c r="O255" s="7">
        <f ca="1">IFERROR(__xludf.DUMMYFUNCTION("""COMPUTED_VALUE"""),0)</f>
        <v>0</v>
      </c>
      <c r="P255" s="7">
        <f ca="1">IFERROR(__xludf.DUMMYFUNCTION("""COMPUTED_VALUE"""),176.799999999999)</f>
        <v>176.79999999999899</v>
      </c>
      <c r="Q255" s="7">
        <f ca="1">IFERROR(__xludf.DUMMYFUNCTION("""COMPUTED_VALUE"""),2380)</f>
        <v>2380</v>
      </c>
      <c r="R255" s="7">
        <f ca="1">IFERROR(__xludf.DUMMYFUNCTION("""COMPUTED_VALUE"""),0)</f>
        <v>0</v>
      </c>
      <c r="S255" s="7">
        <f ca="1">IFERROR(__xludf.DUMMYFUNCTION("""COMPUTED_VALUE"""),0)</f>
        <v>0</v>
      </c>
      <c r="T255" s="7">
        <f ca="1">IFERROR(__xludf.DUMMYFUNCTION("""COMPUTED_VALUE"""),0)</f>
        <v>0</v>
      </c>
      <c r="U255" s="61"/>
      <c r="V255" s="61"/>
      <c r="W255" s="61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IFERROR(__xludf.DUMMYFUNCTION("""COMPUTED_VALUE"""),"Miracema do Tocantins")</f>
        <v>Miracema do Tocantins</v>
      </c>
      <c r="C256" s="60" t="str">
        <f ca="1">IFERROR(__xludf.DUMMYFUNCTION("""COMPUTED_VALUE"""),"A.P.A.DOS EXECEPCIONAIS DE MIRACEMA - APAE")</f>
        <v>A.P.A.DOS EXECEPCIONAIS DE MIRACEMA - APAE</v>
      </c>
      <c r="D256" s="136" t="str">
        <f ca="1">IFERROR(__xludf.DUMMYFUNCTION("""COMPUTED_VALUE"""),"38146965000160")</f>
        <v>38146965000160</v>
      </c>
      <c r="E256" s="6" t="str">
        <f ca="1">IFERROR(__xludf.DUMMYFUNCTION("""COMPUTED_VALUE"""),"001")</f>
        <v>001</v>
      </c>
      <c r="F256" s="7" t="str">
        <f ca="1">IFERROR(__xludf.DUMMYFUNCTION("""COMPUTED_VALUE"""),"0862")</f>
        <v>0862</v>
      </c>
      <c r="G256" s="7" t="str">
        <f ca="1">IFERROR(__xludf.DUMMYFUNCTION("""COMPUTED_VALUE"""),"93734")</f>
        <v>93734</v>
      </c>
      <c r="H256" s="7">
        <f ca="1">IFERROR(__xludf.DUMMYFUNCTION("""COMPUTED_VALUE"""),0)</f>
        <v>0</v>
      </c>
      <c r="I256" s="7">
        <f ca="1">IFERROR(__xludf.DUMMYFUNCTION("""COMPUTED_VALUE"""),244.8)</f>
        <v>244.8</v>
      </c>
      <c r="J256" s="7">
        <f ca="1">IFERROR(__xludf.DUMMYFUNCTION("""COMPUTED_VALUE"""),240)</f>
        <v>240</v>
      </c>
      <c r="K256" s="7">
        <f ca="1">IFERROR(__xludf.DUMMYFUNCTION("""COMPUTED_VALUE"""),0)</f>
        <v>0</v>
      </c>
      <c r="L256" s="7">
        <f ca="1">IFERROR(__xludf.DUMMYFUNCTION("""COMPUTED_VALUE"""),0)</f>
        <v>0</v>
      </c>
      <c r="M256" s="7">
        <f ca="1">IFERROR(__xludf.DUMMYFUNCTION("""COMPUTED_VALUE"""),0)</f>
        <v>0</v>
      </c>
      <c r="N256" s="7">
        <f ca="1">IFERROR(__xludf.DUMMYFUNCTION("""COMPUTED_VALUE"""),0)</f>
        <v>0</v>
      </c>
      <c r="O256" s="7">
        <f ca="1">IFERROR(__xludf.DUMMYFUNCTION("""COMPUTED_VALUE"""),0)</f>
        <v>0</v>
      </c>
      <c r="P256" s="7">
        <f ca="1">IFERROR(__xludf.DUMMYFUNCTION("""COMPUTED_VALUE"""),163.2)</f>
        <v>163.19999999999999</v>
      </c>
      <c r="Q256" s="7">
        <f ca="1">IFERROR(__xludf.DUMMYFUNCTION("""COMPUTED_VALUE"""),0)</f>
        <v>0</v>
      </c>
      <c r="R256" s="7">
        <f ca="1">IFERROR(__xludf.DUMMYFUNCTION("""COMPUTED_VALUE"""),0)</f>
        <v>0</v>
      </c>
      <c r="S256" s="7">
        <f ca="1">IFERROR(__xludf.DUMMYFUNCTION("""COMPUTED_VALUE"""),0)</f>
        <v>0</v>
      </c>
      <c r="T256" s="7">
        <f ca="1">IFERROR(__xludf.DUMMYFUNCTION("""COMPUTED_VALUE"""),590.4)</f>
        <v>590.4</v>
      </c>
      <c r="U256" s="61"/>
      <c r="V256" s="61"/>
      <c r="W256" s="61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IFERROR(__xludf.DUMMYFUNCTION("""COMPUTED_VALUE"""),"Miracema do Tocantins")</f>
        <v>Miracema do Tocantins</v>
      </c>
      <c r="C257" s="60" t="str">
        <f ca="1">IFERROR(__xludf.DUMMYFUNCTION("""COMPUTED_VALUE"""),"A.COM.DA ESC. EST. JOSE D. VASCONCELOS")</f>
        <v>A.COM.DA ESC. EST. JOSE D. VASCONCELOS</v>
      </c>
      <c r="D257" s="136" t="str">
        <f ca="1">IFERROR(__xludf.DUMMYFUNCTION("""COMPUTED_VALUE"""),"01068379000134")</f>
        <v>01068379000134</v>
      </c>
      <c r="E257" s="6" t="str">
        <f ca="1">IFERROR(__xludf.DUMMYFUNCTION("""COMPUTED_VALUE"""),"001")</f>
        <v>001</v>
      </c>
      <c r="F257" s="7" t="str">
        <f ca="1">IFERROR(__xludf.DUMMYFUNCTION("""COMPUTED_VALUE"""),"0862")</f>
        <v>0862</v>
      </c>
      <c r="G257" s="7" t="str">
        <f ca="1">IFERROR(__xludf.DUMMYFUNCTION("""COMPUTED_VALUE"""),"69035")</f>
        <v>69035</v>
      </c>
      <c r="H257" s="7">
        <f ca="1">IFERROR(__xludf.DUMMYFUNCTION("""COMPUTED_VALUE"""),0)</f>
        <v>0</v>
      </c>
      <c r="I257" s="7">
        <f ca="1">IFERROR(__xludf.DUMMYFUNCTION("""COMPUTED_VALUE"""),0)</f>
        <v>0</v>
      </c>
      <c r="J257" s="7">
        <f ca="1">IFERROR(__xludf.DUMMYFUNCTION("""COMPUTED_VALUE"""),1570)</f>
        <v>1570</v>
      </c>
      <c r="K257" s="7">
        <f ca="1">IFERROR(__xludf.DUMMYFUNCTION("""COMPUTED_VALUE"""),0)</f>
        <v>0</v>
      </c>
      <c r="L257" s="7">
        <f ca="1">IFERROR(__xludf.DUMMYFUNCTION("""COMPUTED_VALUE"""),0)</f>
        <v>0</v>
      </c>
      <c r="M257" s="7">
        <f ca="1">IFERROR(__xludf.DUMMYFUNCTION("""COMPUTED_VALUE"""),0)</f>
        <v>0</v>
      </c>
      <c r="N257" s="7">
        <f ca="1">IFERROR(__xludf.DUMMYFUNCTION("""COMPUTED_VALUE"""),0)</f>
        <v>0</v>
      </c>
      <c r="O257" s="7">
        <f ca="1">IFERROR(__xludf.DUMMYFUNCTION("""COMPUTED_VALUE"""),0)</f>
        <v>0</v>
      </c>
      <c r="P257" s="7">
        <f ca="1">IFERROR(__xludf.DUMMYFUNCTION("""COMPUTED_VALUE"""),244.799999999999)</f>
        <v>244.79999999999899</v>
      </c>
      <c r="Q257" s="7">
        <f ca="1">IFERROR(__xludf.DUMMYFUNCTION("""COMPUTED_VALUE"""),2380)</f>
        <v>2380</v>
      </c>
      <c r="R257" s="7">
        <f ca="1">IFERROR(__xludf.DUMMYFUNCTION("""COMPUTED_VALUE"""),0)</f>
        <v>0</v>
      </c>
      <c r="S257" s="7">
        <f ca="1">IFERROR(__xludf.DUMMYFUNCTION("""COMPUTED_VALUE"""),0)</f>
        <v>0</v>
      </c>
      <c r="T257" s="7">
        <f ca="1">IFERROR(__xludf.DUMMYFUNCTION("""COMPUTED_VALUE"""),41)</f>
        <v>41</v>
      </c>
      <c r="U257" s="61"/>
      <c r="V257" s="61"/>
      <c r="W257" s="61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IFERROR(__xludf.DUMMYFUNCTION("""COMPUTED_VALUE"""),"Miracema do Tocantins")</f>
        <v>Miracema do Tocantins</v>
      </c>
      <c r="C258" s="60" t="str">
        <f ca="1">IFERROR(__xludf.DUMMYFUNCTION("""COMPUTED_VALUE"""),"A.P.M.A. ESC. CONV. ONESINA BANDEIRA")</f>
        <v>A.P.M.A. ESC. CONV. ONESINA BANDEIRA</v>
      </c>
      <c r="D258" s="136" t="str">
        <f ca="1">IFERROR(__xludf.DUMMYFUNCTION("""COMPUTED_VALUE"""),"01133700000117")</f>
        <v>01133700000117</v>
      </c>
      <c r="E258" s="6" t="str">
        <f ca="1">IFERROR(__xludf.DUMMYFUNCTION("""COMPUTED_VALUE"""),"001")</f>
        <v>001</v>
      </c>
      <c r="F258" s="7" t="str">
        <f ca="1">IFERROR(__xludf.DUMMYFUNCTION("""COMPUTED_VALUE"""),"0862")</f>
        <v>0862</v>
      </c>
      <c r="G258" s="7" t="str">
        <f ca="1">IFERROR(__xludf.DUMMYFUNCTION("""COMPUTED_VALUE"""),"69051")</f>
        <v>69051</v>
      </c>
      <c r="H258" s="7">
        <f ca="1">IFERROR(__xludf.DUMMYFUNCTION("""COMPUTED_VALUE"""),0)</f>
        <v>0</v>
      </c>
      <c r="I258" s="7">
        <f ca="1">IFERROR(__xludf.DUMMYFUNCTION("""COMPUTED_VALUE"""),0)</f>
        <v>0</v>
      </c>
      <c r="J258" s="7">
        <f ca="1">IFERROR(__xludf.DUMMYFUNCTION("""COMPUTED_VALUE"""),7760)</f>
        <v>7760</v>
      </c>
      <c r="K258" s="7">
        <f ca="1">IFERROR(__xludf.DUMMYFUNCTION("""COMPUTED_VALUE"""),0)</f>
        <v>0</v>
      </c>
      <c r="L258" s="7">
        <f ca="1">IFERROR(__xludf.DUMMYFUNCTION("""COMPUTED_VALUE"""),0)</f>
        <v>0</v>
      </c>
      <c r="M258" s="7">
        <f ca="1">IFERROR(__xludf.DUMMYFUNCTION("""COMPUTED_VALUE"""),0)</f>
        <v>0</v>
      </c>
      <c r="N258" s="7">
        <f ca="1">IFERROR(__xludf.DUMMYFUNCTION("""COMPUTED_VALUE"""),0)</f>
        <v>0</v>
      </c>
      <c r="O258" s="7">
        <f ca="1">IFERROR(__xludf.DUMMYFUNCTION("""COMPUTED_VALUE"""),0)</f>
        <v>0</v>
      </c>
      <c r="P258" s="7">
        <f ca="1">IFERROR(__xludf.DUMMYFUNCTION("""COMPUTED_VALUE"""),516.8)</f>
        <v>516.79999999999995</v>
      </c>
      <c r="Q258" s="7">
        <f ca="1">IFERROR(__xludf.DUMMYFUNCTION("""COMPUTED_VALUE"""),1000)</f>
        <v>1000</v>
      </c>
      <c r="R258" s="7">
        <f ca="1">IFERROR(__xludf.DUMMYFUNCTION("""COMPUTED_VALUE"""),0)</f>
        <v>0</v>
      </c>
      <c r="S258" s="7">
        <f ca="1">IFERROR(__xludf.DUMMYFUNCTION("""COMPUTED_VALUE"""),0)</f>
        <v>0</v>
      </c>
      <c r="T258" s="7">
        <f ca="1">IFERROR(__xludf.DUMMYFUNCTION("""COMPUTED_VALUE"""),2886.39999999999)</f>
        <v>2886.3999999999901</v>
      </c>
      <c r="U258" s="61"/>
      <c r="V258" s="61"/>
      <c r="W258" s="61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IFERROR(__xludf.DUMMYFUNCTION("""COMPUTED_VALUE"""),"Miracema do Tocantins")</f>
        <v>Miracema do Tocantins</v>
      </c>
      <c r="C259" s="60" t="str">
        <f ca="1">IFERROR(__xludf.DUMMYFUNCTION("""COMPUTED_VALUE"""),"A.A.  DA ESCOLA ESTADUAL OSCAR SARDINHA")</f>
        <v>A.A.  DA ESCOLA ESTADUAL OSCAR SARDINHA</v>
      </c>
      <c r="D259" s="136" t="str">
        <f ca="1">IFERROR(__xludf.DUMMYFUNCTION("""COMPUTED_VALUE"""),"01197158000166")</f>
        <v>01197158000166</v>
      </c>
      <c r="E259" s="6" t="str">
        <f ca="1">IFERROR(__xludf.DUMMYFUNCTION("""COMPUTED_VALUE"""),"001")</f>
        <v>001</v>
      </c>
      <c r="F259" s="7" t="str">
        <f ca="1">IFERROR(__xludf.DUMMYFUNCTION("""COMPUTED_VALUE"""),"0862")</f>
        <v>0862</v>
      </c>
      <c r="G259" s="7" t="str">
        <f ca="1">IFERROR(__xludf.DUMMYFUNCTION("""COMPUTED_VALUE"""),"6906X")</f>
        <v>6906X</v>
      </c>
      <c r="H259" s="7">
        <f ca="1">IFERROR(__xludf.DUMMYFUNCTION("""COMPUTED_VALUE"""),0)</f>
        <v>0</v>
      </c>
      <c r="I259" s="7">
        <f ca="1">IFERROR(__xludf.DUMMYFUNCTION("""COMPUTED_VALUE"""),0)</f>
        <v>0</v>
      </c>
      <c r="J259" s="7">
        <f ca="1">IFERROR(__xludf.DUMMYFUNCTION("""COMPUTED_VALUE"""),940)</f>
        <v>940</v>
      </c>
      <c r="K259" s="7">
        <f ca="1">IFERROR(__xludf.DUMMYFUNCTION("""COMPUTED_VALUE"""),0)</f>
        <v>0</v>
      </c>
      <c r="L259" s="7">
        <f ca="1">IFERROR(__xludf.DUMMYFUNCTION("""COMPUTED_VALUE"""),0)</f>
        <v>0</v>
      </c>
      <c r="M259" s="7">
        <f ca="1">IFERROR(__xludf.DUMMYFUNCTION("""COMPUTED_VALUE"""),0)</f>
        <v>0</v>
      </c>
      <c r="N259" s="7">
        <f ca="1">IFERROR(__xludf.DUMMYFUNCTION("""COMPUTED_VALUE"""),0)</f>
        <v>0</v>
      </c>
      <c r="O259" s="7">
        <f ca="1">IFERROR(__xludf.DUMMYFUNCTION("""COMPUTED_VALUE"""),0)</f>
        <v>0</v>
      </c>
      <c r="P259" s="7">
        <f ca="1">IFERROR(__xludf.DUMMYFUNCTION("""COMPUTED_VALUE"""),136)</f>
        <v>136</v>
      </c>
      <c r="Q259" s="7">
        <f ca="1">IFERROR(__xludf.DUMMYFUNCTION("""COMPUTED_VALUE"""),0)</f>
        <v>0</v>
      </c>
      <c r="R259" s="7">
        <f ca="1">IFERROR(__xludf.DUMMYFUNCTION("""COMPUTED_VALUE"""),0)</f>
        <v>0</v>
      </c>
      <c r="S259" s="7">
        <f ca="1">IFERROR(__xludf.DUMMYFUNCTION("""COMPUTED_VALUE"""),0)</f>
        <v>0</v>
      </c>
      <c r="T259" s="7">
        <f ca="1">IFERROR(__xludf.DUMMYFUNCTION("""COMPUTED_VALUE"""),0)</f>
        <v>0</v>
      </c>
      <c r="U259" s="61"/>
      <c r="V259" s="61"/>
      <c r="W259" s="61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IFERROR(__xludf.DUMMYFUNCTION("""COMPUTED_VALUE"""),"Miranorte")</f>
        <v>Miranorte</v>
      </c>
      <c r="C260" s="60" t="str">
        <f ca="1">IFERROR(__xludf.DUMMYFUNCTION("""COMPUTED_VALUE"""),"ASSOC. COM. DO COL. RUI BRASIL CAVALCANTE")</f>
        <v>ASSOC. COM. DO COL. RUI BRASIL CAVALCANTE</v>
      </c>
      <c r="D260" s="136" t="str">
        <f ca="1">IFERROR(__xludf.DUMMYFUNCTION("""COMPUTED_VALUE"""),"01112765000186")</f>
        <v>01112765000186</v>
      </c>
      <c r="E260" s="6" t="str">
        <f ca="1">IFERROR(__xludf.DUMMYFUNCTION("""COMPUTED_VALUE"""),"001")</f>
        <v>001</v>
      </c>
      <c r="F260" s="7" t="str">
        <f ca="1">IFERROR(__xludf.DUMMYFUNCTION("""COMPUTED_VALUE"""),"4560")</f>
        <v>4560</v>
      </c>
      <c r="G260" s="7" t="str">
        <f ca="1">IFERROR(__xludf.DUMMYFUNCTION("""COMPUTED_VALUE"""),"78905")</f>
        <v>78905</v>
      </c>
      <c r="H260" s="7">
        <f ca="1">IFERROR(__xludf.DUMMYFUNCTION("""COMPUTED_VALUE"""),0)</f>
        <v>0</v>
      </c>
      <c r="I260" s="7">
        <f ca="1">IFERROR(__xludf.DUMMYFUNCTION("""COMPUTED_VALUE"""),0)</f>
        <v>0</v>
      </c>
      <c r="J260" s="7">
        <f ca="1">IFERROR(__xludf.DUMMYFUNCTION("""COMPUTED_VALUE"""),0)</f>
        <v>0</v>
      </c>
      <c r="K260" s="7">
        <f ca="1">IFERROR(__xludf.DUMMYFUNCTION("""COMPUTED_VALUE"""),0)</f>
        <v>0</v>
      </c>
      <c r="L260" s="7">
        <f ca="1">IFERROR(__xludf.DUMMYFUNCTION("""COMPUTED_VALUE"""),0)</f>
        <v>0</v>
      </c>
      <c r="M260" s="7">
        <f ca="1">IFERROR(__xludf.DUMMYFUNCTION("""COMPUTED_VALUE"""),0)</f>
        <v>0</v>
      </c>
      <c r="N260" s="7">
        <f ca="1">IFERROR(__xludf.DUMMYFUNCTION("""COMPUTED_VALUE"""),0)</f>
        <v>0</v>
      </c>
      <c r="O260" s="7">
        <f ca="1">IFERROR(__xludf.DUMMYFUNCTION("""COMPUTED_VALUE"""),0)</f>
        <v>0</v>
      </c>
      <c r="P260" s="7">
        <f ca="1">IFERROR(__xludf.DUMMYFUNCTION("""COMPUTED_VALUE"""),244.799999999999)</f>
        <v>244.79999999999899</v>
      </c>
      <c r="Q260" s="7">
        <f ca="1">IFERROR(__xludf.DUMMYFUNCTION("""COMPUTED_VALUE"""),4760)</f>
        <v>4760</v>
      </c>
      <c r="R260" s="7">
        <f ca="1">IFERROR(__xludf.DUMMYFUNCTION("""COMPUTED_VALUE"""),0)</f>
        <v>0</v>
      </c>
      <c r="S260" s="7">
        <f ca="1">IFERROR(__xludf.DUMMYFUNCTION("""COMPUTED_VALUE"""),0)</f>
        <v>0</v>
      </c>
      <c r="T260" s="7">
        <f ca="1">IFERROR(__xludf.DUMMYFUNCTION("""COMPUTED_VALUE"""),606.8)</f>
        <v>606.79999999999995</v>
      </c>
      <c r="U260" s="61"/>
      <c r="V260" s="61"/>
      <c r="W260" s="61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IFERROR(__xludf.DUMMYFUNCTION("""COMPUTED_VALUE"""),"Miranorte")</f>
        <v>Miranorte</v>
      </c>
      <c r="C261" s="60" t="str">
        <f ca="1">IFERROR(__xludf.DUMMYFUNCTION("""COMPUTED_VALUE"""),"A.A. C.E.NOSSA SENHORA DA PROVIDENCIA")</f>
        <v>A.A. C.E.NOSSA SENHORA DA PROVIDENCIA</v>
      </c>
      <c r="D261" s="136" t="str">
        <f ca="1">IFERROR(__xludf.DUMMYFUNCTION("""COMPUTED_VALUE"""),"01190186000151")</f>
        <v>01190186000151</v>
      </c>
      <c r="E261" s="6" t="str">
        <f ca="1">IFERROR(__xludf.DUMMYFUNCTION("""COMPUTED_VALUE"""),"001")</f>
        <v>001</v>
      </c>
      <c r="F261" s="7" t="str">
        <f ca="1">IFERROR(__xludf.DUMMYFUNCTION("""COMPUTED_VALUE"""),"4560")</f>
        <v>4560</v>
      </c>
      <c r="G261" s="7" t="str">
        <f ca="1">IFERROR(__xludf.DUMMYFUNCTION("""COMPUTED_VALUE"""),"7778X")</f>
        <v>7778X</v>
      </c>
      <c r="H261" s="7">
        <f ca="1">IFERROR(__xludf.DUMMYFUNCTION("""COMPUTED_VALUE"""),0)</f>
        <v>0</v>
      </c>
      <c r="I261" s="7">
        <f ca="1">IFERROR(__xludf.DUMMYFUNCTION("""COMPUTED_VALUE"""),0)</f>
        <v>0</v>
      </c>
      <c r="J261" s="7">
        <f ca="1">IFERROR(__xludf.DUMMYFUNCTION("""COMPUTED_VALUE"""),15340)</f>
        <v>15340</v>
      </c>
      <c r="K261" s="7">
        <f ca="1">IFERROR(__xludf.DUMMYFUNCTION("""COMPUTED_VALUE"""),0)</f>
        <v>0</v>
      </c>
      <c r="L261" s="7">
        <f ca="1">IFERROR(__xludf.DUMMYFUNCTION("""COMPUTED_VALUE"""),0)</f>
        <v>0</v>
      </c>
      <c r="M261" s="7">
        <f ca="1">IFERROR(__xludf.DUMMYFUNCTION("""COMPUTED_VALUE"""),0)</f>
        <v>0</v>
      </c>
      <c r="N261" s="7">
        <f ca="1">IFERROR(__xludf.DUMMYFUNCTION("""COMPUTED_VALUE"""),0)</f>
        <v>0</v>
      </c>
      <c r="O261" s="7">
        <f ca="1">IFERROR(__xludf.DUMMYFUNCTION("""COMPUTED_VALUE"""),0)</f>
        <v>0</v>
      </c>
      <c r="P261" s="7">
        <f ca="1">IFERROR(__xludf.DUMMYFUNCTION("""COMPUTED_VALUE"""),353.599999999999)</f>
        <v>353.599999999999</v>
      </c>
      <c r="Q261" s="7">
        <f ca="1">IFERROR(__xludf.DUMMYFUNCTION("""COMPUTED_VALUE"""),0)</f>
        <v>0</v>
      </c>
      <c r="R261" s="7">
        <f ca="1">IFERROR(__xludf.DUMMYFUNCTION("""COMPUTED_VALUE"""),0)</f>
        <v>0</v>
      </c>
      <c r="S261" s="7">
        <f ca="1">IFERROR(__xludf.DUMMYFUNCTION("""COMPUTED_VALUE"""),0)</f>
        <v>0</v>
      </c>
      <c r="T261" s="7">
        <f ca="1">IFERROR(__xludf.DUMMYFUNCTION("""COMPUTED_VALUE"""),0)</f>
        <v>0</v>
      </c>
      <c r="U261" s="61"/>
      <c r="V261" s="61"/>
      <c r="W261" s="61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IFERROR(__xludf.DUMMYFUNCTION("""COMPUTED_VALUE"""),"Miranorte")</f>
        <v>Miranorte</v>
      </c>
      <c r="C262" s="60" t="str">
        <f ca="1">IFERROR(__xludf.DUMMYFUNCTION("""COMPUTED_VALUE"""),"A.A ESC. ESPECIAL CORAÇÃO DE MARIA")</f>
        <v>A.A ESC. ESPECIAL CORAÇÃO DE MARIA</v>
      </c>
      <c r="D262" s="136" t="str">
        <f ca="1">IFERROR(__xludf.DUMMYFUNCTION("""COMPUTED_VALUE"""),"07968866000130")</f>
        <v>07968866000130</v>
      </c>
      <c r="E262" s="6" t="str">
        <f ca="1">IFERROR(__xludf.DUMMYFUNCTION("""COMPUTED_VALUE"""),"001")</f>
        <v>001</v>
      </c>
      <c r="F262" s="7" t="str">
        <f ca="1">IFERROR(__xludf.DUMMYFUNCTION("""COMPUTED_VALUE"""),"0862")</f>
        <v>0862</v>
      </c>
      <c r="G262" s="7" t="str">
        <f ca="1">IFERROR(__xludf.DUMMYFUNCTION("""COMPUTED_VALUE"""),"265217")</f>
        <v>265217</v>
      </c>
      <c r="H262" s="7">
        <f ca="1">IFERROR(__xludf.DUMMYFUNCTION("""COMPUTED_VALUE"""),0)</f>
        <v>0</v>
      </c>
      <c r="I262" s="7">
        <f ca="1">IFERROR(__xludf.DUMMYFUNCTION("""COMPUTED_VALUE"""),172.8)</f>
        <v>172.8</v>
      </c>
      <c r="J262" s="7">
        <f ca="1">IFERROR(__xludf.DUMMYFUNCTION("""COMPUTED_VALUE"""),90)</f>
        <v>90</v>
      </c>
      <c r="K262" s="7">
        <f ca="1">IFERROR(__xludf.DUMMYFUNCTION("""COMPUTED_VALUE"""),0)</f>
        <v>0</v>
      </c>
      <c r="L262" s="7">
        <f ca="1">IFERROR(__xludf.DUMMYFUNCTION("""COMPUTED_VALUE"""),0)</f>
        <v>0</v>
      </c>
      <c r="M262" s="7">
        <f ca="1">IFERROR(__xludf.DUMMYFUNCTION("""COMPUTED_VALUE"""),0)</f>
        <v>0</v>
      </c>
      <c r="N262" s="7">
        <f ca="1">IFERROR(__xludf.DUMMYFUNCTION("""COMPUTED_VALUE"""),0)</f>
        <v>0</v>
      </c>
      <c r="O262" s="7">
        <f ca="1">IFERROR(__xludf.DUMMYFUNCTION("""COMPUTED_VALUE"""),0)</f>
        <v>0</v>
      </c>
      <c r="P262" s="7">
        <f ca="1">IFERROR(__xludf.DUMMYFUNCTION("""COMPUTED_VALUE"""),163.2)</f>
        <v>163.19999999999999</v>
      </c>
      <c r="Q262" s="7">
        <f ca="1">IFERROR(__xludf.DUMMYFUNCTION("""COMPUTED_VALUE"""),0)</f>
        <v>0</v>
      </c>
      <c r="R262" s="7">
        <f ca="1">IFERROR(__xludf.DUMMYFUNCTION("""COMPUTED_VALUE"""),0)</f>
        <v>0</v>
      </c>
      <c r="S262" s="7">
        <f ca="1">IFERROR(__xludf.DUMMYFUNCTION("""COMPUTED_VALUE"""),0)</f>
        <v>0</v>
      </c>
      <c r="T262" s="7">
        <f ca="1">IFERROR(__xludf.DUMMYFUNCTION("""COMPUTED_VALUE"""),426.4)</f>
        <v>426.4</v>
      </c>
      <c r="U262" s="61"/>
      <c r="V262" s="61"/>
      <c r="W262" s="61"/>
    </row>
    <row r="263" spans="1:23" ht="12.75">
      <c r="A263" t="str">
        <f ca="1">IFERROR(__xludf.DUMMYFUNCTION("""COMPUTED_VALUE"""),"Miracema")</f>
        <v>Miracema</v>
      </c>
      <c r="B263" t="str">
        <f ca="1">IFERROR(__xludf.DUMMYFUNCTION("""COMPUTED_VALUE"""),"Rio dos Bois")</f>
        <v>Rio dos Bois</v>
      </c>
      <c r="C263" s="60" t="str">
        <f ca="1">IFERROR(__xludf.DUMMYFUNCTION("""COMPUTED_VALUE"""),"A.A. ESC EST DR. VALDECY PINHEIRO")</f>
        <v>A.A. ESC EST DR. VALDECY PINHEIRO</v>
      </c>
      <c r="D263" s="136" t="str">
        <f ca="1">IFERROR(__xludf.DUMMYFUNCTION("""COMPUTED_VALUE"""),"01079937000167")</f>
        <v>01079937000167</v>
      </c>
      <c r="E263" s="6" t="str">
        <f ca="1">IFERROR(__xludf.DUMMYFUNCTION("""COMPUTED_VALUE"""),"001")</f>
        <v>001</v>
      </c>
      <c r="F263" s="7" t="str">
        <f ca="1">IFERROR(__xludf.DUMMYFUNCTION("""COMPUTED_VALUE"""),"0862")</f>
        <v>0862</v>
      </c>
      <c r="G263" s="7" t="str">
        <f ca="1">IFERROR(__xludf.DUMMYFUNCTION("""COMPUTED_VALUE"""),"69116")</f>
        <v>69116</v>
      </c>
      <c r="H263" s="7">
        <f ca="1">IFERROR(__xludf.DUMMYFUNCTION("""COMPUTED_VALUE"""),0)</f>
        <v>0</v>
      </c>
      <c r="I263" s="7">
        <f ca="1">IFERROR(__xludf.DUMMYFUNCTION("""COMPUTED_VALUE"""),0)</f>
        <v>0</v>
      </c>
      <c r="J263" s="7">
        <f ca="1">IFERROR(__xludf.DUMMYFUNCTION("""COMPUTED_VALUE"""),2040)</f>
        <v>2040</v>
      </c>
      <c r="K263" s="7">
        <f ca="1">IFERROR(__xludf.DUMMYFUNCTION("""COMPUTED_VALUE"""),0)</f>
        <v>0</v>
      </c>
      <c r="L263" s="7">
        <f ca="1">IFERROR(__xludf.DUMMYFUNCTION("""COMPUTED_VALUE"""),0)</f>
        <v>0</v>
      </c>
      <c r="M263" s="7">
        <f ca="1">IFERROR(__xludf.DUMMYFUNCTION("""COMPUTED_VALUE"""),0)</f>
        <v>0</v>
      </c>
      <c r="N263" s="7">
        <f ca="1">IFERROR(__xludf.DUMMYFUNCTION("""COMPUTED_VALUE"""),0)</f>
        <v>0</v>
      </c>
      <c r="O263" s="7">
        <f ca="1">IFERROR(__xludf.DUMMYFUNCTION("""COMPUTED_VALUE"""),0)</f>
        <v>0</v>
      </c>
      <c r="P263" s="7">
        <f ca="1">IFERROR(__xludf.DUMMYFUNCTION("""COMPUTED_VALUE"""),176.799999999999)</f>
        <v>176.79999999999899</v>
      </c>
      <c r="Q263" s="7">
        <f ca="1">IFERROR(__xludf.DUMMYFUNCTION("""COMPUTED_VALUE"""),960)</f>
        <v>960</v>
      </c>
      <c r="R263" s="7">
        <f ca="1">IFERROR(__xludf.DUMMYFUNCTION("""COMPUTED_VALUE"""),0)</f>
        <v>0</v>
      </c>
      <c r="S263" s="7">
        <f ca="1">IFERROR(__xludf.DUMMYFUNCTION("""COMPUTED_VALUE"""),0)</f>
        <v>0</v>
      </c>
      <c r="T263" s="7">
        <f ca="1">IFERROR(__xludf.DUMMYFUNCTION("""COMPUTED_VALUE"""),131.2)</f>
        <v>131.19999999999999</v>
      </c>
      <c r="U263" s="61"/>
      <c r="V263" s="61"/>
      <c r="W263" s="61"/>
    </row>
    <row r="264" spans="1:23" ht="12.75">
      <c r="A264" t="str">
        <f ca="1">IFERROR(__xludf.DUMMYFUNCTION("""COMPUTED_VALUE"""),"Miracema")</f>
        <v>Miracema</v>
      </c>
      <c r="B264" t="str">
        <f ca="1">IFERROR(__xludf.DUMMYFUNCTION("""COMPUTED_VALUE"""),"Tocantinia")</f>
        <v>Tocantinia</v>
      </c>
      <c r="C264" s="60" t="str">
        <f ca="1">IFERROR(__xludf.DUMMYFUNCTION("""COMPUTED_VALUE"""),"ASS. APOIO AO CEM XERENTE WARA")</f>
        <v>ASS. APOIO AO CEM XERENTE WARA</v>
      </c>
      <c r="D264" s="136" t="str">
        <f ca="1">IFERROR(__xludf.DUMMYFUNCTION("""COMPUTED_VALUE"""),"07674098000101")</f>
        <v>07674098000101</v>
      </c>
      <c r="E264" s="6" t="str">
        <f ca="1">IFERROR(__xludf.DUMMYFUNCTION("""COMPUTED_VALUE"""),"001")</f>
        <v>001</v>
      </c>
      <c r="F264" s="7" t="str">
        <f ca="1">IFERROR(__xludf.DUMMYFUNCTION("""COMPUTED_VALUE"""),"0862")</f>
        <v>0862</v>
      </c>
      <c r="G264" s="7" t="str">
        <f ca="1">IFERROR(__xludf.DUMMYFUNCTION("""COMPUTED_VALUE"""),"183407")</f>
        <v>183407</v>
      </c>
      <c r="H264" s="7">
        <f ca="1">IFERROR(__xludf.DUMMYFUNCTION("""COMPUTED_VALUE"""),0)</f>
        <v>0</v>
      </c>
      <c r="I264" s="7">
        <f ca="1">IFERROR(__xludf.DUMMYFUNCTION("""COMPUTED_VALUE"""),0)</f>
        <v>0</v>
      </c>
      <c r="J264" s="7">
        <f ca="1">IFERROR(__xludf.DUMMYFUNCTION("""COMPUTED_VALUE"""),0)</f>
        <v>0</v>
      </c>
      <c r="K264" s="7">
        <f ca="1">IFERROR(__xludf.DUMMYFUNCTION("""COMPUTED_VALUE"""),3726.39999999999)</f>
        <v>3726.3999999999901</v>
      </c>
      <c r="L264" s="7">
        <f ca="1">IFERROR(__xludf.DUMMYFUNCTION("""COMPUTED_VALUE"""),0)</f>
        <v>0</v>
      </c>
      <c r="M264" s="7">
        <f ca="1">IFERROR(__xludf.DUMMYFUNCTION("""COMPUTED_VALUE"""),0)</f>
        <v>0</v>
      </c>
      <c r="N264" s="7">
        <f ca="1">IFERROR(__xludf.DUMMYFUNCTION("""COMPUTED_VALUE"""),0)</f>
        <v>0</v>
      </c>
      <c r="O264" s="7">
        <f ca="1">IFERROR(__xludf.DUMMYFUNCTION("""COMPUTED_VALUE"""),0)</f>
        <v>0</v>
      </c>
      <c r="P264" s="7">
        <f ca="1">IFERROR(__xludf.DUMMYFUNCTION("""COMPUTED_VALUE"""),285.599999999999)</f>
        <v>285.599999999999</v>
      </c>
      <c r="Q264" s="7">
        <f ca="1">IFERROR(__xludf.DUMMYFUNCTION("""COMPUTED_VALUE"""),0)</f>
        <v>0</v>
      </c>
      <c r="R264" s="7">
        <f ca="1">IFERROR(__xludf.DUMMYFUNCTION("""COMPUTED_VALUE"""),0)</f>
        <v>0</v>
      </c>
      <c r="S264" s="7">
        <f ca="1">IFERROR(__xludf.DUMMYFUNCTION("""COMPUTED_VALUE"""),7680)</f>
        <v>7680</v>
      </c>
      <c r="T264" s="7">
        <f ca="1">IFERROR(__xludf.DUMMYFUNCTION("""COMPUTED_VALUE"""),0)</f>
        <v>0</v>
      </c>
      <c r="U264" s="61"/>
      <c r="V264" s="61"/>
      <c r="W264" s="61"/>
    </row>
    <row r="265" spans="1:23" ht="12.75">
      <c r="A265" t="str">
        <f ca="1">IFERROR(__xludf.DUMMYFUNCTION("""COMPUTED_VALUE"""),"Miracema")</f>
        <v>Miracema</v>
      </c>
      <c r="B265" t="str">
        <f ca="1">IFERROR(__xludf.DUMMYFUNCTION("""COMPUTED_VALUE"""),"Tocantinia")</f>
        <v>Tocantinia</v>
      </c>
      <c r="C265" s="60" t="str">
        <f ca="1">IFERROR(__xludf.DUMMYFUNCTION("""COMPUTED_VALUE"""),"A.COM.DO COLEGIO FREI ANTONIO CONVENIADO")</f>
        <v>A.COM.DO COLEGIO FREI ANTONIO CONVENIADO</v>
      </c>
      <c r="D265" s="136" t="str">
        <f ca="1">IFERROR(__xludf.DUMMYFUNCTION("""COMPUTED_VALUE"""),"01066427000155")</f>
        <v>01066427000155</v>
      </c>
      <c r="E265" s="6" t="str">
        <f ca="1">IFERROR(__xludf.DUMMYFUNCTION("""COMPUTED_VALUE"""),"001")</f>
        <v>001</v>
      </c>
      <c r="F265" s="7" t="str">
        <f ca="1">IFERROR(__xludf.DUMMYFUNCTION("""COMPUTED_VALUE"""),"0862")</f>
        <v>0862</v>
      </c>
      <c r="G265" s="7" t="str">
        <f ca="1">IFERROR(__xludf.DUMMYFUNCTION("""COMPUTED_VALUE"""),"68985")</f>
        <v>68985</v>
      </c>
      <c r="H265" s="7">
        <f ca="1">IFERROR(__xludf.DUMMYFUNCTION("""COMPUTED_VALUE"""),0)</f>
        <v>0</v>
      </c>
      <c r="I265" s="7">
        <f ca="1">IFERROR(__xludf.DUMMYFUNCTION("""COMPUTED_VALUE"""),0)</f>
        <v>0</v>
      </c>
      <c r="J265" s="7">
        <f ca="1">IFERROR(__xludf.DUMMYFUNCTION("""COMPUTED_VALUE"""),0)</f>
        <v>0</v>
      </c>
      <c r="K265" s="7">
        <f ca="1">IFERROR(__xludf.DUMMYFUNCTION("""COMPUTED_VALUE"""),8083)</f>
        <v>8083</v>
      </c>
      <c r="L265" s="7">
        <f ca="1">IFERROR(__xludf.DUMMYFUNCTION("""COMPUTED_VALUE"""),0)</f>
        <v>0</v>
      </c>
      <c r="M265" s="7">
        <f ca="1">IFERROR(__xludf.DUMMYFUNCTION("""COMPUTED_VALUE"""),0)</f>
        <v>0</v>
      </c>
      <c r="N265" s="7">
        <f ca="1">IFERROR(__xludf.DUMMYFUNCTION("""COMPUTED_VALUE"""),0)</f>
        <v>0</v>
      </c>
      <c r="O265" s="7">
        <f ca="1">IFERROR(__xludf.DUMMYFUNCTION("""COMPUTED_VALUE"""),0)</f>
        <v>0</v>
      </c>
      <c r="P265" s="7">
        <f ca="1">IFERROR(__xludf.DUMMYFUNCTION("""COMPUTED_VALUE"""),136)</f>
        <v>136</v>
      </c>
      <c r="Q265" s="7">
        <f ca="1">IFERROR(__xludf.DUMMYFUNCTION("""COMPUTED_VALUE"""),0)</f>
        <v>0</v>
      </c>
      <c r="R265" s="7">
        <f ca="1">IFERROR(__xludf.DUMMYFUNCTION("""COMPUTED_VALUE"""),0)</f>
        <v>0</v>
      </c>
      <c r="S265" s="7">
        <f ca="1">IFERROR(__xludf.DUMMYFUNCTION("""COMPUTED_VALUE"""),0)</f>
        <v>0</v>
      </c>
      <c r="T265" s="7">
        <f ca="1">IFERROR(__xludf.DUMMYFUNCTION("""COMPUTED_VALUE"""),0)</f>
        <v>0</v>
      </c>
      <c r="U265" s="61"/>
      <c r="V265" s="61"/>
      <c r="W265" s="61"/>
    </row>
    <row r="266" spans="1:23" ht="12.75">
      <c r="A266" t="str">
        <f ca="1">IFERROR(__xludf.DUMMYFUNCTION("""COMPUTED_VALUE"""),"Miracema")</f>
        <v>Miracema</v>
      </c>
      <c r="B266" t="str">
        <f ca="1">IFERROR(__xludf.DUMMYFUNCTION("""COMPUTED_VALUE"""),"Tocantinia")</f>
        <v>Tocantinia</v>
      </c>
      <c r="C266" s="60" t="str">
        <f ca="1">IFERROR(__xludf.DUMMYFUNCTION("""COMPUTED_VALUE"""),"ASSOC. DE PAIS E MEST. DO COL. EST. BATISTA PROFª BEATRIZ R. DA SILVA")</f>
        <v>ASSOC. DE PAIS E MEST. DO COL. EST. BATISTA PROFª BEATRIZ R. DA SILVA</v>
      </c>
      <c r="D266" s="136" t="str">
        <f ca="1">IFERROR(__xludf.DUMMYFUNCTION("""COMPUTED_VALUE"""),"15132209000186")</f>
        <v>15132209000186</v>
      </c>
      <c r="E266" s="6" t="str">
        <f ca="1">IFERROR(__xludf.DUMMYFUNCTION("""COMPUTED_VALUE"""),"001")</f>
        <v>001</v>
      </c>
      <c r="F266" s="7" t="str">
        <f ca="1">IFERROR(__xludf.DUMMYFUNCTION("""COMPUTED_VALUE"""),"0862")</f>
        <v>0862</v>
      </c>
      <c r="G266" s="7" t="str">
        <f ca="1">IFERROR(__xludf.DUMMYFUNCTION("""COMPUTED_VALUE"""),"277037")</f>
        <v>277037</v>
      </c>
      <c r="H266" s="7">
        <f ca="1">IFERROR(__xludf.DUMMYFUNCTION("""COMPUTED_VALUE"""),0)</f>
        <v>0</v>
      </c>
      <c r="I266" s="7">
        <f ca="1">IFERROR(__xludf.DUMMYFUNCTION("""COMPUTED_VALUE"""),0)</f>
        <v>0</v>
      </c>
      <c r="J266" s="7">
        <f ca="1">IFERROR(__xludf.DUMMYFUNCTION("""COMPUTED_VALUE"""),0)</f>
        <v>0</v>
      </c>
      <c r="K266" s="7">
        <f ca="1">IFERROR(__xludf.DUMMYFUNCTION("""COMPUTED_VALUE"""),0)</f>
        <v>0</v>
      </c>
      <c r="L266" s="7">
        <f ca="1">IFERROR(__xludf.DUMMYFUNCTION("""COMPUTED_VALUE"""),0)</f>
        <v>0</v>
      </c>
      <c r="M266" s="7">
        <f ca="1">IFERROR(__xludf.DUMMYFUNCTION("""COMPUTED_VALUE"""),0)</f>
        <v>0</v>
      </c>
      <c r="N266" s="7">
        <f ca="1">IFERROR(__xludf.DUMMYFUNCTION("""COMPUTED_VALUE"""),0)</f>
        <v>0</v>
      </c>
      <c r="O266" s="7">
        <f ca="1">IFERROR(__xludf.DUMMYFUNCTION("""COMPUTED_VALUE"""),0)</f>
        <v>0</v>
      </c>
      <c r="P266" s="7">
        <f ca="1">IFERROR(__xludf.DUMMYFUNCTION("""COMPUTED_VALUE"""),0)</f>
        <v>0</v>
      </c>
      <c r="Q266" s="7">
        <f ca="1">IFERROR(__xludf.DUMMYFUNCTION("""COMPUTED_VALUE"""),1840)</f>
        <v>1840</v>
      </c>
      <c r="R266" s="7">
        <f ca="1">IFERROR(__xludf.DUMMYFUNCTION("""COMPUTED_VALUE"""),0)</f>
        <v>0</v>
      </c>
      <c r="S266" s="7">
        <f ca="1">IFERROR(__xludf.DUMMYFUNCTION("""COMPUTED_VALUE"""),0)</f>
        <v>0</v>
      </c>
      <c r="T266" s="7">
        <f ca="1">IFERROR(__xludf.DUMMYFUNCTION("""COMPUTED_VALUE"""),155.799999999999)</f>
        <v>155.79999999999899</v>
      </c>
      <c r="U266" s="61"/>
      <c r="V266" s="61"/>
      <c r="W266" s="61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IFERROR(__xludf.DUMMYFUNCTION("""COMPUTED_VALUE"""),"Aparecida do Rio Negro")</f>
        <v>Aparecida do Rio Negro</v>
      </c>
      <c r="C267" s="60" t="str">
        <f ca="1">IFERROR(__xludf.DUMMYFUNCTION("""COMPUTED_VALUE"""),"ASS. DE AP. DO COL. EST. MEIRA MATOS")</f>
        <v>ASS. DE AP. DO COL. EST. MEIRA MATOS</v>
      </c>
      <c r="D267" s="136" t="str">
        <f ca="1">IFERROR(__xludf.DUMMYFUNCTION("""COMPUTED_VALUE"""),"01186452000172")</f>
        <v>01186452000172</v>
      </c>
      <c r="E267" s="6" t="str">
        <f ca="1">IFERROR(__xludf.DUMMYFUNCTION("""COMPUTED_VALUE"""),"001")</f>
        <v>001</v>
      </c>
      <c r="F267" s="7" t="str">
        <f ca="1">IFERROR(__xludf.DUMMYFUNCTION("""COMPUTED_VALUE"""),"1505")</f>
        <v>1505</v>
      </c>
      <c r="G267" s="7" t="str">
        <f ca="1">IFERROR(__xludf.DUMMYFUNCTION("""COMPUTED_VALUE"""),"327972")</f>
        <v>327972</v>
      </c>
      <c r="H267" s="7">
        <f ca="1">IFERROR(__xludf.DUMMYFUNCTION("""COMPUTED_VALUE"""),0)</f>
        <v>0</v>
      </c>
      <c r="I267" s="7">
        <f ca="1">IFERROR(__xludf.DUMMYFUNCTION("""COMPUTED_VALUE"""),0)</f>
        <v>0</v>
      </c>
      <c r="J267" s="7">
        <f ca="1">IFERROR(__xludf.DUMMYFUNCTION("""COMPUTED_VALUE"""),1480)</f>
        <v>1480</v>
      </c>
      <c r="K267" s="7">
        <f ca="1">IFERROR(__xludf.DUMMYFUNCTION("""COMPUTED_VALUE"""),0)</f>
        <v>0</v>
      </c>
      <c r="L267" s="7">
        <f ca="1">IFERROR(__xludf.DUMMYFUNCTION("""COMPUTED_VALUE"""),0)</f>
        <v>0</v>
      </c>
      <c r="M267" s="7">
        <f ca="1">IFERROR(__xludf.DUMMYFUNCTION("""COMPUTED_VALUE"""),0)</f>
        <v>0</v>
      </c>
      <c r="N267" s="7">
        <f ca="1">IFERROR(__xludf.DUMMYFUNCTION("""COMPUTED_VALUE"""),0)</f>
        <v>0</v>
      </c>
      <c r="O267" s="7">
        <f ca="1">IFERROR(__xludf.DUMMYFUNCTION("""COMPUTED_VALUE"""),0)</f>
        <v>0</v>
      </c>
      <c r="P267" s="7">
        <f ca="1">IFERROR(__xludf.DUMMYFUNCTION("""COMPUTED_VALUE"""),190.4)</f>
        <v>190.4</v>
      </c>
      <c r="Q267" s="7">
        <f ca="1">IFERROR(__xludf.DUMMYFUNCTION("""COMPUTED_VALUE"""),2250)</f>
        <v>2250</v>
      </c>
      <c r="R267" s="7">
        <f ca="1">IFERROR(__xludf.DUMMYFUNCTION("""COMPUTED_VALUE"""),0)</f>
        <v>0</v>
      </c>
      <c r="S267" s="7">
        <f ca="1">IFERROR(__xludf.DUMMYFUNCTION("""COMPUTED_VALUE"""),0)</f>
        <v>0</v>
      </c>
      <c r="T267" s="7">
        <f ca="1">IFERROR(__xludf.DUMMYFUNCTION("""COMPUTED_VALUE"""),0)</f>
        <v>0</v>
      </c>
      <c r="U267" s="61"/>
      <c r="V267" s="61"/>
      <c r="W267" s="61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IFERROR(__xludf.DUMMYFUNCTION("""COMPUTED_VALUE"""),"Lagoa do Tocantins")</f>
        <v>Lagoa do Tocantins</v>
      </c>
      <c r="C268" s="60" t="str">
        <f ca="1">IFERROR(__xludf.DUMMYFUNCTION("""COMPUTED_VALUE"""),"ASS. DE AP. DA ESC. EST. SALMON DO A.BRITO")</f>
        <v>ASS. DE AP. DA ESC. EST. SALMON DO A.BRITO</v>
      </c>
      <c r="D268" s="136" t="str">
        <f ca="1">IFERROR(__xludf.DUMMYFUNCTION("""COMPUTED_VALUE"""),"01440941000109")</f>
        <v>01440941000109</v>
      </c>
      <c r="E268" s="6" t="str">
        <f ca="1">IFERROR(__xludf.DUMMYFUNCTION("""COMPUTED_VALUE"""),"001")</f>
        <v>001</v>
      </c>
      <c r="F268" s="7" t="str">
        <f ca="1">IFERROR(__xludf.DUMMYFUNCTION("""COMPUTED_VALUE"""),"1505")</f>
        <v>1505</v>
      </c>
      <c r="G268" s="7" t="str">
        <f ca="1">IFERROR(__xludf.DUMMYFUNCTION("""COMPUTED_VALUE"""),"465410")</f>
        <v>465410</v>
      </c>
      <c r="H268" s="7">
        <f ca="1">IFERROR(__xludf.DUMMYFUNCTION("""COMPUTED_VALUE"""),0)</f>
        <v>0</v>
      </c>
      <c r="I268" s="7">
        <f ca="1">IFERROR(__xludf.DUMMYFUNCTION("""COMPUTED_VALUE"""),0)</f>
        <v>0</v>
      </c>
      <c r="J268" s="7">
        <f ca="1">IFERROR(__xludf.DUMMYFUNCTION("""COMPUTED_VALUE"""),2390)</f>
        <v>2390</v>
      </c>
      <c r="K268" s="7">
        <f ca="1">IFERROR(__xludf.DUMMYFUNCTION("""COMPUTED_VALUE"""),0)</f>
        <v>0</v>
      </c>
      <c r="L268" s="7">
        <f ca="1">IFERROR(__xludf.DUMMYFUNCTION("""COMPUTED_VALUE"""),0)</f>
        <v>0</v>
      </c>
      <c r="M268" s="7">
        <f ca="1">IFERROR(__xludf.DUMMYFUNCTION("""COMPUTED_VALUE"""),0)</f>
        <v>0</v>
      </c>
      <c r="N268" s="7">
        <f ca="1">IFERROR(__xludf.DUMMYFUNCTION("""COMPUTED_VALUE"""),0)</f>
        <v>0</v>
      </c>
      <c r="O268" s="7">
        <f ca="1">IFERROR(__xludf.DUMMYFUNCTION("""COMPUTED_VALUE"""),0)</f>
        <v>0</v>
      </c>
      <c r="P268" s="7">
        <f ca="1">IFERROR(__xludf.DUMMYFUNCTION("""COMPUTED_VALUE"""),0)</f>
        <v>0</v>
      </c>
      <c r="Q268" s="7">
        <f ca="1">IFERROR(__xludf.DUMMYFUNCTION("""COMPUTED_VALUE"""),2380)</f>
        <v>2380</v>
      </c>
      <c r="R268" s="7">
        <f ca="1">IFERROR(__xludf.DUMMYFUNCTION("""COMPUTED_VALUE"""),0)</f>
        <v>0</v>
      </c>
      <c r="S268" s="7">
        <f ca="1">IFERROR(__xludf.DUMMYFUNCTION("""COMPUTED_VALUE"""),0)</f>
        <v>0</v>
      </c>
      <c r="T268" s="7">
        <f ca="1">IFERROR(__xludf.DUMMYFUNCTION("""COMPUTED_VALUE"""),0)</f>
        <v>0</v>
      </c>
      <c r="U268" s="61"/>
      <c r="V268" s="61"/>
      <c r="W268" s="61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IFERROR(__xludf.DUMMYFUNCTION("""COMPUTED_VALUE"""),"Lajeado")</f>
        <v>Lajeado</v>
      </c>
      <c r="C269" s="60" t="str">
        <f ca="1">IFERROR(__xludf.DUMMYFUNCTION("""COMPUTED_VALUE"""),"A.A. COM. E. E.N.SRA.DA PROVIDENCIA")</f>
        <v>A.A. COM. E. E.N.SRA.DA PROVIDENCIA</v>
      </c>
      <c r="D269" s="136" t="str">
        <f ca="1">IFERROR(__xludf.DUMMYFUNCTION("""COMPUTED_VALUE"""),"01138324000153")</f>
        <v>01138324000153</v>
      </c>
      <c r="E269" s="6" t="str">
        <f ca="1">IFERROR(__xludf.DUMMYFUNCTION("""COMPUTED_VALUE"""),"001")</f>
        <v>001</v>
      </c>
      <c r="F269" s="7" t="str">
        <f ca="1">IFERROR(__xludf.DUMMYFUNCTION("""COMPUTED_VALUE"""),"0862")</f>
        <v>0862</v>
      </c>
      <c r="G269" s="7" t="str">
        <f ca="1">IFERROR(__xludf.DUMMYFUNCTION("""COMPUTED_VALUE"""),"69132")</f>
        <v>69132</v>
      </c>
      <c r="H269" s="7">
        <f ca="1">IFERROR(__xludf.DUMMYFUNCTION("""COMPUTED_VALUE"""),0)</f>
        <v>0</v>
      </c>
      <c r="I269" s="7">
        <f ca="1">IFERROR(__xludf.DUMMYFUNCTION("""COMPUTED_VALUE"""),0)</f>
        <v>0</v>
      </c>
      <c r="J269" s="7">
        <f ca="1">IFERROR(__xludf.DUMMYFUNCTION("""COMPUTED_VALUE"""),280)</f>
        <v>280</v>
      </c>
      <c r="K269" s="7">
        <f ca="1">IFERROR(__xludf.DUMMYFUNCTION("""COMPUTED_VALUE"""),0)</f>
        <v>0</v>
      </c>
      <c r="L269" s="7">
        <f ca="1">IFERROR(__xludf.DUMMYFUNCTION("""COMPUTED_VALUE"""),0)</f>
        <v>0</v>
      </c>
      <c r="M269" s="7">
        <f ca="1">IFERROR(__xludf.DUMMYFUNCTION("""COMPUTED_VALUE"""),0)</f>
        <v>0</v>
      </c>
      <c r="N269" s="7">
        <f ca="1">IFERROR(__xludf.DUMMYFUNCTION("""COMPUTED_VALUE"""),0)</f>
        <v>0</v>
      </c>
      <c r="O269" s="7">
        <f ca="1">IFERROR(__xludf.DUMMYFUNCTION("""COMPUTED_VALUE"""),0)</f>
        <v>0</v>
      </c>
      <c r="P269" s="7">
        <f ca="1">IFERROR(__xludf.DUMMYFUNCTION("""COMPUTED_VALUE"""),95.2)</f>
        <v>95.2</v>
      </c>
      <c r="Q269" s="7">
        <f ca="1">IFERROR(__xludf.DUMMYFUNCTION("""COMPUTED_VALUE"""),1200)</f>
        <v>1200</v>
      </c>
      <c r="R269" s="7">
        <f ca="1">IFERROR(__xludf.DUMMYFUNCTION("""COMPUTED_VALUE"""),0)</f>
        <v>0</v>
      </c>
      <c r="S269" s="7">
        <f ca="1">IFERROR(__xludf.DUMMYFUNCTION("""COMPUTED_VALUE"""),0)</f>
        <v>0</v>
      </c>
      <c r="T269" s="7">
        <f ca="1">IFERROR(__xludf.DUMMYFUNCTION("""COMPUTED_VALUE"""),114.799999999999)</f>
        <v>114.799999999999</v>
      </c>
      <c r="U269" s="61"/>
      <c r="V269" s="61"/>
      <c r="W269" s="61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IFERROR(__xludf.DUMMYFUNCTION("""COMPUTED_VALUE"""),"Mateiros")</f>
        <v>Mateiros</v>
      </c>
      <c r="C270" s="60" t="str">
        <f ca="1">IFERROR(__xludf.DUMMYFUNCTION("""COMPUTED_VALUE"""),"ASS. A. ESC. EST.ESTEFANIO TELES DAS CHAGAS")</f>
        <v>ASS. A. ESC. EST.ESTEFANIO TELES DAS CHAGAS</v>
      </c>
      <c r="D270" s="136" t="str">
        <f ca="1">IFERROR(__xludf.DUMMYFUNCTION("""COMPUTED_VALUE"""),"01206219000104")</f>
        <v>01206219000104</v>
      </c>
      <c r="E270" s="6" t="str">
        <f ca="1">IFERROR(__xludf.DUMMYFUNCTION("""COMPUTED_VALUE"""),"001")</f>
        <v>001</v>
      </c>
      <c r="F270" s="7" t="str">
        <f ca="1">IFERROR(__xludf.DUMMYFUNCTION("""COMPUTED_VALUE"""),"3962")</f>
        <v>3962</v>
      </c>
      <c r="G270" s="7" t="str">
        <f ca="1">IFERROR(__xludf.DUMMYFUNCTION("""COMPUTED_VALUE"""),"127795")</f>
        <v>127795</v>
      </c>
      <c r="H270" s="7">
        <f ca="1">IFERROR(__xludf.DUMMYFUNCTION("""COMPUTED_VALUE"""),0)</f>
        <v>0</v>
      </c>
      <c r="I270" s="7">
        <f ca="1">IFERROR(__xludf.DUMMYFUNCTION("""COMPUTED_VALUE"""),0)</f>
        <v>0</v>
      </c>
      <c r="J270" s="7">
        <f ca="1">IFERROR(__xludf.DUMMYFUNCTION("""COMPUTED_VALUE"""),1860)</f>
        <v>1860</v>
      </c>
      <c r="K270" s="7">
        <f ca="1">IFERROR(__xludf.DUMMYFUNCTION("""COMPUTED_VALUE"""),0)</f>
        <v>0</v>
      </c>
      <c r="L270" s="7">
        <f ca="1">IFERROR(__xludf.DUMMYFUNCTION("""COMPUTED_VALUE"""),0)</f>
        <v>0</v>
      </c>
      <c r="M270" s="7">
        <f ca="1">IFERROR(__xludf.DUMMYFUNCTION("""COMPUTED_VALUE"""),0)</f>
        <v>0</v>
      </c>
      <c r="N270" s="7">
        <f ca="1">IFERROR(__xludf.DUMMYFUNCTION("""COMPUTED_VALUE"""),0)</f>
        <v>0</v>
      </c>
      <c r="O270" s="7">
        <f ca="1">IFERROR(__xludf.DUMMYFUNCTION("""COMPUTED_VALUE"""),0)</f>
        <v>0</v>
      </c>
      <c r="P270" s="7">
        <f ca="1">IFERROR(__xludf.DUMMYFUNCTION("""COMPUTED_VALUE"""),0)</f>
        <v>0</v>
      </c>
      <c r="Q270" s="7">
        <f ca="1">IFERROR(__xludf.DUMMYFUNCTION("""COMPUTED_VALUE"""),1210)</f>
        <v>1210</v>
      </c>
      <c r="R270" s="7">
        <f ca="1">IFERROR(__xludf.DUMMYFUNCTION("""COMPUTED_VALUE"""),0)</f>
        <v>0</v>
      </c>
      <c r="S270" s="7">
        <f ca="1">IFERROR(__xludf.DUMMYFUNCTION("""COMPUTED_VALUE"""),0)</f>
        <v>0</v>
      </c>
      <c r="T270" s="7">
        <f ca="1">IFERROR(__xludf.DUMMYFUNCTION("""COMPUTED_VALUE"""),0)</f>
        <v>0</v>
      </c>
      <c r="U270" s="61"/>
      <c r="V270" s="61"/>
      <c r="W270" s="61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IFERROR(__xludf.DUMMYFUNCTION("""COMPUTED_VALUE"""),"Mateiros")</f>
        <v>Mateiros</v>
      </c>
      <c r="C271" s="60" t="str">
        <f ca="1">IFERROR(__xludf.DUMMYFUNCTION("""COMPUTED_VALUE"""),"ASSOC. DE APOIO A ESC. EST. SILVERIO RIBEIRO MATOS")</f>
        <v>ASSOC. DE APOIO A ESC. EST. SILVERIO RIBEIRO MATOS</v>
      </c>
      <c r="D271" s="136" t="str">
        <f ca="1">IFERROR(__xludf.DUMMYFUNCTION("""COMPUTED_VALUE"""),"13439520000147")</f>
        <v>13439520000147</v>
      </c>
      <c r="E271" s="6" t="str">
        <f ca="1">IFERROR(__xludf.DUMMYFUNCTION("""COMPUTED_VALUE"""),"001")</f>
        <v>001</v>
      </c>
      <c r="F271" s="7" t="str">
        <f ca="1">IFERROR(__xludf.DUMMYFUNCTION("""COMPUTED_VALUE"""),"3962")</f>
        <v>3962</v>
      </c>
      <c r="G271" s="7" t="str">
        <f ca="1">IFERROR(__xludf.DUMMYFUNCTION("""COMPUTED_VALUE"""),"261882")</f>
        <v>261882</v>
      </c>
      <c r="H271" s="7">
        <f ca="1">IFERROR(__xludf.DUMMYFUNCTION("""COMPUTED_VALUE"""),0)</f>
        <v>0</v>
      </c>
      <c r="I271" s="7">
        <f ca="1">IFERROR(__xludf.DUMMYFUNCTION("""COMPUTED_VALUE"""),0)</f>
        <v>0</v>
      </c>
      <c r="J271" s="7">
        <f ca="1">IFERROR(__xludf.DUMMYFUNCTION("""COMPUTED_VALUE"""),0)</f>
        <v>0</v>
      </c>
      <c r="K271" s="7">
        <f ca="1">IFERROR(__xludf.DUMMYFUNCTION("""COMPUTED_VALUE"""),0)</f>
        <v>0</v>
      </c>
      <c r="L271" s="7">
        <f ca="1">IFERROR(__xludf.DUMMYFUNCTION("""COMPUTED_VALUE"""),1272.8)</f>
        <v>1272.8</v>
      </c>
      <c r="M271" s="7">
        <f ca="1">IFERROR(__xludf.DUMMYFUNCTION("""COMPUTED_VALUE"""),0)</f>
        <v>0</v>
      </c>
      <c r="N271" s="7">
        <f ca="1">IFERROR(__xludf.DUMMYFUNCTION("""COMPUTED_VALUE"""),0)</f>
        <v>0</v>
      </c>
      <c r="O271" s="7">
        <f ca="1">IFERROR(__xludf.DUMMYFUNCTION("""COMPUTED_VALUE"""),0)</f>
        <v>0</v>
      </c>
      <c r="P271" s="7">
        <f ca="1">IFERROR(__xludf.DUMMYFUNCTION("""COMPUTED_VALUE"""),0)</f>
        <v>0</v>
      </c>
      <c r="Q271" s="7">
        <f ca="1">IFERROR(__xludf.DUMMYFUNCTION("""COMPUTED_VALUE"""),0)</f>
        <v>0</v>
      </c>
      <c r="R271" s="7">
        <f ca="1">IFERROR(__xludf.DUMMYFUNCTION("""COMPUTED_VALUE"""),0)</f>
        <v>0</v>
      </c>
      <c r="S271" s="7">
        <f ca="1">IFERROR(__xludf.DUMMYFUNCTION("""COMPUTED_VALUE"""),0)</f>
        <v>0</v>
      </c>
      <c r="T271" s="7">
        <f ca="1">IFERROR(__xludf.DUMMYFUNCTION("""COMPUTED_VALUE"""),0)</f>
        <v>0</v>
      </c>
      <c r="U271" s="61"/>
      <c r="V271" s="61"/>
      <c r="W271" s="61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IFERROR(__xludf.DUMMYFUNCTION("""COMPUTED_VALUE"""),"Novo Acordo")</f>
        <v>Novo Acordo</v>
      </c>
      <c r="C272" s="60" t="str">
        <f ca="1">IFERROR(__xludf.DUMMYFUNCTION("""COMPUTED_VALUE"""),"ASS. A. AO COL. EST. D. PEDRO I/N.ACORDO")</f>
        <v>ASS. A. AO COL. EST. D. PEDRO I/N.ACORDO</v>
      </c>
      <c r="D272" s="136" t="str">
        <f ca="1">IFERROR(__xludf.DUMMYFUNCTION("""COMPUTED_VALUE"""),"01133690000110")</f>
        <v>01133690000110</v>
      </c>
      <c r="E272" s="6" t="str">
        <f ca="1">IFERROR(__xludf.DUMMYFUNCTION("""COMPUTED_VALUE"""),"001")</f>
        <v>001</v>
      </c>
      <c r="F272" s="7" t="str">
        <f ca="1">IFERROR(__xludf.DUMMYFUNCTION("""COMPUTED_VALUE"""),"1505")</f>
        <v>1505</v>
      </c>
      <c r="G272" s="7" t="str">
        <f ca="1">IFERROR(__xludf.DUMMYFUNCTION("""COMPUTED_VALUE"""),"157856")</f>
        <v>157856</v>
      </c>
      <c r="H272" s="7">
        <f ca="1">IFERROR(__xludf.DUMMYFUNCTION("""COMPUTED_VALUE"""),0)</f>
        <v>0</v>
      </c>
      <c r="I272" s="7">
        <f ca="1">IFERROR(__xludf.DUMMYFUNCTION("""COMPUTED_VALUE"""),0)</f>
        <v>0</v>
      </c>
      <c r="J272" s="7">
        <f ca="1">IFERROR(__xludf.DUMMYFUNCTION("""COMPUTED_VALUE"""),4740)</f>
        <v>4740</v>
      </c>
      <c r="K272" s="7">
        <f ca="1">IFERROR(__xludf.DUMMYFUNCTION("""COMPUTED_VALUE"""),0)</f>
        <v>0</v>
      </c>
      <c r="L272" s="7">
        <f ca="1">IFERROR(__xludf.DUMMYFUNCTION("""COMPUTED_VALUE"""),0)</f>
        <v>0</v>
      </c>
      <c r="M272" s="7">
        <f ca="1">IFERROR(__xludf.DUMMYFUNCTION("""COMPUTED_VALUE"""),0)</f>
        <v>0</v>
      </c>
      <c r="N272" s="7">
        <f ca="1">IFERROR(__xludf.DUMMYFUNCTION("""COMPUTED_VALUE"""),0)</f>
        <v>0</v>
      </c>
      <c r="O272" s="7">
        <f ca="1">IFERROR(__xludf.DUMMYFUNCTION("""COMPUTED_VALUE"""),0)</f>
        <v>0</v>
      </c>
      <c r="P272" s="7">
        <f ca="1">IFERROR(__xludf.DUMMYFUNCTION("""COMPUTED_VALUE"""),1060.8)</f>
        <v>1060.8</v>
      </c>
      <c r="Q272" s="7">
        <f ca="1">IFERROR(__xludf.DUMMYFUNCTION("""COMPUTED_VALUE"""),3980)</f>
        <v>3980</v>
      </c>
      <c r="R272" s="7">
        <f ca="1">IFERROR(__xludf.DUMMYFUNCTION("""COMPUTED_VALUE"""),0)</f>
        <v>0</v>
      </c>
      <c r="S272" s="7">
        <f ca="1">IFERROR(__xludf.DUMMYFUNCTION("""COMPUTED_VALUE"""),0)</f>
        <v>0</v>
      </c>
      <c r="T272" s="7">
        <f ca="1">IFERROR(__xludf.DUMMYFUNCTION("""COMPUTED_VALUE"""),0)</f>
        <v>0</v>
      </c>
      <c r="U272" s="61"/>
      <c r="V272" s="61"/>
      <c r="W272" s="61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IFERROR(__xludf.DUMMYFUNCTION("""COMPUTED_VALUE"""),"Novo Acordo")</f>
        <v>Novo Acordo</v>
      </c>
      <c r="C273" s="60" t="str">
        <f ca="1">IFERROR(__xludf.DUMMYFUNCTION("""COMPUTED_VALUE"""),"A.A. DA ESC. EST.PEDRO MACEDO / N.ACORDO")</f>
        <v>A.A. DA ESC. EST.PEDRO MACEDO / N.ACORDO</v>
      </c>
      <c r="D273" s="136" t="str">
        <f ca="1">IFERROR(__xludf.DUMMYFUNCTION("""COMPUTED_VALUE"""),"01136004000164")</f>
        <v>01136004000164</v>
      </c>
      <c r="E273" s="6" t="str">
        <f ca="1">IFERROR(__xludf.DUMMYFUNCTION("""COMPUTED_VALUE"""),"001")</f>
        <v>001</v>
      </c>
      <c r="F273" s="7" t="str">
        <f ca="1">IFERROR(__xludf.DUMMYFUNCTION("""COMPUTED_VALUE"""),"1505")</f>
        <v>1505</v>
      </c>
      <c r="G273" s="7" t="str">
        <f ca="1">IFERROR(__xludf.DUMMYFUNCTION("""COMPUTED_VALUE"""),"171166")</f>
        <v>171166</v>
      </c>
      <c r="H273" s="7">
        <f ca="1">IFERROR(__xludf.DUMMYFUNCTION("""COMPUTED_VALUE"""),0)</f>
        <v>0</v>
      </c>
      <c r="I273" s="7">
        <f ca="1">IFERROR(__xludf.DUMMYFUNCTION("""COMPUTED_VALUE"""),0)</f>
        <v>0</v>
      </c>
      <c r="J273" s="7">
        <f ca="1">IFERROR(__xludf.DUMMYFUNCTION("""COMPUTED_VALUE"""),790)</f>
        <v>790</v>
      </c>
      <c r="K273" s="7">
        <f ca="1">IFERROR(__xludf.DUMMYFUNCTION("""COMPUTED_VALUE"""),0)</f>
        <v>0</v>
      </c>
      <c r="L273" s="7">
        <f ca="1">IFERROR(__xludf.DUMMYFUNCTION("""COMPUTED_VALUE"""),0)</f>
        <v>0</v>
      </c>
      <c r="M273" s="7">
        <f ca="1">IFERROR(__xludf.DUMMYFUNCTION("""COMPUTED_VALUE"""),0)</f>
        <v>0</v>
      </c>
      <c r="N273" s="7">
        <f ca="1">IFERROR(__xludf.DUMMYFUNCTION("""COMPUTED_VALUE"""),0)</f>
        <v>0</v>
      </c>
      <c r="O273" s="7">
        <f ca="1">IFERROR(__xludf.DUMMYFUNCTION("""COMPUTED_VALUE"""),0)</f>
        <v>0</v>
      </c>
      <c r="P273" s="7">
        <f ca="1">IFERROR(__xludf.DUMMYFUNCTION("""COMPUTED_VALUE"""),217.6)</f>
        <v>217.6</v>
      </c>
      <c r="Q273" s="7">
        <f ca="1">IFERROR(__xludf.DUMMYFUNCTION("""COMPUTED_VALUE"""),0)</f>
        <v>0</v>
      </c>
      <c r="R273" s="7">
        <f ca="1">IFERROR(__xludf.DUMMYFUNCTION("""COMPUTED_VALUE"""),0)</f>
        <v>0</v>
      </c>
      <c r="S273" s="7">
        <f ca="1">IFERROR(__xludf.DUMMYFUNCTION("""COMPUTED_VALUE"""),0)</f>
        <v>0</v>
      </c>
      <c r="T273" s="7">
        <f ca="1">IFERROR(__xludf.DUMMYFUNCTION("""COMPUTED_VALUE"""),0)</f>
        <v>0</v>
      </c>
      <c r="U273" s="61"/>
      <c r="V273" s="61"/>
      <c r="W273" s="61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0" t="str">
        <f ca="1">IFERROR(__xludf.DUMMYFUNCTION("""COMPUTED_VALUE"""),"A. DE CONSELHO ESCOLAR DO CEM 305 NORTE")</f>
        <v>A. DE CONSELHO ESCOLAR DO CEM 305 NORTE</v>
      </c>
      <c r="D274" s="136" t="str">
        <f ca="1">IFERROR(__xludf.DUMMYFUNCTION("""COMPUTED_VALUE"""),"04701394000166")</f>
        <v>04701394000166</v>
      </c>
      <c r="E274" s="6" t="str">
        <f ca="1">IFERROR(__xludf.DUMMYFUNCTION("""COMPUTED_VALUE"""),"001")</f>
        <v>001</v>
      </c>
      <c r="F274" s="7" t="str">
        <f ca="1">IFERROR(__xludf.DUMMYFUNCTION("""COMPUTED_VALUE"""),"1505")</f>
        <v>1505</v>
      </c>
      <c r="G274" s="7" t="str">
        <f ca="1">IFERROR(__xludf.DUMMYFUNCTION("""COMPUTED_VALUE"""),"455261")</f>
        <v>455261</v>
      </c>
      <c r="H274" s="7">
        <f ca="1">IFERROR(__xludf.DUMMYFUNCTION("""COMPUTED_VALUE"""),0)</f>
        <v>0</v>
      </c>
      <c r="I274" s="7">
        <f ca="1">IFERROR(__xludf.DUMMYFUNCTION("""COMPUTED_VALUE"""),0)</f>
        <v>0</v>
      </c>
      <c r="J274" s="7">
        <f ca="1">IFERROR(__xludf.DUMMYFUNCTION("""COMPUTED_VALUE"""),0)</f>
        <v>0</v>
      </c>
      <c r="K274" s="7">
        <f ca="1">IFERROR(__xludf.DUMMYFUNCTION("""COMPUTED_VALUE"""),0)</f>
        <v>0</v>
      </c>
      <c r="L274" s="7">
        <f ca="1">IFERROR(__xludf.DUMMYFUNCTION("""COMPUTED_VALUE"""),0)</f>
        <v>0</v>
      </c>
      <c r="M274" s="7">
        <f ca="1">IFERROR(__xludf.DUMMYFUNCTION("""COMPUTED_VALUE"""),0)</f>
        <v>0</v>
      </c>
      <c r="N274" s="7">
        <f ca="1">IFERROR(__xludf.DUMMYFUNCTION("""COMPUTED_VALUE"""),0)</f>
        <v>0</v>
      </c>
      <c r="O274" s="7">
        <f ca="1">IFERROR(__xludf.DUMMYFUNCTION("""COMPUTED_VALUE"""),0)</f>
        <v>0</v>
      </c>
      <c r="P274" s="7">
        <f ca="1">IFERROR(__xludf.DUMMYFUNCTION("""COMPUTED_VALUE"""),163.2)</f>
        <v>163.19999999999999</v>
      </c>
      <c r="Q274" s="7">
        <f ca="1">IFERROR(__xludf.DUMMYFUNCTION("""COMPUTED_VALUE"""),11480)</f>
        <v>11480</v>
      </c>
      <c r="R274" s="7">
        <f ca="1">IFERROR(__xludf.DUMMYFUNCTION("""COMPUTED_VALUE"""),0)</f>
        <v>0</v>
      </c>
      <c r="S274" s="7">
        <f ca="1">IFERROR(__xludf.DUMMYFUNCTION("""COMPUTED_VALUE"""),0)</f>
        <v>0</v>
      </c>
      <c r="T274" s="7">
        <f ca="1">IFERROR(__xludf.DUMMYFUNCTION("""COMPUTED_VALUE"""),0)</f>
        <v>0</v>
      </c>
      <c r="U274" s="61"/>
      <c r="V274" s="61"/>
      <c r="W274" s="61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0" t="str">
        <f ca="1">IFERROR(__xludf.DUMMYFUNCTION("""COMPUTED_VALUE"""),"ASSOC. DE APOIO COL. EST. DE TAQUARALTO")</f>
        <v>ASSOC. DE APOIO COL. EST. DE TAQUARALTO</v>
      </c>
      <c r="D275" s="136" t="str">
        <f ca="1">IFERROR(__xludf.DUMMYFUNCTION("""COMPUTED_VALUE"""),"03233677000168")</f>
        <v>03233677000168</v>
      </c>
      <c r="E275" s="6" t="str">
        <f ca="1">IFERROR(__xludf.DUMMYFUNCTION("""COMPUTED_VALUE"""),"001")</f>
        <v>001</v>
      </c>
      <c r="F275" s="7" t="str">
        <f ca="1">IFERROR(__xludf.DUMMYFUNCTION("""COMPUTED_VALUE"""),"1505")</f>
        <v>1505</v>
      </c>
      <c r="G275" s="7" t="str">
        <f ca="1">IFERROR(__xludf.DUMMYFUNCTION("""COMPUTED_VALUE"""),"455059")</f>
        <v>455059</v>
      </c>
      <c r="H275" s="7">
        <f ca="1">IFERROR(__xludf.DUMMYFUNCTION("""COMPUTED_VALUE"""),0)</f>
        <v>0</v>
      </c>
      <c r="I275" s="7">
        <f ca="1">IFERROR(__xludf.DUMMYFUNCTION("""COMPUTED_VALUE"""),0)</f>
        <v>0</v>
      </c>
      <c r="J275" s="7">
        <f ca="1">IFERROR(__xludf.DUMMYFUNCTION("""COMPUTED_VALUE"""),0)</f>
        <v>0</v>
      </c>
      <c r="K275" s="7">
        <f ca="1">IFERROR(__xludf.DUMMYFUNCTION("""COMPUTED_VALUE"""),0)</f>
        <v>0</v>
      </c>
      <c r="L275" s="7">
        <f ca="1">IFERROR(__xludf.DUMMYFUNCTION("""COMPUTED_VALUE"""),0)</f>
        <v>0</v>
      </c>
      <c r="M275" s="7">
        <f ca="1">IFERROR(__xludf.DUMMYFUNCTION("""COMPUTED_VALUE"""),0)</f>
        <v>0</v>
      </c>
      <c r="N275" s="7">
        <f ca="1">IFERROR(__xludf.DUMMYFUNCTION("""COMPUTED_VALUE"""),0)</f>
        <v>0</v>
      </c>
      <c r="O275" s="7">
        <f ca="1">IFERROR(__xludf.DUMMYFUNCTION("""COMPUTED_VALUE"""),0)</f>
        <v>0</v>
      </c>
      <c r="P275" s="7">
        <f ca="1">IFERROR(__xludf.DUMMYFUNCTION("""COMPUTED_VALUE"""),353.599999999999)</f>
        <v>353.599999999999</v>
      </c>
      <c r="Q275" s="7">
        <f ca="1">IFERROR(__xludf.DUMMYFUNCTION("""COMPUTED_VALUE"""),30120)</f>
        <v>30120</v>
      </c>
      <c r="R275" s="7">
        <f ca="1">IFERROR(__xludf.DUMMYFUNCTION("""COMPUTED_VALUE"""),0)</f>
        <v>0</v>
      </c>
      <c r="S275" s="7">
        <f ca="1">IFERROR(__xludf.DUMMYFUNCTION("""COMPUTED_VALUE"""),0)</f>
        <v>0</v>
      </c>
      <c r="T275" s="7">
        <f ca="1">IFERROR(__xludf.DUMMYFUNCTION("""COMPUTED_VALUE"""),1869.6)</f>
        <v>1869.6</v>
      </c>
      <c r="U275" s="61"/>
      <c r="V275" s="61"/>
      <c r="W275" s="61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0" t="str">
        <f ca="1">IFERROR(__xludf.DUMMYFUNCTION("""COMPUTED_VALUE"""),"A.AP. DO COL. EST. SANTA RITA DE CASSIA")</f>
        <v>A.AP. DO COL. EST. SANTA RITA DE CASSIA</v>
      </c>
      <c r="D276" s="136" t="str">
        <f ca="1">IFERROR(__xludf.DUMMYFUNCTION("""COMPUTED_VALUE"""),"01955414000137")</f>
        <v>01955414000137</v>
      </c>
      <c r="E276" s="6" t="str">
        <f ca="1">IFERROR(__xludf.DUMMYFUNCTION("""COMPUTED_VALUE"""),"001")</f>
        <v>001</v>
      </c>
      <c r="F276" s="7" t="str">
        <f ca="1">IFERROR(__xludf.DUMMYFUNCTION("""COMPUTED_VALUE"""),"1505")</f>
        <v>1505</v>
      </c>
      <c r="G276" s="7" t="str">
        <f ca="1">IFERROR(__xludf.DUMMYFUNCTION("""COMPUTED_VALUE"""),"256579")</f>
        <v>256579</v>
      </c>
      <c r="H276" s="7">
        <f ca="1">IFERROR(__xludf.DUMMYFUNCTION("""COMPUTED_VALUE"""),0)</f>
        <v>0</v>
      </c>
      <c r="I276" s="7">
        <f ca="1">IFERROR(__xludf.DUMMYFUNCTION("""COMPUTED_VALUE"""),0)</f>
        <v>0</v>
      </c>
      <c r="J276" s="7">
        <f ca="1">IFERROR(__xludf.DUMMYFUNCTION("""COMPUTED_VALUE"""),0)</f>
        <v>0</v>
      </c>
      <c r="K276" s="7">
        <f ca="1">IFERROR(__xludf.DUMMYFUNCTION("""COMPUTED_VALUE"""),0)</f>
        <v>0</v>
      </c>
      <c r="L276" s="7">
        <f ca="1">IFERROR(__xludf.DUMMYFUNCTION("""COMPUTED_VALUE"""),0)</f>
        <v>0</v>
      </c>
      <c r="M276" s="7">
        <f ca="1">IFERROR(__xludf.DUMMYFUNCTION("""COMPUTED_VALUE"""),0)</f>
        <v>0</v>
      </c>
      <c r="N276" s="7">
        <f ca="1">IFERROR(__xludf.DUMMYFUNCTION("""COMPUTED_VALUE"""),0)</f>
        <v>0</v>
      </c>
      <c r="O276" s="7">
        <f ca="1">IFERROR(__xludf.DUMMYFUNCTION("""COMPUTED_VALUE"""),0)</f>
        <v>0</v>
      </c>
      <c r="P276" s="7">
        <f ca="1">IFERROR(__xludf.DUMMYFUNCTION("""COMPUTED_VALUE"""),122.399999999999)</f>
        <v>122.399999999999</v>
      </c>
      <c r="Q276" s="7">
        <f ca="1">IFERROR(__xludf.DUMMYFUNCTION("""COMPUTED_VALUE"""),0)</f>
        <v>0</v>
      </c>
      <c r="R276" s="7">
        <f ca="1">IFERROR(__xludf.DUMMYFUNCTION("""COMPUTED_VALUE"""),0)</f>
        <v>0</v>
      </c>
      <c r="S276" s="7">
        <f ca="1">IFERROR(__xludf.DUMMYFUNCTION("""COMPUTED_VALUE"""),11161.6)</f>
        <v>11161.6</v>
      </c>
      <c r="T276" s="7">
        <f ca="1">IFERROR(__xludf.DUMMYFUNCTION("""COMPUTED_VALUE"""),0)</f>
        <v>0</v>
      </c>
      <c r="U276" s="61"/>
      <c r="V276" s="61"/>
      <c r="W276" s="61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0" t="str">
        <f ca="1">IFERROR(__xludf.DUMMYFUNCTION("""COMPUTED_VALUE"""),"ASSOC. COMUN.ESCOLAR DA ESC. EST. TIRADENTES")</f>
        <v>ASSOC. COMUN.ESCOLAR DA ESC. EST. TIRADENTES</v>
      </c>
      <c r="D277" s="136" t="str">
        <f ca="1">IFERROR(__xludf.DUMMYFUNCTION("""COMPUTED_VALUE"""),"00862122000197")</f>
        <v>00862122000197</v>
      </c>
      <c r="E277" s="6" t="str">
        <f ca="1">IFERROR(__xludf.DUMMYFUNCTION("""COMPUTED_VALUE"""),"001")</f>
        <v>001</v>
      </c>
      <c r="F277" s="7" t="str">
        <f ca="1">IFERROR(__xludf.DUMMYFUNCTION("""COMPUTED_VALUE"""),"1505")</f>
        <v>1505</v>
      </c>
      <c r="G277" s="7" t="str">
        <f ca="1">IFERROR(__xludf.DUMMYFUNCTION("""COMPUTED_VALUE"""),"250562")</f>
        <v>250562</v>
      </c>
      <c r="H277" s="7">
        <f ca="1">IFERROR(__xludf.DUMMYFUNCTION("""COMPUTED_VALUE"""),0)</f>
        <v>0</v>
      </c>
      <c r="I277" s="7">
        <f ca="1">IFERROR(__xludf.DUMMYFUNCTION("""COMPUTED_VALUE"""),0)</f>
        <v>0</v>
      </c>
      <c r="J277" s="7">
        <f ca="1">IFERROR(__xludf.DUMMYFUNCTION("""COMPUTED_VALUE"""),0)</f>
        <v>0</v>
      </c>
      <c r="K277" s="7">
        <f ca="1">IFERROR(__xludf.DUMMYFUNCTION("""COMPUTED_VALUE"""),0)</f>
        <v>0</v>
      </c>
      <c r="L277" s="7">
        <f ca="1">IFERROR(__xludf.DUMMYFUNCTION("""COMPUTED_VALUE"""),0)</f>
        <v>0</v>
      </c>
      <c r="M277" s="7">
        <f ca="1">IFERROR(__xludf.DUMMYFUNCTION("""COMPUTED_VALUE"""),0)</f>
        <v>0</v>
      </c>
      <c r="N277" s="7">
        <f ca="1">IFERROR(__xludf.DUMMYFUNCTION("""COMPUTED_VALUE"""),0)</f>
        <v>0</v>
      </c>
      <c r="O277" s="7">
        <f ca="1">IFERROR(__xludf.DUMMYFUNCTION("""COMPUTED_VALUE"""),0)</f>
        <v>0</v>
      </c>
      <c r="P277" s="7">
        <f ca="1">IFERROR(__xludf.DUMMYFUNCTION("""COMPUTED_VALUE"""),0)</f>
        <v>0</v>
      </c>
      <c r="Q277" s="7">
        <f ca="1">IFERROR(__xludf.DUMMYFUNCTION("""COMPUTED_VALUE"""),12770)</f>
        <v>12770</v>
      </c>
      <c r="R277" s="7">
        <f ca="1">IFERROR(__xludf.DUMMYFUNCTION("""COMPUTED_VALUE"""),0)</f>
        <v>0</v>
      </c>
      <c r="S277" s="7">
        <f ca="1">IFERROR(__xludf.DUMMYFUNCTION("""COMPUTED_VALUE"""),0)</f>
        <v>0</v>
      </c>
      <c r="T277" s="7">
        <f ca="1">IFERROR(__xludf.DUMMYFUNCTION("""COMPUTED_VALUE"""),0)</f>
        <v>0</v>
      </c>
      <c r="U277" s="61"/>
      <c r="V277" s="61"/>
      <c r="W277" s="61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0" t="str">
        <f ca="1">IFERROR(__xludf.DUMMYFUNCTION("""COMPUTED_VALUE"""),"ASSOC. DE APOIO COL. DA POLICIA MILITAR DO TOCANTINS")</f>
        <v>ASSOC. DE APOIO COL. DA POLICIA MILITAR DO TOCANTINS</v>
      </c>
      <c r="D278" s="136" t="str">
        <f ca="1">IFERROR(__xludf.DUMMYFUNCTION("""COMPUTED_VALUE"""),"02050257000183")</f>
        <v>02050257000183</v>
      </c>
      <c r="E278" s="6" t="str">
        <f ca="1">IFERROR(__xludf.DUMMYFUNCTION("""COMPUTED_VALUE"""),"001")</f>
        <v>001</v>
      </c>
      <c r="F278" s="7" t="str">
        <f ca="1">IFERROR(__xludf.DUMMYFUNCTION("""COMPUTED_VALUE"""),"1505")</f>
        <v>1505</v>
      </c>
      <c r="G278" s="7" t="str">
        <f ca="1">IFERROR(__xludf.DUMMYFUNCTION("""COMPUTED_VALUE"""),"455466")</f>
        <v>455466</v>
      </c>
      <c r="H278" s="7">
        <f ca="1">IFERROR(__xludf.DUMMYFUNCTION("""COMPUTED_VALUE"""),0)</f>
        <v>0</v>
      </c>
      <c r="I278" s="7">
        <f ca="1">IFERROR(__xludf.DUMMYFUNCTION("""COMPUTED_VALUE"""),0)</f>
        <v>0</v>
      </c>
      <c r="J278" s="7">
        <f ca="1">IFERROR(__xludf.DUMMYFUNCTION("""COMPUTED_VALUE"""),0)</f>
        <v>0</v>
      </c>
      <c r="K278" s="7">
        <f ca="1">IFERROR(__xludf.DUMMYFUNCTION("""COMPUTED_VALUE"""),0)</f>
        <v>0</v>
      </c>
      <c r="L278" s="7">
        <f ca="1">IFERROR(__xludf.DUMMYFUNCTION("""COMPUTED_VALUE"""),0)</f>
        <v>0</v>
      </c>
      <c r="M278" s="7">
        <f ca="1">IFERROR(__xludf.DUMMYFUNCTION("""COMPUTED_VALUE"""),0)</f>
        <v>0</v>
      </c>
      <c r="N278" s="7">
        <f ca="1">IFERROR(__xludf.DUMMYFUNCTION("""COMPUTED_VALUE"""),0)</f>
        <v>0</v>
      </c>
      <c r="O278" s="7">
        <f ca="1">IFERROR(__xludf.DUMMYFUNCTION("""COMPUTED_VALUE"""),0)</f>
        <v>0</v>
      </c>
      <c r="P278" s="7">
        <f ca="1">IFERROR(__xludf.DUMMYFUNCTION("""COMPUTED_VALUE"""),0)</f>
        <v>0</v>
      </c>
      <c r="Q278" s="7">
        <f ca="1">IFERROR(__xludf.DUMMYFUNCTION("""COMPUTED_VALUE"""),0)</f>
        <v>0</v>
      </c>
      <c r="R278" s="7">
        <f ca="1">IFERROR(__xludf.DUMMYFUNCTION("""COMPUTED_VALUE"""),0)</f>
        <v>0</v>
      </c>
      <c r="S278" s="7">
        <f ca="1">IFERROR(__xludf.DUMMYFUNCTION("""COMPUTED_VALUE"""),35686.4)</f>
        <v>35686.400000000001</v>
      </c>
      <c r="T278" s="7">
        <f ca="1">IFERROR(__xludf.DUMMYFUNCTION("""COMPUTED_VALUE"""),0)</f>
        <v>0</v>
      </c>
      <c r="U278" s="61"/>
      <c r="V278" s="61"/>
      <c r="W278" s="61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0" t="str">
        <f ca="1">IFERROR(__xludf.DUMMYFUNCTION("""COMPUTED_VALUE"""),"ASSOCIAÇÃO DE APOIO A ESC. ESTADUAL DA 403 SUL")</f>
        <v>ASSOCIAÇÃO DE APOIO A ESC. ESTADUAL DA 403 SUL</v>
      </c>
      <c r="D279" s="136" t="str">
        <f ca="1">IFERROR(__xludf.DUMMYFUNCTION("""COMPUTED_VALUE"""),"11332101000186")</f>
        <v>11332101000186</v>
      </c>
      <c r="E279" s="6" t="str">
        <f ca="1">IFERROR(__xludf.DUMMYFUNCTION("""COMPUTED_VALUE"""),"001")</f>
        <v>001</v>
      </c>
      <c r="F279" s="7" t="str">
        <f ca="1">IFERROR(__xludf.DUMMYFUNCTION("""COMPUTED_VALUE"""),"1505")</f>
        <v>1505</v>
      </c>
      <c r="G279" s="7" t="str">
        <f ca="1">IFERROR(__xludf.DUMMYFUNCTION("""COMPUTED_VALUE"""),"467588")</f>
        <v>467588</v>
      </c>
      <c r="H279" s="7">
        <f ca="1">IFERROR(__xludf.DUMMYFUNCTION("""COMPUTED_VALUE"""),0)</f>
        <v>0</v>
      </c>
      <c r="I279" s="7">
        <f ca="1">IFERROR(__xludf.DUMMYFUNCTION("""COMPUTED_VALUE"""),0)</f>
        <v>0</v>
      </c>
      <c r="J279" s="7">
        <f ca="1">IFERROR(__xludf.DUMMYFUNCTION("""COMPUTED_VALUE"""),0)</f>
        <v>0</v>
      </c>
      <c r="K279" s="7">
        <f ca="1">IFERROR(__xludf.DUMMYFUNCTION("""COMPUTED_VALUE"""),22468)</f>
        <v>22468</v>
      </c>
      <c r="L279" s="7">
        <f ca="1">IFERROR(__xludf.DUMMYFUNCTION("""COMPUTED_VALUE"""),0)</f>
        <v>0</v>
      </c>
      <c r="M279" s="7">
        <f ca="1">IFERROR(__xludf.DUMMYFUNCTION("""COMPUTED_VALUE"""),0)</f>
        <v>0</v>
      </c>
      <c r="N279" s="7">
        <f ca="1">IFERROR(__xludf.DUMMYFUNCTION("""COMPUTED_VALUE"""),0)</f>
        <v>0</v>
      </c>
      <c r="O279" s="7">
        <f ca="1">IFERROR(__xludf.DUMMYFUNCTION("""COMPUTED_VALUE"""),0)</f>
        <v>0</v>
      </c>
      <c r="P279" s="7">
        <f ca="1">IFERROR(__xludf.DUMMYFUNCTION("""COMPUTED_VALUE"""),0)</f>
        <v>0</v>
      </c>
      <c r="Q279" s="7">
        <f ca="1">IFERROR(__xludf.DUMMYFUNCTION("""COMPUTED_VALUE"""),0)</f>
        <v>0</v>
      </c>
      <c r="R279" s="7">
        <f ca="1">IFERROR(__xludf.DUMMYFUNCTION("""COMPUTED_VALUE"""),0)</f>
        <v>0</v>
      </c>
      <c r="S279" s="7">
        <f ca="1">IFERROR(__xludf.DUMMYFUNCTION("""COMPUTED_VALUE"""),0)</f>
        <v>0</v>
      </c>
      <c r="T279" s="7">
        <f ca="1">IFERROR(__xludf.DUMMYFUNCTION("""COMPUTED_VALUE"""),0)</f>
        <v>0</v>
      </c>
      <c r="U279" s="61"/>
      <c r="V279" s="61"/>
      <c r="W279" s="61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0" t="str">
        <f ca="1">IFERROR(__xludf.DUMMYFUNCTION("""COMPUTED_VALUE"""),"A.C.ESC.M.FUT. C.E. CRIANCA ESPERANCA")</f>
        <v>A.C.ESC.M.FUT. C.E. CRIANCA ESPERANCA</v>
      </c>
      <c r="D280" s="136" t="str">
        <f ca="1">IFERROR(__xludf.DUMMYFUNCTION("""COMPUTED_VALUE"""),"01920781000103")</f>
        <v>01920781000103</v>
      </c>
      <c r="E280" s="6" t="str">
        <f ca="1">IFERROR(__xludf.DUMMYFUNCTION("""COMPUTED_VALUE"""),"001")</f>
        <v>001</v>
      </c>
      <c r="F280" s="7" t="str">
        <f ca="1">IFERROR(__xludf.DUMMYFUNCTION("""COMPUTED_VALUE"""),"1505")</f>
        <v>1505</v>
      </c>
      <c r="G280" s="7" t="str">
        <f ca="1">IFERROR(__xludf.DUMMYFUNCTION("""COMPUTED_VALUE"""),"455369")</f>
        <v>455369</v>
      </c>
      <c r="H280" s="7">
        <f ca="1">IFERROR(__xludf.DUMMYFUNCTION("""COMPUTED_VALUE"""),0)</f>
        <v>0</v>
      </c>
      <c r="I280" s="7">
        <f ca="1">IFERROR(__xludf.DUMMYFUNCTION("""COMPUTED_VALUE"""),0)</f>
        <v>0</v>
      </c>
      <c r="J280" s="7">
        <f ca="1">IFERROR(__xludf.DUMMYFUNCTION("""COMPUTED_VALUE"""),0)</f>
        <v>0</v>
      </c>
      <c r="K280" s="7">
        <f ca="1">IFERROR(__xludf.DUMMYFUNCTION("""COMPUTED_VALUE"""),0)</f>
        <v>0</v>
      </c>
      <c r="L280" s="7">
        <f ca="1">IFERROR(__xludf.DUMMYFUNCTION("""COMPUTED_VALUE"""),0)</f>
        <v>0</v>
      </c>
      <c r="M280" s="7">
        <f ca="1">IFERROR(__xludf.DUMMYFUNCTION("""COMPUTED_VALUE"""),0)</f>
        <v>0</v>
      </c>
      <c r="N280" s="7">
        <f ca="1">IFERROR(__xludf.DUMMYFUNCTION("""COMPUTED_VALUE"""),0)</f>
        <v>0</v>
      </c>
      <c r="O280" s="7">
        <f ca="1">IFERROR(__xludf.DUMMYFUNCTION("""COMPUTED_VALUE"""),0)</f>
        <v>0</v>
      </c>
      <c r="P280" s="7">
        <f ca="1">IFERROR(__xludf.DUMMYFUNCTION("""COMPUTED_VALUE"""),0)</f>
        <v>0</v>
      </c>
      <c r="Q280" s="7">
        <f ca="1">IFERROR(__xludf.DUMMYFUNCTION("""COMPUTED_VALUE"""),2670)</f>
        <v>2670</v>
      </c>
      <c r="R280" s="7">
        <f ca="1">IFERROR(__xludf.DUMMYFUNCTION("""COMPUTED_VALUE"""),0)</f>
        <v>0</v>
      </c>
      <c r="S280" s="7">
        <f ca="1">IFERROR(__xludf.DUMMYFUNCTION("""COMPUTED_VALUE"""),0)</f>
        <v>0</v>
      </c>
      <c r="T280" s="7">
        <f ca="1">IFERROR(__xludf.DUMMYFUNCTION("""COMPUTED_VALUE"""),442.799999999999)</f>
        <v>442.79999999999899</v>
      </c>
      <c r="U280" s="61"/>
      <c r="V280" s="61"/>
      <c r="W280" s="61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0" t="str">
        <f ca="1">IFERROR(__xludf.DUMMYFUNCTION("""COMPUTED_VALUE"""),"A. COM. E-E. E. DOM ALANO MARIE DU NODAY")</f>
        <v>A. COM. E-E. E. DOM ALANO MARIE DU NODAY</v>
      </c>
      <c r="D281" s="136" t="str">
        <f ca="1">IFERROR(__xludf.DUMMYFUNCTION("""COMPUTED_VALUE"""),"01343125000187")</f>
        <v>01343125000187</v>
      </c>
      <c r="E281" s="6" t="str">
        <f ca="1">IFERROR(__xludf.DUMMYFUNCTION("""COMPUTED_VALUE"""),"001")</f>
        <v>001</v>
      </c>
      <c r="F281" s="7" t="str">
        <f ca="1">IFERROR(__xludf.DUMMYFUNCTION("""COMPUTED_VALUE"""),"1505")</f>
        <v>1505</v>
      </c>
      <c r="G281" s="7" t="str">
        <f ca="1">IFERROR(__xludf.DUMMYFUNCTION("""COMPUTED_VALUE"""),"265810")</f>
        <v>265810</v>
      </c>
      <c r="H281" s="7">
        <f ca="1">IFERROR(__xludf.DUMMYFUNCTION("""COMPUTED_VALUE"""),0)</f>
        <v>0</v>
      </c>
      <c r="I281" s="7">
        <f ca="1">IFERROR(__xludf.DUMMYFUNCTION("""COMPUTED_VALUE"""),0)</f>
        <v>0</v>
      </c>
      <c r="J281" s="7">
        <f ca="1">IFERROR(__xludf.DUMMYFUNCTION("""COMPUTED_VALUE"""),1820)</f>
        <v>1820</v>
      </c>
      <c r="K281" s="7">
        <f ca="1">IFERROR(__xludf.DUMMYFUNCTION("""COMPUTED_VALUE"""),0)</f>
        <v>0</v>
      </c>
      <c r="L281" s="7">
        <f ca="1">IFERROR(__xludf.DUMMYFUNCTION("""COMPUTED_VALUE"""),0)</f>
        <v>0</v>
      </c>
      <c r="M281" s="7">
        <f ca="1">IFERROR(__xludf.DUMMYFUNCTION("""COMPUTED_VALUE"""),0)</f>
        <v>0</v>
      </c>
      <c r="N281" s="7">
        <f ca="1">IFERROR(__xludf.DUMMYFUNCTION("""COMPUTED_VALUE"""),0)</f>
        <v>0</v>
      </c>
      <c r="O281" s="7">
        <f ca="1">IFERROR(__xludf.DUMMYFUNCTION("""COMPUTED_VALUE"""),0)</f>
        <v>0</v>
      </c>
      <c r="P281" s="7">
        <f ca="1">IFERROR(__xludf.DUMMYFUNCTION("""COMPUTED_VALUE"""),0)</f>
        <v>0</v>
      </c>
      <c r="Q281" s="7">
        <f ca="1">IFERROR(__xludf.DUMMYFUNCTION("""COMPUTED_VALUE"""),17320)</f>
        <v>17320</v>
      </c>
      <c r="R281" s="7">
        <f ca="1">IFERROR(__xludf.DUMMYFUNCTION("""COMPUTED_VALUE"""),0)</f>
        <v>0</v>
      </c>
      <c r="S281" s="7">
        <f ca="1">IFERROR(__xludf.DUMMYFUNCTION("""COMPUTED_VALUE"""),0)</f>
        <v>0</v>
      </c>
      <c r="T281" s="7">
        <f ca="1">IFERROR(__xludf.DUMMYFUNCTION("""COMPUTED_VALUE"""),1131.6)</f>
        <v>1131.5999999999999</v>
      </c>
      <c r="U281" s="61"/>
      <c r="V281" s="61"/>
      <c r="W281" s="61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0" t="str">
        <f ca="1">IFERROR(__xludf.DUMMYFUNCTION("""COMPUTED_VALUE"""),"ACE COL. EST. DUQUE DE CAXIAS")</f>
        <v>ACE COL. EST. DUQUE DE CAXIAS</v>
      </c>
      <c r="D282" s="136" t="str">
        <f ca="1">IFERROR(__xludf.DUMMYFUNCTION("""COMPUTED_VALUE"""),"01588669000109")</f>
        <v>01588669000109</v>
      </c>
      <c r="E282" s="6" t="str">
        <f ca="1">IFERROR(__xludf.DUMMYFUNCTION("""COMPUTED_VALUE"""),"001")</f>
        <v>001</v>
      </c>
      <c r="F282" s="7" t="str">
        <f ca="1">IFERROR(__xludf.DUMMYFUNCTION("""COMPUTED_VALUE"""),"1505")</f>
        <v>1505</v>
      </c>
      <c r="G282" s="7" t="str">
        <f ca="1">IFERROR(__xludf.DUMMYFUNCTION("""COMPUTED_VALUE"""),"254002")</f>
        <v>254002</v>
      </c>
      <c r="H282" s="7">
        <f ca="1">IFERROR(__xludf.DUMMYFUNCTION("""COMPUTED_VALUE"""),0)</f>
        <v>0</v>
      </c>
      <c r="I282" s="7">
        <f ca="1">IFERROR(__xludf.DUMMYFUNCTION("""COMPUTED_VALUE"""),0)</f>
        <v>0</v>
      </c>
      <c r="J282" s="7">
        <f ca="1">IFERROR(__xludf.DUMMYFUNCTION("""COMPUTED_VALUE"""),1870)</f>
        <v>1870</v>
      </c>
      <c r="K282" s="7">
        <f ca="1">IFERROR(__xludf.DUMMYFUNCTION("""COMPUTED_VALUE"""),0)</f>
        <v>0</v>
      </c>
      <c r="L282" s="7">
        <f ca="1">IFERROR(__xludf.DUMMYFUNCTION("""COMPUTED_VALUE"""),0)</f>
        <v>0</v>
      </c>
      <c r="M282" s="7">
        <f ca="1">IFERROR(__xludf.DUMMYFUNCTION("""COMPUTED_VALUE"""),0)</f>
        <v>0</v>
      </c>
      <c r="N282" s="7">
        <f ca="1">IFERROR(__xludf.DUMMYFUNCTION("""COMPUTED_VALUE"""),0)</f>
        <v>0</v>
      </c>
      <c r="O282" s="7">
        <f ca="1">IFERROR(__xludf.DUMMYFUNCTION("""COMPUTED_VALUE"""),0)</f>
        <v>0</v>
      </c>
      <c r="P282" s="7">
        <f ca="1">IFERROR(__xludf.DUMMYFUNCTION("""COMPUTED_VALUE"""),272)</f>
        <v>272</v>
      </c>
      <c r="Q282" s="7">
        <f ca="1">IFERROR(__xludf.DUMMYFUNCTION("""COMPUTED_VALUE"""),2680)</f>
        <v>2680</v>
      </c>
      <c r="R282" s="7">
        <f ca="1">IFERROR(__xludf.DUMMYFUNCTION("""COMPUTED_VALUE"""),0)</f>
        <v>0</v>
      </c>
      <c r="S282" s="7">
        <f ca="1">IFERROR(__xludf.DUMMYFUNCTION("""COMPUTED_VALUE"""),0)</f>
        <v>0</v>
      </c>
      <c r="T282" s="7">
        <f ca="1">IFERROR(__xludf.DUMMYFUNCTION("""COMPUTED_VALUE"""),0)</f>
        <v>0</v>
      </c>
      <c r="U282" s="61"/>
      <c r="V282" s="61"/>
      <c r="W282" s="61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0" t="str">
        <f ca="1">IFERROR(__xludf.DUMMYFUNCTION("""COMPUTED_VALUE"""),"A.A. AO COLEGIO ESTADUAL SAO JOSE")</f>
        <v>A.A. AO COLEGIO ESTADUAL SAO JOSE</v>
      </c>
      <c r="D283" s="136" t="str">
        <f ca="1">IFERROR(__xludf.DUMMYFUNCTION("""COMPUTED_VALUE"""),"01913809000177")</f>
        <v>01913809000177</v>
      </c>
      <c r="E283" s="6" t="str">
        <f ca="1">IFERROR(__xludf.DUMMYFUNCTION("""COMPUTED_VALUE"""),"001")</f>
        <v>001</v>
      </c>
      <c r="F283" s="7" t="str">
        <f ca="1">IFERROR(__xludf.DUMMYFUNCTION("""COMPUTED_VALUE"""),"1886")</f>
        <v>1886</v>
      </c>
      <c r="G283" s="7" t="str">
        <f ca="1">IFERROR(__xludf.DUMMYFUNCTION("""COMPUTED_VALUE"""),"325252")</f>
        <v>325252</v>
      </c>
      <c r="H283" s="7">
        <f ca="1">IFERROR(__xludf.DUMMYFUNCTION("""COMPUTED_VALUE"""),0)</f>
        <v>0</v>
      </c>
      <c r="I283" s="7">
        <f ca="1">IFERROR(__xludf.DUMMYFUNCTION("""COMPUTED_VALUE"""),0)</f>
        <v>0</v>
      </c>
      <c r="J283" s="7">
        <f ca="1">IFERROR(__xludf.DUMMYFUNCTION("""COMPUTED_VALUE"""),0)</f>
        <v>0</v>
      </c>
      <c r="K283" s="7">
        <f ca="1">IFERROR(__xludf.DUMMYFUNCTION("""COMPUTED_VALUE"""),0)</f>
        <v>0</v>
      </c>
      <c r="L283" s="7">
        <f ca="1">IFERROR(__xludf.DUMMYFUNCTION("""COMPUTED_VALUE"""),0)</f>
        <v>0</v>
      </c>
      <c r="M283" s="7">
        <f ca="1">IFERROR(__xludf.DUMMYFUNCTION("""COMPUTED_VALUE"""),0)</f>
        <v>0</v>
      </c>
      <c r="N283" s="7">
        <f ca="1">IFERROR(__xludf.DUMMYFUNCTION("""COMPUTED_VALUE"""),0)</f>
        <v>0</v>
      </c>
      <c r="O283" s="7">
        <f ca="1">IFERROR(__xludf.DUMMYFUNCTION("""COMPUTED_VALUE"""),0)</f>
        <v>0</v>
      </c>
      <c r="P283" s="7">
        <f ca="1">IFERROR(__xludf.DUMMYFUNCTION("""COMPUTED_VALUE"""),326.4)</f>
        <v>326.39999999999998</v>
      </c>
      <c r="Q283" s="7">
        <f ca="1">IFERROR(__xludf.DUMMYFUNCTION("""COMPUTED_VALUE"""),0)</f>
        <v>0</v>
      </c>
      <c r="R283" s="7">
        <f ca="1">IFERROR(__xludf.DUMMYFUNCTION("""COMPUTED_VALUE"""),0)</f>
        <v>0</v>
      </c>
      <c r="S283" s="7">
        <f ca="1">IFERROR(__xludf.DUMMYFUNCTION("""COMPUTED_VALUE"""),9472)</f>
        <v>9472</v>
      </c>
      <c r="T283" s="7">
        <f ca="1">IFERROR(__xludf.DUMMYFUNCTION("""COMPUTED_VALUE"""),729.8)</f>
        <v>729.8</v>
      </c>
      <c r="U283" s="61"/>
      <c r="V283" s="61"/>
      <c r="W283" s="61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0" t="str">
        <f ca="1">IFERROR(__xludf.DUMMYFUNCTION("""COMPUTED_VALUE"""),"A.A. COL GIRASSOL TEMPO INTEGRAL RAQUEL QUEIROZ")</f>
        <v>A.A. COL GIRASSOL TEMPO INTEGRAL RAQUEL QUEIROZ</v>
      </c>
      <c r="D284" s="136" t="str">
        <f ca="1">IFERROR(__xludf.DUMMYFUNCTION("""COMPUTED_VALUE"""),"13748657000183")</f>
        <v>13748657000183</v>
      </c>
      <c r="E284" s="6" t="str">
        <f ca="1">IFERROR(__xludf.DUMMYFUNCTION("""COMPUTED_VALUE"""),"001")</f>
        <v>001</v>
      </c>
      <c r="F284" s="7" t="str">
        <f ca="1">IFERROR(__xludf.DUMMYFUNCTION("""COMPUTED_VALUE"""),"1867")</f>
        <v>1867</v>
      </c>
      <c r="G284" s="7" t="str">
        <f ca="1">IFERROR(__xludf.DUMMYFUNCTION("""COMPUTED_VALUE"""),"856312")</f>
        <v>856312</v>
      </c>
      <c r="H284" s="7">
        <f ca="1">IFERROR(__xludf.DUMMYFUNCTION("""COMPUTED_VALUE"""),0)</f>
        <v>0</v>
      </c>
      <c r="I284" s="7">
        <f ca="1">IFERROR(__xludf.DUMMYFUNCTION("""COMPUTED_VALUE"""),0)</f>
        <v>0</v>
      </c>
      <c r="J284" s="7">
        <f ca="1">IFERROR(__xludf.DUMMYFUNCTION("""COMPUTED_VALUE"""),0)</f>
        <v>0</v>
      </c>
      <c r="K284" s="7">
        <f ca="1">IFERROR(__xludf.DUMMYFUNCTION("""COMPUTED_VALUE"""),0)</f>
        <v>0</v>
      </c>
      <c r="L284" s="7">
        <f ca="1">IFERROR(__xludf.DUMMYFUNCTION("""COMPUTED_VALUE"""),0)</f>
        <v>0</v>
      </c>
      <c r="M284" s="7">
        <f ca="1">IFERROR(__xludf.DUMMYFUNCTION("""COMPUTED_VALUE"""),0)</f>
        <v>0</v>
      </c>
      <c r="N284" s="7">
        <f ca="1">IFERROR(__xludf.DUMMYFUNCTION("""COMPUTED_VALUE"""),0)</f>
        <v>0</v>
      </c>
      <c r="O284" s="7">
        <f ca="1">IFERROR(__xludf.DUMMYFUNCTION("""COMPUTED_VALUE"""),0)</f>
        <v>0</v>
      </c>
      <c r="P284" s="7">
        <f ca="1">IFERROR(__xludf.DUMMYFUNCTION("""COMPUTED_VALUE"""),516.8)</f>
        <v>516.79999999999995</v>
      </c>
      <c r="Q284" s="7">
        <f ca="1">IFERROR(__xludf.DUMMYFUNCTION("""COMPUTED_VALUE"""),14160)</f>
        <v>14160</v>
      </c>
      <c r="R284" s="7">
        <f ca="1">IFERROR(__xludf.DUMMYFUNCTION("""COMPUTED_VALUE"""),0)</f>
        <v>0</v>
      </c>
      <c r="S284" s="7">
        <f ca="1">IFERROR(__xludf.DUMMYFUNCTION("""COMPUTED_VALUE"""),0)</f>
        <v>0</v>
      </c>
      <c r="T284" s="7">
        <f ca="1">IFERROR(__xludf.DUMMYFUNCTION("""COMPUTED_VALUE"""),0)</f>
        <v>0</v>
      </c>
      <c r="U284" s="61"/>
      <c r="V284" s="61"/>
      <c r="W284" s="61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0" t="str">
        <f ca="1">IFERROR(__xludf.DUMMYFUNCTION("""COMPUTED_VALUE"""),"ASSOCIAÇÃO DE APOIO DA ESCOLA ESPECIAL INTEGRAÇÃO DE PALMAS")</f>
        <v>ASSOCIAÇÃO DE APOIO DA ESCOLA ESPECIAL INTEGRAÇÃO DE PALMAS</v>
      </c>
      <c r="D285" s="136" t="str">
        <f ca="1">IFERROR(__xludf.DUMMYFUNCTION("""COMPUTED_VALUE"""),"07958777000102")</f>
        <v>07958777000102</v>
      </c>
      <c r="E285" s="6" t="str">
        <f ca="1">IFERROR(__xludf.DUMMYFUNCTION("""COMPUTED_VALUE"""),"001")</f>
        <v>001</v>
      </c>
      <c r="F285" s="7" t="str">
        <f ca="1">IFERROR(__xludf.DUMMYFUNCTION("""COMPUTED_VALUE"""),"1505")</f>
        <v>1505</v>
      </c>
      <c r="G285" s="7" t="str">
        <f ca="1">IFERROR(__xludf.DUMMYFUNCTION("""COMPUTED_VALUE"""),"385328")</f>
        <v>385328</v>
      </c>
      <c r="H285" s="7">
        <f ca="1">IFERROR(__xludf.DUMMYFUNCTION("""COMPUTED_VALUE"""),0)</f>
        <v>0</v>
      </c>
      <c r="I285" s="7">
        <f ca="1">IFERROR(__xludf.DUMMYFUNCTION("""COMPUTED_VALUE"""),532.8)</f>
        <v>532.79999999999995</v>
      </c>
      <c r="J285" s="7">
        <f ca="1">IFERROR(__xludf.DUMMYFUNCTION("""COMPUTED_VALUE"""),590)</f>
        <v>590</v>
      </c>
      <c r="K285" s="7">
        <f ca="1">IFERROR(__xludf.DUMMYFUNCTION("""COMPUTED_VALUE"""),0)</f>
        <v>0</v>
      </c>
      <c r="L285" s="7">
        <f ca="1">IFERROR(__xludf.DUMMYFUNCTION("""COMPUTED_VALUE"""),0)</f>
        <v>0</v>
      </c>
      <c r="M285" s="7">
        <f ca="1">IFERROR(__xludf.DUMMYFUNCTION("""COMPUTED_VALUE"""),0)</f>
        <v>0</v>
      </c>
      <c r="N285" s="7">
        <f ca="1">IFERROR(__xludf.DUMMYFUNCTION("""COMPUTED_VALUE"""),0)</f>
        <v>0</v>
      </c>
      <c r="O285" s="7">
        <f ca="1">IFERROR(__xludf.DUMMYFUNCTION("""COMPUTED_VALUE"""),0)</f>
        <v>0</v>
      </c>
      <c r="P285" s="7">
        <f ca="1">IFERROR(__xludf.DUMMYFUNCTION("""COMPUTED_VALUE"""),326.4)</f>
        <v>326.39999999999998</v>
      </c>
      <c r="Q285" s="7">
        <f ca="1">IFERROR(__xludf.DUMMYFUNCTION("""COMPUTED_VALUE"""),0)</f>
        <v>0</v>
      </c>
      <c r="R285" s="7">
        <f ca="1">IFERROR(__xludf.DUMMYFUNCTION("""COMPUTED_VALUE"""),0)</f>
        <v>0</v>
      </c>
      <c r="S285" s="7">
        <f ca="1">IFERROR(__xludf.DUMMYFUNCTION("""COMPUTED_VALUE"""),0)</f>
        <v>0</v>
      </c>
      <c r="T285" s="7">
        <f ca="1">IFERROR(__xludf.DUMMYFUNCTION("""COMPUTED_VALUE"""),877.4)</f>
        <v>877.4</v>
      </c>
      <c r="U285" s="61"/>
      <c r="V285" s="61"/>
      <c r="W285" s="61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0" t="str">
        <f ca="1">IFERROR(__xludf.DUMMYFUNCTION("""COMPUTED_VALUE"""),"A.COM. ESC. E. E.BEIRA RIO/PORTO NACIONAL")</f>
        <v>A.COM. ESC. E. E.BEIRA RIO/PORTO NACIONAL</v>
      </c>
      <c r="D286" s="136" t="str">
        <f ca="1">IFERROR(__xludf.DUMMYFUNCTION("""COMPUTED_VALUE"""),"01797298000175")</f>
        <v>01797298000175</v>
      </c>
      <c r="E286" s="6" t="str">
        <f ca="1">IFERROR(__xludf.DUMMYFUNCTION("""COMPUTED_VALUE"""),"001")</f>
        <v>001</v>
      </c>
      <c r="F286" s="7" t="str">
        <f ca="1">IFERROR(__xludf.DUMMYFUNCTION("""COMPUTED_VALUE"""),"1505")</f>
        <v>1505</v>
      </c>
      <c r="G286" s="7" t="str">
        <f ca="1">IFERROR(__xludf.DUMMYFUNCTION("""COMPUTED_VALUE"""),"209929")</f>
        <v>209929</v>
      </c>
      <c r="H286" s="7">
        <f ca="1">IFERROR(__xludf.DUMMYFUNCTION("""COMPUTED_VALUE"""),0)</f>
        <v>0</v>
      </c>
      <c r="I286" s="7">
        <f ca="1">IFERROR(__xludf.DUMMYFUNCTION("""COMPUTED_VALUE"""),0)</f>
        <v>0</v>
      </c>
      <c r="J286" s="7">
        <f ca="1">IFERROR(__xludf.DUMMYFUNCTION("""COMPUTED_VALUE"""),15520)</f>
        <v>15520</v>
      </c>
      <c r="K286" s="7">
        <f ca="1">IFERROR(__xludf.DUMMYFUNCTION("""COMPUTED_VALUE"""),0)</f>
        <v>0</v>
      </c>
      <c r="L286" s="7">
        <f ca="1">IFERROR(__xludf.DUMMYFUNCTION("""COMPUTED_VALUE"""),0)</f>
        <v>0</v>
      </c>
      <c r="M286" s="7">
        <f ca="1">IFERROR(__xludf.DUMMYFUNCTION("""COMPUTED_VALUE"""),0)</f>
        <v>0</v>
      </c>
      <c r="N286" s="7">
        <f ca="1">IFERROR(__xludf.DUMMYFUNCTION("""COMPUTED_VALUE"""),0)</f>
        <v>0</v>
      </c>
      <c r="O286" s="7">
        <f ca="1">IFERROR(__xludf.DUMMYFUNCTION("""COMPUTED_VALUE"""),0)</f>
        <v>0</v>
      </c>
      <c r="P286" s="7">
        <f ca="1">IFERROR(__xludf.DUMMYFUNCTION("""COMPUTED_VALUE"""),734.4)</f>
        <v>734.4</v>
      </c>
      <c r="Q286" s="7">
        <f ca="1">IFERROR(__xludf.DUMMYFUNCTION("""COMPUTED_VALUE"""),9660)</f>
        <v>9660</v>
      </c>
      <c r="R286" s="7">
        <f ca="1">IFERROR(__xludf.DUMMYFUNCTION("""COMPUTED_VALUE"""),0)</f>
        <v>0</v>
      </c>
      <c r="S286" s="7">
        <f ca="1">IFERROR(__xludf.DUMMYFUNCTION("""COMPUTED_VALUE"""),0)</f>
        <v>0</v>
      </c>
      <c r="T286" s="7">
        <f ca="1">IFERROR(__xludf.DUMMYFUNCTION("""COMPUTED_VALUE"""),1213.6)</f>
        <v>1213.5999999999999</v>
      </c>
      <c r="U286" s="61"/>
      <c r="V286" s="61"/>
      <c r="W286" s="61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0" t="str">
        <f ca="1">IFERROR(__xludf.DUMMYFUNCTION("""COMPUTED_VALUE"""),"A.P.E M. DA ESC. EST. MADRE BELEM")</f>
        <v>A.P.E M. DA ESC. EST. MADRE BELEM</v>
      </c>
      <c r="D287" s="136" t="str">
        <f ca="1">IFERROR(__xludf.DUMMYFUNCTION("""COMPUTED_VALUE"""),"01034134000196")</f>
        <v>01034134000196</v>
      </c>
      <c r="E287" s="6" t="str">
        <f ca="1">IFERROR(__xludf.DUMMYFUNCTION("""COMPUTED_VALUE"""),"001")</f>
        <v>001</v>
      </c>
      <c r="F287" s="7" t="str">
        <f ca="1">IFERROR(__xludf.DUMMYFUNCTION("""COMPUTED_VALUE"""),"1886")</f>
        <v>1886</v>
      </c>
      <c r="G287" s="7" t="str">
        <f ca="1">IFERROR(__xludf.DUMMYFUNCTION("""COMPUTED_VALUE"""),"519855")</f>
        <v>519855</v>
      </c>
      <c r="H287" s="7">
        <f ca="1">IFERROR(__xludf.DUMMYFUNCTION("""COMPUTED_VALUE"""),0)</f>
        <v>0</v>
      </c>
      <c r="I287" s="7">
        <f ca="1">IFERROR(__xludf.DUMMYFUNCTION("""COMPUTED_VALUE"""),0)</f>
        <v>0</v>
      </c>
      <c r="J287" s="7">
        <f ca="1">IFERROR(__xludf.DUMMYFUNCTION("""COMPUTED_VALUE"""),0)</f>
        <v>0</v>
      </c>
      <c r="K287" s="7">
        <f ca="1">IFERROR(__xludf.DUMMYFUNCTION("""COMPUTED_VALUE"""),0)</f>
        <v>0</v>
      </c>
      <c r="L287" s="7">
        <f ca="1">IFERROR(__xludf.DUMMYFUNCTION("""COMPUTED_VALUE"""),0)</f>
        <v>0</v>
      </c>
      <c r="M287" s="7">
        <f ca="1">IFERROR(__xludf.DUMMYFUNCTION("""COMPUTED_VALUE"""),0)</f>
        <v>0</v>
      </c>
      <c r="N287" s="7">
        <f ca="1">IFERROR(__xludf.DUMMYFUNCTION("""COMPUTED_VALUE"""),0)</f>
        <v>0</v>
      </c>
      <c r="O287" s="7">
        <f ca="1">IFERROR(__xludf.DUMMYFUNCTION("""COMPUTED_VALUE"""),0)</f>
        <v>0</v>
      </c>
      <c r="P287" s="7">
        <f ca="1">IFERROR(__xludf.DUMMYFUNCTION("""COMPUTED_VALUE"""),163.2)</f>
        <v>163.19999999999999</v>
      </c>
      <c r="Q287" s="7">
        <f ca="1">IFERROR(__xludf.DUMMYFUNCTION("""COMPUTED_VALUE"""),0)</f>
        <v>0</v>
      </c>
      <c r="R287" s="7">
        <f ca="1">IFERROR(__xludf.DUMMYFUNCTION("""COMPUTED_VALUE"""),0)</f>
        <v>0</v>
      </c>
      <c r="S287" s="7">
        <f ca="1">IFERROR(__xludf.DUMMYFUNCTION("""COMPUTED_VALUE"""),38297.6)</f>
        <v>38297.599999999999</v>
      </c>
      <c r="T287" s="7">
        <f ca="1">IFERROR(__xludf.DUMMYFUNCTION("""COMPUTED_VALUE"""),0)</f>
        <v>0</v>
      </c>
      <c r="U287" s="61"/>
      <c r="V287" s="61"/>
      <c r="W287" s="61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0" t="str">
        <f ca="1">IFERROR(__xludf.DUMMYFUNCTION("""COMPUTED_VALUE"""),"ACE UN.ESC. FREDEDERICO J. PEDRERA NETO")</f>
        <v>ACE UN.ESC. FREDEDERICO J. PEDRERA NETO</v>
      </c>
      <c r="D288" s="136" t="str">
        <f ca="1">IFERROR(__xludf.DUMMYFUNCTION("""COMPUTED_VALUE"""),"01862534000190")</f>
        <v>01862534000190</v>
      </c>
      <c r="E288" s="6" t="str">
        <f ca="1">IFERROR(__xludf.DUMMYFUNCTION("""COMPUTED_VALUE"""),"001")</f>
        <v>001</v>
      </c>
      <c r="F288" s="7" t="str">
        <f ca="1">IFERROR(__xludf.DUMMYFUNCTION("""COMPUTED_VALUE"""),"1867")</f>
        <v>1867</v>
      </c>
      <c r="G288" s="7" t="str">
        <f ca="1">IFERROR(__xludf.DUMMYFUNCTION("""COMPUTED_VALUE"""),"1079972")</f>
        <v>1079972</v>
      </c>
      <c r="H288" s="7">
        <f ca="1">IFERROR(__xludf.DUMMYFUNCTION("""COMPUTED_VALUE"""),0)</f>
        <v>0</v>
      </c>
      <c r="I288" s="7">
        <f ca="1">IFERROR(__xludf.DUMMYFUNCTION("""COMPUTED_VALUE"""),0)</f>
        <v>0</v>
      </c>
      <c r="J288" s="7">
        <f ca="1">IFERROR(__xludf.DUMMYFUNCTION("""COMPUTED_VALUE"""),0)</f>
        <v>0</v>
      </c>
      <c r="K288" s="7">
        <f ca="1">IFERROR(__xludf.DUMMYFUNCTION("""COMPUTED_VALUE"""),0)</f>
        <v>0</v>
      </c>
      <c r="L288" s="7">
        <f ca="1">IFERROR(__xludf.DUMMYFUNCTION("""COMPUTED_VALUE"""),0)</f>
        <v>0</v>
      </c>
      <c r="M288" s="7">
        <f ca="1">IFERROR(__xludf.DUMMYFUNCTION("""COMPUTED_VALUE"""),0)</f>
        <v>0</v>
      </c>
      <c r="N288" s="7">
        <f ca="1">IFERROR(__xludf.DUMMYFUNCTION("""COMPUTED_VALUE"""),0)</f>
        <v>0</v>
      </c>
      <c r="O288" s="7">
        <f ca="1">IFERROR(__xludf.DUMMYFUNCTION("""COMPUTED_VALUE"""),0)</f>
        <v>0</v>
      </c>
      <c r="P288" s="7">
        <f ca="1">IFERROR(__xludf.DUMMYFUNCTION("""COMPUTED_VALUE"""),231.2)</f>
        <v>231.2</v>
      </c>
      <c r="Q288" s="7">
        <f ca="1">IFERROR(__xludf.DUMMYFUNCTION("""COMPUTED_VALUE"""),8630)</f>
        <v>8630</v>
      </c>
      <c r="R288" s="7">
        <f ca="1">IFERROR(__xludf.DUMMYFUNCTION("""COMPUTED_VALUE"""),0)</f>
        <v>0</v>
      </c>
      <c r="S288" s="7">
        <f ca="1">IFERROR(__xludf.DUMMYFUNCTION("""COMPUTED_VALUE"""),0)</f>
        <v>0</v>
      </c>
      <c r="T288" s="7">
        <f ca="1">IFERROR(__xludf.DUMMYFUNCTION("""COMPUTED_VALUE"""),1074.19999999999)</f>
        <v>1074.19999999999</v>
      </c>
      <c r="U288" s="61"/>
      <c r="V288" s="61"/>
      <c r="W288" s="61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0" t="str">
        <f ca="1">IFERROR(__xludf.DUMMYFUNCTION("""COMPUTED_VALUE"""),"A.CONS.ESCOLAR E. EST.I GRAU LIBERDADE")</f>
        <v>A.CONS.ESCOLAR E. EST.I GRAU LIBERDADE</v>
      </c>
      <c r="D289" s="136" t="str">
        <f ca="1">IFERROR(__xludf.DUMMYFUNCTION("""COMPUTED_VALUE"""),"01936355000150")</f>
        <v>01936355000150</v>
      </c>
      <c r="E289" s="6" t="str">
        <f ca="1">IFERROR(__xludf.DUMMYFUNCTION("""COMPUTED_VALUE"""),"001")</f>
        <v>001</v>
      </c>
      <c r="F289" s="7" t="str">
        <f ca="1">IFERROR(__xludf.DUMMYFUNCTION("""COMPUTED_VALUE"""),"1505")</f>
        <v>1505</v>
      </c>
      <c r="G289" s="7" t="str">
        <f ca="1">IFERROR(__xludf.DUMMYFUNCTION("""COMPUTED_VALUE"""),"257028")</f>
        <v>257028</v>
      </c>
      <c r="H289" s="7">
        <f ca="1">IFERROR(__xludf.DUMMYFUNCTION("""COMPUTED_VALUE"""),0)</f>
        <v>0</v>
      </c>
      <c r="I289" s="7">
        <f ca="1">IFERROR(__xludf.DUMMYFUNCTION("""COMPUTED_VALUE"""),0)</f>
        <v>0</v>
      </c>
      <c r="J289" s="7">
        <f ca="1">IFERROR(__xludf.DUMMYFUNCTION("""COMPUTED_VALUE"""),5340)</f>
        <v>5340</v>
      </c>
      <c r="K289" s="7">
        <f ca="1">IFERROR(__xludf.DUMMYFUNCTION("""COMPUTED_VALUE"""),0)</f>
        <v>0</v>
      </c>
      <c r="L289" s="7">
        <f ca="1">IFERROR(__xludf.DUMMYFUNCTION("""COMPUTED_VALUE"""),0)</f>
        <v>0</v>
      </c>
      <c r="M289" s="7">
        <f ca="1">IFERROR(__xludf.DUMMYFUNCTION("""COMPUTED_VALUE"""),0)</f>
        <v>0</v>
      </c>
      <c r="N289" s="7">
        <f ca="1">IFERROR(__xludf.DUMMYFUNCTION("""COMPUTED_VALUE"""),0)</f>
        <v>0</v>
      </c>
      <c r="O289" s="7">
        <f ca="1">IFERROR(__xludf.DUMMYFUNCTION("""COMPUTED_VALUE"""),0)</f>
        <v>0</v>
      </c>
      <c r="P289" s="7">
        <f ca="1">IFERROR(__xludf.DUMMYFUNCTION("""COMPUTED_VALUE"""),571.199999999999)</f>
        <v>571.19999999999902</v>
      </c>
      <c r="Q289" s="7">
        <f ca="1">IFERROR(__xludf.DUMMYFUNCTION("""COMPUTED_VALUE"""),9100)</f>
        <v>9100</v>
      </c>
      <c r="R289" s="7">
        <f ca="1">IFERROR(__xludf.DUMMYFUNCTION("""COMPUTED_VALUE"""),0)</f>
        <v>0</v>
      </c>
      <c r="S289" s="7">
        <f ca="1">IFERROR(__xludf.DUMMYFUNCTION("""COMPUTED_VALUE"""),0)</f>
        <v>0</v>
      </c>
      <c r="T289" s="7">
        <f ca="1">IFERROR(__xludf.DUMMYFUNCTION("""COMPUTED_VALUE"""),983.999999999999)</f>
        <v>983.99999999999898</v>
      </c>
      <c r="U289" s="61"/>
      <c r="V289" s="61"/>
      <c r="W289" s="61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0" t="str">
        <f ca="1">IFERROR(__xludf.DUMMYFUNCTION("""COMPUTED_VALUE"""),"ASSOC APOIO ESC EST MARIA DOS REIS ALVES BARROS")</f>
        <v>ASSOC APOIO ESC EST MARIA DOS REIS ALVES BARROS</v>
      </c>
      <c r="D290" s="136" t="str">
        <f ca="1">IFERROR(__xludf.DUMMYFUNCTION("""COMPUTED_VALUE"""),"08641263000191")</f>
        <v>08641263000191</v>
      </c>
      <c r="E290" s="6" t="str">
        <f ca="1">IFERROR(__xludf.DUMMYFUNCTION("""COMPUTED_VALUE"""),"001")</f>
        <v>001</v>
      </c>
      <c r="F290" s="7" t="str">
        <f ca="1">IFERROR(__xludf.DUMMYFUNCTION("""COMPUTED_VALUE"""),"1505")</f>
        <v>1505</v>
      </c>
      <c r="G290" s="7" t="str">
        <f ca="1">IFERROR(__xludf.DUMMYFUNCTION("""COMPUTED_VALUE"""),"413666")</f>
        <v>413666</v>
      </c>
      <c r="H290" s="7">
        <f ca="1">IFERROR(__xludf.DUMMYFUNCTION("""COMPUTED_VALUE"""),0)</f>
        <v>0</v>
      </c>
      <c r="I290" s="7">
        <f ca="1">IFERROR(__xludf.DUMMYFUNCTION("""COMPUTED_VALUE"""),0)</f>
        <v>0</v>
      </c>
      <c r="J290" s="7">
        <f ca="1">IFERROR(__xludf.DUMMYFUNCTION("""COMPUTED_VALUE"""),20740)</f>
        <v>20740</v>
      </c>
      <c r="K290" s="7">
        <f ca="1">IFERROR(__xludf.DUMMYFUNCTION("""COMPUTED_VALUE"""),0)</f>
        <v>0</v>
      </c>
      <c r="L290" s="7">
        <f ca="1">IFERROR(__xludf.DUMMYFUNCTION("""COMPUTED_VALUE"""),0)</f>
        <v>0</v>
      </c>
      <c r="M290" s="7">
        <f ca="1">IFERROR(__xludf.DUMMYFUNCTION("""COMPUTED_VALUE"""),0)</f>
        <v>0</v>
      </c>
      <c r="N290" s="7">
        <f ca="1">IFERROR(__xludf.DUMMYFUNCTION("""COMPUTED_VALUE"""),0)</f>
        <v>0</v>
      </c>
      <c r="O290" s="7">
        <f ca="1">IFERROR(__xludf.DUMMYFUNCTION("""COMPUTED_VALUE"""),0)</f>
        <v>0</v>
      </c>
      <c r="P290" s="7">
        <f ca="1">IFERROR(__xludf.DUMMYFUNCTION("""COMPUTED_VALUE"""),1360)</f>
        <v>1360</v>
      </c>
      <c r="Q290" s="7">
        <f ca="1">IFERROR(__xludf.DUMMYFUNCTION("""COMPUTED_VALUE"""),11700)</f>
        <v>11700</v>
      </c>
      <c r="R290" s="7">
        <f ca="1">IFERROR(__xludf.DUMMYFUNCTION("""COMPUTED_VALUE"""),0)</f>
        <v>0</v>
      </c>
      <c r="S290" s="7">
        <f ca="1">IFERROR(__xludf.DUMMYFUNCTION("""COMPUTED_VALUE"""),0)</f>
        <v>0</v>
      </c>
      <c r="T290" s="7">
        <f ca="1">IFERROR(__xludf.DUMMYFUNCTION("""COMPUTED_VALUE"""),1574.39999999999)</f>
        <v>1574.3999999999901</v>
      </c>
      <c r="U290" s="61"/>
      <c r="V290" s="61"/>
      <c r="W290" s="61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0" t="str">
        <f ca="1">IFERROR(__xludf.DUMMYFUNCTION("""COMPUTED_VALUE"""),"A.COM. DA ESC. EST. NOVO HORIZONTE")</f>
        <v>A.COM. DA ESC. EST. NOVO HORIZONTE</v>
      </c>
      <c r="D291" s="136" t="str">
        <f ca="1">IFERROR(__xludf.DUMMYFUNCTION("""COMPUTED_VALUE"""),"01221539000133")</f>
        <v>01221539000133</v>
      </c>
      <c r="E291" s="6" t="str">
        <f ca="1">IFERROR(__xludf.DUMMYFUNCTION("""COMPUTED_VALUE"""),"001")</f>
        <v>001</v>
      </c>
      <c r="F291" s="7" t="str">
        <f ca="1">IFERROR(__xludf.DUMMYFUNCTION("""COMPUTED_VALUE"""),"1505")</f>
        <v>1505</v>
      </c>
      <c r="G291" s="7" t="str">
        <f ca="1">IFERROR(__xludf.DUMMYFUNCTION("""COMPUTED_VALUE"""),"351687")</f>
        <v>351687</v>
      </c>
      <c r="H291" s="7">
        <f ca="1">IFERROR(__xludf.DUMMYFUNCTION("""COMPUTED_VALUE"""),0)</f>
        <v>0</v>
      </c>
      <c r="I291" s="7">
        <f ca="1">IFERROR(__xludf.DUMMYFUNCTION("""COMPUTED_VALUE"""),0)</f>
        <v>0</v>
      </c>
      <c r="J291" s="7">
        <f ca="1">IFERROR(__xludf.DUMMYFUNCTION("""COMPUTED_VALUE"""),6360)</f>
        <v>6360</v>
      </c>
      <c r="K291" s="7">
        <f ca="1">IFERROR(__xludf.DUMMYFUNCTION("""COMPUTED_VALUE"""),0)</f>
        <v>0</v>
      </c>
      <c r="L291" s="7">
        <f ca="1">IFERROR(__xludf.DUMMYFUNCTION("""COMPUTED_VALUE"""),0)</f>
        <v>0</v>
      </c>
      <c r="M291" s="7">
        <f ca="1">IFERROR(__xludf.DUMMYFUNCTION("""COMPUTED_VALUE"""),0)</f>
        <v>0</v>
      </c>
      <c r="N291" s="7">
        <f ca="1">IFERROR(__xludf.DUMMYFUNCTION("""COMPUTED_VALUE"""),0)</f>
        <v>0</v>
      </c>
      <c r="O291" s="7">
        <f ca="1">IFERROR(__xludf.DUMMYFUNCTION("""COMPUTED_VALUE"""),0)</f>
        <v>0</v>
      </c>
      <c r="P291" s="7">
        <f ca="1">IFERROR(__xludf.DUMMYFUNCTION("""COMPUTED_VALUE"""),870.4)</f>
        <v>870.4</v>
      </c>
      <c r="Q291" s="7">
        <f ca="1">IFERROR(__xludf.DUMMYFUNCTION("""COMPUTED_VALUE"""),7840)</f>
        <v>7840</v>
      </c>
      <c r="R291" s="7">
        <f ca="1">IFERROR(__xludf.DUMMYFUNCTION("""COMPUTED_VALUE"""),0)</f>
        <v>0</v>
      </c>
      <c r="S291" s="7">
        <f ca="1">IFERROR(__xludf.DUMMYFUNCTION("""COMPUTED_VALUE"""),0)</f>
        <v>0</v>
      </c>
      <c r="T291" s="7">
        <f ca="1">IFERROR(__xludf.DUMMYFUNCTION("""COMPUTED_VALUE"""),295.2)</f>
        <v>295.2</v>
      </c>
      <c r="U291" s="61"/>
      <c r="V291" s="61"/>
      <c r="W291" s="61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0" t="str">
        <f ca="1">IFERROR(__xludf.DUMMYFUNCTION("""COMPUTED_VALUE"""),"ASSOC.COMUNIDADE ESC. ESTADUAL RURAL ENTRE RIOS")</f>
        <v>ASSOC.COMUNIDADE ESC. ESTADUAL RURAL ENTRE RIOS</v>
      </c>
      <c r="D292" s="136" t="str">
        <f ca="1">IFERROR(__xludf.DUMMYFUNCTION("""COMPUTED_VALUE"""),"11257180000108")</f>
        <v>11257180000108</v>
      </c>
      <c r="E292" s="6" t="str">
        <f ca="1">IFERROR(__xludf.DUMMYFUNCTION("""COMPUTED_VALUE"""),"001")</f>
        <v>001</v>
      </c>
      <c r="F292" s="7" t="str">
        <f ca="1">IFERROR(__xludf.DUMMYFUNCTION("""COMPUTED_VALUE"""),"1886")</f>
        <v>1886</v>
      </c>
      <c r="G292" s="7" t="str">
        <f ca="1">IFERROR(__xludf.DUMMYFUNCTION("""COMPUTED_VALUE"""),"1464884")</f>
        <v>1464884</v>
      </c>
      <c r="H292" s="7">
        <f ca="1">IFERROR(__xludf.DUMMYFUNCTION("""COMPUTED_VALUE"""),0)</f>
        <v>0</v>
      </c>
      <c r="I292" s="7">
        <f ca="1">IFERROR(__xludf.DUMMYFUNCTION("""COMPUTED_VALUE"""),0)</f>
        <v>0</v>
      </c>
      <c r="J292" s="7">
        <f ca="1">IFERROR(__xludf.DUMMYFUNCTION("""COMPUTED_VALUE"""),0)</f>
        <v>0</v>
      </c>
      <c r="K292" s="7">
        <f ca="1">IFERROR(__xludf.DUMMYFUNCTION("""COMPUTED_VALUE"""),959)</f>
        <v>959</v>
      </c>
      <c r="L292" s="7">
        <f ca="1">IFERROR(__xludf.DUMMYFUNCTION("""COMPUTED_VALUE"""),0)</f>
        <v>0</v>
      </c>
      <c r="M292" s="7">
        <f ca="1">IFERROR(__xludf.DUMMYFUNCTION("""COMPUTED_VALUE"""),0)</f>
        <v>0</v>
      </c>
      <c r="N292" s="7">
        <f ca="1">IFERROR(__xludf.DUMMYFUNCTION("""COMPUTED_VALUE"""),0)</f>
        <v>0</v>
      </c>
      <c r="O292" s="7">
        <f ca="1">IFERROR(__xludf.DUMMYFUNCTION("""COMPUTED_VALUE"""),0)</f>
        <v>0</v>
      </c>
      <c r="P292" s="7">
        <f ca="1">IFERROR(__xludf.DUMMYFUNCTION("""COMPUTED_VALUE"""),0)</f>
        <v>0</v>
      </c>
      <c r="Q292" s="7">
        <f ca="1">IFERROR(__xludf.DUMMYFUNCTION("""COMPUTED_VALUE"""),0)</f>
        <v>0</v>
      </c>
      <c r="R292" s="7">
        <f ca="1">IFERROR(__xludf.DUMMYFUNCTION("""COMPUTED_VALUE"""),0)</f>
        <v>0</v>
      </c>
      <c r="S292" s="7">
        <f ca="1">IFERROR(__xludf.DUMMYFUNCTION("""COMPUTED_VALUE"""),0)</f>
        <v>0</v>
      </c>
      <c r="T292" s="7">
        <f ca="1">IFERROR(__xludf.DUMMYFUNCTION("""COMPUTED_VALUE"""),0)</f>
        <v>0</v>
      </c>
      <c r="U292" s="61"/>
      <c r="V292" s="61"/>
      <c r="W292" s="61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0" t="str">
        <f ca="1">IFERROR(__xludf.DUMMYFUNCTION("""COMPUTED_VALUE"""),"A.A. DA COM. ESCOLAR - ESC. EST. SANTA FE")</f>
        <v>A.A. DA COM. ESCOLAR - ESC. EST. SANTA FE</v>
      </c>
      <c r="D293" s="136" t="str">
        <f ca="1">IFERROR(__xludf.DUMMYFUNCTION("""COMPUTED_VALUE"""),"01932049000145")</f>
        <v>01932049000145</v>
      </c>
      <c r="E293" s="6" t="str">
        <f ca="1">IFERROR(__xludf.DUMMYFUNCTION("""COMPUTED_VALUE"""),"001")</f>
        <v>001</v>
      </c>
      <c r="F293" s="7" t="str">
        <f ca="1">IFERROR(__xludf.DUMMYFUNCTION("""COMPUTED_VALUE"""),"2781")</f>
        <v>2781</v>
      </c>
      <c r="G293" s="7" t="str">
        <f ca="1">IFERROR(__xludf.DUMMYFUNCTION("""COMPUTED_VALUE"""),"261904")</f>
        <v>261904</v>
      </c>
      <c r="H293" s="7">
        <f ca="1">IFERROR(__xludf.DUMMYFUNCTION("""COMPUTED_VALUE"""),0)</f>
        <v>0</v>
      </c>
      <c r="I293" s="7">
        <f ca="1">IFERROR(__xludf.DUMMYFUNCTION("""COMPUTED_VALUE"""),0)</f>
        <v>0</v>
      </c>
      <c r="J293" s="7">
        <f ca="1">IFERROR(__xludf.DUMMYFUNCTION("""COMPUTED_VALUE"""),290)</f>
        <v>290</v>
      </c>
      <c r="K293" s="7">
        <f ca="1">IFERROR(__xludf.DUMMYFUNCTION("""COMPUTED_VALUE"""),0)</f>
        <v>0</v>
      </c>
      <c r="L293" s="7">
        <f ca="1">IFERROR(__xludf.DUMMYFUNCTION("""COMPUTED_VALUE"""),0)</f>
        <v>0</v>
      </c>
      <c r="M293" s="7">
        <f ca="1">IFERROR(__xludf.DUMMYFUNCTION("""COMPUTED_VALUE"""),0)</f>
        <v>0</v>
      </c>
      <c r="N293" s="7">
        <f ca="1">IFERROR(__xludf.DUMMYFUNCTION("""COMPUTED_VALUE"""),0)</f>
        <v>0</v>
      </c>
      <c r="O293" s="7">
        <f ca="1">IFERROR(__xludf.DUMMYFUNCTION("""COMPUTED_VALUE"""),0)</f>
        <v>0</v>
      </c>
      <c r="P293" s="7">
        <f ca="1">IFERROR(__xludf.DUMMYFUNCTION("""COMPUTED_VALUE"""),0)</f>
        <v>0</v>
      </c>
      <c r="Q293" s="7">
        <f ca="1">IFERROR(__xludf.DUMMYFUNCTION("""COMPUTED_VALUE"""),1820)</f>
        <v>1820</v>
      </c>
      <c r="R293" s="7">
        <f ca="1">IFERROR(__xludf.DUMMYFUNCTION("""COMPUTED_VALUE"""),0)</f>
        <v>0</v>
      </c>
      <c r="S293" s="7">
        <f ca="1">IFERROR(__xludf.DUMMYFUNCTION("""COMPUTED_VALUE"""),0)</f>
        <v>0</v>
      </c>
      <c r="T293" s="7">
        <f ca="1">IFERROR(__xludf.DUMMYFUNCTION("""COMPUTED_VALUE"""),0)</f>
        <v>0</v>
      </c>
      <c r="U293" s="61"/>
      <c r="V293" s="61"/>
      <c r="W293" s="61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0" t="str">
        <f ca="1">IFERROR(__xludf.DUMMYFUNCTION("""COMPUTED_VALUE"""),"A.COMUN.ESCOLA-DA ESC. EST. SETOR SUL")</f>
        <v>A.COMUN.ESCOLA-DA ESC. EST. SETOR SUL</v>
      </c>
      <c r="D294" s="136" t="str">
        <f ca="1">IFERROR(__xludf.DUMMYFUNCTION("""COMPUTED_VALUE"""),"01926545000196")</f>
        <v>01926545000196</v>
      </c>
      <c r="E294" s="6" t="str">
        <f ca="1">IFERROR(__xludf.DUMMYFUNCTION("""COMPUTED_VALUE"""),"001")</f>
        <v>001</v>
      </c>
      <c r="F294" s="7" t="str">
        <f ca="1">IFERROR(__xludf.DUMMYFUNCTION("""COMPUTED_VALUE"""),"1505")</f>
        <v>1505</v>
      </c>
      <c r="G294" s="7" t="str">
        <f ca="1">IFERROR(__xludf.DUMMYFUNCTION("""COMPUTED_VALUE"""),"258105")</f>
        <v>258105</v>
      </c>
      <c r="H294" s="7">
        <f ca="1">IFERROR(__xludf.DUMMYFUNCTION("""COMPUTED_VALUE"""),0)</f>
        <v>0</v>
      </c>
      <c r="I294" s="7">
        <f ca="1">IFERROR(__xludf.DUMMYFUNCTION("""COMPUTED_VALUE"""),0)</f>
        <v>0</v>
      </c>
      <c r="J294" s="7">
        <f ca="1">IFERROR(__xludf.DUMMYFUNCTION("""COMPUTED_VALUE"""),2580)</f>
        <v>2580</v>
      </c>
      <c r="K294" s="7">
        <f ca="1">IFERROR(__xludf.DUMMYFUNCTION("""COMPUTED_VALUE"""),0)</f>
        <v>0</v>
      </c>
      <c r="L294" s="7">
        <f ca="1">IFERROR(__xludf.DUMMYFUNCTION("""COMPUTED_VALUE"""),0)</f>
        <v>0</v>
      </c>
      <c r="M294" s="7">
        <f ca="1">IFERROR(__xludf.DUMMYFUNCTION("""COMPUTED_VALUE"""),0)</f>
        <v>0</v>
      </c>
      <c r="N294" s="7">
        <f ca="1">IFERROR(__xludf.DUMMYFUNCTION("""COMPUTED_VALUE"""),0)</f>
        <v>0</v>
      </c>
      <c r="O294" s="7">
        <f ca="1">IFERROR(__xludf.DUMMYFUNCTION("""COMPUTED_VALUE"""),0)</f>
        <v>0</v>
      </c>
      <c r="P294" s="7">
        <f ca="1">IFERROR(__xludf.DUMMYFUNCTION("""COMPUTED_VALUE"""),163.2)</f>
        <v>163.19999999999999</v>
      </c>
      <c r="Q294" s="7">
        <f ca="1">IFERROR(__xludf.DUMMYFUNCTION("""COMPUTED_VALUE"""),2910)</f>
        <v>2910</v>
      </c>
      <c r="R294" s="7">
        <f ca="1">IFERROR(__xludf.DUMMYFUNCTION("""COMPUTED_VALUE"""),0)</f>
        <v>0</v>
      </c>
      <c r="S294" s="7">
        <f ca="1">IFERROR(__xludf.DUMMYFUNCTION("""COMPUTED_VALUE"""),0)</f>
        <v>0</v>
      </c>
      <c r="T294" s="7">
        <f ca="1">IFERROR(__xludf.DUMMYFUNCTION("""COMPUTED_VALUE"""),73.8)</f>
        <v>73.8</v>
      </c>
      <c r="U294" s="61"/>
      <c r="V294" s="61"/>
      <c r="W294" s="61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IFERROR(__xludf.DUMMYFUNCTION("""COMPUTED_VALUE"""),"Palmas")</f>
        <v>Palmas</v>
      </c>
      <c r="C295" s="60" t="str">
        <f ca="1">IFERROR(__xludf.DUMMYFUNCTION("""COMPUTED_VALUE"""),"A.COMUNIDADE ESCOLA/E. EST. VALE DO SOL")</f>
        <v>A.COMUNIDADE ESCOLA/E. EST. VALE DO SOL</v>
      </c>
      <c r="D295" s="136" t="str">
        <f ca="1">IFERROR(__xludf.DUMMYFUNCTION("""COMPUTED_VALUE"""),"01873442000105")</f>
        <v>01873442000105</v>
      </c>
      <c r="E295" s="6" t="str">
        <f ca="1">IFERROR(__xludf.DUMMYFUNCTION("""COMPUTED_VALUE"""),"001")</f>
        <v>001</v>
      </c>
      <c r="F295" s="7" t="str">
        <f ca="1">IFERROR(__xludf.DUMMYFUNCTION("""COMPUTED_VALUE"""),"1505")</f>
        <v>1505</v>
      </c>
      <c r="G295" s="7" t="str">
        <f ca="1">IFERROR(__xludf.DUMMYFUNCTION("""COMPUTED_VALUE"""),"256404")</f>
        <v>256404</v>
      </c>
      <c r="H295" s="7">
        <f ca="1">IFERROR(__xludf.DUMMYFUNCTION("""COMPUTED_VALUE"""),0)</f>
        <v>0</v>
      </c>
      <c r="I295" s="7">
        <f ca="1">IFERROR(__xludf.DUMMYFUNCTION("""COMPUTED_VALUE"""),0)</f>
        <v>0</v>
      </c>
      <c r="J295" s="7">
        <f ca="1">IFERROR(__xludf.DUMMYFUNCTION("""COMPUTED_VALUE"""),1540)</f>
        <v>1540</v>
      </c>
      <c r="K295" s="7">
        <f ca="1">IFERROR(__xludf.DUMMYFUNCTION("""COMPUTED_VALUE"""),0)</f>
        <v>0</v>
      </c>
      <c r="L295" s="7">
        <f ca="1">IFERROR(__xludf.DUMMYFUNCTION("""COMPUTED_VALUE"""),0)</f>
        <v>0</v>
      </c>
      <c r="M295" s="7">
        <f ca="1">IFERROR(__xludf.DUMMYFUNCTION("""COMPUTED_VALUE"""),0)</f>
        <v>0</v>
      </c>
      <c r="N295" s="7">
        <f ca="1">IFERROR(__xludf.DUMMYFUNCTION("""COMPUTED_VALUE"""),0)</f>
        <v>0</v>
      </c>
      <c r="O295" s="7">
        <f ca="1">IFERROR(__xludf.DUMMYFUNCTION("""COMPUTED_VALUE"""),0)</f>
        <v>0</v>
      </c>
      <c r="P295" s="7">
        <f ca="1">IFERROR(__xludf.DUMMYFUNCTION("""COMPUTED_VALUE"""),136)</f>
        <v>136</v>
      </c>
      <c r="Q295" s="7">
        <f ca="1">IFERROR(__xludf.DUMMYFUNCTION("""COMPUTED_VALUE"""),3410)</f>
        <v>3410</v>
      </c>
      <c r="R295" s="7">
        <f ca="1">IFERROR(__xludf.DUMMYFUNCTION("""COMPUTED_VALUE"""),0)</f>
        <v>0</v>
      </c>
      <c r="S295" s="7">
        <f ca="1">IFERROR(__xludf.DUMMYFUNCTION("""COMPUTED_VALUE"""),0)</f>
        <v>0</v>
      </c>
      <c r="T295" s="7">
        <f ca="1">IFERROR(__xludf.DUMMYFUNCTION("""COMPUTED_VALUE"""),0)</f>
        <v>0</v>
      </c>
      <c r="U295" s="61"/>
      <c r="V295" s="61"/>
      <c r="W295" s="61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IFERROR(__xludf.DUMMYFUNCTION("""COMPUTED_VALUE"""),"Palmas")</f>
        <v>Palmas</v>
      </c>
      <c r="C296" s="60" t="str">
        <f ca="1">IFERROR(__xludf.DUMMYFUNCTION("""COMPUTED_VALUE"""),"A.P.M.DA ESC. EST. DE I GRAU VILA UNIAO")</f>
        <v>A.P.M.DA ESC. EST. DE I GRAU VILA UNIAO</v>
      </c>
      <c r="D296" s="136" t="str">
        <f ca="1">IFERROR(__xludf.DUMMYFUNCTION("""COMPUTED_VALUE"""),"01926551000143")</f>
        <v>01926551000143</v>
      </c>
      <c r="E296" s="6" t="str">
        <f ca="1">IFERROR(__xludf.DUMMYFUNCTION("""COMPUTED_VALUE"""),"001")</f>
        <v>001</v>
      </c>
      <c r="F296" s="7" t="str">
        <f ca="1">IFERROR(__xludf.DUMMYFUNCTION("""COMPUTED_VALUE"""),"1505")</f>
        <v>1505</v>
      </c>
      <c r="G296" s="7" t="str">
        <f ca="1">IFERROR(__xludf.DUMMYFUNCTION("""COMPUTED_VALUE"""),"255734")</f>
        <v>255734</v>
      </c>
      <c r="H296" s="7">
        <f ca="1">IFERROR(__xludf.DUMMYFUNCTION("""COMPUTED_VALUE"""),0)</f>
        <v>0</v>
      </c>
      <c r="I296" s="7">
        <f ca="1">IFERROR(__xludf.DUMMYFUNCTION("""COMPUTED_VALUE"""),0)</f>
        <v>0</v>
      </c>
      <c r="J296" s="7">
        <f ca="1">IFERROR(__xludf.DUMMYFUNCTION("""COMPUTED_VALUE"""),3290)</f>
        <v>3290</v>
      </c>
      <c r="K296" s="7">
        <f ca="1">IFERROR(__xludf.DUMMYFUNCTION("""COMPUTED_VALUE"""),0)</f>
        <v>0</v>
      </c>
      <c r="L296" s="7">
        <f ca="1">IFERROR(__xludf.DUMMYFUNCTION("""COMPUTED_VALUE"""),0)</f>
        <v>0</v>
      </c>
      <c r="M296" s="7">
        <f ca="1">IFERROR(__xludf.DUMMYFUNCTION("""COMPUTED_VALUE"""),0)</f>
        <v>0</v>
      </c>
      <c r="N296" s="7">
        <f ca="1">IFERROR(__xludf.DUMMYFUNCTION("""COMPUTED_VALUE"""),0)</f>
        <v>0</v>
      </c>
      <c r="O296" s="7">
        <f ca="1">IFERROR(__xludf.DUMMYFUNCTION("""COMPUTED_VALUE"""),0)</f>
        <v>0</v>
      </c>
      <c r="P296" s="7">
        <f ca="1">IFERROR(__xludf.DUMMYFUNCTION("""COMPUTED_VALUE"""),258.4)</f>
        <v>258.39999999999998</v>
      </c>
      <c r="Q296" s="7">
        <f ca="1">IFERROR(__xludf.DUMMYFUNCTION("""COMPUTED_VALUE"""),1530)</f>
        <v>1530</v>
      </c>
      <c r="R296" s="7">
        <f ca="1">IFERROR(__xludf.DUMMYFUNCTION("""COMPUTED_VALUE"""),0)</f>
        <v>0</v>
      </c>
      <c r="S296" s="7">
        <f ca="1">IFERROR(__xludf.DUMMYFUNCTION("""COMPUTED_VALUE"""),0)</f>
        <v>0</v>
      </c>
      <c r="T296" s="7">
        <f ca="1">IFERROR(__xludf.DUMMYFUNCTION("""COMPUTED_VALUE"""),0)</f>
        <v>0</v>
      </c>
      <c r="U296" s="61"/>
      <c r="V296" s="61"/>
      <c r="W296" s="61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IFERROR(__xludf.DUMMYFUNCTION("""COMPUTED_VALUE"""),"Palmas")</f>
        <v>Palmas</v>
      </c>
      <c r="C297" s="60" t="str">
        <f ca="1">IFERROR(__xludf.DUMMYFUNCTION("""COMPUTED_VALUE"""),"AÇÃO SOCIAL JESUS DE NAZARÉ/ESC JOÃO PAULO II")</f>
        <v>AÇÃO SOCIAL JESUS DE NAZARÉ/ESC JOÃO PAULO II</v>
      </c>
      <c r="D297" s="136" t="str">
        <f ca="1">IFERROR(__xludf.DUMMYFUNCTION("""COMPUTED_VALUE"""),"03005522000174")</f>
        <v>03005522000174</v>
      </c>
      <c r="E297" s="6" t="str">
        <f ca="1">IFERROR(__xludf.DUMMYFUNCTION("""COMPUTED_VALUE"""),"001")</f>
        <v>001</v>
      </c>
      <c r="F297" s="7" t="str">
        <f ca="1">IFERROR(__xludf.DUMMYFUNCTION("""COMPUTED_VALUE"""),"1505")</f>
        <v>1505</v>
      </c>
      <c r="G297" s="7" t="str">
        <f ca="1">IFERROR(__xludf.DUMMYFUNCTION("""COMPUTED_VALUE"""),"423475")</f>
        <v>423475</v>
      </c>
      <c r="H297" s="7">
        <f ca="1">IFERROR(__xludf.DUMMYFUNCTION("""COMPUTED_VALUE"""),0)</f>
        <v>0</v>
      </c>
      <c r="I297" s="7">
        <f ca="1">IFERROR(__xludf.DUMMYFUNCTION("""COMPUTED_VALUE"""),0)</f>
        <v>0</v>
      </c>
      <c r="J297" s="7">
        <f ca="1">IFERROR(__xludf.DUMMYFUNCTION("""COMPUTED_VALUE"""),1220)</f>
        <v>1220</v>
      </c>
      <c r="K297" s="7">
        <f ca="1">IFERROR(__xludf.DUMMYFUNCTION("""COMPUTED_VALUE"""),0)</f>
        <v>0</v>
      </c>
      <c r="L297" s="7">
        <f ca="1">IFERROR(__xludf.DUMMYFUNCTION("""COMPUTED_VALUE"""),0)</f>
        <v>0</v>
      </c>
      <c r="M297" s="7">
        <f ca="1">IFERROR(__xludf.DUMMYFUNCTION("""COMPUTED_VALUE"""),0)</f>
        <v>0</v>
      </c>
      <c r="N297" s="7">
        <f ca="1">IFERROR(__xludf.DUMMYFUNCTION("""COMPUTED_VALUE"""),0)</f>
        <v>0</v>
      </c>
      <c r="O297" s="7">
        <f ca="1">IFERROR(__xludf.DUMMYFUNCTION("""COMPUTED_VALUE"""),0)</f>
        <v>0</v>
      </c>
      <c r="P297" s="7">
        <f ca="1">IFERROR(__xludf.DUMMYFUNCTION("""COMPUTED_VALUE"""),0)</f>
        <v>0</v>
      </c>
      <c r="Q297" s="7">
        <f ca="1">IFERROR(__xludf.DUMMYFUNCTION("""COMPUTED_VALUE"""),0)</f>
        <v>0</v>
      </c>
      <c r="R297" s="7">
        <f ca="1">IFERROR(__xludf.DUMMYFUNCTION("""COMPUTED_VALUE"""),0)</f>
        <v>0</v>
      </c>
      <c r="S297" s="7">
        <f ca="1">IFERROR(__xludf.DUMMYFUNCTION("""COMPUTED_VALUE"""),0)</f>
        <v>0</v>
      </c>
      <c r="T297" s="7">
        <f ca="1">IFERROR(__xludf.DUMMYFUNCTION("""COMPUTED_VALUE"""),0)</f>
        <v>0</v>
      </c>
      <c r="U297" s="61"/>
      <c r="V297" s="61"/>
      <c r="W297" s="61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IFERROR(__xludf.DUMMYFUNCTION("""COMPUTED_VALUE"""),"Palmas")</f>
        <v>Palmas</v>
      </c>
      <c r="C298" s="60" t="str">
        <f ca="1">IFERROR(__xludf.DUMMYFUNCTION("""COMPUTED_VALUE"""),"A.A. DO INST.PRESB.EDUC.SOC.REV.ROBERT CA")</f>
        <v>A.A. DO INST.PRESB.EDUC.SOC.REV.ROBERT CA</v>
      </c>
      <c r="D298" s="136" t="str">
        <f ca="1">IFERROR(__xludf.DUMMYFUNCTION("""COMPUTED_VALUE"""),"05470057000178")</f>
        <v>05470057000178</v>
      </c>
      <c r="E298" s="6" t="str">
        <f ca="1">IFERROR(__xludf.DUMMYFUNCTION("""COMPUTED_VALUE"""),"001")</f>
        <v>001</v>
      </c>
      <c r="F298" s="7" t="str">
        <f ca="1">IFERROR(__xludf.DUMMYFUNCTION("""COMPUTED_VALUE"""),"1505")</f>
        <v>1505</v>
      </c>
      <c r="G298" s="7" t="str">
        <f ca="1">IFERROR(__xludf.DUMMYFUNCTION("""COMPUTED_VALUE"""),"45110X")</f>
        <v>45110X</v>
      </c>
      <c r="H298" s="7">
        <f ca="1">IFERROR(__xludf.DUMMYFUNCTION("""COMPUTED_VALUE"""),0)</f>
        <v>0</v>
      </c>
      <c r="I298" s="7">
        <f ca="1">IFERROR(__xludf.DUMMYFUNCTION("""COMPUTED_VALUE"""),0)</f>
        <v>0</v>
      </c>
      <c r="J298" s="7">
        <f ca="1">IFERROR(__xludf.DUMMYFUNCTION("""COMPUTED_VALUE"""),4690)</f>
        <v>4690</v>
      </c>
      <c r="K298" s="7">
        <f ca="1">IFERROR(__xludf.DUMMYFUNCTION("""COMPUTED_VALUE"""),0)</f>
        <v>0</v>
      </c>
      <c r="L298" s="7">
        <f ca="1">IFERROR(__xludf.DUMMYFUNCTION("""COMPUTED_VALUE"""),0)</f>
        <v>0</v>
      </c>
      <c r="M298" s="7">
        <f ca="1">IFERROR(__xludf.DUMMYFUNCTION("""COMPUTED_VALUE"""),0)</f>
        <v>0</v>
      </c>
      <c r="N298" s="7">
        <f ca="1">IFERROR(__xludf.DUMMYFUNCTION("""COMPUTED_VALUE"""),0)</f>
        <v>0</v>
      </c>
      <c r="O298" s="7">
        <f ca="1">IFERROR(__xludf.DUMMYFUNCTION("""COMPUTED_VALUE"""),0)</f>
        <v>0</v>
      </c>
      <c r="P298" s="7">
        <f ca="1">IFERROR(__xludf.DUMMYFUNCTION("""COMPUTED_VALUE"""),0)</f>
        <v>0</v>
      </c>
      <c r="Q298" s="7">
        <f ca="1">IFERROR(__xludf.DUMMYFUNCTION("""COMPUTED_VALUE"""),0)</f>
        <v>0</v>
      </c>
      <c r="R298" s="7">
        <f ca="1">IFERROR(__xludf.DUMMYFUNCTION("""COMPUTED_VALUE"""),0)</f>
        <v>0</v>
      </c>
      <c r="S298" s="7">
        <f ca="1">IFERROR(__xludf.DUMMYFUNCTION("""COMPUTED_VALUE"""),0)</f>
        <v>0</v>
      </c>
      <c r="T298" s="7">
        <f ca="1">IFERROR(__xludf.DUMMYFUNCTION("""COMPUTED_VALUE"""),0)</f>
        <v>0</v>
      </c>
      <c r="U298" s="61"/>
      <c r="V298" s="61"/>
      <c r="W298" s="61"/>
    </row>
    <row r="299" spans="1:23" ht="12.75">
      <c r="A299" t="str">
        <f ca="1">IFERROR(__xludf.DUMMYFUNCTION("""COMPUTED_VALUE"""),"Palmas")</f>
        <v>Palmas</v>
      </c>
      <c r="B299" t="str">
        <f ca="1">IFERROR(__xludf.DUMMYFUNCTION("""COMPUTED_VALUE"""),"Rio Sono")</f>
        <v>Rio Sono</v>
      </c>
      <c r="C299" s="60" t="str">
        <f ca="1">IFERROR(__xludf.DUMMYFUNCTION("""COMPUTED_VALUE"""),"A. DE PAIS E MESTRES DO COL. EST.RIO SONO")</f>
        <v>A. DE PAIS E MESTRES DO COL. EST.RIO SONO</v>
      </c>
      <c r="D299" s="136" t="str">
        <f ca="1">IFERROR(__xludf.DUMMYFUNCTION("""COMPUTED_VALUE"""),"01184376000166")</f>
        <v>01184376000166</v>
      </c>
      <c r="E299" s="6" t="str">
        <f ca="1">IFERROR(__xludf.DUMMYFUNCTION("""COMPUTED_VALUE"""),"001")</f>
        <v>001</v>
      </c>
      <c r="F299" s="7" t="str">
        <f ca="1">IFERROR(__xludf.DUMMYFUNCTION("""COMPUTED_VALUE"""),"1505")</f>
        <v>1505</v>
      </c>
      <c r="G299" s="7" t="str">
        <f ca="1">IFERROR(__xludf.DUMMYFUNCTION("""COMPUTED_VALUE"""),"530042")</f>
        <v>530042</v>
      </c>
      <c r="H299" s="7">
        <f ca="1">IFERROR(__xludf.DUMMYFUNCTION("""COMPUTED_VALUE"""),0)</f>
        <v>0</v>
      </c>
      <c r="I299" s="7">
        <f ca="1">IFERROR(__xludf.DUMMYFUNCTION("""COMPUTED_VALUE"""),0)</f>
        <v>0</v>
      </c>
      <c r="J299" s="7">
        <f ca="1">IFERROR(__xludf.DUMMYFUNCTION("""COMPUTED_VALUE"""),1820)</f>
        <v>1820</v>
      </c>
      <c r="K299" s="7">
        <f ca="1">IFERROR(__xludf.DUMMYFUNCTION("""COMPUTED_VALUE"""),0)</f>
        <v>0</v>
      </c>
      <c r="L299" s="7">
        <f ca="1">IFERROR(__xludf.DUMMYFUNCTION("""COMPUTED_VALUE"""),0)</f>
        <v>0</v>
      </c>
      <c r="M299" s="7">
        <f ca="1">IFERROR(__xludf.DUMMYFUNCTION("""COMPUTED_VALUE"""),0)</f>
        <v>0</v>
      </c>
      <c r="N299" s="7">
        <f ca="1">IFERROR(__xludf.DUMMYFUNCTION("""COMPUTED_VALUE"""),0)</f>
        <v>0</v>
      </c>
      <c r="O299" s="7">
        <f ca="1">IFERROR(__xludf.DUMMYFUNCTION("""COMPUTED_VALUE"""),0)</f>
        <v>0</v>
      </c>
      <c r="P299" s="7">
        <f ca="1">IFERROR(__xludf.DUMMYFUNCTION("""COMPUTED_VALUE"""),856.8)</f>
        <v>856.8</v>
      </c>
      <c r="Q299" s="7">
        <f ca="1">IFERROR(__xludf.DUMMYFUNCTION("""COMPUTED_VALUE"""),1810)</f>
        <v>1810</v>
      </c>
      <c r="R299" s="7">
        <f ca="1">IFERROR(__xludf.DUMMYFUNCTION("""COMPUTED_VALUE"""),0)</f>
        <v>0</v>
      </c>
      <c r="S299" s="7">
        <f ca="1">IFERROR(__xludf.DUMMYFUNCTION("""COMPUTED_VALUE"""),0)</f>
        <v>0</v>
      </c>
      <c r="T299" s="7">
        <f ca="1">IFERROR(__xludf.DUMMYFUNCTION("""COMPUTED_VALUE"""),0)</f>
        <v>0</v>
      </c>
      <c r="U299" s="61"/>
      <c r="V299" s="61"/>
      <c r="W299" s="61"/>
    </row>
    <row r="300" spans="1:23" ht="12.75">
      <c r="A300" t="str">
        <f ca="1">IFERROR(__xludf.DUMMYFUNCTION("""COMPUTED_VALUE"""),"Palmas")</f>
        <v>Palmas</v>
      </c>
      <c r="B300" t="str">
        <f ca="1">IFERROR(__xludf.DUMMYFUNCTION("""COMPUTED_VALUE"""),"Rio Sono")</f>
        <v>Rio Sono</v>
      </c>
      <c r="C300" s="60" t="str">
        <f ca="1">IFERROR(__xludf.DUMMYFUNCTION("""COMPUTED_VALUE"""),"A.A.  ESCOLA EST. IMACULADA CONCEICAO")</f>
        <v>A.A.  ESCOLA EST. IMACULADA CONCEICAO</v>
      </c>
      <c r="D300" s="136" t="str">
        <f ca="1">IFERROR(__xludf.DUMMYFUNCTION("""COMPUTED_VALUE"""),"01197175000101")</f>
        <v>01197175000101</v>
      </c>
      <c r="E300" s="6" t="str">
        <f ca="1">IFERROR(__xludf.DUMMYFUNCTION("""COMPUTED_VALUE"""),"001")</f>
        <v>001</v>
      </c>
      <c r="F300" s="7" t="str">
        <f ca="1">IFERROR(__xludf.DUMMYFUNCTION("""COMPUTED_VALUE"""),"0862")</f>
        <v>0862</v>
      </c>
      <c r="G300" s="7" t="str">
        <f ca="1">IFERROR(__xludf.DUMMYFUNCTION("""COMPUTED_VALUE"""),"161497")</f>
        <v>161497</v>
      </c>
      <c r="H300" s="7">
        <f ca="1">IFERROR(__xludf.DUMMYFUNCTION("""COMPUTED_VALUE"""),0)</f>
        <v>0</v>
      </c>
      <c r="I300" s="7">
        <f ca="1">IFERROR(__xludf.DUMMYFUNCTION("""COMPUTED_VALUE"""),0)</f>
        <v>0</v>
      </c>
      <c r="J300" s="7">
        <f ca="1">IFERROR(__xludf.DUMMYFUNCTION("""COMPUTED_VALUE"""),590)</f>
        <v>590</v>
      </c>
      <c r="K300" s="7">
        <f ca="1">IFERROR(__xludf.DUMMYFUNCTION("""COMPUTED_VALUE"""),0)</f>
        <v>0</v>
      </c>
      <c r="L300" s="7">
        <f ca="1">IFERROR(__xludf.DUMMYFUNCTION("""COMPUTED_VALUE"""),0)</f>
        <v>0</v>
      </c>
      <c r="M300" s="7">
        <f ca="1">IFERROR(__xludf.DUMMYFUNCTION("""COMPUTED_VALUE"""),0)</f>
        <v>0</v>
      </c>
      <c r="N300" s="7">
        <f ca="1">IFERROR(__xludf.DUMMYFUNCTION("""COMPUTED_VALUE"""),0)</f>
        <v>0</v>
      </c>
      <c r="O300" s="7">
        <f ca="1">IFERROR(__xludf.DUMMYFUNCTION("""COMPUTED_VALUE"""),0)</f>
        <v>0</v>
      </c>
      <c r="P300" s="7">
        <f ca="1">IFERROR(__xludf.DUMMYFUNCTION("""COMPUTED_VALUE"""),0)</f>
        <v>0</v>
      </c>
      <c r="Q300" s="7">
        <f ca="1">IFERROR(__xludf.DUMMYFUNCTION("""COMPUTED_VALUE"""),490)</f>
        <v>490</v>
      </c>
      <c r="R300" s="7">
        <f ca="1">IFERROR(__xludf.DUMMYFUNCTION("""COMPUTED_VALUE"""),0)</f>
        <v>0</v>
      </c>
      <c r="S300" s="7">
        <f ca="1">IFERROR(__xludf.DUMMYFUNCTION("""COMPUTED_VALUE"""),0)</f>
        <v>0</v>
      </c>
      <c r="T300" s="7">
        <f ca="1">IFERROR(__xludf.DUMMYFUNCTION("""COMPUTED_VALUE"""),0)</f>
        <v>0</v>
      </c>
      <c r="U300" s="61"/>
      <c r="V300" s="61"/>
      <c r="W300" s="61"/>
    </row>
    <row r="301" spans="1:23" ht="12.75">
      <c r="A301" t="str">
        <f ca="1">IFERROR(__xludf.DUMMYFUNCTION("""COMPUTED_VALUE"""),"Palmas")</f>
        <v>Palmas</v>
      </c>
      <c r="B301" t="str">
        <f ca="1">IFERROR(__xludf.DUMMYFUNCTION("""COMPUTED_VALUE"""),"Santa Tereza do Tocantins")</f>
        <v>Santa Tereza do Tocantins</v>
      </c>
      <c r="C301" s="60" t="str">
        <f ca="1">IFERROR(__xludf.DUMMYFUNCTION("""COMPUTED_VALUE"""),"A.A. C.EST. MANOEL S.DOURADO")</f>
        <v>A.A. C.EST. MANOEL S.DOURADO</v>
      </c>
      <c r="D301" s="136" t="str">
        <f ca="1">IFERROR(__xludf.DUMMYFUNCTION("""COMPUTED_VALUE"""),"01136013000155")</f>
        <v>01136013000155</v>
      </c>
      <c r="E301" s="6" t="str">
        <f ca="1">IFERROR(__xludf.DUMMYFUNCTION("""COMPUTED_VALUE"""),"001")</f>
        <v>001</v>
      </c>
      <c r="F301" s="7" t="str">
        <f ca="1">IFERROR(__xludf.DUMMYFUNCTION("""COMPUTED_VALUE"""),"1117")</f>
        <v>1117</v>
      </c>
      <c r="G301" s="7" t="str">
        <f ca="1">IFERROR(__xludf.DUMMYFUNCTION("""COMPUTED_VALUE"""),"313033")</f>
        <v>313033</v>
      </c>
      <c r="H301" s="7">
        <f ca="1">IFERROR(__xludf.DUMMYFUNCTION("""COMPUTED_VALUE"""),0)</f>
        <v>0</v>
      </c>
      <c r="I301" s="7">
        <f ca="1">IFERROR(__xludf.DUMMYFUNCTION("""COMPUTED_VALUE"""),0)</f>
        <v>0</v>
      </c>
      <c r="J301" s="7">
        <f ca="1">IFERROR(__xludf.DUMMYFUNCTION("""COMPUTED_VALUE"""),1000)</f>
        <v>1000</v>
      </c>
      <c r="K301" s="7">
        <f ca="1">IFERROR(__xludf.DUMMYFUNCTION("""COMPUTED_VALUE"""),0)</f>
        <v>0</v>
      </c>
      <c r="L301" s="7">
        <f ca="1">IFERROR(__xludf.DUMMYFUNCTION("""COMPUTED_VALUE"""),0)</f>
        <v>0</v>
      </c>
      <c r="M301" s="7">
        <f ca="1">IFERROR(__xludf.DUMMYFUNCTION("""COMPUTED_VALUE"""),0)</f>
        <v>0</v>
      </c>
      <c r="N301" s="7">
        <f ca="1">IFERROR(__xludf.DUMMYFUNCTION("""COMPUTED_VALUE"""),0)</f>
        <v>0</v>
      </c>
      <c r="O301" s="7">
        <f ca="1">IFERROR(__xludf.DUMMYFUNCTION("""COMPUTED_VALUE"""),0)</f>
        <v>0</v>
      </c>
      <c r="P301" s="7">
        <f ca="1">IFERROR(__xludf.DUMMYFUNCTION("""COMPUTED_VALUE"""),163.2)</f>
        <v>163.19999999999999</v>
      </c>
      <c r="Q301" s="7">
        <f ca="1">IFERROR(__xludf.DUMMYFUNCTION("""COMPUTED_VALUE"""),1300)</f>
        <v>1300</v>
      </c>
      <c r="R301" s="7">
        <f ca="1">IFERROR(__xludf.DUMMYFUNCTION("""COMPUTED_VALUE"""),0)</f>
        <v>0</v>
      </c>
      <c r="S301" s="7">
        <f ca="1">IFERROR(__xludf.DUMMYFUNCTION("""COMPUTED_VALUE"""),0)</f>
        <v>0</v>
      </c>
      <c r="T301" s="7">
        <f ca="1">IFERROR(__xludf.DUMMYFUNCTION("""COMPUTED_VALUE"""),0)</f>
        <v>0</v>
      </c>
      <c r="U301" s="61"/>
      <c r="V301" s="61"/>
      <c r="W301" s="61"/>
    </row>
    <row r="302" spans="1:23" ht="12.75">
      <c r="A302" t="str">
        <f ca="1">IFERROR(__xludf.DUMMYFUNCTION("""COMPUTED_VALUE"""),"Palmas")</f>
        <v>Palmas</v>
      </c>
      <c r="B302" t="str">
        <f ca="1">IFERROR(__xludf.DUMMYFUNCTION("""COMPUTED_VALUE"""),"Sao Felix do Tocantins")</f>
        <v>Sao Felix do Tocantins</v>
      </c>
      <c r="C302" s="60" t="str">
        <f ca="1">IFERROR(__xludf.DUMMYFUNCTION("""COMPUTED_VALUE"""),"A. DE AP.ESC. EST. SAGRADO CORACAO DE JESUS")</f>
        <v>A. DE AP.ESC. EST. SAGRADO CORACAO DE JESUS</v>
      </c>
      <c r="D302" s="136" t="str">
        <f ca="1">IFERROR(__xludf.DUMMYFUNCTION("""COMPUTED_VALUE"""),"01656550000126")</f>
        <v>01656550000126</v>
      </c>
      <c r="E302" s="6" t="str">
        <f ca="1">IFERROR(__xludf.DUMMYFUNCTION("""COMPUTED_VALUE"""),"001")</f>
        <v>001</v>
      </c>
      <c r="F302" s="7" t="str">
        <f ca="1">IFERROR(__xludf.DUMMYFUNCTION("""COMPUTED_VALUE"""),"3962")</f>
        <v>3962</v>
      </c>
      <c r="G302" s="7" t="str">
        <f ca="1">IFERROR(__xludf.DUMMYFUNCTION("""COMPUTED_VALUE"""),"147605")</f>
        <v>147605</v>
      </c>
      <c r="H302" s="7">
        <f ca="1">IFERROR(__xludf.DUMMYFUNCTION("""COMPUTED_VALUE"""),0)</f>
        <v>0</v>
      </c>
      <c r="I302" s="7">
        <f ca="1">IFERROR(__xludf.DUMMYFUNCTION("""COMPUTED_VALUE"""),0)</f>
        <v>0</v>
      </c>
      <c r="J302" s="7">
        <f ca="1">IFERROR(__xludf.DUMMYFUNCTION("""COMPUTED_VALUE"""),2110)</f>
        <v>2110</v>
      </c>
      <c r="K302" s="7">
        <f ca="1">IFERROR(__xludf.DUMMYFUNCTION("""COMPUTED_VALUE"""),0)</f>
        <v>0</v>
      </c>
      <c r="L302" s="7">
        <f ca="1">IFERROR(__xludf.DUMMYFUNCTION("""COMPUTED_VALUE"""),0)</f>
        <v>0</v>
      </c>
      <c r="M302" s="7">
        <f ca="1">IFERROR(__xludf.DUMMYFUNCTION("""COMPUTED_VALUE"""),0)</f>
        <v>0</v>
      </c>
      <c r="N302" s="7">
        <f ca="1">IFERROR(__xludf.DUMMYFUNCTION("""COMPUTED_VALUE"""),0)</f>
        <v>0</v>
      </c>
      <c r="O302" s="7">
        <f ca="1">IFERROR(__xludf.DUMMYFUNCTION("""COMPUTED_VALUE"""),0)</f>
        <v>0</v>
      </c>
      <c r="P302" s="7">
        <f ca="1">IFERROR(__xludf.DUMMYFUNCTION("""COMPUTED_VALUE"""),0)</f>
        <v>0</v>
      </c>
      <c r="Q302" s="7">
        <f ca="1">IFERROR(__xludf.DUMMYFUNCTION("""COMPUTED_VALUE"""),1090)</f>
        <v>1090</v>
      </c>
      <c r="R302" s="7">
        <f ca="1">IFERROR(__xludf.DUMMYFUNCTION("""COMPUTED_VALUE"""),0)</f>
        <v>0</v>
      </c>
      <c r="S302" s="7">
        <f ca="1">IFERROR(__xludf.DUMMYFUNCTION("""COMPUTED_VALUE"""),0)</f>
        <v>0</v>
      </c>
      <c r="T302" s="7">
        <f ca="1">IFERROR(__xludf.DUMMYFUNCTION("""COMPUTED_VALUE"""),0)</f>
        <v>0</v>
      </c>
      <c r="U302" s="61"/>
      <c r="V302" s="61"/>
      <c r="W302" s="61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IFERROR(__xludf.DUMMYFUNCTION("""COMPUTED_VALUE"""),"Abreulandia")</f>
        <v>Abreulandia</v>
      </c>
      <c r="C303" s="60" t="str">
        <f ca="1">IFERROR(__xludf.DUMMYFUNCTION("""COMPUTED_VALUE"""),"ASS. DE APOIO DA ESCOLA EST. SAO PEDRO")</f>
        <v>ASS. DE APOIO DA ESCOLA EST. SAO PEDRO</v>
      </c>
      <c r="D303" s="136" t="str">
        <f ca="1">IFERROR(__xludf.DUMMYFUNCTION("""COMPUTED_VALUE"""),"01071408000117")</f>
        <v>01071408000117</v>
      </c>
      <c r="E303" s="6" t="str">
        <f ca="1">IFERROR(__xludf.DUMMYFUNCTION("""COMPUTED_VALUE"""),"001")</f>
        <v>001</v>
      </c>
      <c r="F303" s="7" t="str">
        <f ca="1">IFERROR(__xludf.DUMMYFUNCTION("""COMPUTED_VALUE"""),"0804")</f>
        <v>0804</v>
      </c>
      <c r="G303" s="7" t="str">
        <f ca="1">IFERROR(__xludf.DUMMYFUNCTION("""COMPUTED_VALUE"""),"286893")</f>
        <v>286893</v>
      </c>
      <c r="H303" s="7">
        <f ca="1">IFERROR(__xludf.DUMMYFUNCTION("""COMPUTED_VALUE"""),0)</f>
        <v>0</v>
      </c>
      <c r="I303" s="7">
        <f ca="1">IFERROR(__xludf.DUMMYFUNCTION("""COMPUTED_VALUE"""),0)</f>
        <v>0</v>
      </c>
      <c r="J303" s="7">
        <f ca="1">IFERROR(__xludf.DUMMYFUNCTION("""COMPUTED_VALUE"""),1070)</f>
        <v>1070</v>
      </c>
      <c r="K303" s="7">
        <f ca="1">IFERROR(__xludf.DUMMYFUNCTION("""COMPUTED_VALUE"""),0)</f>
        <v>0</v>
      </c>
      <c r="L303" s="7">
        <f ca="1">IFERROR(__xludf.DUMMYFUNCTION("""COMPUTED_VALUE"""),0)</f>
        <v>0</v>
      </c>
      <c r="M303" s="7">
        <f ca="1">IFERROR(__xludf.DUMMYFUNCTION("""COMPUTED_VALUE"""),0)</f>
        <v>0</v>
      </c>
      <c r="N303" s="7">
        <f ca="1">IFERROR(__xludf.DUMMYFUNCTION("""COMPUTED_VALUE"""),0)</f>
        <v>0</v>
      </c>
      <c r="O303" s="7">
        <f ca="1">IFERROR(__xludf.DUMMYFUNCTION("""COMPUTED_VALUE"""),0)</f>
        <v>0</v>
      </c>
      <c r="P303" s="7">
        <f ca="1">IFERROR(__xludf.DUMMYFUNCTION("""COMPUTED_VALUE"""),0)</f>
        <v>0</v>
      </c>
      <c r="Q303" s="7">
        <f ca="1">IFERROR(__xludf.DUMMYFUNCTION("""COMPUTED_VALUE"""),1250)</f>
        <v>1250</v>
      </c>
      <c r="R303" s="7">
        <f ca="1">IFERROR(__xludf.DUMMYFUNCTION("""COMPUTED_VALUE"""),0)</f>
        <v>0</v>
      </c>
      <c r="S303" s="7">
        <f ca="1">IFERROR(__xludf.DUMMYFUNCTION("""COMPUTED_VALUE"""),0)</f>
        <v>0</v>
      </c>
      <c r="T303" s="7">
        <f ca="1">IFERROR(__xludf.DUMMYFUNCTION("""COMPUTED_VALUE"""),237.799999999999)</f>
        <v>237.79999999999899</v>
      </c>
      <c r="U303" s="61"/>
      <c r="V303" s="61"/>
      <c r="W303" s="61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IFERROR(__xludf.DUMMYFUNCTION("""COMPUTED_VALUE"""),"Araguacema")</f>
        <v>Araguacema</v>
      </c>
      <c r="C304" s="60" t="str">
        <f ca="1">IFERROR(__xludf.DUMMYFUNCTION("""COMPUTED_VALUE"""),"ASSOC. DE APOIO AO COL. EST. DE ARAGUACEMA")</f>
        <v>ASSOC. DE APOIO AO COL. EST. DE ARAGUACEMA</v>
      </c>
      <c r="D304" s="136" t="str">
        <f ca="1">IFERROR(__xludf.DUMMYFUNCTION("""COMPUTED_VALUE"""),"01187107000153")</f>
        <v>01187107000153</v>
      </c>
      <c r="E304" s="6" t="str">
        <f ca="1">IFERROR(__xludf.DUMMYFUNCTION("""COMPUTED_VALUE"""),"001")</f>
        <v>001</v>
      </c>
      <c r="F304" s="7" t="str">
        <f ca="1">IFERROR(__xludf.DUMMYFUNCTION("""COMPUTED_VALUE"""),"0804")</f>
        <v>0804</v>
      </c>
      <c r="G304" s="7" t="str">
        <f ca="1">IFERROR(__xludf.DUMMYFUNCTION("""COMPUTED_VALUE"""),"286532")</f>
        <v>286532</v>
      </c>
      <c r="H304" s="7">
        <f ca="1">IFERROR(__xludf.DUMMYFUNCTION("""COMPUTED_VALUE"""),0)</f>
        <v>0</v>
      </c>
      <c r="I304" s="7">
        <f ca="1">IFERROR(__xludf.DUMMYFUNCTION("""COMPUTED_VALUE"""),0)</f>
        <v>0</v>
      </c>
      <c r="J304" s="7">
        <f ca="1">IFERROR(__xludf.DUMMYFUNCTION("""COMPUTED_VALUE"""),950)</f>
        <v>950</v>
      </c>
      <c r="K304" s="7">
        <f ca="1">IFERROR(__xludf.DUMMYFUNCTION("""COMPUTED_VALUE"""),0)</f>
        <v>0</v>
      </c>
      <c r="L304" s="7">
        <f ca="1">IFERROR(__xludf.DUMMYFUNCTION("""COMPUTED_VALUE"""),0)</f>
        <v>0</v>
      </c>
      <c r="M304" s="7">
        <f ca="1">IFERROR(__xludf.DUMMYFUNCTION("""COMPUTED_VALUE"""),0)</f>
        <v>0</v>
      </c>
      <c r="N304" s="7">
        <f ca="1">IFERROR(__xludf.DUMMYFUNCTION("""COMPUTED_VALUE"""),0)</f>
        <v>0</v>
      </c>
      <c r="O304" s="7">
        <f ca="1">IFERROR(__xludf.DUMMYFUNCTION("""COMPUTED_VALUE"""),0)</f>
        <v>0</v>
      </c>
      <c r="P304" s="7">
        <f ca="1">IFERROR(__xludf.DUMMYFUNCTION("""COMPUTED_VALUE"""),0)</f>
        <v>0</v>
      </c>
      <c r="Q304" s="7">
        <f ca="1">IFERROR(__xludf.DUMMYFUNCTION("""COMPUTED_VALUE"""),3060)</f>
        <v>3060</v>
      </c>
      <c r="R304" s="7">
        <f ca="1">IFERROR(__xludf.DUMMYFUNCTION("""COMPUTED_VALUE"""),0)</f>
        <v>0</v>
      </c>
      <c r="S304" s="7">
        <f ca="1">IFERROR(__xludf.DUMMYFUNCTION("""COMPUTED_VALUE"""),0)</f>
        <v>0</v>
      </c>
      <c r="T304" s="7">
        <f ca="1">IFERROR(__xludf.DUMMYFUNCTION("""COMPUTED_VALUE"""),0)</f>
        <v>0</v>
      </c>
      <c r="U304" s="61"/>
      <c r="V304" s="61"/>
      <c r="W304" s="61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IFERROR(__xludf.DUMMYFUNCTION("""COMPUTED_VALUE"""),"Araguacema")</f>
        <v>Araguacema</v>
      </c>
      <c r="C305" s="60" t="str">
        <f ca="1">IFERROR(__xludf.DUMMYFUNCTION("""COMPUTED_VALUE"""),"ASSOC. DE APOIO COLEGIO MENNO SIMONS")</f>
        <v>ASSOC. DE APOIO COLEGIO MENNO SIMONS</v>
      </c>
      <c r="D305" s="136" t="str">
        <f ca="1">IFERROR(__xludf.DUMMYFUNCTION("""COMPUTED_VALUE"""),"01138321000110")</f>
        <v>01138321000110</v>
      </c>
      <c r="E305" s="6" t="str">
        <f ca="1">IFERROR(__xludf.DUMMYFUNCTION("""COMPUTED_VALUE"""),"001")</f>
        <v>001</v>
      </c>
      <c r="F305" s="7" t="str">
        <f ca="1">IFERROR(__xludf.DUMMYFUNCTION("""COMPUTED_VALUE"""),"0804")</f>
        <v>0804</v>
      </c>
      <c r="G305" s="7" t="str">
        <f ca="1">IFERROR(__xludf.DUMMYFUNCTION("""COMPUTED_VALUE"""),"300764")</f>
        <v>300764</v>
      </c>
      <c r="H305" s="7">
        <f ca="1">IFERROR(__xludf.DUMMYFUNCTION("""COMPUTED_VALUE"""),0)</f>
        <v>0</v>
      </c>
      <c r="I305" s="7">
        <f ca="1">IFERROR(__xludf.DUMMYFUNCTION("""COMPUTED_VALUE"""),0)</f>
        <v>0</v>
      </c>
      <c r="J305" s="7">
        <f ca="1">IFERROR(__xludf.DUMMYFUNCTION("""COMPUTED_VALUE"""),1850)</f>
        <v>1850</v>
      </c>
      <c r="K305" s="7">
        <f ca="1">IFERROR(__xludf.DUMMYFUNCTION("""COMPUTED_VALUE"""),0)</f>
        <v>0</v>
      </c>
      <c r="L305" s="7">
        <f ca="1">IFERROR(__xludf.DUMMYFUNCTION("""COMPUTED_VALUE"""),0)</f>
        <v>0</v>
      </c>
      <c r="M305" s="7">
        <f ca="1">IFERROR(__xludf.DUMMYFUNCTION("""COMPUTED_VALUE"""),0)</f>
        <v>0</v>
      </c>
      <c r="N305" s="7">
        <f ca="1">IFERROR(__xludf.DUMMYFUNCTION("""COMPUTED_VALUE"""),0)</f>
        <v>0</v>
      </c>
      <c r="O305" s="7">
        <f ca="1">IFERROR(__xludf.DUMMYFUNCTION("""COMPUTED_VALUE"""),0)</f>
        <v>0</v>
      </c>
      <c r="P305" s="7">
        <f ca="1">IFERROR(__xludf.DUMMYFUNCTION("""COMPUTED_VALUE"""),0)</f>
        <v>0</v>
      </c>
      <c r="Q305" s="7">
        <f ca="1">IFERROR(__xludf.DUMMYFUNCTION("""COMPUTED_VALUE"""),0)</f>
        <v>0</v>
      </c>
      <c r="R305" s="7">
        <f ca="1">IFERROR(__xludf.DUMMYFUNCTION("""COMPUTED_VALUE"""),0)</f>
        <v>0</v>
      </c>
      <c r="S305" s="7">
        <f ca="1">IFERROR(__xludf.DUMMYFUNCTION("""COMPUTED_VALUE"""),0)</f>
        <v>0</v>
      </c>
      <c r="T305" s="7">
        <f ca="1">IFERROR(__xludf.DUMMYFUNCTION("""COMPUTED_VALUE"""),0)</f>
        <v>0</v>
      </c>
      <c r="U305" s="61"/>
      <c r="V305" s="61"/>
      <c r="W305" s="61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IFERROR(__xludf.DUMMYFUNCTION("""COMPUTED_VALUE"""),"Barrolandia")</f>
        <v>Barrolandia</v>
      </c>
      <c r="C306" s="60" t="str">
        <f ca="1">IFERROR(__xludf.DUMMYFUNCTION("""COMPUTED_VALUE"""),"ASSOC. DE A. DO COL. EST. PRES. TANCREDO NEVES")</f>
        <v>ASSOC. DE A. DO COL. EST. PRES. TANCREDO NEVES</v>
      </c>
      <c r="D306" s="136" t="str">
        <f ca="1">IFERROR(__xludf.DUMMYFUNCTION("""COMPUTED_VALUE"""),"01086975000147")</f>
        <v>01086975000147</v>
      </c>
      <c r="E306" s="6" t="str">
        <f ca="1">IFERROR(__xludf.DUMMYFUNCTION("""COMPUTED_VALUE"""),"001")</f>
        <v>001</v>
      </c>
      <c r="F306" s="7" t="str">
        <f ca="1">IFERROR(__xludf.DUMMYFUNCTION("""COMPUTED_VALUE"""),"0862")</f>
        <v>0862</v>
      </c>
      <c r="G306" s="7" t="str">
        <f ca="1">IFERROR(__xludf.DUMMYFUNCTION("""COMPUTED_VALUE"""),"244155")</f>
        <v>244155</v>
      </c>
      <c r="H306" s="7">
        <f ca="1">IFERROR(__xludf.DUMMYFUNCTION("""COMPUTED_VALUE"""),0)</f>
        <v>0</v>
      </c>
      <c r="I306" s="7">
        <f ca="1">IFERROR(__xludf.DUMMYFUNCTION("""COMPUTED_VALUE"""),0)</f>
        <v>0</v>
      </c>
      <c r="J306" s="7">
        <f ca="1">IFERROR(__xludf.DUMMYFUNCTION("""COMPUTED_VALUE"""),0)</f>
        <v>0</v>
      </c>
      <c r="K306" s="7">
        <f ca="1">IFERROR(__xludf.DUMMYFUNCTION("""COMPUTED_VALUE"""),0)</f>
        <v>0</v>
      </c>
      <c r="L306" s="7">
        <f ca="1">IFERROR(__xludf.DUMMYFUNCTION("""COMPUTED_VALUE"""),0)</f>
        <v>0</v>
      </c>
      <c r="M306" s="7">
        <f ca="1">IFERROR(__xludf.DUMMYFUNCTION("""COMPUTED_VALUE"""),0)</f>
        <v>0</v>
      </c>
      <c r="N306" s="7">
        <f ca="1">IFERROR(__xludf.DUMMYFUNCTION("""COMPUTED_VALUE"""),0)</f>
        <v>0</v>
      </c>
      <c r="O306" s="7">
        <f ca="1">IFERROR(__xludf.DUMMYFUNCTION("""COMPUTED_VALUE"""),0)</f>
        <v>0</v>
      </c>
      <c r="P306" s="7">
        <f ca="1">IFERROR(__xludf.DUMMYFUNCTION("""COMPUTED_VALUE"""),0)</f>
        <v>0</v>
      </c>
      <c r="Q306" s="7">
        <f ca="1">IFERROR(__xludf.DUMMYFUNCTION("""COMPUTED_VALUE"""),0)</f>
        <v>0</v>
      </c>
      <c r="R306" s="7">
        <f ca="1">IFERROR(__xludf.DUMMYFUNCTION("""COMPUTED_VALUE"""),0)</f>
        <v>0</v>
      </c>
      <c r="S306" s="7">
        <f ca="1">IFERROR(__xludf.DUMMYFUNCTION("""COMPUTED_VALUE"""),5324.8)</f>
        <v>5324.8</v>
      </c>
      <c r="T306" s="7">
        <f ca="1">IFERROR(__xludf.DUMMYFUNCTION("""COMPUTED_VALUE"""),0)</f>
        <v>0</v>
      </c>
      <c r="U306" s="61"/>
      <c r="V306" s="61"/>
      <c r="W306" s="61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IFERROR(__xludf.DUMMYFUNCTION("""COMPUTED_VALUE"""),"Barrolandia")</f>
        <v>Barrolandia</v>
      </c>
      <c r="C307" s="60" t="str">
        <f ca="1">IFERROR(__xludf.DUMMYFUNCTION("""COMPUTED_VALUE"""),"A..A. ESC. ESPECIAL AMOR DE DEUS")</f>
        <v>A..A. ESC. ESPECIAL AMOR DE DEUS</v>
      </c>
      <c r="D307" s="136" t="str">
        <f ca="1">IFERROR(__xludf.DUMMYFUNCTION("""COMPUTED_VALUE"""),"07935641000187")</f>
        <v>07935641000187</v>
      </c>
      <c r="E307" s="6" t="str">
        <f ca="1">IFERROR(__xludf.DUMMYFUNCTION("""COMPUTED_VALUE"""),"001")</f>
        <v>001</v>
      </c>
      <c r="F307" s="7" t="str">
        <f ca="1">IFERROR(__xludf.DUMMYFUNCTION("""COMPUTED_VALUE"""),"0804")</f>
        <v>0804</v>
      </c>
      <c r="G307" s="7" t="str">
        <f ca="1">IFERROR(__xludf.DUMMYFUNCTION("""COMPUTED_VALUE"""),"279501")</f>
        <v>279501</v>
      </c>
      <c r="H307" s="7">
        <f ca="1">IFERROR(__xludf.DUMMYFUNCTION("""COMPUTED_VALUE"""),0)</f>
        <v>0</v>
      </c>
      <c r="I307" s="7">
        <f ca="1">IFERROR(__xludf.DUMMYFUNCTION("""COMPUTED_VALUE"""),187.2)</f>
        <v>187.2</v>
      </c>
      <c r="J307" s="7">
        <f ca="1">IFERROR(__xludf.DUMMYFUNCTION("""COMPUTED_VALUE"""),100)</f>
        <v>100</v>
      </c>
      <c r="K307" s="7">
        <f ca="1">IFERROR(__xludf.DUMMYFUNCTION("""COMPUTED_VALUE"""),0)</f>
        <v>0</v>
      </c>
      <c r="L307" s="7">
        <f ca="1">IFERROR(__xludf.DUMMYFUNCTION("""COMPUTED_VALUE"""),0)</f>
        <v>0</v>
      </c>
      <c r="M307" s="7">
        <f ca="1">IFERROR(__xludf.DUMMYFUNCTION("""COMPUTED_VALUE"""),0)</f>
        <v>0</v>
      </c>
      <c r="N307" s="7">
        <f ca="1">IFERROR(__xludf.DUMMYFUNCTION("""COMPUTED_VALUE"""),0)</f>
        <v>0</v>
      </c>
      <c r="O307" s="7">
        <f ca="1">IFERROR(__xludf.DUMMYFUNCTION("""COMPUTED_VALUE"""),0)</f>
        <v>0</v>
      </c>
      <c r="P307" s="7">
        <f ca="1">IFERROR(__xludf.DUMMYFUNCTION("""COMPUTED_VALUE"""),163.2)</f>
        <v>163.19999999999999</v>
      </c>
      <c r="Q307" s="7">
        <f ca="1">IFERROR(__xludf.DUMMYFUNCTION("""COMPUTED_VALUE"""),0)</f>
        <v>0</v>
      </c>
      <c r="R307" s="7">
        <f ca="1">IFERROR(__xludf.DUMMYFUNCTION("""COMPUTED_VALUE"""),0)</f>
        <v>0</v>
      </c>
      <c r="S307" s="7">
        <f ca="1">IFERROR(__xludf.DUMMYFUNCTION("""COMPUTED_VALUE"""),0)</f>
        <v>0</v>
      </c>
      <c r="T307" s="7">
        <f ca="1">IFERROR(__xludf.DUMMYFUNCTION("""COMPUTED_VALUE"""),229.599999999999)</f>
        <v>229.599999999999</v>
      </c>
      <c r="U307" s="61"/>
      <c r="V307" s="61"/>
      <c r="W307" s="61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IFERROR(__xludf.DUMMYFUNCTION("""COMPUTED_VALUE"""),"Barrolandia")</f>
        <v>Barrolandia</v>
      </c>
      <c r="C308" s="60" t="str">
        <f ca="1">IFERROR(__xludf.DUMMYFUNCTION("""COMPUTED_VALUE"""),"ASS. APOIO DA ESC EST PAULINA CAMARA")</f>
        <v>ASS. APOIO DA ESC EST PAULINA CAMARA</v>
      </c>
      <c r="D308" s="136" t="str">
        <f ca="1">IFERROR(__xludf.DUMMYFUNCTION("""COMPUTED_VALUE"""),"01071402000140")</f>
        <v>01071402000140</v>
      </c>
      <c r="E308" s="6" t="str">
        <f ca="1">IFERROR(__xludf.DUMMYFUNCTION("""COMPUTED_VALUE"""),"001")</f>
        <v>001</v>
      </c>
      <c r="F308" s="7" t="str">
        <f ca="1">IFERROR(__xludf.DUMMYFUNCTION("""COMPUTED_VALUE"""),"0862")</f>
        <v>0862</v>
      </c>
      <c r="G308" s="7" t="str">
        <f ca="1">IFERROR(__xludf.DUMMYFUNCTION("""COMPUTED_VALUE"""),"68926")</f>
        <v>68926</v>
      </c>
      <c r="H308" s="7">
        <f ca="1">IFERROR(__xludf.DUMMYFUNCTION("""COMPUTED_VALUE"""),0)</f>
        <v>0</v>
      </c>
      <c r="I308" s="7">
        <f ca="1">IFERROR(__xludf.DUMMYFUNCTION("""COMPUTED_VALUE"""),0)</f>
        <v>0</v>
      </c>
      <c r="J308" s="7">
        <f ca="1">IFERROR(__xludf.DUMMYFUNCTION("""COMPUTED_VALUE"""),2540)</f>
        <v>2540</v>
      </c>
      <c r="K308" s="7">
        <f ca="1">IFERROR(__xludf.DUMMYFUNCTION("""COMPUTED_VALUE"""),0)</f>
        <v>0</v>
      </c>
      <c r="L308" s="7">
        <f ca="1">IFERROR(__xludf.DUMMYFUNCTION("""COMPUTED_VALUE"""),0)</f>
        <v>0</v>
      </c>
      <c r="M308" s="7">
        <f ca="1">IFERROR(__xludf.DUMMYFUNCTION("""COMPUTED_VALUE"""),0)</f>
        <v>0</v>
      </c>
      <c r="N308" s="7">
        <f ca="1">IFERROR(__xludf.DUMMYFUNCTION("""COMPUTED_VALUE"""),0)</f>
        <v>0</v>
      </c>
      <c r="O308" s="7">
        <f ca="1">IFERROR(__xludf.DUMMYFUNCTION("""COMPUTED_VALUE"""),0)</f>
        <v>0</v>
      </c>
      <c r="P308" s="7">
        <f ca="1">IFERROR(__xludf.DUMMYFUNCTION("""COMPUTED_VALUE"""),163.2)</f>
        <v>163.19999999999999</v>
      </c>
      <c r="Q308" s="7">
        <f ca="1">IFERROR(__xludf.DUMMYFUNCTION("""COMPUTED_VALUE"""),0)</f>
        <v>0</v>
      </c>
      <c r="R308" s="7">
        <f ca="1">IFERROR(__xludf.DUMMYFUNCTION("""COMPUTED_VALUE"""),0)</f>
        <v>0</v>
      </c>
      <c r="S308" s="7">
        <f ca="1">IFERROR(__xludf.DUMMYFUNCTION("""COMPUTED_VALUE"""),0)</f>
        <v>0</v>
      </c>
      <c r="T308" s="7">
        <f ca="1">IFERROR(__xludf.DUMMYFUNCTION("""COMPUTED_VALUE"""),0)</f>
        <v>0</v>
      </c>
      <c r="U308" s="61"/>
      <c r="V308" s="61"/>
      <c r="W308" s="61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IFERROR(__xludf.DUMMYFUNCTION("""COMPUTED_VALUE"""),"Barrolandia")</f>
        <v>Barrolandia</v>
      </c>
      <c r="C309" s="60" t="str">
        <f ca="1">IFERROR(__xludf.DUMMYFUNCTION("""COMPUTED_VALUE"""),"A.A. COLEGIO ESTADUAL COSTA E SILVA")</f>
        <v>A.A. COLEGIO ESTADUAL COSTA E SILVA</v>
      </c>
      <c r="D309" s="136" t="str">
        <f ca="1">IFERROR(__xludf.DUMMYFUNCTION("""COMPUTED_VALUE"""),"01100434000126")</f>
        <v>01100434000126</v>
      </c>
      <c r="E309" s="6" t="str">
        <f ca="1">IFERROR(__xludf.DUMMYFUNCTION("""COMPUTED_VALUE"""),"001")</f>
        <v>001</v>
      </c>
      <c r="F309" s="7" t="str">
        <f ca="1">IFERROR(__xludf.DUMMYFUNCTION("""COMPUTED_VALUE"""),"0862")</f>
        <v>0862</v>
      </c>
      <c r="G309" s="7" t="str">
        <f ca="1">IFERROR(__xludf.DUMMYFUNCTION("""COMPUTED_VALUE"""),"68942")</f>
        <v>68942</v>
      </c>
      <c r="H309" s="7">
        <f ca="1">IFERROR(__xludf.DUMMYFUNCTION("""COMPUTED_VALUE"""),0)</f>
        <v>0</v>
      </c>
      <c r="I309" s="7">
        <f ca="1">IFERROR(__xludf.DUMMYFUNCTION("""COMPUTED_VALUE"""),0)</f>
        <v>0</v>
      </c>
      <c r="J309" s="7">
        <f ca="1">IFERROR(__xludf.DUMMYFUNCTION("""COMPUTED_VALUE"""),1100)</f>
        <v>1100</v>
      </c>
      <c r="K309" s="7">
        <f ca="1">IFERROR(__xludf.DUMMYFUNCTION("""COMPUTED_VALUE"""),0)</f>
        <v>0</v>
      </c>
      <c r="L309" s="7">
        <f ca="1">IFERROR(__xludf.DUMMYFUNCTION("""COMPUTED_VALUE"""),0)</f>
        <v>0</v>
      </c>
      <c r="M309" s="7">
        <f ca="1">IFERROR(__xludf.DUMMYFUNCTION("""COMPUTED_VALUE"""),0)</f>
        <v>0</v>
      </c>
      <c r="N309" s="7">
        <f ca="1">IFERROR(__xludf.DUMMYFUNCTION("""COMPUTED_VALUE"""),0)</f>
        <v>0</v>
      </c>
      <c r="O309" s="7">
        <f ca="1">IFERROR(__xludf.DUMMYFUNCTION("""COMPUTED_VALUE"""),0)</f>
        <v>0</v>
      </c>
      <c r="P309" s="7">
        <f ca="1">IFERROR(__xludf.DUMMYFUNCTION("""COMPUTED_VALUE"""),0)</f>
        <v>0</v>
      </c>
      <c r="Q309" s="7">
        <f ca="1">IFERROR(__xludf.DUMMYFUNCTION("""COMPUTED_VALUE"""),1070)</f>
        <v>1070</v>
      </c>
      <c r="R309" s="7">
        <f ca="1">IFERROR(__xludf.DUMMYFUNCTION("""COMPUTED_VALUE"""),0)</f>
        <v>0</v>
      </c>
      <c r="S309" s="7">
        <f ca="1">IFERROR(__xludf.DUMMYFUNCTION("""COMPUTED_VALUE"""),0)</f>
        <v>0</v>
      </c>
      <c r="T309" s="7">
        <f ca="1">IFERROR(__xludf.DUMMYFUNCTION("""COMPUTED_VALUE"""),0)</f>
        <v>0</v>
      </c>
      <c r="U309" s="61"/>
      <c r="V309" s="61"/>
      <c r="W309" s="61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IFERROR(__xludf.DUMMYFUNCTION("""COMPUTED_VALUE"""),"Caseara")</f>
        <v>Caseara</v>
      </c>
      <c r="C310" s="60" t="str">
        <f ca="1">IFERROR(__xludf.DUMMYFUNCTION("""COMPUTED_VALUE"""),"A.A. AO COLEGIO EST. TRAJANO DE ALMEIDA")</f>
        <v>A.A. AO COLEGIO EST. TRAJANO DE ALMEIDA</v>
      </c>
      <c r="D310" s="136" t="str">
        <f ca="1">IFERROR(__xludf.DUMMYFUNCTION("""COMPUTED_VALUE"""),"01136037000104")</f>
        <v>01136037000104</v>
      </c>
      <c r="E310" s="6" t="str">
        <f ca="1">IFERROR(__xludf.DUMMYFUNCTION("""COMPUTED_VALUE"""),"001")</f>
        <v>001</v>
      </c>
      <c r="F310" s="7" t="str">
        <f ca="1">IFERROR(__xludf.DUMMYFUNCTION("""COMPUTED_VALUE"""),"0804")</f>
        <v>0804</v>
      </c>
      <c r="G310" s="7" t="str">
        <f ca="1">IFERROR(__xludf.DUMMYFUNCTION("""COMPUTED_VALUE"""),"110558")</f>
        <v>110558</v>
      </c>
      <c r="H310" s="7">
        <f ca="1">IFERROR(__xludf.DUMMYFUNCTION("""COMPUTED_VALUE"""),0)</f>
        <v>0</v>
      </c>
      <c r="I310" s="7">
        <f ca="1">IFERROR(__xludf.DUMMYFUNCTION("""COMPUTED_VALUE"""),0)</f>
        <v>0</v>
      </c>
      <c r="J310" s="7">
        <f ca="1">IFERROR(__xludf.DUMMYFUNCTION("""COMPUTED_VALUE"""),0)</f>
        <v>0</v>
      </c>
      <c r="K310" s="7">
        <f ca="1">IFERROR(__xludf.DUMMYFUNCTION("""COMPUTED_VALUE"""),0)</f>
        <v>0</v>
      </c>
      <c r="L310" s="7">
        <f ca="1">IFERROR(__xludf.DUMMYFUNCTION("""COMPUTED_VALUE"""),0)</f>
        <v>0</v>
      </c>
      <c r="M310" s="7">
        <f ca="1">IFERROR(__xludf.DUMMYFUNCTION("""COMPUTED_VALUE"""),0)</f>
        <v>0</v>
      </c>
      <c r="N310" s="7">
        <f ca="1">IFERROR(__xludf.DUMMYFUNCTION("""COMPUTED_VALUE"""),0)</f>
        <v>0</v>
      </c>
      <c r="O310" s="7">
        <f ca="1">IFERROR(__xludf.DUMMYFUNCTION("""COMPUTED_VALUE"""),0)</f>
        <v>0</v>
      </c>
      <c r="P310" s="7">
        <f ca="1">IFERROR(__xludf.DUMMYFUNCTION("""COMPUTED_VALUE"""),0)</f>
        <v>0</v>
      </c>
      <c r="Q310" s="7">
        <f ca="1">IFERROR(__xludf.DUMMYFUNCTION("""COMPUTED_VALUE"""),2040)</f>
        <v>2040</v>
      </c>
      <c r="R310" s="7">
        <f ca="1">IFERROR(__xludf.DUMMYFUNCTION("""COMPUTED_VALUE"""),0)</f>
        <v>0</v>
      </c>
      <c r="S310" s="7">
        <f ca="1">IFERROR(__xludf.DUMMYFUNCTION("""COMPUTED_VALUE"""),0)</f>
        <v>0</v>
      </c>
      <c r="T310" s="7">
        <f ca="1">IFERROR(__xludf.DUMMYFUNCTION("""COMPUTED_VALUE"""),0)</f>
        <v>0</v>
      </c>
      <c r="U310" s="61"/>
      <c r="V310" s="61"/>
      <c r="W310" s="61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IFERROR(__xludf.DUMMYFUNCTION("""COMPUTED_VALUE"""),"Caseara")</f>
        <v>Caseara</v>
      </c>
      <c r="C311" s="60" t="str">
        <f ca="1">IFERROR(__xludf.DUMMYFUNCTION("""COMPUTED_VALUE"""),"A. DE APOIO A ESC. EST. JOSE ALVES DE ASSIS")</f>
        <v>A. DE APOIO A ESC. EST. JOSE ALVES DE ASSIS</v>
      </c>
      <c r="D311" s="136" t="str">
        <f ca="1">IFERROR(__xludf.DUMMYFUNCTION("""COMPUTED_VALUE"""),"01138318000104")</f>
        <v>01138318000104</v>
      </c>
      <c r="E311" s="6" t="str">
        <f ca="1">IFERROR(__xludf.DUMMYFUNCTION("""COMPUTED_VALUE"""),"104")</f>
        <v>104</v>
      </c>
      <c r="F311" s="7" t="str">
        <f ca="1">IFERROR(__xludf.DUMMYFUNCTION("""COMPUTED_VALUE"""),"1141")</f>
        <v>1141</v>
      </c>
      <c r="G311" s="7" t="str">
        <f ca="1">IFERROR(__xludf.DUMMYFUNCTION("""COMPUTED_VALUE"""),"307968")</f>
        <v>307968</v>
      </c>
      <c r="H311" s="7">
        <f ca="1">IFERROR(__xludf.DUMMYFUNCTION("""COMPUTED_VALUE"""),0)</f>
        <v>0</v>
      </c>
      <c r="I311" s="7">
        <f ca="1">IFERROR(__xludf.DUMMYFUNCTION("""COMPUTED_VALUE"""),0)</f>
        <v>0</v>
      </c>
      <c r="J311" s="7">
        <f ca="1">IFERROR(__xludf.DUMMYFUNCTION("""COMPUTED_VALUE"""),3450)</f>
        <v>3450</v>
      </c>
      <c r="K311" s="7">
        <f ca="1">IFERROR(__xludf.DUMMYFUNCTION("""COMPUTED_VALUE"""),0)</f>
        <v>0</v>
      </c>
      <c r="L311" s="7">
        <f ca="1">IFERROR(__xludf.DUMMYFUNCTION("""COMPUTED_VALUE"""),0)</f>
        <v>0</v>
      </c>
      <c r="M311" s="7">
        <f ca="1">IFERROR(__xludf.DUMMYFUNCTION("""COMPUTED_VALUE"""),0)</f>
        <v>0</v>
      </c>
      <c r="N311" s="7">
        <f ca="1">IFERROR(__xludf.DUMMYFUNCTION("""COMPUTED_VALUE"""),0)</f>
        <v>0</v>
      </c>
      <c r="O311" s="7">
        <f ca="1">IFERROR(__xludf.DUMMYFUNCTION("""COMPUTED_VALUE"""),0)</f>
        <v>0</v>
      </c>
      <c r="P311" s="7">
        <f ca="1">IFERROR(__xludf.DUMMYFUNCTION("""COMPUTED_VALUE"""),0)</f>
        <v>0</v>
      </c>
      <c r="Q311" s="7">
        <f ca="1">IFERROR(__xludf.DUMMYFUNCTION("""COMPUTED_VALUE"""),0)</f>
        <v>0</v>
      </c>
      <c r="R311" s="7">
        <f ca="1">IFERROR(__xludf.DUMMYFUNCTION("""COMPUTED_VALUE"""),0)</f>
        <v>0</v>
      </c>
      <c r="S311" s="7">
        <f ca="1">IFERROR(__xludf.DUMMYFUNCTION("""COMPUTED_VALUE"""),0)</f>
        <v>0</v>
      </c>
      <c r="T311" s="7">
        <f ca="1">IFERROR(__xludf.DUMMYFUNCTION("""COMPUTED_VALUE"""),0)</f>
        <v>0</v>
      </c>
      <c r="U311" s="61"/>
      <c r="V311" s="61"/>
      <c r="W311" s="61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IFERROR(__xludf.DUMMYFUNCTION("""COMPUTED_VALUE"""),"Cristalandia")</f>
        <v>Cristalandia</v>
      </c>
      <c r="C312" s="60" t="str">
        <f ca="1">IFERROR(__xludf.DUMMYFUNCTION("""COMPUTED_VALUE"""),"ASS. APOIO DO COL. EST. DE CRISTALANDIA")</f>
        <v>ASS. APOIO DO COL. EST. DE CRISTALANDIA</v>
      </c>
      <c r="D312" s="136" t="str">
        <f ca="1">IFERROR(__xludf.DUMMYFUNCTION("""COMPUTED_VALUE"""),"01186467000130")</f>
        <v>01186467000130</v>
      </c>
      <c r="E312" s="6" t="str">
        <f ca="1">IFERROR(__xludf.DUMMYFUNCTION("""COMPUTED_VALUE"""),"001")</f>
        <v>001</v>
      </c>
      <c r="F312" s="7" t="str">
        <f ca="1">IFERROR(__xludf.DUMMYFUNCTION("""COMPUTED_VALUE"""),"3638")</f>
        <v>3638</v>
      </c>
      <c r="G312" s="7" t="str">
        <f ca="1">IFERROR(__xludf.DUMMYFUNCTION("""COMPUTED_VALUE"""),"17469")</f>
        <v>17469</v>
      </c>
      <c r="H312" s="7">
        <f ca="1">IFERROR(__xludf.DUMMYFUNCTION("""COMPUTED_VALUE"""),0)</f>
        <v>0</v>
      </c>
      <c r="I312" s="7">
        <f ca="1">IFERROR(__xludf.DUMMYFUNCTION("""COMPUTED_VALUE"""),0)</f>
        <v>0</v>
      </c>
      <c r="J312" s="7">
        <f ca="1">IFERROR(__xludf.DUMMYFUNCTION("""COMPUTED_VALUE"""),1990)</f>
        <v>1990</v>
      </c>
      <c r="K312" s="7">
        <f ca="1">IFERROR(__xludf.DUMMYFUNCTION("""COMPUTED_VALUE"""),0)</f>
        <v>0</v>
      </c>
      <c r="L312" s="7">
        <f ca="1">IFERROR(__xludf.DUMMYFUNCTION("""COMPUTED_VALUE"""),0)</f>
        <v>0</v>
      </c>
      <c r="M312" s="7">
        <f ca="1">IFERROR(__xludf.DUMMYFUNCTION("""COMPUTED_VALUE"""),0)</f>
        <v>0</v>
      </c>
      <c r="N312" s="7">
        <f ca="1">IFERROR(__xludf.DUMMYFUNCTION("""COMPUTED_VALUE"""),0)</f>
        <v>0</v>
      </c>
      <c r="O312" s="7">
        <f ca="1">IFERROR(__xludf.DUMMYFUNCTION("""COMPUTED_VALUE"""),0)</f>
        <v>0</v>
      </c>
      <c r="P312" s="7">
        <f ca="1">IFERROR(__xludf.DUMMYFUNCTION("""COMPUTED_VALUE"""),0)</f>
        <v>0</v>
      </c>
      <c r="Q312" s="7">
        <f ca="1">IFERROR(__xludf.DUMMYFUNCTION("""COMPUTED_VALUE"""),1820)</f>
        <v>1820</v>
      </c>
      <c r="R312" s="7">
        <f ca="1">IFERROR(__xludf.DUMMYFUNCTION("""COMPUTED_VALUE"""),0)</f>
        <v>0</v>
      </c>
      <c r="S312" s="7">
        <f ca="1">IFERROR(__xludf.DUMMYFUNCTION("""COMPUTED_VALUE"""),0)</f>
        <v>0</v>
      </c>
      <c r="T312" s="7">
        <f ca="1">IFERROR(__xludf.DUMMYFUNCTION("""COMPUTED_VALUE"""),0)</f>
        <v>0</v>
      </c>
      <c r="U312" s="61"/>
      <c r="V312" s="61"/>
      <c r="W312" s="61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IFERROR(__xludf.DUMMYFUNCTION("""COMPUTED_VALUE"""),"Cristalandia")</f>
        <v>Cristalandia</v>
      </c>
      <c r="C313" s="60" t="str">
        <f ca="1">IFERROR(__xludf.DUMMYFUNCTION("""COMPUTED_VALUE"""),"APAE DE CRISTALÂNDIA")</f>
        <v>APAE DE CRISTALÂNDIA</v>
      </c>
      <c r="D313" s="136" t="str">
        <f ca="1">IFERROR(__xludf.DUMMYFUNCTION("""COMPUTED_VALUE"""),"01995319000167")</f>
        <v>01995319000167</v>
      </c>
      <c r="E313" s="6" t="str">
        <f ca="1">IFERROR(__xludf.DUMMYFUNCTION("""COMPUTED_VALUE"""),"001")</f>
        <v>001</v>
      </c>
      <c r="F313" s="7" t="str">
        <f ca="1">IFERROR(__xludf.DUMMYFUNCTION("""COMPUTED_VALUE"""),"3638")</f>
        <v>3638</v>
      </c>
      <c r="G313" s="7" t="str">
        <f ca="1">IFERROR(__xludf.DUMMYFUNCTION("""COMPUTED_VALUE"""),"71315")</f>
        <v>71315</v>
      </c>
      <c r="H313" s="7">
        <f ca="1">IFERROR(__xludf.DUMMYFUNCTION("""COMPUTED_VALUE"""),0)</f>
        <v>0</v>
      </c>
      <c r="I313" s="7">
        <f ca="1">IFERROR(__xludf.DUMMYFUNCTION("""COMPUTED_VALUE"""),72)</f>
        <v>72</v>
      </c>
      <c r="J313" s="7">
        <f ca="1">IFERROR(__xludf.DUMMYFUNCTION("""COMPUTED_VALUE"""),30)</f>
        <v>30</v>
      </c>
      <c r="K313" s="7">
        <f ca="1">IFERROR(__xludf.DUMMYFUNCTION("""COMPUTED_VALUE"""),0)</f>
        <v>0</v>
      </c>
      <c r="L313" s="7">
        <f ca="1">IFERROR(__xludf.DUMMYFUNCTION("""COMPUTED_VALUE"""),0)</f>
        <v>0</v>
      </c>
      <c r="M313" s="7">
        <f ca="1">IFERROR(__xludf.DUMMYFUNCTION("""COMPUTED_VALUE"""),0)</f>
        <v>0</v>
      </c>
      <c r="N313" s="7">
        <f ca="1">IFERROR(__xludf.DUMMYFUNCTION("""COMPUTED_VALUE"""),0)</f>
        <v>0</v>
      </c>
      <c r="O313" s="7">
        <f ca="1">IFERROR(__xludf.DUMMYFUNCTION("""COMPUTED_VALUE"""),0)</f>
        <v>0</v>
      </c>
      <c r="P313" s="7">
        <f ca="1">IFERROR(__xludf.DUMMYFUNCTION("""COMPUTED_VALUE"""),258.4)</f>
        <v>258.39999999999998</v>
      </c>
      <c r="Q313" s="7">
        <f ca="1">IFERROR(__xludf.DUMMYFUNCTION("""COMPUTED_VALUE"""),0)</f>
        <v>0</v>
      </c>
      <c r="R313" s="7">
        <f ca="1">IFERROR(__xludf.DUMMYFUNCTION("""COMPUTED_VALUE"""),0)</f>
        <v>0</v>
      </c>
      <c r="S313" s="7">
        <f ca="1">IFERROR(__xludf.DUMMYFUNCTION("""COMPUTED_VALUE"""),0)</f>
        <v>0</v>
      </c>
      <c r="T313" s="7">
        <f ca="1">IFERROR(__xludf.DUMMYFUNCTION("""COMPUTED_VALUE"""),254.2)</f>
        <v>254.2</v>
      </c>
      <c r="U313" s="61"/>
      <c r="V313" s="61"/>
      <c r="W313" s="61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IFERROR(__xludf.DUMMYFUNCTION("""COMPUTED_VALUE"""),"Cristalandia")</f>
        <v>Cristalandia</v>
      </c>
      <c r="C314" s="60" t="str">
        <f ca="1">IFERROR(__xludf.DUMMYFUNCTION("""COMPUTED_VALUE"""),"A.A. ESCOLA MUL.OTACILIO MARQUES ROSAL")</f>
        <v>A.A. ESCOLA MUL.OTACILIO MARQUES ROSAL</v>
      </c>
      <c r="D314" s="136" t="str">
        <f ca="1">IFERROR(__xludf.DUMMYFUNCTION("""COMPUTED_VALUE"""),"01071438000123")</f>
        <v>01071438000123</v>
      </c>
      <c r="E314" s="6" t="str">
        <f ca="1">IFERROR(__xludf.DUMMYFUNCTION("""COMPUTED_VALUE"""),"001")</f>
        <v>001</v>
      </c>
      <c r="F314" s="7" t="str">
        <f ca="1">IFERROR(__xludf.DUMMYFUNCTION("""COMPUTED_VALUE"""),"3638")</f>
        <v>3638</v>
      </c>
      <c r="G314" s="7" t="str">
        <f ca="1">IFERROR(__xludf.DUMMYFUNCTION("""COMPUTED_VALUE"""),"7120X")</f>
        <v>7120X</v>
      </c>
      <c r="H314" s="7">
        <f ca="1">IFERROR(__xludf.DUMMYFUNCTION("""COMPUTED_VALUE"""),0)</f>
        <v>0</v>
      </c>
      <c r="I314" s="7">
        <f ca="1">IFERROR(__xludf.DUMMYFUNCTION("""COMPUTED_VALUE"""),0)</f>
        <v>0</v>
      </c>
      <c r="J314" s="7">
        <f ca="1">IFERROR(__xludf.DUMMYFUNCTION("""COMPUTED_VALUE"""),2760)</f>
        <v>2760</v>
      </c>
      <c r="K314" s="7">
        <f ca="1">IFERROR(__xludf.DUMMYFUNCTION("""COMPUTED_VALUE"""),0)</f>
        <v>0</v>
      </c>
      <c r="L314" s="7">
        <f ca="1">IFERROR(__xludf.DUMMYFUNCTION("""COMPUTED_VALUE"""),0)</f>
        <v>0</v>
      </c>
      <c r="M314" s="7">
        <f ca="1">IFERROR(__xludf.DUMMYFUNCTION("""COMPUTED_VALUE"""),0)</f>
        <v>0</v>
      </c>
      <c r="N314" s="7">
        <f ca="1">IFERROR(__xludf.DUMMYFUNCTION("""COMPUTED_VALUE"""),0)</f>
        <v>0</v>
      </c>
      <c r="O314" s="7">
        <f ca="1">IFERROR(__xludf.DUMMYFUNCTION("""COMPUTED_VALUE"""),0)</f>
        <v>0</v>
      </c>
      <c r="P314" s="7">
        <f ca="1">IFERROR(__xludf.DUMMYFUNCTION("""COMPUTED_VALUE"""),136)</f>
        <v>136</v>
      </c>
      <c r="Q314" s="7">
        <f ca="1">IFERROR(__xludf.DUMMYFUNCTION("""COMPUTED_VALUE"""),1490)</f>
        <v>1490</v>
      </c>
      <c r="R314" s="7">
        <f ca="1">IFERROR(__xludf.DUMMYFUNCTION("""COMPUTED_VALUE"""),0)</f>
        <v>0</v>
      </c>
      <c r="S314" s="7">
        <f ca="1">IFERROR(__xludf.DUMMYFUNCTION("""COMPUTED_VALUE"""),0)</f>
        <v>0</v>
      </c>
      <c r="T314" s="7">
        <f ca="1">IFERROR(__xludf.DUMMYFUNCTION("""COMPUTED_VALUE"""),0)</f>
        <v>0</v>
      </c>
      <c r="U314" s="61"/>
      <c r="V314" s="61"/>
      <c r="W314" s="61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IFERROR(__xludf.DUMMYFUNCTION("""COMPUTED_VALUE"""),"Divinopolis do Tocantins")</f>
        <v>Divinopolis do Tocantins</v>
      </c>
      <c r="C315" s="60" t="str">
        <f ca="1">IFERROR(__xludf.DUMMYFUNCTION("""COMPUTED_VALUE"""),"A.A. DO COLEGIO MUL. JOAO DIAS SOBRINHO")</f>
        <v>A.A. DO COLEGIO MUL. JOAO DIAS SOBRINHO</v>
      </c>
      <c r="D315" s="136" t="str">
        <f ca="1">IFERROR(__xludf.DUMMYFUNCTION("""COMPUTED_VALUE"""),"01184383000168")</f>
        <v>01184383000168</v>
      </c>
      <c r="E315" s="6" t="str">
        <f ca="1">IFERROR(__xludf.DUMMYFUNCTION("""COMPUTED_VALUE"""),"001")</f>
        <v>001</v>
      </c>
      <c r="F315" s="7" t="str">
        <f ca="1">IFERROR(__xludf.DUMMYFUNCTION("""COMPUTED_VALUE"""),"3812")</f>
        <v>3812</v>
      </c>
      <c r="G315" s="7" t="str">
        <f ca="1">IFERROR(__xludf.DUMMYFUNCTION("""COMPUTED_VALUE"""),"275069")</f>
        <v>275069</v>
      </c>
      <c r="H315" s="7">
        <f ca="1">IFERROR(__xludf.DUMMYFUNCTION("""COMPUTED_VALUE"""),0)</f>
        <v>0</v>
      </c>
      <c r="I315" s="7">
        <f ca="1">IFERROR(__xludf.DUMMYFUNCTION("""COMPUTED_VALUE"""),0)</f>
        <v>0</v>
      </c>
      <c r="J315" s="7">
        <f ca="1">IFERROR(__xludf.DUMMYFUNCTION("""COMPUTED_VALUE"""),2740)</f>
        <v>2740</v>
      </c>
      <c r="K315" s="7">
        <f ca="1">IFERROR(__xludf.DUMMYFUNCTION("""COMPUTED_VALUE"""),0)</f>
        <v>0</v>
      </c>
      <c r="L315" s="7">
        <f ca="1">IFERROR(__xludf.DUMMYFUNCTION("""COMPUTED_VALUE"""),0)</f>
        <v>0</v>
      </c>
      <c r="M315" s="7">
        <f ca="1">IFERROR(__xludf.DUMMYFUNCTION("""COMPUTED_VALUE"""),0)</f>
        <v>0</v>
      </c>
      <c r="N315" s="7">
        <f ca="1">IFERROR(__xludf.DUMMYFUNCTION("""COMPUTED_VALUE"""),0)</f>
        <v>0</v>
      </c>
      <c r="O315" s="7">
        <f ca="1">IFERROR(__xludf.DUMMYFUNCTION("""COMPUTED_VALUE"""),0)</f>
        <v>0</v>
      </c>
      <c r="P315" s="7">
        <f ca="1">IFERROR(__xludf.DUMMYFUNCTION("""COMPUTED_VALUE"""),0)</f>
        <v>0</v>
      </c>
      <c r="Q315" s="7">
        <f ca="1">IFERROR(__xludf.DUMMYFUNCTION("""COMPUTED_VALUE"""),2350)</f>
        <v>2350</v>
      </c>
      <c r="R315" s="7">
        <f ca="1">IFERROR(__xludf.DUMMYFUNCTION("""COMPUTED_VALUE"""),0)</f>
        <v>0</v>
      </c>
      <c r="S315" s="7">
        <f ca="1">IFERROR(__xludf.DUMMYFUNCTION("""COMPUTED_VALUE"""),0)</f>
        <v>0</v>
      </c>
      <c r="T315" s="7">
        <f ca="1">IFERROR(__xludf.DUMMYFUNCTION("""COMPUTED_VALUE"""),122.999999999999)</f>
        <v>122.99999999999901</v>
      </c>
      <c r="U315" s="61"/>
      <c r="V315" s="61"/>
      <c r="W315" s="61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IFERROR(__xludf.DUMMYFUNCTION("""COMPUTED_VALUE"""),"Divinopolis do Tocantins")</f>
        <v>Divinopolis do Tocantins</v>
      </c>
      <c r="C316" s="60" t="str">
        <f ca="1">IFERROR(__xludf.DUMMYFUNCTION("""COMPUTED_VALUE"""),"ASS. APOIO ESC. EST. D. CANDIDA DE FREITAS")</f>
        <v>ASS. APOIO ESC. EST. D. CANDIDA DE FREITAS</v>
      </c>
      <c r="D316" s="136" t="str">
        <f ca="1">IFERROR(__xludf.DUMMYFUNCTION("""COMPUTED_VALUE"""),"01296363000189")</f>
        <v>01296363000189</v>
      </c>
      <c r="E316" s="6" t="str">
        <f ca="1">IFERROR(__xludf.DUMMYFUNCTION("""COMPUTED_VALUE"""),"001")</f>
        <v>001</v>
      </c>
      <c r="F316" s="7" t="str">
        <f ca="1">IFERROR(__xludf.DUMMYFUNCTION("""COMPUTED_VALUE"""),"3812")</f>
        <v>3812</v>
      </c>
      <c r="G316" s="7" t="str">
        <f ca="1">IFERROR(__xludf.DUMMYFUNCTION("""COMPUTED_VALUE"""),"70629")</f>
        <v>70629</v>
      </c>
      <c r="H316" s="7">
        <f ca="1">IFERROR(__xludf.DUMMYFUNCTION("""COMPUTED_VALUE"""),0)</f>
        <v>0</v>
      </c>
      <c r="I316" s="7">
        <f ca="1">IFERROR(__xludf.DUMMYFUNCTION("""COMPUTED_VALUE"""),0)</f>
        <v>0</v>
      </c>
      <c r="J316" s="7">
        <f ca="1">IFERROR(__xludf.DUMMYFUNCTION("""COMPUTED_VALUE"""),2030)</f>
        <v>2030</v>
      </c>
      <c r="K316" s="7">
        <f ca="1">IFERROR(__xludf.DUMMYFUNCTION("""COMPUTED_VALUE"""),0)</f>
        <v>0</v>
      </c>
      <c r="L316" s="7">
        <f ca="1">IFERROR(__xludf.DUMMYFUNCTION("""COMPUTED_VALUE"""),0)</f>
        <v>0</v>
      </c>
      <c r="M316" s="7">
        <f ca="1">IFERROR(__xludf.DUMMYFUNCTION("""COMPUTED_VALUE"""),0)</f>
        <v>0</v>
      </c>
      <c r="N316" s="7">
        <f ca="1">IFERROR(__xludf.DUMMYFUNCTION("""COMPUTED_VALUE"""),0)</f>
        <v>0</v>
      </c>
      <c r="O316" s="7">
        <f ca="1">IFERROR(__xludf.DUMMYFUNCTION("""COMPUTED_VALUE"""),0)</f>
        <v>0</v>
      </c>
      <c r="P316" s="7">
        <f ca="1">IFERROR(__xludf.DUMMYFUNCTION("""COMPUTED_VALUE"""),0)</f>
        <v>0</v>
      </c>
      <c r="Q316" s="7">
        <f ca="1">IFERROR(__xludf.DUMMYFUNCTION("""COMPUTED_VALUE"""),0)</f>
        <v>0</v>
      </c>
      <c r="R316" s="7">
        <f ca="1">IFERROR(__xludf.DUMMYFUNCTION("""COMPUTED_VALUE"""),0)</f>
        <v>0</v>
      </c>
      <c r="S316" s="7">
        <f ca="1">IFERROR(__xludf.DUMMYFUNCTION("""COMPUTED_VALUE"""),0)</f>
        <v>0</v>
      </c>
      <c r="T316" s="7">
        <f ca="1">IFERROR(__xludf.DUMMYFUNCTION("""COMPUTED_VALUE"""),106.6)</f>
        <v>106.6</v>
      </c>
      <c r="U316" s="61"/>
      <c r="V316" s="61"/>
      <c r="W316" s="61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IFERROR(__xludf.DUMMYFUNCTION("""COMPUTED_VALUE"""),"Lagoa da Confusao")</f>
        <v>Lagoa da Confusao</v>
      </c>
      <c r="C317" s="60" t="str">
        <f ca="1">IFERROR(__xludf.DUMMYFUNCTION("""COMPUTED_VALUE"""),"A.A.  ESTUD COL. EST. LAGOA DA CONFUSAO")</f>
        <v>A.A.  ESTUD COL. EST. LAGOA DA CONFUSAO</v>
      </c>
      <c r="D317" s="136" t="str">
        <f ca="1">IFERROR(__xludf.DUMMYFUNCTION("""COMPUTED_VALUE"""),"01179116000100")</f>
        <v>01179116000100</v>
      </c>
      <c r="E317" s="6" t="str">
        <f ca="1">IFERROR(__xludf.DUMMYFUNCTION("""COMPUTED_VALUE"""),"001")</f>
        <v>001</v>
      </c>
      <c r="F317" s="7" t="str">
        <f ca="1">IFERROR(__xludf.DUMMYFUNCTION("""COMPUTED_VALUE"""),"3983")</f>
        <v>3983</v>
      </c>
      <c r="G317" s="7" t="str">
        <f ca="1">IFERROR(__xludf.DUMMYFUNCTION("""COMPUTED_VALUE"""),"84735")</f>
        <v>84735</v>
      </c>
      <c r="H317" s="7">
        <f ca="1">IFERROR(__xludf.DUMMYFUNCTION("""COMPUTED_VALUE"""),0)</f>
        <v>0</v>
      </c>
      <c r="I317" s="7">
        <f ca="1">IFERROR(__xludf.DUMMYFUNCTION("""COMPUTED_VALUE"""),0)</f>
        <v>0</v>
      </c>
      <c r="J317" s="7">
        <f ca="1">IFERROR(__xludf.DUMMYFUNCTION("""COMPUTED_VALUE"""),860)</f>
        <v>860</v>
      </c>
      <c r="K317" s="7">
        <f ca="1">IFERROR(__xludf.DUMMYFUNCTION("""COMPUTED_VALUE"""),0)</f>
        <v>0</v>
      </c>
      <c r="L317" s="7">
        <f ca="1">IFERROR(__xludf.DUMMYFUNCTION("""COMPUTED_VALUE"""),0)</f>
        <v>0</v>
      </c>
      <c r="M317" s="7">
        <f ca="1">IFERROR(__xludf.DUMMYFUNCTION("""COMPUTED_VALUE"""),0)</f>
        <v>0</v>
      </c>
      <c r="N317" s="7">
        <f ca="1">IFERROR(__xludf.DUMMYFUNCTION("""COMPUTED_VALUE"""),0)</f>
        <v>0</v>
      </c>
      <c r="O317" s="7">
        <f ca="1">IFERROR(__xludf.DUMMYFUNCTION("""COMPUTED_VALUE"""),0)</f>
        <v>0</v>
      </c>
      <c r="P317" s="7">
        <f ca="1">IFERROR(__xludf.DUMMYFUNCTION("""COMPUTED_VALUE"""),68)</f>
        <v>68</v>
      </c>
      <c r="Q317" s="7">
        <f ca="1">IFERROR(__xludf.DUMMYFUNCTION("""COMPUTED_VALUE"""),4940)</f>
        <v>4940</v>
      </c>
      <c r="R317" s="7">
        <f ca="1">IFERROR(__xludf.DUMMYFUNCTION("""COMPUTED_VALUE"""),0)</f>
        <v>0</v>
      </c>
      <c r="S317" s="7">
        <f ca="1">IFERROR(__xludf.DUMMYFUNCTION("""COMPUTED_VALUE"""),0)</f>
        <v>0</v>
      </c>
      <c r="T317" s="7">
        <f ca="1">IFERROR(__xludf.DUMMYFUNCTION("""COMPUTED_VALUE"""),65.6)</f>
        <v>65.599999999999994</v>
      </c>
      <c r="U317" s="61"/>
      <c r="V317" s="61"/>
      <c r="W317" s="61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IFERROR(__xludf.DUMMYFUNCTION("""COMPUTED_VALUE"""),"Lagoa da Confusao")</f>
        <v>Lagoa da Confusao</v>
      </c>
      <c r="C318" s="60" t="str">
        <f ca="1">IFERROR(__xludf.DUMMYFUNCTION("""COMPUTED_VALUE"""),"ASSOCIAÇÃO DA ESCOLA ESPECIAL LAGOA DA CONFUSÃO")</f>
        <v>ASSOCIAÇÃO DA ESCOLA ESPECIAL LAGOA DA CONFUSÃO</v>
      </c>
      <c r="D318" s="136" t="str">
        <f ca="1">IFERROR(__xludf.DUMMYFUNCTION("""COMPUTED_VALUE"""),"08755554000100")</f>
        <v>08755554000100</v>
      </c>
      <c r="E318" s="6" t="str">
        <f ca="1">IFERROR(__xludf.DUMMYFUNCTION("""COMPUTED_VALUE"""),"001")</f>
        <v>001</v>
      </c>
      <c r="F318" s="7" t="str">
        <f ca="1">IFERROR(__xludf.DUMMYFUNCTION("""COMPUTED_VALUE"""),"3983")</f>
        <v>3983</v>
      </c>
      <c r="G318" s="7" t="str">
        <f ca="1">IFERROR(__xludf.DUMMYFUNCTION("""COMPUTED_VALUE"""),"83712")</f>
        <v>83712</v>
      </c>
      <c r="H318" s="7">
        <f ca="1">IFERROR(__xludf.DUMMYFUNCTION("""COMPUTED_VALUE"""),0)</f>
        <v>0</v>
      </c>
      <c r="I318" s="7">
        <f ca="1">IFERROR(__xludf.DUMMYFUNCTION("""COMPUTED_VALUE"""),115.2)</f>
        <v>115.2</v>
      </c>
      <c r="J318" s="7">
        <f ca="1">IFERROR(__xludf.DUMMYFUNCTION("""COMPUTED_VALUE"""),100)</f>
        <v>100</v>
      </c>
      <c r="K318" s="7">
        <f ca="1">IFERROR(__xludf.DUMMYFUNCTION("""COMPUTED_VALUE"""),0)</f>
        <v>0</v>
      </c>
      <c r="L318" s="7">
        <f ca="1">IFERROR(__xludf.DUMMYFUNCTION("""COMPUTED_VALUE"""),0)</f>
        <v>0</v>
      </c>
      <c r="M318" s="7">
        <f ca="1">IFERROR(__xludf.DUMMYFUNCTION("""COMPUTED_VALUE"""),0)</f>
        <v>0</v>
      </c>
      <c r="N318" s="7">
        <f ca="1">IFERROR(__xludf.DUMMYFUNCTION("""COMPUTED_VALUE"""),0)</f>
        <v>0</v>
      </c>
      <c r="O318" s="7">
        <f ca="1">IFERROR(__xludf.DUMMYFUNCTION("""COMPUTED_VALUE"""),0)</f>
        <v>0</v>
      </c>
      <c r="P318" s="7">
        <f ca="1">IFERROR(__xludf.DUMMYFUNCTION("""COMPUTED_VALUE"""),244.799999999999)</f>
        <v>244.79999999999899</v>
      </c>
      <c r="Q318" s="7">
        <f ca="1">IFERROR(__xludf.DUMMYFUNCTION("""COMPUTED_VALUE"""),0)</f>
        <v>0</v>
      </c>
      <c r="R318" s="7">
        <f ca="1">IFERROR(__xludf.DUMMYFUNCTION("""COMPUTED_VALUE"""),0)</f>
        <v>0</v>
      </c>
      <c r="S318" s="7">
        <f ca="1">IFERROR(__xludf.DUMMYFUNCTION("""COMPUTED_VALUE"""),0)</f>
        <v>0</v>
      </c>
      <c r="T318" s="7">
        <f ca="1">IFERROR(__xludf.DUMMYFUNCTION("""COMPUTED_VALUE"""),122.999999999999)</f>
        <v>122.99999999999901</v>
      </c>
      <c r="U318" s="61"/>
      <c r="V318" s="61"/>
      <c r="W318" s="61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IFERROR(__xludf.DUMMYFUNCTION("""COMPUTED_VALUE"""),"Marianopolis do Tocantins")</f>
        <v>Marianopolis do Tocantins</v>
      </c>
      <c r="C319" s="60" t="str">
        <f ca="1">IFERROR(__xludf.DUMMYFUNCTION("""COMPUTED_VALUE"""),"A.A. DO COL. EST. DAVID BARBOSA ROLINS")</f>
        <v>A.A. DO COL. EST. DAVID BARBOSA ROLINS</v>
      </c>
      <c r="D319" s="136" t="str">
        <f ca="1">IFERROR(__xludf.DUMMYFUNCTION("""COMPUTED_VALUE"""),"01980050000145")</f>
        <v>01980050000145</v>
      </c>
      <c r="E319" s="6" t="str">
        <f ca="1">IFERROR(__xludf.DUMMYFUNCTION("""COMPUTED_VALUE"""),"001")</f>
        <v>001</v>
      </c>
      <c r="F319" s="7" t="str">
        <f ca="1">IFERROR(__xludf.DUMMYFUNCTION("""COMPUTED_VALUE"""),"0804")</f>
        <v>0804</v>
      </c>
      <c r="G319" s="7" t="str">
        <f ca="1">IFERROR(__xludf.DUMMYFUNCTION("""COMPUTED_VALUE"""),"219045")</f>
        <v>219045</v>
      </c>
      <c r="H319" s="7">
        <f ca="1">IFERROR(__xludf.DUMMYFUNCTION("""COMPUTED_VALUE"""),0)</f>
        <v>0</v>
      </c>
      <c r="I319" s="7">
        <f ca="1">IFERROR(__xludf.DUMMYFUNCTION("""COMPUTED_VALUE"""),0)</f>
        <v>0</v>
      </c>
      <c r="J319" s="7">
        <f ca="1">IFERROR(__xludf.DUMMYFUNCTION("""COMPUTED_VALUE"""),1120)</f>
        <v>1120</v>
      </c>
      <c r="K319" s="7">
        <f ca="1">IFERROR(__xludf.DUMMYFUNCTION("""COMPUTED_VALUE"""),0)</f>
        <v>0</v>
      </c>
      <c r="L319" s="7">
        <f ca="1">IFERROR(__xludf.DUMMYFUNCTION("""COMPUTED_VALUE"""),0)</f>
        <v>0</v>
      </c>
      <c r="M319" s="7">
        <f ca="1">IFERROR(__xludf.DUMMYFUNCTION("""COMPUTED_VALUE"""),0)</f>
        <v>0</v>
      </c>
      <c r="N319" s="7">
        <f ca="1">IFERROR(__xludf.DUMMYFUNCTION("""COMPUTED_VALUE"""),0)</f>
        <v>0</v>
      </c>
      <c r="O319" s="7">
        <f ca="1">IFERROR(__xludf.DUMMYFUNCTION("""COMPUTED_VALUE"""),0)</f>
        <v>0</v>
      </c>
      <c r="P319" s="7">
        <f ca="1">IFERROR(__xludf.DUMMYFUNCTION("""COMPUTED_VALUE"""),0)</f>
        <v>0</v>
      </c>
      <c r="Q319" s="7">
        <f ca="1">IFERROR(__xludf.DUMMYFUNCTION("""COMPUTED_VALUE"""),1910)</f>
        <v>1910</v>
      </c>
      <c r="R319" s="7">
        <f ca="1">IFERROR(__xludf.DUMMYFUNCTION("""COMPUTED_VALUE"""),0)</f>
        <v>0</v>
      </c>
      <c r="S319" s="7">
        <f ca="1">IFERROR(__xludf.DUMMYFUNCTION("""COMPUTED_VALUE"""),0)</f>
        <v>0</v>
      </c>
      <c r="T319" s="7">
        <f ca="1">IFERROR(__xludf.DUMMYFUNCTION("""COMPUTED_VALUE"""),0)</f>
        <v>0</v>
      </c>
      <c r="U319" s="61"/>
      <c r="V319" s="61"/>
      <c r="W319" s="61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IFERROR(__xludf.DUMMYFUNCTION("""COMPUTED_VALUE"""),"Nova Rosalandia")</f>
        <v>Nova Rosalandia</v>
      </c>
      <c r="C320" s="60" t="str">
        <f ca="1">IFERROR(__xludf.DUMMYFUNCTION("""COMPUTED_VALUE"""),"A. ESC. COM. ESC. EST.PEDRO XAVIER TEIXEIRA")</f>
        <v>A. ESC. COM. ESC. EST.PEDRO XAVIER TEIXEIRA</v>
      </c>
      <c r="D320" s="136" t="str">
        <f ca="1">IFERROR(__xludf.DUMMYFUNCTION("""COMPUTED_VALUE"""),"01068367000100")</f>
        <v>01068367000100</v>
      </c>
      <c r="E320" s="6" t="str">
        <f ca="1">IFERROR(__xludf.DUMMYFUNCTION("""COMPUTED_VALUE"""),"001")</f>
        <v>001</v>
      </c>
      <c r="F320" s="7" t="str">
        <f ca="1">IFERROR(__xludf.DUMMYFUNCTION("""COMPUTED_VALUE"""),"0804")</f>
        <v>0804</v>
      </c>
      <c r="G320" s="7" t="str">
        <f ca="1">IFERROR(__xludf.DUMMYFUNCTION("""COMPUTED_VALUE"""),"234265")</f>
        <v>234265</v>
      </c>
      <c r="H320" s="7">
        <f ca="1">IFERROR(__xludf.DUMMYFUNCTION("""COMPUTED_VALUE"""),0)</f>
        <v>0</v>
      </c>
      <c r="I320" s="7">
        <f ca="1">IFERROR(__xludf.DUMMYFUNCTION("""COMPUTED_VALUE"""),0)</f>
        <v>0</v>
      </c>
      <c r="J320" s="7">
        <f ca="1">IFERROR(__xludf.DUMMYFUNCTION("""COMPUTED_VALUE"""),820)</f>
        <v>820</v>
      </c>
      <c r="K320" s="7">
        <f ca="1">IFERROR(__xludf.DUMMYFUNCTION("""COMPUTED_VALUE"""),0)</f>
        <v>0</v>
      </c>
      <c r="L320" s="7">
        <f ca="1">IFERROR(__xludf.DUMMYFUNCTION("""COMPUTED_VALUE"""),0)</f>
        <v>0</v>
      </c>
      <c r="M320" s="7">
        <f ca="1">IFERROR(__xludf.DUMMYFUNCTION("""COMPUTED_VALUE"""),0)</f>
        <v>0</v>
      </c>
      <c r="N320" s="7">
        <f ca="1">IFERROR(__xludf.DUMMYFUNCTION("""COMPUTED_VALUE"""),0)</f>
        <v>0</v>
      </c>
      <c r="O320" s="7">
        <f ca="1">IFERROR(__xludf.DUMMYFUNCTION("""COMPUTED_VALUE"""),0)</f>
        <v>0</v>
      </c>
      <c r="P320" s="7">
        <f ca="1">IFERROR(__xludf.DUMMYFUNCTION("""COMPUTED_VALUE"""),0)</f>
        <v>0</v>
      </c>
      <c r="Q320" s="7">
        <f ca="1">IFERROR(__xludf.DUMMYFUNCTION("""COMPUTED_VALUE"""),940)</f>
        <v>940</v>
      </c>
      <c r="R320" s="7">
        <f ca="1">IFERROR(__xludf.DUMMYFUNCTION("""COMPUTED_VALUE"""),0)</f>
        <v>0</v>
      </c>
      <c r="S320" s="7">
        <f ca="1">IFERROR(__xludf.DUMMYFUNCTION("""COMPUTED_VALUE"""),0)</f>
        <v>0</v>
      </c>
      <c r="T320" s="7">
        <f ca="1">IFERROR(__xludf.DUMMYFUNCTION("""COMPUTED_VALUE"""),106.6)</f>
        <v>106.6</v>
      </c>
      <c r="U320" s="61"/>
      <c r="V320" s="61"/>
      <c r="W320" s="61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IFERROR(__xludf.DUMMYFUNCTION("""COMPUTED_VALUE"""),"Nova Rosalandia")</f>
        <v>Nova Rosalandia</v>
      </c>
      <c r="C321" s="60" t="str">
        <f ca="1">IFERROR(__xludf.DUMMYFUNCTION("""COMPUTED_VALUE"""),"A.A. A ESCOLA ESTADUAL CAMPO MAIOR")</f>
        <v>A.A. A ESCOLA ESTADUAL CAMPO MAIOR</v>
      </c>
      <c r="D321" s="136" t="str">
        <f ca="1">IFERROR(__xludf.DUMMYFUNCTION("""COMPUTED_VALUE"""),"01068373000167")</f>
        <v>01068373000167</v>
      </c>
      <c r="E321" s="6" t="str">
        <f ca="1">IFERROR(__xludf.DUMMYFUNCTION("""COMPUTED_VALUE"""),"001")</f>
        <v>001</v>
      </c>
      <c r="F321" s="7" t="str">
        <f ca="1">IFERROR(__xludf.DUMMYFUNCTION("""COMPUTED_VALUE"""),"0804")</f>
        <v>0804</v>
      </c>
      <c r="G321" s="7" t="str">
        <f ca="1">IFERROR(__xludf.DUMMYFUNCTION("""COMPUTED_VALUE"""),"341290")</f>
        <v>341290</v>
      </c>
      <c r="H321" s="7">
        <f ca="1">IFERROR(__xludf.DUMMYFUNCTION("""COMPUTED_VALUE"""),0)</f>
        <v>0</v>
      </c>
      <c r="I321" s="7">
        <f ca="1">IFERROR(__xludf.DUMMYFUNCTION("""COMPUTED_VALUE"""),0)</f>
        <v>0</v>
      </c>
      <c r="J321" s="7">
        <f ca="1">IFERROR(__xludf.DUMMYFUNCTION("""COMPUTED_VALUE"""),340)</f>
        <v>340</v>
      </c>
      <c r="K321" s="7">
        <f ca="1">IFERROR(__xludf.DUMMYFUNCTION("""COMPUTED_VALUE"""),0)</f>
        <v>0</v>
      </c>
      <c r="L321" s="7">
        <f ca="1">IFERROR(__xludf.DUMMYFUNCTION("""COMPUTED_VALUE"""),0)</f>
        <v>0</v>
      </c>
      <c r="M321" s="7">
        <f ca="1">IFERROR(__xludf.DUMMYFUNCTION("""COMPUTED_VALUE"""),0)</f>
        <v>0</v>
      </c>
      <c r="N321" s="7">
        <f ca="1">IFERROR(__xludf.DUMMYFUNCTION("""COMPUTED_VALUE"""),0)</f>
        <v>0</v>
      </c>
      <c r="O321" s="7">
        <f ca="1">IFERROR(__xludf.DUMMYFUNCTION("""COMPUTED_VALUE"""),0)</f>
        <v>0</v>
      </c>
      <c r="P321" s="7">
        <f ca="1">IFERROR(__xludf.DUMMYFUNCTION("""COMPUTED_VALUE"""),0)</f>
        <v>0</v>
      </c>
      <c r="Q321" s="7">
        <f ca="1">IFERROR(__xludf.DUMMYFUNCTION("""COMPUTED_VALUE"""),0)</f>
        <v>0</v>
      </c>
      <c r="R321" s="7">
        <f ca="1">IFERROR(__xludf.DUMMYFUNCTION("""COMPUTED_VALUE"""),0)</f>
        <v>0</v>
      </c>
      <c r="S321" s="7">
        <f ca="1">IFERROR(__xludf.DUMMYFUNCTION("""COMPUTED_VALUE"""),0)</f>
        <v>0</v>
      </c>
      <c r="T321" s="7">
        <f ca="1">IFERROR(__xludf.DUMMYFUNCTION("""COMPUTED_VALUE"""),0)</f>
        <v>0</v>
      </c>
      <c r="U321" s="61"/>
      <c r="V321" s="61"/>
      <c r="W321" s="61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IFERROR(__xludf.DUMMYFUNCTION("""COMPUTED_VALUE"""),"Nova Rosalandia")</f>
        <v>Nova Rosalandia</v>
      </c>
      <c r="C322" s="60" t="str">
        <f ca="1">IFERROR(__xludf.DUMMYFUNCTION("""COMPUTED_VALUE"""),"ASSOC.COM. ESC EST.REGINA SIQUEIRA CAMPOS")</f>
        <v>ASSOC.COM. ESC EST.REGINA SIQUEIRA CAMPOS</v>
      </c>
      <c r="D322" s="136" t="str">
        <f ca="1">IFERROR(__xludf.DUMMYFUNCTION("""COMPUTED_VALUE"""),"01181170000182")</f>
        <v>01181170000182</v>
      </c>
      <c r="E322" s="6" t="str">
        <f ca="1">IFERROR(__xludf.DUMMYFUNCTION("""COMPUTED_VALUE"""),"001")</f>
        <v>001</v>
      </c>
      <c r="F322" s="7" t="str">
        <f ca="1">IFERROR(__xludf.DUMMYFUNCTION("""COMPUTED_VALUE"""),"0804")</f>
        <v>0804</v>
      </c>
      <c r="G322" s="7" t="str">
        <f ca="1">IFERROR(__xludf.DUMMYFUNCTION("""COMPUTED_VALUE"""),"16383X")</f>
        <v>16383X</v>
      </c>
      <c r="H322" s="7">
        <f ca="1">IFERROR(__xludf.DUMMYFUNCTION("""COMPUTED_VALUE"""),0)</f>
        <v>0</v>
      </c>
      <c r="I322" s="7">
        <f ca="1">IFERROR(__xludf.DUMMYFUNCTION("""COMPUTED_VALUE"""),0)</f>
        <v>0</v>
      </c>
      <c r="J322" s="7">
        <f ca="1">IFERROR(__xludf.DUMMYFUNCTION("""COMPUTED_VALUE"""),0)</f>
        <v>0</v>
      </c>
      <c r="K322" s="7">
        <f ca="1">IFERROR(__xludf.DUMMYFUNCTION("""COMPUTED_VALUE"""),3781.2)</f>
        <v>3781.2</v>
      </c>
      <c r="L322" s="7">
        <f ca="1">IFERROR(__xludf.DUMMYFUNCTION("""COMPUTED_VALUE"""),0)</f>
        <v>0</v>
      </c>
      <c r="M322" s="7">
        <f ca="1">IFERROR(__xludf.DUMMYFUNCTION("""COMPUTED_VALUE"""),0)</f>
        <v>0</v>
      </c>
      <c r="N322" s="7">
        <f ca="1">IFERROR(__xludf.DUMMYFUNCTION("""COMPUTED_VALUE"""),0)</f>
        <v>0</v>
      </c>
      <c r="O322" s="7">
        <f ca="1">IFERROR(__xludf.DUMMYFUNCTION("""COMPUTED_VALUE"""),0)</f>
        <v>0</v>
      </c>
      <c r="P322" s="7">
        <f ca="1">IFERROR(__xludf.DUMMYFUNCTION("""COMPUTED_VALUE"""),0)</f>
        <v>0</v>
      </c>
      <c r="Q322" s="7">
        <f ca="1">IFERROR(__xludf.DUMMYFUNCTION("""COMPUTED_VALUE"""),0)</f>
        <v>0</v>
      </c>
      <c r="R322" s="7">
        <f ca="1">IFERROR(__xludf.DUMMYFUNCTION("""COMPUTED_VALUE"""),575.4)</f>
        <v>575.4</v>
      </c>
      <c r="S322" s="7">
        <f ca="1">IFERROR(__xludf.DUMMYFUNCTION("""COMPUTED_VALUE"""),0)</f>
        <v>0</v>
      </c>
      <c r="T322" s="7">
        <f ca="1">IFERROR(__xludf.DUMMYFUNCTION("""COMPUTED_VALUE"""),0)</f>
        <v>0</v>
      </c>
      <c r="U322" s="61"/>
      <c r="V322" s="61"/>
      <c r="W322" s="61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0" t="str">
        <f ca="1">IFERROR(__xludf.DUMMYFUNCTION("""COMPUTED_VALUE"""),"A.A. ESC. EST.ISOL.INDIG REG PARAISO DO TO")</f>
        <v>A.A. ESC. EST.ISOL.INDIG REG PARAISO DO TO</v>
      </c>
      <c r="D323" s="136" t="str">
        <f ca="1">IFERROR(__xludf.DUMMYFUNCTION("""COMPUTED_VALUE"""),"05099542000187")</f>
        <v>05099542000187</v>
      </c>
      <c r="E323" s="6" t="str">
        <f ca="1">IFERROR(__xludf.DUMMYFUNCTION("""COMPUTED_VALUE"""),"001")</f>
        <v>001</v>
      </c>
      <c r="F323" s="7" t="str">
        <f ca="1">IFERROR(__xludf.DUMMYFUNCTION("""COMPUTED_VALUE"""),"0804")</f>
        <v>0804</v>
      </c>
      <c r="G323" s="7" t="str">
        <f ca="1">IFERROR(__xludf.DUMMYFUNCTION("""COMPUTED_VALUE"""),"111678")</f>
        <v>111678</v>
      </c>
      <c r="H323" s="7">
        <f ca="1">IFERROR(__xludf.DUMMYFUNCTION("""COMPUTED_VALUE"""),0)</f>
        <v>0</v>
      </c>
      <c r="I323" s="7">
        <f ca="1">IFERROR(__xludf.DUMMYFUNCTION("""COMPUTED_VALUE"""),0)</f>
        <v>0</v>
      </c>
      <c r="J323" s="7">
        <f ca="1">IFERROR(__xludf.DUMMYFUNCTION("""COMPUTED_VALUE"""),0)</f>
        <v>0</v>
      </c>
      <c r="K323" s="7">
        <f ca="1">IFERROR(__xludf.DUMMYFUNCTION("""COMPUTED_VALUE"""),0)</f>
        <v>0</v>
      </c>
      <c r="L323" s="7">
        <f ca="1">IFERROR(__xludf.DUMMYFUNCTION("""COMPUTED_VALUE"""),0)</f>
        <v>0</v>
      </c>
      <c r="M323" s="7">
        <f ca="1">IFERROR(__xludf.DUMMYFUNCTION("""COMPUTED_VALUE"""),0)</f>
        <v>0</v>
      </c>
      <c r="N323" s="7">
        <f ca="1">IFERROR(__xludf.DUMMYFUNCTION("""COMPUTED_VALUE"""),0)</f>
        <v>0</v>
      </c>
      <c r="O323" s="7">
        <f ca="1">IFERROR(__xludf.DUMMYFUNCTION("""COMPUTED_VALUE"""),17767.6)</f>
        <v>17767.599999999999</v>
      </c>
      <c r="P323" s="7">
        <f ca="1">IFERROR(__xludf.DUMMYFUNCTION("""COMPUTED_VALUE"""),0)</f>
        <v>0</v>
      </c>
      <c r="Q323" s="7">
        <f ca="1">IFERROR(__xludf.DUMMYFUNCTION("""COMPUTED_VALUE"""),0)</f>
        <v>0</v>
      </c>
      <c r="R323" s="7">
        <f ca="1">IFERROR(__xludf.DUMMYFUNCTION("""COMPUTED_VALUE"""),0)</f>
        <v>0</v>
      </c>
      <c r="S323" s="7">
        <f ca="1">IFERROR(__xludf.DUMMYFUNCTION("""COMPUTED_VALUE"""),0)</f>
        <v>0</v>
      </c>
      <c r="T323" s="7">
        <f ca="1">IFERROR(__xludf.DUMMYFUNCTION("""COMPUTED_VALUE"""),0)</f>
        <v>0</v>
      </c>
      <c r="U323" s="61"/>
      <c r="V323" s="61"/>
      <c r="W323" s="61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0" t="str">
        <f ca="1">IFERROR(__xludf.DUMMYFUNCTION("""COMPUTED_VALUE"""),"A.A. COLÉGIO MILITAR DIACONÍZIO BEZERRA DA SILVA")</f>
        <v>A.A. COLÉGIO MILITAR DIACONÍZIO BEZERRA DA SILVA</v>
      </c>
      <c r="D324" s="136" t="str">
        <f ca="1">IFERROR(__xludf.DUMMYFUNCTION("""COMPUTED_VALUE"""),"11675300000197")</f>
        <v>11675300000197</v>
      </c>
      <c r="E324" s="6" t="str">
        <f ca="1">IFERROR(__xludf.DUMMYFUNCTION("""COMPUTED_VALUE"""),"001")</f>
        <v>001</v>
      </c>
      <c r="F324" s="7" t="str">
        <f ca="1">IFERROR(__xludf.DUMMYFUNCTION("""COMPUTED_VALUE"""),"0804")</f>
        <v>0804</v>
      </c>
      <c r="G324" s="7" t="str">
        <f ca="1">IFERROR(__xludf.DUMMYFUNCTION("""COMPUTED_VALUE"""),"320781")</f>
        <v>320781</v>
      </c>
      <c r="H324" s="7">
        <f ca="1">IFERROR(__xludf.DUMMYFUNCTION("""COMPUTED_VALUE"""),0)</f>
        <v>0</v>
      </c>
      <c r="I324" s="7">
        <f ca="1">IFERROR(__xludf.DUMMYFUNCTION("""COMPUTED_VALUE"""),0)</f>
        <v>0</v>
      </c>
      <c r="J324" s="7">
        <f ca="1">IFERROR(__xludf.DUMMYFUNCTION("""COMPUTED_VALUE"""),5960)</f>
        <v>5960</v>
      </c>
      <c r="K324" s="7">
        <f ca="1">IFERROR(__xludf.DUMMYFUNCTION("""COMPUTED_VALUE"""),0)</f>
        <v>0</v>
      </c>
      <c r="L324" s="7">
        <f ca="1">IFERROR(__xludf.DUMMYFUNCTION("""COMPUTED_VALUE"""),0)</f>
        <v>0</v>
      </c>
      <c r="M324" s="7">
        <f ca="1">IFERROR(__xludf.DUMMYFUNCTION("""COMPUTED_VALUE"""),0)</f>
        <v>0</v>
      </c>
      <c r="N324" s="7">
        <f ca="1">IFERROR(__xludf.DUMMYFUNCTION("""COMPUTED_VALUE"""),0)</f>
        <v>0</v>
      </c>
      <c r="O324" s="7">
        <f ca="1">IFERROR(__xludf.DUMMYFUNCTION("""COMPUTED_VALUE"""),0)</f>
        <v>0</v>
      </c>
      <c r="P324" s="7">
        <f ca="1">IFERROR(__xludf.DUMMYFUNCTION("""COMPUTED_VALUE"""),0)</f>
        <v>0</v>
      </c>
      <c r="Q324" s="7">
        <f ca="1">IFERROR(__xludf.DUMMYFUNCTION("""COMPUTED_VALUE"""),3080)</f>
        <v>3080</v>
      </c>
      <c r="R324" s="7">
        <f ca="1">IFERROR(__xludf.DUMMYFUNCTION("""COMPUTED_VALUE"""),0)</f>
        <v>0</v>
      </c>
      <c r="S324" s="7">
        <f ca="1">IFERROR(__xludf.DUMMYFUNCTION("""COMPUTED_VALUE"""),0)</f>
        <v>0</v>
      </c>
      <c r="T324" s="7">
        <f ca="1">IFERROR(__xludf.DUMMYFUNCTION("""COMPUTED_VALUE"""),0)</f>
        <v>0</v>
      </c>
      <c r="U324" s="61"/>
      <c r="V324" s="61"/>
      <c r="W324" s="61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0" t="str">
        <f ca="1">IFERROR(__xludf.DUMMYFUNCTION("""COMPUTED_VALUE"""),"ASSOC. APOIO AO CEM JOSE ALVES DE ASSIS")</f>
        <v>ASSOC. APOIO AO CEM JOSE ALVES DE ASSIS</v>
      </c>
      <c r="D325" s="136" t="str">
        <f ca="1">IFERROR(__xludf.DUMMYFUNCTION("""COMPUTED_VALUE"""),"01181169000158")</f>
        <v>01181169000158</v>
      </c>
      <c r="E325" s="6" t="str">
        <f ca="1">IFERROR(__xludf.DUMMYFUNCTION("""COMPUTED_VALUE"""),"001")</f>
        <v>001</v>
      </c>
      <c r="F325" s="7" t="str">
        <f ca="1">IFERROR(__xludf.DUMMYFUNCTION("""COMPUTED_VALUE"""),"0804")</f>
        <v>0804</v>
      </c>
      <c r="G325" s="7" t="str">
        <f ca="1">IFERROR(__xludf.DUMMYFUNCTION("""COMPUTED_VALUE"""),"286257")</f>
        <v>286257</v>
      </c>
      <c r="H325" s="7">
        <f ca="1">IFERROR(__xludf.DUMMYFUNCTION("""COMPUTED_VALUE"""),0)</f>
        <v>0</v>
      </c>
      <c r="I325" s="7">
        <f ca="1">IFERROR(__xludf.DUMMYFUNCTION("""COMPUTED_VALUE"""),0)</f>
        <v>0</v>
      </c>
      <c r="J325" s="7">
        <f ca="1">IFERROR(__xludf.DUMMYFUNCTION("""COMPUTED_VALUE"""),0)</f>
        <v>0</v>
      </c>
      <c r="K325" s="7">
        <f ca="1">IFERROR(__xludf.DUMMYFUNCTION("""COMPUTED_VALUE"""),0)</f>
        <v>0</v>
      </c>
      <c r="L325" s="7">
        <f ca="1">IFERROR(__xludf.DUMMYFUNCTION("""COMPUTED_VALUE"""),0)</f>
        <v>0</v>
      </c>
      <c r="M325" s="7">
        <f ca="1">IFERROR(__xludf.DUMMYFUNCTION("""COMPUTED_VALUE"""),0)</f>
        <v>0</v>
      </c>
      <c r="N325" s="7">
        <f ca="1">IFERROR(__xludf.DUMMYFUNCTION("""COMPUTED_VALUE"""),0)</f>
        <v>0</v>
      </c>
      <c r="O325" s="7">
        <f ca="1">IFERROR(__xludf.DUMMYFUNCTION("""COMPUTED_VALUE"""),0)</f>
        <v>0</v>
      </c>
      <c r="P325" s="7">
        <f ca="1">IFERROR(__xludf.DUMMYFUNCTION("""COMPUTED_VALUE"""),176.799999999999)</f>
        <v>176.79999999999899</v>
      </c>
      <c r="Q325" s="7">
        <f ca="1">IFERROR(__xludf.DUMMYFUNCTION("""COMPUTED_VALUE"""),5250)</f>
        <v>5250</v>
      </c>
      <c r="R325" s="7">
        <f ca="1">IFERROR(__xludf.DUMMYFUNCTION("""COMPUTED_VALUE"""),0)</f>
        <v>0</v>
      </c>
      <c r="S325" s="7">
        <f ca="1">IFERROR(__xludf.DUMMYFUNCTION("""COMPUTED_VALUE"""),0)</f>
        <v>0</v>
      </c>
      <c r="T325" s="7">
        <f ca="1">IFERROR(__xludf.DUMMYFUNCTION("""COMPUTED_VALUE"""),639.599999999999)</f>
        <v>639.599999999999</v>
      </c>
      <c r="U325" s="61"/>
      <c r="V325" s="61"/>
      <c r="W325" s="61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0" t="str">
        <f ca="1">IFERROR(__xludf.DUMMYFUNCTION("""COMPUTED_VALUE"""),"ASSOC. DE APOIO ESC. EST.IDALINA DE PAULA")</f>
        <v>ASSOC. DE APOIO ESC. EST.IDALINA DE PAULA</v>
      </c>
      <c r="D326" s="136" t="str">
        <f ca="1">IFERROR(__xludf.DUMMYFUNCTION("""COMPUTED_VALUE"""),"01066419000109")</f>
        <v>01066419000109</v>
      </c>
      <c r="E326" s="6" t="str">
        <f ca="1">IFERROR(__xludf.DUMMYFUNCTION("""COMPUTED_VALUE"""),"001")</f>
        <v>001</v>
      </c>
      <c r="F326" s="7" t="str">
        <f ca="1">IFERROR(__xludf.DUMMYFUNCTION("""COMPUTED_VALUE"""),"0804")</f>
        <v>0804</v>
      </c>
      <c r="G326" s="7" t="str">
        <f ca="1">IFERROR(__xludf.DUMMYFUNCTION("""COMPUTED_VALUE"""),"115797")</f>
        <v>115797</v>
      </c>
      <c r="H326" s="7">
        <f ca="1">IFERROR(__xludf.DUMMYFUNCTION("""COMPUTED_VALUE"""),0)</f>
        <v>0</v>
      </c>
      <c r="I326" s="7">
        <f ca="1">IFERROR(__xludf.DUMMYFUNCTION("""COMPUTED_VALUE"""),0)</f>
        <v>0</v>
      </c>
      <c r="J326" s="7">
        <f ca="1">IFERROR(__xludf.DUMMYFUNCTION("""COMPUTED_VALUE"""),3390)</f>
        <v>3390</v>
      </c>
      <c r="K326" s="7">
        <f ca="1">IFERROR(__xludf.DUMMYFUNCTION("""COMPUTED_VALUE"""),0)</f>
        <v>0</v>
      </c>
      <c r="L326" s="7">
        <f ca="1">IFERROR(__xludf.DUMMYFUNCTION("""COMPUTED_VALUE"""),0)</f>
        <v>0</v>
      </c>
      <c r="M326" s="7">
        <f ca="1">IFERROR(__xludf.DUMMYFUNCTION("""COMPUTED_VALUE"""),0)</f>
        <v>0</v>
      </c>
      <c r="N326" s="7">
        <f ca="1">IFERROR(__xludf.DUMMYFUNCTION("""COMPUTED_VALUE"""),0)</f>
        <v>0</v>
      </c>
      <c r="O326" s="7">
        <f ca="1">IFERROR(__xludf.DUMMYFUNCTION("""COMPUTED_VALUE"""),0)</f>
        <v>0</v>
      </c>
      <c r="P326" s="7">
        <f ca="1">IFERROR(__xludf.DUMMYFUNCTION("""COMPUTED_VALUE"""),0)</f>
        <v>0</v>
      </c>
      <c r="Q326" s="7">
        <f ca="1">IFERROR(__xludf.DUMMYFUNCTION("""COMPUTED_VALUE"""),1860)</f>
        <v>1860</v>
      </c>
      <c r="R326" s="7">
        <f ca="1">IFERROR(__xludf.DUMMYFUNCTION("""COMPUTED_VALUE"""),0)</f>
        <v>0</v>
      </c>
      <c r="S326" s="7">
        <f ca="1">IFERROR(__xludf.DUMMYFUNCTION("""COMPUTED_VALUE"""),0)</f>
        <v>0</v>
      </c>
      <c r="T326" s="7">
        <f ca="1">IFERROR(__xludf.DUMMYFUNCTION("""COMPUTED_VALUE"""),0)</f>
        <v>0</v>
      </c>
      <c r="U326" s="61"/>
      <c r="V326" s="61"/>
      <c r="W326" s="61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0" t="str">
        <f ca="1">IFERROR(__xludf.DUMMYFUNCTION("""COMPUTED_VALUE"""),"ASS. APOIO ESC. EST.PROF. JOSE NEZIO RAMOS")</f>
        <v>ASS. APOIO ESC. EST.PROF. JOSE NEZIO RAMOS</v>
      </c>
      <c r="D327" s="136" t="str">
        <f ca="1">IFERROR(__xludf.DUMMYFUNCTION("""COMPUTED_VALUE"""),"01233716000100")</f>
        <v>01233716000100</v>
      </c>
      <c r="E327" s="6" t="str">
        <f ca="1">IFERROR(__xludf.DUMMYFUNCTION("""COMPUTED_VALUE"""),"001")</f>
        <v>001</v>
      </c>
      <c r="F327" s="7" t="str">
        <f ca="1">IFERROR(__xludf.DUMMYFUNCTION("""COMPUTED_VALUE"""),"0804")</f>
        <v>0804</v>
      </c>
      <c r="G327" s="7" t="str">
        <f ca="1">IFERROR(__xludf.DUMMYFUNCTION("""COMPUTED_VALUE"""),"0263656")</f>
        <v>0263656</v>
      </c>
      <c r="H327" s="7">
        <f ca="1">IFERROR(__xludf.DUMMYFUNCTION("""COMPUTED_VALUE"""),0)</f>
        <v>0</v>
      </c>
      <c r="I327" s="7">
        <f ca="1">IFERROR(__xludf.DUMMYFUNCTION("""COMPUTED_VALUE"""),0)</f>
        <v>0</v>
      </c>
      <c r="J327" s="7">
        <f ca="1">IFERROR(__xludf.DUMMYFUNCTION("""COMPUTED_VALUE"""),0)</f>
        <v>0</v>
      </c>
      <c r="K327" s="7">
        <f ca="1">IFERROR(__xludf.DUMMYFUNCTION("""COMPUTED_VALUE"""),0)</f>
        <v>0</v>
      </c>
      <c r="L327" s="7">
        <f ca="1">IFERROR(__xludf.DUMMYFUNCTION("""COMPUTED_VALUE"""),0)</f>
        <v>0</v>
      </c>
      <c r="M327" s="7">
        <f ca="1">IFERROR(__xludf.DUMMYFUNCTION("""COMPUTED_VALUE"""),0)</f>
        <v>0</v>
      </c>
      <c r="N327" s="7">
        <f ca="1">IFERROR(__xludf.DUMMYFUNCTION("""COMPUTED_VALUE"""),0)</f>
        <v>0</v>
      </c>
      <c r="O327" s="7">
        <f ca="1">IFERROR(__xludf.DUMMYFUNCTION("""COMPUTED_VALUE"""),0)</f>
        <v>0</v>
      </c>
      <c r="P327" s="7">
        <f ca="1">IFERROR(__xludf.DUMMYFUNCTION("""COMPUTED_VALUE"""),0)</f>
        <v>0</v>
      </c>
      <c r="Q327" s="7">
        <f ca="1">IFERROR(__xludf.DUMMYFUNCTION("""COMPUTED_VALUE"""),3370)</f>
        <v>3370</v>
      </c>
      <c r="R327" s="7">
        <f ca="1">IFERROR(__xludf.DUMMYFUNCTION("""COMPUTED_VALUE"""),0)</f>
        <v>0</v>
      </c>
      <c r="S327" s="7">
        <f ca="1">IFERROR(__xludf.DUMMYFUNCTION("""COMPUTED_VALUE"""),0)</f>
        <v>0</v>
      </c>
      <c r="T327" s="7">
        <f ca="1">IFERROR(__xludf.DUMMYFUNCTION("""COMPUTED_VALUE"""),0)</f>
        <v>0</v>
      </c>
      <c r="U327" s="61"/>
      <c r="V327" s="61"/>
      <c r="W327" s="61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0" t="str">
        <f ca="1">IFERROR(__xludf.DUMMYFUNCTION("""COMPUTED_VALUE"""),"AAE. ESPECIAL LUZ DA VIDA")</f>
        <v>AAE. ESPECIAL LUZ DA VIDA</v>
      </c>
      <c r="D328" s="136" t="str">
        <f ca="1">IFERROR(__xludf.DUMMYFUNCTION("""COMPUTED_VALUE"""),"07905330000175")</f>
        <v>07905330000175</v>
      </c>
      <c r="E328" s="6" t="str">
        <f ca="1">IFERROR(__xludf.DUMMYFUNCTION("""COMPUTED_VALUE"""),"001")</f>
        <v>001</v>
      </c>
      <c r="F328" s="7" t="str">
        <f ca="1">IFERROR(__xludf.DUMMYFUNCTION("""COMPUTED_VALUE"""),"0804")</f>
        <v>0804</v>
      </c>
      <c r="G328" s="7" t="str">
        <f ca="1">IFERROR(__xludf.DUMMYFUNCTION("""COMPUTED_VALUE"""),"331724")</f>
        <v>331724</v>
      </c>
      <c r="H328" s="7">
        <f ca="1">IFERROR(__xludf.DUMMYFUNCTION("""COMPUTED_VALUE"""),0)</f>
        <v>0</v>
      </c>
      <c r="I328" s="7">
        <f ca="1">IFERROR(__xludf.DUMMYFUNCTION("""COMPUTED_VALUE"""),288)</f>
        <v>288</v>
      </c>
      <c r="J328" s="7">
        <f ca="1">IFERROR(__xludf.DUMMYFUNCTION("""COMPUTED_VALUE"""),250)</f>
        <v>250</v>
      </c>
      <c r="K328" s="7">
        <f ca="1">IFERROR(__xludf.DUMMYFUNCTION("""COMPUTED_VALUE"""),0)</f>
        <v>0</v>
      </c>
      <c r="L328" s="7">
        <f ca="1">IFERROR(__xludf.DUMMYFUNCTION("""COMPUTED_VALUE"""),0)</f>
        <v>0</v>
      </c>
      <c r="M328" s="7">
        <f ca="1">IFERROR(__xludf.DUMMYFUNCTION("""COMPUTED_VALUE"""),0)</f>
        <v>0</v>
      </c>
      <c r="N328" s="7">
        <f ca="1">IFERROR(__xludf.DUMMYFUNCTION("""COMPUTED_VALUE"""),0)</f>
        <v>0</v>
      </c>
      <c r="O328" s="7">
        <f ca="1">IFERROR(__xludf.DUMMYFUNCTION("""COMPUTED_VALUE"""),0)</f>
        <v>0</v>
      </c>
      <c r="P328" s="7">
        <f ca="1">IFERROR(__xludf.DUMMYFUNCTION("""COMPUTED_VALUE"""),340)</f>
        <v>340</v>
      </c>
      <c r="Q328" s="7">
        <f ca="1">IFERROR(__xludf.DUMMYFUNCTION("""COMPUTED_VALUE"""),0)</f>
        <v>0</v>
      </c>
      <c r="R328" s="7">
        <f ca="1">IFERROR(__xludf.DUMMYFUNCTION("""COMPUTED_VALUE"""),0)</f>
        <v>0</v>
      </c>
      <c r="S328" s="7">
        <f ca="1">IFERROR(__xludf.DUMMYFUNCTION("""COMPUTED_VALUE"""),0)</f>
        <v>0</v>
      </c>
      <c r="T328" s="7">
        <f ca="1">IFERROR(__xludf.DUMMYFUNCTION("""COMPUTED_VALUE"""),549.4)</f>
        <v>549.4</v>
      </c>
      <c r="U328" s="61"/>
      <c r="V328" s="61"/>
      <c r="W328" s="61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0" t="str">
        <f ca="1">IFERROR(__xludf.DUMMYFUNCTION("""COMPUTED_VALUE"""),"ASS. DE APOIO ESC. EST. AMANCIO DE MORAES")</f>
        <v>ASS. DE APOIO ESC. EST. AMANCIO DE MORAES</v>
      </c>
      <c r="D329" s="136" t="str">
        <f ca="1">IFERROR(__xludf.DUMMYFUNCTION("""COMPUTED_VALUE"""),"01068375000156")</f>
        <v>01068375000156</v>
      </c>
      <c r="E329" s="6" t="str">
        <f ca="1">IFERROR(__xludf.DUMMYFUNCTION("""COMPUTED_VALUE"""),"104")</f>
        <v>104</v>
      </c>
      <c r="F329" s="7" t="str">
        <f ca="1">IFERROR(__xludf.DUMMYFUNCTION("""COMPUTED_VALUE"""),"1141")</f>
        <v>1141</v>
      </c>
      <c r="G329" s="7" t="str">
        <f ca="1">IFERROR(__xludf.DUMMYFUNCTION("""COMPUTED_VALUE"""),"308140")</f>
        <v>308140</v>
      </c>
      <c r="H329" s="7">
        <f ca="1">IFERROR(__xludf.DUMMYFUNCTION("""COMPUTED_VALUE"""),0)</f>
        <v>0</v>
      </c>
      <c r="I329" s="7">
        <f ca="1">IFERROR(__xludf.DUMMYFUNCTION("""COMPUTED_VALUE"""),0)</f>
        <v>0</v>
      </c>
      <c r="J329" s="7">
        <f ca="1">IFERROR(__xludf.DUMMYFUNCTION("""COMPUTED_VALUE"""),2500)</f>
        <v>2500</v>
      </c>
      <c r="K329" s="7">
        <f ca="1">IFERROR(__xludf.DUMMYFUNCTION("""COMPUTED_VALUE"""),0)</f>
        <v>0</v>
      </c>
      <c r="L329" s="7">
        <f ca="1">IFERROR(__xludf.DUMMYFUNCTION("""COMPUTED_VALUE"""),0)</f>
        <v>0</v>
      </c>
      <c r="M329" s="7">
        <f ca="1">IFERROR(__xludf.DUMMYFUNCTION("""COMPUTED_VALUE"""),0)</f>
        <v>0</v>
      </c>
      <c r="N329" s="7">
        <f ca="1">IFERROR(__xludf.DUMMYFUNCTION("""COMPUTED_VALUE"""),0)</f>
        <v>0</v>
      </c>
      <c r="O329" s="7">
        <f ca="1">IFERROR(__xludf.DUMMYFUNCTION("""COMPUTED_VALUE"""),0)</f>
        <v>0</v>
      </c>
      <c r="P329" s="7">
        <f ca="1">IFERROR(__xludf.DUMMYFUNCTION("""COMPUTED_VALUE"""),176.799999999999)</f>
        <v>176.79999999999899</v>
      </c>
      <c r="Q329" s="7">
        <f ca="1">IFERROR(__xludf.DUMMYFUNCTION("""COMPUTED_VALUE"""),0)</f>
        <v>0</v>
      </c>
      <c r="R329" s="7">
        <f ca="1">IFERROR(__xludf.DUMMYFUNCTION("""COMPUTED_VALUE"""),0)</f>
        <v>0</v>
      </c>
      <c r="S329" s="7">
        <f ca="1">IFERROR(__xludf.DUMMYFUNCTION("""COMPUTED_VALUE"""),0)</f>
        <v>0</v>
      </c>
      <c r="T329" s="7">
        <f ca="1">IFERROR(__xludf.DUMMYFUNCTION("""COMPUTED_VALUE"""),0)</f>
        <v>0</v>
      </c>
      <c r="U329" s="61"/>
      <c r="V329" s="61"/>
      <c r="W329" s="61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0" t="str">
        <f ca="1">IFERROR(__xludf.DUMMYFUNCTION("""COMPUTED_VALUE"""),"A.A. ESCOLA ESTADUAL DEUSA DE MORAES")</f>
        <v>A.A. ESCOLA ESTADUAL DEUSA DE MORAES</v>
      </c>
      <c r="D330" s="136" t="str">
        <f ca="1">IFERROR(__xludf.DUMMYFUNCTION("""COMPUTED_VALUE"""),"01068362000187")</f>
        <v>01068362000187</v>
      </c>
      <c r="E330" s="6" t="str">
        <f ca="1">IFERROR(__xludf.DUMMYFUNCTION("""COMPUTED_VALUE"""),"001")</f>
        <v>001</v>
      </c>
      <c r="F330" s="7" t="str">
        <f ca="1">IFERROR(__xludf.DUMMYFUNCTION("""COMPUTED_VALUE"""),"0804")</f>
        <v>0804</v>
      </c>
      <c r="G330" s="7" t="str">
        <f ca="1">IFERROR(__xludf.DUMMYFUNCTION("""COMPUTED_VALUE"""),"304549")</f>
        <v>304549</v>
      </c>
      <c r="H330" s="7">
        <f ca="1">IFERROR(__xludf.DUMMYFUNCTION("""COMPUTED_VALUE"""),0)</f>
        <v>0</v>
      </c>
      <c r="I330" s="7">
        <f ca="1">IFERROR(__xludf.DUMMYFUNCTION("""COMPUTED_VALUE"""),0)</f>
        <v>0</v>
      </c>
      <c r="J330" s="7">
        <f ca="1">IFERROR(__xludf.DUMMYFUNCTION("""COMPUTED_VALUE"""),3660)</f>
        <v>3660</v>
      </c>
      <c r="K330" s="7">
        <f ca="1">IFERROR(__xludf.DUMMYFUNCTION("""COMPUTED_VALUE"""),0)</f>
        <v>0</v>
      </c>
      <c r="L330" s="7">
        <f ca="1">IFERROR(__xludf.DUMMYFUNCTION("""COMPUTED_VALUE"""),0)</f>
        <v>0</v>
      </c>
      <c r="M330" s="7">
        <f ca="1">IFERROR(__xludf.DUMMYFUNCTION("""COMPUTED_VALUE"""),0)</f>
        <v>0</v>
      </c>
      <c r="N330" s="7">
        <f ca="1">IFERROR(__xludf.DUMMYFUNCTION("""COMPUTED_VALUE"""),0)</f>
        <v>0</v>
      </c>
      <c r="O330" s="7">
        <f ca="1">IFERROR(__xludf.DUMMYFUNCTION("""COMPUTED_VALUE"""),0)</f>
        <v>0</v>
      </c>
      <c r="P330" s="7">
        <f ca="1">IFERROR(__xludf.DUMMYFUNCTION("""COMPUTED_VALUE"""),0)</f>
        <v>0</v>
      </c>
      <c r="Q330" s="7">
        <f ca="1">IFERROR(__xludf.DUMMYFUNCTION("""COMPUTED_VALUE"""),0)</f>
        <v>0</v>
      </c>
      <c r="R330" s="7">
        <f ca="1">IFERROR(__xludf.DUMMYFUNCTION("""COMPUTED_VALUE"""),0)</f>
        <v>0</v>
      </c>
      <c r="S330" s="7">
        <f ca="1">IFERROR(__xludf.DUMMYFUNCTION("""COMPUTED_VALUE"""),0)</f>
        <v>0</v>
      </c>
      <c r="T330" s="7">
        <f ca="1">IFERROR(__xludf.DUMMYFUNCTION("""COMPUTED_VALUE"""),0)</f>
        <v>0</v>
      </c>
      <c r="U330" s="61"/>
      <c r="V330" s="61"/>
      <c r="W330" s="61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IFERROR(__xludf.DUMMYFUNCTION("""COMPUTED_VALUE"""),"Paraiso do Tocantins")</f>
        <v>Paraiso do Tocantins</v>
      </c>
      <c r="C331" s="60" t="str">
        <f ca="1">IFERROR(__xludf.DUMMYFUNCTION("""COMPUTED_VALUE"""),"A. ESC COM. DA ESC EST J.K. DE OLIVEIRA")</f>
        <v>A. ESC COM. DA ESC EST J.K. DE OLIVEIRA</v>
      </c>
      <c r="D331" s="136" t="str">
        <f ca="1">IFERROR(__xludf.DUMMYFUNCTION("""COMPUTED_VALUE"""),"00921537000194")</f>
        <v>00921537000194</v>
      </c>
      <c r="E331" s="6" t="str">
        <f ca="1">IFERROR(__xludf.DUMMYFUNCTION("""COMPUTED_VALUE"""),"001")</f>
        <v>001</v>
      </c>
      <c r="F331" s="7" t="str">
        <f ca="1">IFERROR(__xludf.DUMMYFUNCTION("""COMPUTED_VALUE"""),"0804")</f>
        <v>0804</v>
      </c>
      <c r="G331" s="7" t="str">
        <f ca="1">IFERROR(__xludf.DUMMYFUNCTION("""COMPUTED_VALUE"""),"163821")</f>
        <v>163821</v>
      </c>
      <c r="H331" s="7">
        <f ca="1">IFERROR(__xludf.DUMMYFUNCTION("""COMPUTED_VALUE"""),0)</f>
        <v>0</v>
      </c>
      <c r="I331" s="7">
        <f ca="1">IFERROR(__xludf.DUMMYFUNCTION("""COMPUTED_VALUE"""),0)</f>
        <v>0</v>
      </c>
      <c r="J331" s="7">
        <f ca="1">IFERROR(__xludf.DUMMYFUNCTION("""COMPUTED_VALUE"""),2660)</f>
        <v>2660</v>
      </c>
      <c r="K331" s="7">
        <f ca="1">IFERROR(__xludf.DUMMYFUNCTION("""COMPUTED_VALUE"""),0)</f>
        <v>0</v>
      </c>
      <c r="L331" s="7">
        <f ca="1">IFERROR(__xludf.DUMMYFUNCTION("""COMPUTED_VALUE"""),0)</f>
        <v>0</v>
      </c>
      <c r="M331" s="7">
        <f ca="1">IFERROR(__xludf.DUMMYFUNCTION("""COMPUTED_VALUE"""),0)</f>
        <v>0</v>
      </c>
      <c r="N331" s="7">
        <f ca="1">IFERROR(__xludf.DUMMYFUNCTION("""COMPUTED_VALUE"""),0)</f>
        <v>0</v>
      </c>
      <c r="O331" s="7">
        <f ca="1">IFERROR(__xludf.DUMMYFUNCTION("""COMPUTED_VALUE"""),0)</f>
        <v>0</v>
      </c>
      <c r="P331" s="7">
        <f ca="1">IFERROR(__xludf.DUMMYFUNCTION("""COMPUTED_VALUE"""),0)</f>
        <v>0</v>
      </c>
      <c r="Q331" s="7">
        <f ca="1">IFERROR(__xludf.DUMMYFUNCTION("""COMPUTED_VALUE"""),210)</f>
        <v>210</v>
      </c>
      <c r="R331" s="7">
        <f ca="1">IFERROR(__xludf.DUMMYFUNCTION("""COMPUTED_VALUE"""),0)</f>
        <v>0</v>
      </c>
      <c r="S331" s="7">
        <f ca="1">IFERROR(__xludf.DUMMYFUNCTION("""COMPUTED_VALUE"""),0)</f>
        <v>0</v>
      </c>
      <c r="T331" s="7">
        <f ca="1">IFERROR(__xludf.DUMMYFUNCTION("""COMPUTED_VALUE"""),0)</f>
        <v>0</v>
      </c>
      <c r="U331" s="61"/>
      <c r="V331" s="61"/>
      <c r="W331" s="61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IFERROR(__xludf.DUMMYFUNCTION("""COMPUTED_VALUE"""),"Paraiso do Tocantins")</f>
        <v>Paraiso do Tocantins</v>
      </c>
      <c r="C332" s="60" t="str">
        <f ca="1">IFERROR(__xludf.DUMMYFUNCTION("""COMPUTED_VALUE"""),"A.A.  ESCOLA EST. SAO JOSE OPERARIO")</f>
        <v>A.A.  ESCOLA EST. SAO JOSE OPERARIO</v>
      </c>
      <c r="D332" s="136" t="str">
        <f ca="1">IFERROR(__xludf.DUMMYFUNCTION("""COMPUTED_VALUE"""),"01186454000161")</f>
        <v>01186454000161</v>
      </c>
      <c r="E332" s="6" t="str">
        <f ca="1">IFERROR(__xludf.DUMMYFUNCTION("""COMPUTED_VALUE"""),"001")</f>
        <v>001</v>
      </c>
      <c r="F332" s="7" t="str">
        <f ca="1">IFERROR(__xludf.DUMMYFUNCTION("""COMPUTED_VALUE"""),"0804")</f>
        <v>0804</v>
      </c>
      <c r="G332" s="7" t="str">
        <f ca="1">IFERROR(__xludf.DUMMYFUNCTION("""COMPUTED_VALUE"""),"285986")</f>
        <v>285986</v>
      </c>
      <c r="H332" s="7">
        <f ca="1">IFERROR(__xludf.DUMMYFUNCTION("""COMPUTED_VALUE"""),0)</f>
        <v>0</v>
      </c>
      <c r="I332" s="7">
        <f ca="1">IFERROR(__xludf.DUMMYFUNCTION("""COMPUTED_VALUE"""),0)</f>
        <v>0</v>
      </c>
      <c r="J332" s="7">
        <f ca="1">IFERROR(__xludf.DUMMYFUNCTION("""COMPUTED_VALUE"""),4270)</f>
        <v>4270</v>
      </c>
      <c r="K332" s="7">
        <f ca="1">IFERROR(__xludf.DUMMYFUNCTION("""COMPUTED_VALUE"""),0)</f>
        <v>0</v>
      </c>
      <c r="L332" s="7">
        <f ca="1">IFERROR(__xludf.DUMMYFUNCTION("""COMPUTED_VALUE"""),0)</f>
        <v>0</v>
      </c>
      <c r="M332" s="7">
        <f ca="1">IFERROR(__xludf.DUMMYFUNCTION("""COMPUTED_VALUE"""),0)</f>
        <v>0</v>
      </c>
      <c r="N332" s="7">
        <f ca="1">IFERROR(__xludf.DUMMYFUNCTION("""COMPUTED_VALUE"""),0)</f>
        <v>0</v>
      </c>
      <c r="O332" s="7">
        <f ca="1">IFERROR(__xludf.DUMMYFUNCTION("""COMPUTED_VALUE"""),0)</f>
        <v>0</v>
      </c>
      <c r="P332" s="7">
        <f ca="1">IFERROR(__xludf.DUMMYFUNCTION("""COMPUTED_VALUE"""),0)</f>
        <v>0</v>
      </c>
      <c r="Q332" s="7">
        <f ca="1">IFERROR(__xludf.DUMMYFUNCTION("""COMPUTED_VALUE"""),1080)</f>
        <v>1080</v>
      </c>
      <c r="R332" s="7">
        <f ca="1">IFERROR(__xludf.DUMMYFUNCTION("""COMPUTED_VALUE"""),0)</f>
        <v>0</v>
      </c>
      <c r="S332" s="7">
        <f ca="1">IFERROR(__xludf.DUMMYFUNCTION("""COMPUTED_VALUE"""),0)</f>
        <v>0</v>
      </c>
      <c r="T332" s="7">
        <f ca="1">IFERROR(__xludf.DUMMYFUNCTION("""COMPUTED_VALUE"""),0)</f>
        <v>0</v>
      </c>
      <c r="U332" s="61"/>
      <c r="V332" s="61"/>
      <c r="W332" s="61"/>
    </row>
    <row r="333" spans="1:23" ht="12.75">
      <c r="A333" t="str">
        <f ca="1">IFERROR(__xludf.DUMMYFUNCTION("""COMPUTED_VALUE"""),"Paraíso")</f>
        <v>Paraíso</v>
      </c>
      <c r="B333" t="str">
        <f ca="1">IFERROR(__xludf.DUMMYFUNCTION("""COMPUTED_VALUE"""),"Paraiso do Tocantins")</f>
        <v>Paraiso do Tocantins</v>
      </c>
      <c r="C333" s="60" t="str">
        <f ca="1">IFERROR(__xludf.DUMMYFUNCTION("""COMPUTED_VALUE"""),"A.A. DO COL. PRESB. VALE DO TOCANTINS")</f>
        <v>A.A. DO COL. PRESB. VALE DO TOCANTINS</v>
      </c>
      <c r="D333" s="136" t="str">
        <f ca="1">IFERROR(__xludf.DUMMYFUNCTION("""COMPUTED_VALUE"""),"01071426000107")</f>
        <v>01071426000107</v>
      </c>
      <c r="E333" s="6" t="str">
        <f ca="1">IFERROR(__xludf.DUMMYFUNCTION("""COMPUTED_VALUE"""),"001")</f>
        <v>001</v>
      </c>
      <c r="F333" s="7" t="str">
        <f ca="1">IFERROR(__xludf.DUMMYFUNCTION("""COMPUTED_VALUE"""),"0804")</f>
        <v>0804</v>
      </c>
      <c r="G333" s="7" t="str">
        <f ca="1">IFERROR(__xludf.DUMMYFUNCTION("""COMPUTED_VALUE"""),"311618")</f>
        <v>311618</v>
      </c>
      <c r="H333" s="7">
        <f ca="1">IFERROR(__xludf.DUMMYFUNCTION("""COMPUTED_VALUE"""),0)</f>
        <v>0</v>
      </c>
      <c r="I333" s="7">
        <f ca="1">IFERROR(__xludf.DUMMYFUNCTION("""COMPUTED_VALUE"""),0)</f>
        <v>0</v>
      </c>
      <c r="J333" s="7">
        <f ca="1">IFERROR(__xludf.DUMMYFUNCTION("""COMPUTED_VALUE"""),4930)</f>
        <v>4930</v>
      </c>
      <c r="K333" s="7">
        <f ca="1">IFERROR(__xludf.DUMMYFUNCTION("""COMPUTED_VALUE"""),0)</f>
        <v>0</v>
      </c>
      <c r="L333" s="7">
        <f ca="1">IFERROR(__xludf.DUMMYFUNCTION("""COMPUTED_VALUE"""),0)</f>
        <v>0</v>
      </c>
      <c r="M333" s="7">
        <f ca="1">IFERROR(__xludf.DUMMYFUNCTION("""COMPUTED_VALUE"""),0)</f>
        <v>0</v>
      </c>
      <c r="N333" s="7">
        <f ca="1">IFERROR(__xludf.DUMMYFUNCTION("""COMPUTED_VALUE"""),0)</f>
        <v>0</v>
      </c>
      <c r="O333" s="7">
        <f ca="1">IFERROR(__xludf.DUMMYFUNCTION("""COMPUTED_VALUE"""),0)</f>
        <v>0</v>
      </c>
      <c r="P333" s="7">
        <f ca="1">IFERROR(__xludf.DUMMYFUNCTION("""COMPUTED_VALUE"""),0)</f>
        <v>0</v>
      </c>
      <c r="Q333" s="7">
        <f ca="1">IFERROR(__xludf.DUMMYFUNCTION("""COMPUTED_VALUE"""),3780)</f>
        <v>3780</v>
      </c>
      <c r="R333" s="7">
        <f ca="1">IFERROR(__xludf.DUMMYFUNCTION("""COMPUTED_VALUE"""),0)</f>
        <v>0</v>
      </c>
      <c r="S333" s="7">
        <f ca="1">IFERROR(__xludf.DUMMYFUNCTION("""COMPUTED_VALUE"""),0)</f>
        <v>0</v>
      </c>
      <c r="T333" s="7">
        <f ca="1">IFERROR(__xludf.DUMMYFUNCTION("""COMPUTED_VALUE"""),0)</f>
        <v>0</v>
      </c>
      <c r="U333" s="61"/>
      <c r="V333" s="61"/>
      <c r="W333" s="61"/>
    </row>
    <row r="334" spans="1:23" ht="12.75">
      <c r="A334" t="str">
        <f ca="1">IFERROR(__xludf.DUMMYFUNCTION("""COMPUTED_VALUE"""),"Paraíso")</f>
        <v>Paraíso</v>
      </c>
      <c r="B334" t="str">
        <f ca="1">IFERROR(__xludf.DUMMYFUNCTION("""COMPUTED_VALUE"""),"Paraiso do Tocantins")</f>
        <v>Paraiso do Tocantins</v>
      </c>
      <c r="C334" s="60" t="str">
        <f ca="1">IFERROR(__xludf.DUMMYFUNCTION("""COMPUTED_VALUE"""),"ASS. A. ESCOLA EST. DE TEMPO INTEGRAL PROFESSORA RITA ANDRADE SANTOS")</f>
        <v>ASS. A. ESCOLA EST. DE TEMPO INTEGRAL PROFESSORA RITA ANDRADE SANTOS</v>
      </c>
      <c r="D334" s="136" t="str">
        <f ca="1">IFERROR(__xludf.DUMMYFUNCTION("""COMPUTED_VALUE"""),"48740961000169")</f>
        <v>48740961000169</v>
      </c>
      <c r="E334" s="6" t="str">
        <f ca="1">IFERROR(__xludf.DUMMYFUNCTION("""COMPUTED_VALUE"""),"001")</f>
        <v>001</v>
      </c>
      <c r="F334" s="7" t="str">
        <f ca="1">IFERROR(__xludf.DUMMYFUNCTION("""COMPUTED_VALUE"""),"0804")</f>
        <v>0804</v>
      </c>
      <c r="G334" s="7" t="str">
        <f ca="1">IFERROR(__xludf.DUMMYFUNCTION("""COMPUTED_VALUE"""),"58858X")</f>
        <v>58858X</v>
      </c>
      <c r="H334" s="7">
        <f ca="1">IFERROR(__xludf.DUMMYFUNCTION("""COMPUTED_VALUE"""),0)</f>
        <v>0</v>
      </c>
      <c r="I334" s="7">
        <f ca="1">IFERROR(__xludf.DUMMYFUNCTION("""COMPUTED_VALUE"""),0)</f>
        <v>0</v>
      </c>
      <c r="J334" s="7">
        <f ca="1">IFERROR(__xludf.DUMMYFUNCTION("""COMPUTED_VALUE"""),0)</f>
        <v>0</v>
      </c>
      <c r="K334" s="7">
        <f ca="1">IFERROR(__xludf.DUMMYFUNCTION("""COMPUTED_VALUE"""),13398.5999999999)</f>
        <v>13398.5999999999</v>
      </c>
      <c r="L334" s="7">
        <f ca="1">IFERROR(__xludf.DUMMYFUNCTION("""COMPUTED_VALUE"""),0)</f>
        <v>0</v>
      </c>
      <c r="M334" s="7">
        <f ca="1">IFERROR(__xludf.DUMMYFUNCTION("""COMPUTED_VALUE"""),0)</f>
        <v>0</v>
      </c>
      <c r="N334" s="7">
        <f ca="1">IFERROR(__xludf.DUMMYFUNCTION("""COMPUTED_VALUE"""),0)</f>
        <v>0</v>
      </c>
      <c r="O334" s="7">
        <f ca="1">IFERROR(__xludf.DUMMYFUNCTION("""COMPUTED_VALUE"""),0)</f>
        <v>0</v>
      </c>
      <c r="P334" s="7">
        <f ca="1">IFERROR(__xludf.DUMMYFUNCTION("""COMPUTED_VALUE"""),0)</f>
        <v>0</v>
      </c>
      <c r="Q334" s="7">
        <f ca="1">IFERROR(__xludf.DUMMYFUNCTION("""COMPUTED_VALUE"""),0)</f>
        <v>0</v>
      </c>
      <c r="R334" s="7">
        <f ca="1">IFERROR(__xludf.DUMMYFUNCTION("""COMPUTED_VALUE"""),767.199999999999)</f>
        <v>767.19999999999902</v>
      </c>
      <c r="S334" s="7">
        <f ca="1">IFERROR(__xludf.DUMMYFUNCTION("""COMPUTED_VALUE"""),0)</f>
        <v>0</v>
      </c>
      <c r="T334" s="7">
        <f ca="1">IFERROR(__xludf.DUMMYFUNCTION("""COMPUTED_VALUE"""),0)</f>
        <v>0</v>
      </c>
      <c r="U334" s="61"/>
      <c r="V334" s="61"/>
      <c r="W334" s="61"/>
    </row>
    <row r="335" spans="1:23" ht="12.75">
      <c r="A335" t="str">
        <f ca="1">IFERROR(__xludf.DUMMYFUNCTION("""COMPUTED_VALUE"""),"Paraíso")</f>
        <v>Paraíso</v>
      </c>
      <c r="B335" t="str">
        <f ca="1">IFERROR(__xludf.DUMMYFUNCTION("""COMPUTED_VALUE"""),"Pium")</f>
        <v>Pium</v>
      </c>
      <c r="C335" s="60" t="str">
        <f ca="1">IFERROR(__xludf.DUMMYFUNCTION("""COMPUTED_VALUE"""),"A.A. COLEGIO ESTADUAL BARTOLOMEU BUENO")</f>
        <v>A.A. COLEGIO ESTADUAL BARTOLOMEU BUENO</v>
      </c>
      <c r="D335" s="136" t="str">
        <f ca="1">IFERROR(__xludf.DUMMYFUNCTION("""COMPUTED_VALUE"""),"01071436000134")</f>
        <v>01071436000134</v>
      </c>
      <c r="E335" s="6" t="str">
        <f ca="1">IFERROR(__xludf.DUMMYFUNCTION("""COMPUTED_VALUE"""),"001")</f>
        <v>001</v>
      </c>
      <c r="F335" s="7" t="str">
        <f ca="1">IFERROR(__xludf.DUMMYFUNCTION("""COMPUTED_VALUE"""),"0804")</f>
        <v>0804</v>
      </c>
      <c r="G335" s="7" t="str">
        <f ca="1">IFERROR(__xludf.DUMMYFUNCTION("""COMPUTED_VALUE"""),"286206")</f>
        <v>286206</v>
      </c>
      <c r="H335" s="7">
        <f ca="1">IFERROR(__xludf.DUMMYFUNCTION("""COMPUTED_VALUE"""),0)</f>
        <v>0</v>
      </c>
      <c r="I335" s="7">
        <f ca="1">IFERROR(__xludf.DUMMYFUNCTION("""COMPUTED_VALUE"""),0)</f>
        <v>0</v>
      </c>
      <c r="J335" s="7">
        <f ca="1">IFERROR(__xludf.DUMMYFUNCTION("""COMPUTED_VALUE"""),590)</f>
        <v>590</v>
      </c>
      <c r="K335" s="7">
        <f ca="1">IFERROR(__xludf.DUMMYFUNCTION("""COMPUTED_VALUE"""),0)</f>
        <v>0</v>
      </c>
      <c r="L335" s="7">
        <f ca="1">IFERROR(__xludf.DUMMYFUNCTION("""COMPUTED_VALUE"""),0)</f>
        <v>0</v>
      </c>
      <c r="M335" s="7">
        <f ca="1">IFERROR(__xludf.DUMMYFUNCTION("""COMPUTED_VALUE"""),0)</f>
        <v>0</v>
      </c>
      <c r="N335" s="7">
        <f ca="1">IFERROR(__xludf.DUMMYFUNCTION("""COMPUTED_VALUE"""),0)</f>
        <v>0</v>
      </c>
      <c r="O335" s="7">
        <f ca="1">IFERROR(__xludf.DUMMYFUNCTION("""COMPUTED_VALUE"""),0)</f>
        <v>0</v>
      </c>
      <c r="P335" s="7">
        <f ca="1">IFERROR(__xludf.DUMMYFUNCTION("""COMPUTED_VALUE"""),163.2)</f>
        <v>163.19999999999999</v>
      </c>
      <c r="Q335" s="7">
        <f ca="1">IFERROR(__xludf.DUMMYFUNCTION("""COMPUTED_VALUE"""),2890)</f>
        <v>2890</v>
      </c>
      <c r="R335" s="7">
        <f ca="1">IFERROR(__xludf.DUMMYFUNCTION("""COMPUTED_VALUE"""),0)</f>
        <v>0</v>
      </c>
      <c r="S335" s="7">
        <f ca="1">IFERROR(__xludf.DUMMYFUNCTION("""COMPUTED_VALUE"""),0)</f>
        <v>0</v>
      </c>
      <c r="T335" s="7">
        <f ca="1">IFERROR(__xludf.DUMMYFUNCTION("""COMPUTED_VALUE"""),0)</f>
        <v>0</v>
      </c>
      <c r="U335" s="61"/>
      <c r="V335" s="61"/>
      <c r="W335" s="61"/>
    </row>
    <row r="336" spans="1:23" ht="12.75">
      <c r="A336" t="str">
        <f ca="1">IFERROR(__xludf.DUMMYFUNCTION("""COMPUTED_VALUE"""),"Paraíso")</f>
        <v>Paraíso</v>
      </c>
      <c r="B336" t="str">
        <f ca="1">IFERROR(__xludf.DUMMYFUNCTION("""COMPUTED_VALUE"""),"Pugmil")</f>
        <v>Pugmil</v>
      </c>
      <c r="C336" s="60" t="str">
        <f ca="1">IFERROR(__xludf.DUMMYFUNCTION("""COMPUTED_VALUE"""),"A.A. DA ESC. EST. DARCY RIBEIRO")</f>
        <v>A.A. DA ESC. EST. DARCY RIBEIRO</v>
      </c>
      <c r="D336" s="136" t="str">
        <f ca="1">IFERROR(__xludf.DUMMYFUNCTION("""COMPUTED_VALUE"""),"02382845000114")</f>
        <v>02382845000114</v>
      </c>
      <c r="E336" s="6" t="str">
        <f ca="1">IFERROR(__xludf.DUMMYFUNCTION("""COMPUTED_VALUE"""),"001")</f>
        <v>001</v>
      </c>
      <c r="F336" s="7" t="str">
        <f ca="1">IFERROR(__xludf.DUMMYFUNCTION("""COMPUTED_VALUE"""),"0804")</f>
        <v>0804</v>
      </c>
      <c r="G336" s="7" t="str">
        <f ca="1">IFERROR(__xludf.DUMMYFUNCTION("""COMPUTED_VALUE"""),"286648")</f>
        <v>286648</v>
      </c>
      <c r="H336" s="7">
        <f ca="1">IFERROR(__xludf.DUMMYFUNCTION("""COMPUTED_VALUE"""),0)</f>
        <v>0</v>
      </c>
      <c r="I336" s="7">
        <f ca="1">IFERROR(__xludf.DUMMYFUNCTION("""COMPUTED_VALUE"""),0)</f>
        <v>0</v>
      </c>
      <c r="J336" s="7">
        <f ca="1">IFERROR(__xludf.DUMMYFUNCTION("""COMPUTED_VALUE"""),610)</f>
        <v>610</v>
      </c>
      <c r="K336" s="7">
        <f ca="1">IFERROR(__xludf.DUMMYFUNCTION("""COMPUTED_VALUE"""),0)</f>
        <v>0</v>
      </c>
      <c r="L336" s="7">
        <f ca="1">IFERROR(__xludf.DUMMYFUNCTION("""COMPUTED_VALUE"""),0)</f>
        <v>0</v>
      </c>
      <c r="M336" s="7">
        <f ca="1">IFERROR(__xludf.DUMMYFUNCTION("""COMPUTED_VALUE"""),0)</f>
        <v>0</v>
      </c>
      <c r="N336" s="7">
        <f ca="1">IFERROR(__xludf.DUMMYFUNCTION("""COMPUTED_VALUE"""),0)</f>
        <v>0</v>
      </c>
      <c r="O336" s="7">
        <f ca="1">IFERROR(__xludf.DUMMYFUNCTION("""COMPUTED_VALUE"""),0)</f>
        <v>0</v>
      </c>
      <c r="P336" s="7">
        <f ca="1">IFERROR(__xludf.DUMMYFUNCTION("""COMPUTED_VALUE"""),0)</f>
        <v>0</v>
      </c>
      <c r="Q336" s="7">
        <f ca="1">IFERROR(__xludf.DUMMYFUNCTION("""COMPUTED_VALUE"""),900)</f>
        <v>900</v>
      </c>
      <c r="R336" s="7">
        <f ca="1">IFERROR(__xludf.DUMMYFUNCTION("""COMPUTED_VALUE"""),0)</f>
        <v>0</v>
      </c>
      <c r="S336" s="7">
        <f ca="1">IFERROR(__xludf.DUMMYFUNCTION("""COMPUTED_VALUE"""),0)</f>
        <v>0</v>
      </c>
      <c r="T336" s="7">
        <f ca="1">IFERROR(__xludf.DUMMYFUNCTION("""COMPUTED_VALUE"""),106.6)</f>
        <v>106.6</v>
      </c>
      <c r="U336" s="61"/>
      <c r="V336" s="61"/>
      <c r="W336" s="61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IFERROR(__xludf.DUMMYFUNCTION("""COMPUTED_VALUE"""),"Bom Jesus do Tocantins")</f>
        <v>Bom Jesus do Tocantins</v>
      </c>
      <c r="C337" s="60" t="str">
        <f ca="1">IFERROR(__xludf.DUMMYFUNCTION("""COMPUTED_VALUE"""),"ASSOC. DE AP.A ESC. EST. ALFREDO NASSER")</f>
        <v>ASSOC. DE AP.A ESC. EST. ALFREDO NASSER</v>
      </c>
      <c r="D337" s="136" t="str">
        <f ca="1">IFERROR(__xludf.DUMMYFUNCTION("""COMPUTED_VALUE"""),"01138329000186")</f>
        <v>01138329000186</v>
      </c>
      <c r="E337" s="6" t="str">
        <f ca="1">IFERROR(__xludf.DUMMYFUNCTION("""COMPUTED_VALUE"""),"001")</f>
        <v>001</v>
      </c>
      <c r="F337" s="7" t="str">
        <f ca="1">IFERROR(__xludf.DUMMYFUNCTION("""COMPUTED_VALUE"""),"1595")</f>
        <v>1595</v>
      </c>
      <c r="G337" s="7" t="str">
        <f ca="1">IFERROR(__xludf.DUMMYFUNCTION("""COMPUTED_VALUE"""),"59277")</f>
        <v>59277</v>
      </c>
      <c r="H337" s="7">
        <f ca="1">IFERROR(__xludf.DUMMYFUNCTION("""COMPUTED_VALUE"""),0)</f>
        <v>0</v>
      </c>
      <c r="I337" s="7">
        <f ca="1">IFERROR(__xludf.DUMMYFUNCTION("""COMPUTED_VALUE"""),0)</f>
        <v>0</v>
      </c>
      <c r="J337" s="7">
        <f ca="1">IFERROR(__xludf.DUMMYFUNCTION("""COMPUTED_VALUE"""),2600)</f>
        <v>2600</v>
      </c>
      <c r="K337" s="7">
        <f ca="1">IFERROR(__xludf.DUMMYFUNCTION("""COMPUTED_VALUE"""),0)</f>
        <v>0</v>
      </c>
      <c r="L337" s="7">
        <f ca="1">IFERROR(__xludf.DUMMYFUNCTION("""COMPUTED_VALUE"""),0)</f>
        <v>0</v>
      </c>
      <c r="M337" s="7">
        <f ca="1">IFERROR(__xludf.DUMMYFUNCTION("""COMPUTED_VALUE"""),0)</f>
        <v>0</v>
      </c>
      <c r="N337" s="7">
        <f ca="1">IFERROR(__xludf.DUMMYFUNCTION("""COMPUTED_VALUE"""),0)</f>
        <v>0</v>
      </c>
      <c r="O337" s="7">
        <f ca="1">IFERROR(__xludf.DUMMYFUNCTION("""COMPUTED_VALUE"""),0)</f>
        <v>0</v>
      </c>
      <c r="P337" s="7">
        <f ca="1">IFERROR(__xludf.DUMMYFUNCTION("""COMPUTED_VALUE"""),0)</f>
        <v>0</v>
      </c>
      <c r="Q337" s="7">
        <f ca="1">IFERROR(__xludf.DUMMYFUNCTION("""COMPUTED_VALUE"""),2010)</f>
        <v>2010</v>
      </c>
      <c r="R337" s="7">
        <f ca="1">IFERROR(__xludf.DUMMYFUNCTION("""COMPUTED_VALUE"""),0)</f>
        <v>0</v>
      </c>
      <c r="S337" s="7">
        <f ca="1">IFERROR(__xludf.DUMMYFUNCTION("""COMPUTED_VALUE"""),0)</f>
        <v>0</v>
      </c>
      <c r="T337" s="7">
        <f ca="1">IFERROR(__xludf.DUMMYFUNCTION("""COMPUTED_VALUE"""),0)</f>
        <v>0</v>
      </c>
      <c r="U337" s="61"/>
      <c r="V337" s="61"/>
      <c r="W337" s="61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IFERROR(__xludf.DUMMYFUNCTION("""COMPUTED_VALUE"""),"Centenario")</f>
        <v>Centenario</v>
      </c>
      <c r="C338" s="60" t="str">
        <f ca="1">IFERROR(__xludf.DUMMYFUNCTION("""COMPUTED_VALUE"""),"A. ESC. COM. DO COL. EST. OTONIEL C.DE JESUS")</f>
        <v>A. ESC. COM. DO COL. EST. OTONIEL C.DE JESUS</v>
      </c>
      <c r="D338" s="136" t="str">
        <f ca="1">IFERROR(__xludf.DUMMYFUNCTION("""COMPUTED_VALUE"""),"02008180000183")</f>
        <v>02008180000183</v>
      </c>
      <c r="E338" s="6" t="str">
        <f ca="1">IFERROR(__xludf.DUMMYFUNCTION("""COMPUTED_VALUE"""),"001")</f>
        <v>001</v>
      </c>
      <c r="F338" s="7" t="str">
        <f ca="1">IFERROR(__xludf.DUMMYFUNCTION("""COMPUTED_VALUE"""),"1595")</f>
        <v>1595</v>
      </c>
      <c r="G338" s="7" t="str">
        <f ca="1">IFERROR(__xludf.DUMMYFUNCTION("""COMPUTED_VALUE"""),"10081")</f>
        <v>10081</v>
      </c>
      <c r="H338" s="7">
        <f ca="1">IFERROR(__xludf.DUMMYFUNCTION("""COMPUTED_VALUE"""),0)</f>
        <v>0</v>
      </c>
      <c r="I338" s="7">
        <f ca="1">IFERROR(__xludf.DUMMYFUNCTION("""COMPUTED_VALUE"""),0)</f>
        <v>0</v>
      </c>
      <c r="J338" s="7">
        <f ca="1">IFERROR(__xludf.DUMMYFUNCTION("""COMPUTED_VALUE"""),320)</f>
        <v>320</v>
      </c>
      <c r="K338" s="7">
        <f ca="1">IFERROR(__xludf.DUMMYFUNCTION("""COMPUTED_VALUE"""),0)</f>
        <v>0</v>
      </c>
      <c r="L338" s="7">
        <f ca="1">IFERROR(__xludf.DUMMYFUNCTION("""COMPUTED_VALUE"""),0)</f>
        <v>0</v>
      </c>
      <c r="M338" s="7">
        <f ca="1">IFERROR(__xludf.DUMMYFUNCTION("""COMPUTED_VALUE"""),0)</f>
        <v>0</v>
      </c>
      <c r="N338" s="7">
        <f ca="1">IFERROR(__xludf.DUMMYFUNCTION("""COMPUTED_VALUE"""),0)</f>
        <v>0</v>
      </c>
      <c r="O338" s="7">
        <f ca="1">IFERROR(__xludf.DUMMYFUNCTION("""COMPUTED_VALUE"""),0)</f>
        <v>0</v>
      </c>
      <c r="P338" s="7">
        <f ca="1">IFERROR(__xludf.DUMMYFUNCTION("""COMPUTED_VALUE"""),0)</f>
        <v>0</v>
      </c>
      <c r="Q338" s="7">
        <f ca="1">IFERROR(__xludf.DUMMYFUNCTION("""COMPUTED_VALUE"""),1100)</f>
        <v>1100</v>
      </c>
      <c r="R338" s="7">
        <f ca="1">IFERROR(__xludf.DUMMYFUNCTION("""COMPUTED_VALUE"""),0)</f>
        <v>0</v>
      </c>
      <c r="S338" s="7">
        <f ca="1">IFERROR(__xludf.DUMMYFUNCTION("""COMPUTED_VALUE"""),0)</f>
        <v>0</v>
      </c>
      <c r="T338" s="7">
        <f ca="1">IFERROR(__xludf.DUMMYFUNCTION("""COMPUTED_VALUE"""),0)</f>
        <v>0</v>
      </c>
      <c r="U338" s="61"/>
      <c r="V338" s="61"/>
      <c r="W338" s="61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IFERROR(__xludf.DUMMYFUNCTION("""COMPUTED_VALUE"""),"Itacaja")</f>
        <v>Itacaja</v>
      </c>
      <c r="C339" s="60" t="str">
        <f ca="1">IFERROR(__xludf.DUMMYFUNCTION("""COMPUTED_VALUE"""),"A.A. COLEGIO ESTADUAL DE ITACAJA")</f>
        <v>A.A. COLEGIO ESTADUAL DE ITACAJA</v>
      </c>
      <c r="D339" s="136" t="str">
        <f ca="1">IFERROR(__xludf.DUMMYFUNCTION("""COMPUTED_VALUE"""),"01138428000168")</f>
        <v>01138428000168</v>
      </c>
      <c r="E339" s="6" t="str">
        <f ca="1">IFERROR(__xludf.DUMMYFUNCTION("""COMPUTED_VALUE"""),"001")</f>
        <v>001</v>
      </c>
      <c r="F339" s="7" t="str">
        <f ca="1">IFERROR(__xludf.DUMMYFUNCTION("""COMPUTED_VALUE"""),"1595")</f>
        <v>1595</v>
      </c>
      <c r="G339" s="7" t="str">
        <f ca="1">IFERROR(__xludf.DUMMYFUNCTION("""COMPUTED_VALUE"""),"59773")</f>
        <v>59773</v>
      </c>
      <c r="H339" s="7">
        <f ca="1">IFERROR(__xludf.DUMMYFUNCTION("""COMPUTED_VALUE"""),0)</f>
        <v>0</v>
      </c>
      <c r="I339" s="7">
        <f ca="1">IFERROR(__xludf.DUMMYFUNCTION("""COMPUTED_VALUE"""),0)</f>
        <v>0</v>
      </c>
      <c r="J339" s="7">
        <f ca="1">IFERROR(__xludf.DUMMYFUNCTION("""COMPUTED_VALUE"""),3080)</f>
        <v>3080</v>
      </c>
      <c r="K339" s="7">
        <f ca="1">IFERROR(__xludf.DUMMYFUNCTION("""COMPUTED_VALUE"""),0)</f>
        <v>0</v>
      </c>
      <c r="L339" s="7">
        <f ca="1">IFERROR(__xludf.DUMMYFUNCTION("""COMPUTED_VALUE"""),0)</f>
        <v>0</v>
      </c>
      <c r="M339" s="7">
        <f ca="1">IFERROR(__xludf.DUMMYFUNCTION("""COMPUTED_VALUE"""),0)</f>
        <v>0</v>
      </c>
      <c r="N339" s="7">
        <f ca="1">IFERROR(__xludf.DUMMYFUNCTION("""COMPUTED_VALUE"""),0)</f>
        <v>0</v>
      </c>
      <c r="O339" s="7">
        <f ca="1">IFERROR(__xludf.DUMMYFUNCTION("""COMPUTED_VALUE"""),0)</f>
        <v>0</v>
      </c>
      <c r="P339" s="7">
        <f ca="1">IFERROR(__xludf.DUMMYFUNCTION("""COMPUTED_VALUE"""),0)</f>
        <v>0</v>
      </c>
      <c r="Q339" s="7">
        <f ca="1">IFERROR(__xludf.DUMMYFUNCTION("""COMPUTED_VALUE"""),2130)</f>
        <v>2130</v>
      </c>
      <c r="R339" s="7">
        <f ca="1">IFERROR(__xludf.DUMMYFUNCTION("""COMPUTED_VALUE"""),0)</f>
        <v>0</v>
      </c>
      <c r="S339" s="7">
        <f ca="1">IFERROR(__xludf.DUMMYFUNCTION("""COMPUTED_VALUE"""),0)</f>
        <v>0</v>
      </c>
      <c r="T339" s="7">
        <f ca="1">IFERROR(__xludf.DUMMYFUNCTION("""COMPUTED_VALUE"""),0)</f>
        <v>0</v>
      </c>
      <c r="U339" s="61"/>
      <c r="V339" s="61"/>
      <c r="W339" s="61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IFERROR(__xludf.DUMMYFUNCTION("""COMPUTED_VALUE"""),"Itacaja")</f>
        <v>Itacaja</v>
      </c>
      <c r="C340" s="60" t="str">
        <f ca="1">IFERROR(__xludf.DUMMYFUNCTION("""COMPUTED_VALUE"""),"ASSOC. APOIO ESC. EST. ALMEIDA SARDINHA")</f>
        <v>ASSOC. APOIO ESC. EST. ALMEIDA SARDINHA</v>
      </c>
      <c r="D340" s="136" t="str">
        <f ca="1">IFERROR(__xludf.DUMMYFUNCTION("""COMPUTED_VALUE"""),"01138335000133")</f>
        <v>01138335000133</v>
      </c>
      <c r="E340" s="6" t="str">
        <f ca="1">IFERROR(__xludf.DUMMYFUNCTION("""COMPUTED_VALUE"""),"001")</f>
        <v>001</v>
      </c>
      <c r="F340" s="7" t="str">
        <f ca="1">IFERROR(__xludf.DUMMYFUNCTION("""COMPUTED_VALUE"""),"2094")</f>
        <v>2094</v>
      </c>
      <c r="G340" s="7" t="str">
        <f ca="1">IFERROR(__xludf.DUMMYFUNCTION("""COMPUTED_VALUE"""),"466484")</f>
        <v>466484</v>
      </c>
      <c r="H340" s="7">
        <f ca="1">IFERROR(__xludf.DUMMYFUNCTION("""COMPUTED_VALUE"""),0)</f>
        <v>0</v>
      </c>
      <c r="I340" s="7">
        <f ca="1">IFERROR(__xludf.DUMMYFUNCTION("""COMPUTED_VALUE"""),0)</f>
        <v>0</v>
      </c>
      <c r="J340" s="7">
        <f ca="1">IFERROR(__xludf.DUMMYFUNCTION("""COMPUTED_VALUE"""),920)</f>
        <v>920</v>
      </c>
      <c r="K340" s="7">
        <f ca="1">IFERROR(__xludf.DUMMYFUNCTION("""COMPUTED_VALUE"""),0)</f>
        <v>0</v>
      </c>
      <c r="L340" s="7">
        <f ca="1">IFERROR(__xludf.DUMMYFUNCTION("""COMPUTED_VALUE"""),0)</f>
        <v>0</v>
      </c>
      <c r="M340" s="7">
        <f ca="1">IFERROR(__xludf.DUMMYFUNCTION("""COMPUTED_VALUE"""),0)</f>
        <v>0</v>
      </c>
      <c r="N340" s="7">
        <f ca="1">IFERROR(__xludf.DUMMYFUNCTION("""COMPUTED_VALUE"""),0)</f>
        <v>0</v>
      </c>
      <c r="O340" s="7">
        <f ca="1">IFERROR(__xludf.DUMMYFUNCTION("""COMPUTED_VALUE"""),0)</f>
        <v>0</v>
      </c>
      <c r="P340" s="7">
        <f ca="1">IFERROR(__xludf.DUMMYFUNCTION("""COMPUTED_VALUE"""),108.8)</f>
        <v>108.8</v>
      </c>
      <c r="Q340" s="7">
        <f ca="1">IFERROR(__xludf.DUMMYFUNCTION("""COMPUTED_VALUE"""),500)</f>
        <v>500</v>
      </c>
      <c r="R340" s="7">
        <f ca="1">IFERROR(__xludf.DUMMYFUNCTION("""COMPUTED_VALUE"""),0)</f>
        <v>0</v>
      </c>
      <c r="S340" s="7">
        <f ca="1">IFERROR(__xludf.DUMMYFUNCTION("""COMPUTED_VALUE"""),0)</f>
        <v>0</v>
      </c>
      <c r="T340" s="7">
        <f ca="1">IFERROR(__xludf.DUMMYFUNCTION("""COMPUTED_VALUE"""),328)</f>
        <v>328</v>
      </c>
      <c r="U340" s="61"/>
      <c r="V340" s="61"/>
      <c r="W340" s="61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IFERROR(__xludf.DUMMYFUNCTION("""COMPUTED_VALUE"""),"Itacajá")</f>
        <v>Itacajá</v>
      </c>
      <c r="C341" s="60" t="str">
        <f ca="1">IFERROR(__xludf.DUMMYFUNCTION("""COMPUTED_VALUE"""),"A.A. ESCOLAS ESTADUAIS INDIGENAS DE ITACAJA II")</f>
        <v>A.A. ESCOLAS ESTADUAIS INDIGENAS DE ITACAJA II</v>
      </c>
      <c r="D341" s="136" t="str">
        <f ca="1">IFERROR(__xludf.DUMMYFUNCTION("""COMPUTED_VALUE"""),"43551682000133")</f>
        <v>43551682000133</v>
      </c>
      <c r="E341" s="6" t="str">
        <f ca="1">IFERROR(__xludf.DUMMYFUNCTION("""COMPUTED_VALUE"""),"001")</f>
        <v>001</v>
      </c>
      <c r="F341" s="7" t="str">
        <f ca="1">IFERROR(__xludf.DUMMYFUNCTION("""COMPUTED_VALUE"""),"1595")</f>
        <v>1595</v>
      </c>
      <c r="G341" s="7" t="str">
        <f ca="1">IFERROR(__xludf.DUMMYFUNCTION("""COMPUTED_VALUE"""),"327905")</f>
        <v>327905</v>
      </c>
      <c r="H341" s="7">
        <f ca="1">IFERROR(__xludf.DUMMYFUNCTION("""COMPUTED_VALUE"""),0)</f>
        <v>0</v>
      </c>
      <c r="I341" s="7">
        <f ca="1">IFERROR(__xludf.DUMMYFUNCTION("""COMPUTED_VALUE"""),0)</f>
        <v>0</v>
      </c>
      <c r="J341" s="7">
        <f ca="1">IFERROR(__xludf.DUMMYFUNCTION("""COMPUTED_VALUE"""),0)</f>
        <v>0</v>
      </c>
      <c r="K341" s="7">
        <f ca="1">IFERROR(__xludf.DUMMYFUNCTION("""COMPUTED_VALUE"""),0)</f>
        <v>0</v>
      </c>
      <c r="L341" s="7">
        <f ca="1">IFERROR(__xludf.DUMMYFUNCTION("""COMPUTED_VALUE"""),0)</f>
        <v>0</v>
      </c>
      <c r="M341" s="7">
        <f ca="1">IFERROR(__xludf.DUMMYFUNCTION("""COMPUTED_VALUE"""),0)</f>
        <v>0</v>
      </c>
      <c r="N341" s="7">
        <f ca="1">IFERROR(__xludf.DUMMYFUNCTION("""COMPUTED_VALUE"""),0)</f>
        <v>0</v>
      </c>
      <c r="O341" s="7">
        <f ca="1">IFERROR(__xludf.DUMMYFUNCTION("""COMPUTED_VALUE"""),2803.6)</f>
        <v>2803.6</v>
      </c>
      <c r="P341" s="7">
        <f ca="1">IFERROR(__xludf.DUMMYFUNCTION("""COMPUTED_VALUE"""),0)</f>
        <v>0</v>
      </c>
      <c r="Q341" s="7">
        <f ca="1">IFERROR(__xludf.DUMMYFUNCTION("""COMPUTED_VALUE"""),0)</f>
        <v>0</v>
      </c>
      <c r="R341" s="7">
        <f ca="1">IFERROR(__xludf.DUMMYFUNCTION("""COMPUTED_VALUE"""),0)</f>
        <v>0</v>
      </c>
      <c r="S341" s="7">
        <f ca="1">IFERROR(__xludf.DUMMYFUNCTION("""COMPUTED_VALUE"""),0)</f>
        <v>0</v>
      </c>
      <c r="T341" s="7">
        <f ca="1">IFERROR(__xludf.DUMMYFUNCTION("""COMPUTED_VALUE"""),0)</f>
        <v>0</v>
      </c>
      <c r="U341" s="61"/>
      <c r="V341" s="61"/>
      <c r="W341" s="61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0" t="str">
        <f ca="1">IFERROR(__xludf.DUMMYFUNCTION("""COMPUTED_VALUE"""),"A.A. EC.INDIGENAS")</f>
        <v>A.A. EC.INDIGENAS</v>
      </c>
      <c r="D342" s="136" t="str">
        <f ca="1">IFERROR(__xludf.DUMMYFUNCTION("""COMPUTED_VALUE"""),"06135108000178")</f>
        <v>06135108000178</v>
      </c>
      <c r="E342" s="6" t="str">
        <f ca="1">IFERROR(__xludf.DUMMYFUNCTION("""COMPUTED_VALUE"""),"001")</f>
        <v>001</v>
      </c>
      <c r="F342" s="7" t="str">
        <f ca="1">IFERROR(__xludf.DUMMYFUNCTION("""COMPUTED_VALUE"""),"1595")</f>
        <v>1595</v>
      </c>
      <c r="G342" s="7" t="str">
        <f ca="1">IFERROR(__xludf.DUMMYFUNCTION("""COMPUTED_VALUE"""),"114499")</f>
        <v>114499</v>
      </c>
      <c r="H342" s="7">
        <f ca="1">IFERROR(__xludf.DUMMYFUNCTION("""COMPUTED_VALUE"""),0)</f>
        <v>0</v>
      </c>
      <c r="I342" s="7">
        <f ca="1">IFERROR(__xludf.DUMMYFUNCTION("""COMPUTED_VALUE"""),0)</f>
        <v>0</v>
      </c>
      <c r="J342" s="7">
        <f ca="1">IFERROR(__xludf.DUMMYFUNCTION("""COMPUTED_VALUE"""),0)</f>
        <v>0</v>
      </c>
      <c r="K342" s="7">
        <f ca="1">IFERROR(__xludf.DUMMYFUNCTION("""COMPUTED_VALUE"""),0)</f>
        <v>0</v>
      </c>
      <c r="L342" s="7">
        <f ca="1">IFERROR(__xludf.DUMMYFUNCTION("""COMPUTED_VALUE"""),0)</f>
        <v>0</v>
      </c>
      <c r="M342" s="7">
        <f ca="1">IFERROR(__xludf.DUMMYFUNCTION("""COMPUTED_VALUE"""),0)</f>
        <v>0</v>
      </c>
      <c r="N342" s="7">
        <f ca="1">IFERROR(__xludf.DUMMYFUNCTION("""COMPUTED_VALUE"""),0)</f>
        <v>0</v>
      </c>
      <c r="O342" s="7">
        <f ca="1">IFERROR(__xludf.DUMMYFUNCTION("""COMPUTED_VALUE"""),18868.3999999999)</f>
        <v>18868.3999999999</v>
      </c>
      <c r="P342" s="7">
        <f ca="1">IFERROR(__xludf.DUMMYFUNCTION("""COMPUTED_VALUE"""),0)</f>
        <v>0</v>
      </c>
      <c r="Q342" s="7">
        <f ca="1">IFERROR(__xludf.DUMMYFUNCTION("""COMPUTED_VALUE"""),0)</f>
        <v>0</v>
      </c>
      <c r="R342" s="7">
        <f ca="1">IFERROR(__xludf.DUMMYFUNCTION("""COMPUTED_VALUE"""),0)</f>
        <v>0</v>
      </c>
      <c r="S342" s="7">
        <f ca="1">IFERROR(__xludf.DUMMYFUNCTION("""COMPUTED_VALUE"""),0)</f>
        <v>0</v>
      </c>
      <c r="T342" s="7">
        <f ca="1">IFERROR(__xludf.DUMMYFUNCTION("""COMPUTED_VALUE"""),0)</f>
        <v>0</v>
      </c>
      <c r="U342" s="61"/>
      <c r="V342" s="61"/>
      <c r="W342" s="61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0" t="str">
        <f ca="1">IFERROR(__xludf.DUMMYFUNCTION("""COMPUTED_VALUE"""),"A.A. E. EST.IS.DA REG.DE ENS.DE GUARAI")</f>
        <v>A.A. E. EST.IS.DA REG.DE ENS.DE GUARAI</v>
      </c>
      <c r="D343" s="136" t="str">
        <f ca="1">IFERROR(__xludf.DUMMYFUNCTION("""COMPUTED_VALUE"""),"02508361000179")</f>
        <v>02508361000179</v>
      </c>
      <c r="E343" s="6" t="str">
        <f ca="1">IFERROR(__xludf.DUMMYFUNCTION("""COMPUTED_VALUE"""),"001")</f>
        <v>001</v>
      </c>
      <c r="F343" s="7" t="str">
        <f ca="1">IFERROR(__xludf.DUMMYFUNCTION("""COMPUTED_VALUE"""),"1595")</f>
        <v>1595</v>
      </c>
      <c r="G343" s="7" t="str">
        <f ca="1">IFERROR(__xludf.DUMMYFUNCTION("""COMPUTED_VALUE"""),"110663")</f>
        <v>110663</v>
      </c>
      <c r="H343" s="7">
        <f ca="1">IFERROR(__xludf.DUMMYFUNCTION("""COMPUTED_VALUE"""),0)</f>
        <v>0</v>
      </c>
      <c r="I343" s="7">
        <f ca="1">IFERROR(__xludf.DUMMYFUNCTION("""COMPUTED_VALUE"""),0)</f>
        <v>0</v>
      </c>
      <c r="J343" s="7">
        <f ca="1">IFERROR(__xludf.DUMMYFUNCTION("""COMPUTED_VALUE"""),720)</f>
        <v>720</v>
      </c>
      <c r="K343" s="7">
        <f ca="1">IFERROR(__xludf.DUMMYFUNCTION("""COMPUTED_VALUE"""),0)</f>
        <v>0</v>
      </c>
      <c r="L343" s="7">
        <f ca="1">IFERROR(__xludf.DUMMYFUNCTION("""COMPUTED_VALUE"""),0)</f>
        <v>0</v>
      </c>
      <c r="M343" s="7">
        <f ca="1">IFERROR(__xludf.DUMMYFUNCTION("""COMPUTED_VALUE"""),0)</f>
        <v>0</v>
      </c>
      <c r="N343" s="7">
        <f ca="1">IFERROR(__xludf.DUMMYFUNCTION("""COMPUTED_VALUE"""),0)</f>
        <v>0</v>
      </c>
      <c r="O343" s="7">
        <f ca="1">IFERROR(__xludf.DUMMYFUNCTION("""COMPUTED_VALUE"""),0)</f>
        <v>0</v>
      </c>
      <c r="P343" s="7">
        <f ca="1">IFERROR(__xludf.DUMMYFUNCTION("""COMPUTED_VALUE"""),40.8)</f>
        <v>40.799999999999997</v>
      </c>
      <c r="Q343" s="7">
        <f ca="1">IFERROR(__xludf.DUMMYFUNCTION("""COMPUTED_VALUE"""),350)</f>
        <v>350</v>
      </c>
      <c r="R343" s="7">
        <f ca="1">IFERROR(__xludf.DUMMYFUNCTION("""COMPUTED_VALUE"""),0)</f>
        <v>0</v>
      </c>
      <c r="S343" s="7">
        <f ca="1">IFERROR(__xludf.DUMMYFUNCTION("""COMPUTED_VALUE"""),0)</f>
        <v>0</v>
      </c>
      <c r="T343" s="7">
        <f ca="1">IFERROR(__xludf.DUMMYFUNCTION("""COMPUTED_VALUE"""),0)</f>
        <v>0</v>
      </c>
      <c r="U343" s="61"/>
      <c r="V343" s="61"/>
      <c r="W343" s="61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0" t="str">
        <f ca="1">IFERROR(__xludf.DUMMYFUNCTION("""COMPUTED_VALUE"""),"A.A. ESCOLAR DO COLEGIO EST.CRISTO REI")</f>
        <v>A.A. ESCOLAR DO COLEGIO EST.CRISTO REI</v>
      </c>
      <c r="D344" s="136" t="str">
        <f ca="1">IFERROR(__xludf.DUMMYFUNCTION("""COMPUTED_VALUE"""),"02250658000187")</f>
        <v>02250658000187</v>
      </c>
      <c r="E344" s="6" t="str">
        <f ca="1">IFERROR(__xludf.DUMMYFUNCTION("""COMPUTED_VALUE"""),"001")</f>
        <v>001</v>
      </c>
      <c r="F344" s="7" t="str">
        <f ca="1">IFERROR(__xludf.DUMMYFUNCTION("""COMPUTED_VALUE"""),"1595")</f>
        <v>1595</v>
      </c>
      <c r="G344" s="7" t="str">
        <f ca="1">IFERROR(__xludf.DUMMYFUNCTION("""COMPUTED_VALUE"""),"66141")</f>
        <v>66141</v>
      </c>
      <c r="H344" s="7">
        <f ca="1">IFERROR(__xludf.DUMMYFUNCTION("""COMPUTED_VALUE"""),0)</f>
        <v>0</v>
      </c>
      <c r="I344" s="7">
        <f ca="1">IFERROR(__xludf.DUMMYFUNCTION("""COMPUTED_VALUE"""),0)</f>
        <v>0</v>
      </c>
      <c r="J344" s="7">
        <f ca="1">IFERROR(__xludf.DUMMYFUNCTION("""COMPUTED_VALUE"""),0)</f>
        <v>0</v>
      </c>
      <c r="K344" s="7">
        <f ca="1">IFERROR(__xludf.DUMMYFUNCTION("""COMPUTED_VALUE"""),0)</f>
        <v>0</v>
      </c>
      <c r="L344" s="7">
        <f ca="1">IFERROR(__xludf.DUMMYFUNCTION("""COMPUTED_VALUE"""),0)</f>
        <v>0</v>
      </c>
      <c r="M344" s="7">
        <f ca="1">IFERROR(__xludf.DUMMYFUNCTION("""COMPUTED_VALUE"""),0)</f>
        <v>0</v>
      </c>
      <c r="N344" s="7">
        <f ca="1">IFERROR(__xludf.DUMMYFUNCTION("""COMPUTED_VALUE"""),0)</f>
        <v>0</v>
      </c>
      <c r="O344" s="7">
        <f ca="1">IFERROR(__xludf.DUMMYFUNCTION("""COMPUTED_VALUE"""),0)</f>
        <v>0</v>
      </c>
      <c r="P344" s="7">
        <f ca="1">IFERROR(__xludf.DUMMYFUNCTION("""COMPUTED_VALUE"""),136)</f>
        <v>136</v>
      </c>
      <c r="Q344" s="7">
        <f ca="1">IFERROR(__xludf.DUMMYFUNCTION("""COMPUTED_VALUE"""),5320)</f>
        <v>5320</v>
      </c>
      <c r="R344" s="7">
        <f ca="1">IFERROR(__xludf.DUMMYFUNCTION("""COMPUTED_VALUE"""),0)</f>
        <v>0</v>
      </c>
      <c r="S344" s="7">
        <f ca="1">IFERROR(__xludf.DUMMYFUNCTION("""COMPUTED_VALUE"""),0)</f>
        <v>0</v>
      </c>
      <c r="T344" s="7">
        <f ca="1">IFERROR(__xludf.DUMMYFUNCTION("""COMPUTED_VALUE"""),0)</f>
        <v>0</v>
      </c>
      <c r="U344" s="61"/>
      <c r="V344" s="61"/>
      <c r="W344" s="61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IFERROR(__xludf.DUMMYFUNCTION("""COMPUTED_VALUE"""),"Pedro Afonso")</f>
        <v>Pedro Afonso</v>
      </c>
      <c r="C345" s="60" t="str">
        <f ca="1">IFERROR(__xludf.DUMMYFUNCTION("""COMPUTED_VALUE"""),"ASSOCIAÇÃO DE PAIS E AMIGOS DOS EXCEPCIONAIS DE PEDRO AFONSO")</f>
        <v>ASSOCIAÇÃO DE PAIS E AMIGOS DOS EXCEPCIONAIS DE PEDRO AFONSO</v>
      </c>
      <c r="D345" s="136" t="str">
        <f ca="1">IFERROR(__xludf.DUMMYFUNCTION("""COMPUTED_VALUE"""),"04406588000139")</f>
        <v>04406588000139</v>
      </c>
      <c r="E345" s="6" t="str">
        <f ca="1">IFERROR(__xludf.DUMMYFUNCTION("""COMPUTED_VALUE"""),"001")</f>
        <v>001</v>
      </c>
      <c r="F345" s="7" t="str">
        <f ca="1">IFERROR(__xludf.DUMMYFUNCTION("""COMPUTED_VALUE"""),"1595")</f>
        <v>1595</v>
      </c>
      <c r="G345" s="7" t="str">
        <f ca="1">IFERROR(__xludf.DUMMYFUNCTION("""COMPUTED_VALUE"""),"119105")</f>
        <v>119105</v>
      </c>
      <c r="H345" s="7">
        <f ca="1">IFERROR(__xludf.DUMMYFUNCTION("""COMPUTED_VALUE"""),0)</f>
        <v>0</v>
      </c>
      <c r="I345" s="7">
        <f ca="1">IFERROR(__xludf.DUMMYFUNCTION("""COMPUTED_VALUE"""),0)</f>
        <v>0</v>
      </c>
      <c r="J345" s="7">
        <f ca="1">IFERROR(__xludf.DUMMYFUNCTION("""COMPUTED_VALUE"""),50)</f>
        <v>50</v>
      </c>
      <c r="K345" s="7">
        <f ca="1">IFERROR(__xludf.DUMMYFUNCTION("""COMPUTED_VALUE"""),0)</f>
        <v>0</v>
      </c>
      <c r="L345" s="7">
        <f ca="1">IFERROR(__xludf.DUMMYFUNCTION("""COMPUTED_VALUE"""),0)</f>
        <v>0</v>
      </c>
      <c r="M345" s="7">
        <f ca="1">IFERROR(__xludf.DUMMYFUNCTION("""COMPUTED_VALUE"""),0)</f>
        <v>0</v>
      </c>
      <c r="N345" s="7">
        <f ca="1">IFERROR(__xludf.DUMMYFUNCTION("""COMPUTED_VALUE"""),0)</f>
        <v>0</v>
      </c>
      <c r="O345" s="7">
        <f ca="1">IFERROR(__xludf.DUMMYFUNCTION("""COMPUTED_VALUE"""),0)</f>
        <v>0</v>
      </c>
      <c r="P345" s="7">
        <f ca="1">IFERROR(__xludf.DUMMYFUNCTION("""COMPUTED_VALUE"""),312.8)</f>
        <v>312.8</v>
      </c>
      <c r="Q345" s="7">
        <f ca="1">IFERROR(__xludf.DUMMYFUNCTION("""COMPUTED_VALUE"""),0)</f>
        <v>0</v>
      </c>
      <c r="R345" s="7">
        <f ca="1">IFERROR(__xludf.DUMMYFUNCTION("""COMPUTED_VALUE"""),0)</f>
        <v>0</v>
      </c>
      <c r="S345" s="7">
        <f ca="1">IFERROR(__xludf.DUMMYFUNCTION("""COMPUTED_VALUE"""),0)</f>
        <v>0</v>
      </c>
      <c r="T345" s="7">
        <f ca="1">IFERROR(__xludf.DUMMYFUNCTION("""COMPUTED_VALUE"""),885.599999999999)</f>
        <v>885.599999999999</v>
      </c>
      <c r="U345" s="61"/>
      <c r="V345" s="61"/>
      <c r="W345" s="61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IFERROR(__xludf.DUMMYFUNCTION("""COMPUTED_VALUE"""),"Pedro Afonso")</f>
        <v>Pedro Afonso</v>
      </c>
      <c r="C346" s="60" t="str">
        <f ca="1">IFERROR(__xludf.DUMMYFUNCTION("""COMPUTED_VALUE"""),"A. DE PAIS E MEST. DA ESC. EST. ANA AMORIM")</f>
        <v>A. DE PAIS E MEST. DA ESC. EST. ANA AMORIM</v>
      </c>
      <c r="D346" s="136" t="str">
        <f ca="1">IFERROR(__xludf.DUMMYFUNCTION("""COMPUTED_VALUE"""),"01990364000129")</f>
        <v>01990364000129</v>
      </c>
      <c r="E346" s="6" t="str">
        <f ca="1">IFERROR(__xludf.DUMMYFUNCTION("""COMPUTED_VALUE"""),"001")</f>
        <v>001</v>
      </c>
      <c r="F346" s="7" t="str">
        <f ca="1">IFERROR(__xludf.DUMMYFUNCTION("""COMPUTED_VALUE"""),"1595")</f>
        <v>1595</v>
      </c>
      <c r="G346" s="7" t="str">
        <f ca="1">IFERROR(__xludf.DUMMYFUNCTION("""COMPUTED_VALUE"""),"59722")</f>
        <v>59722</v>
      </c>
      <c r="H346" s="7">
        <f ca="1">IFERROR(__xludf.DUMMYFUNCTION("""COMPUTED_VALUE"""),0)</f>
        <v>0</v>
      </c>
      <c r="I346" s="7">
        <f ca="1">IFERROR(__xludf.DUMMYFUNCTION("""COMPUTED_VALUE"""),0)</f>
        <v>0</v>
      </c>
      <c r="J346" s="7">
        <f ca="1">IFERROR(__xludf.DUMMYFUNCTION("""COMPUTED_VALUE"""),4920)</f>
        <v>4920</v>
      </c>
      <c r="K346" s="7">
        <f ca="1">IFERROR(__xludf.DUMMYFUNCTION("""COMPUTED_VALUE"""),0)</f>
        <v>0</v>
      </c>
      <c r="L346" s="7">
        <f ca="1">IFERROR(__xludf.DUMMYFUNCTION("""COMPUTED_VALUE"""),0)</f>
        <v>0</v>
      </c>
      <c r="M346" s="7">
        <f ca="1">IFERROR(__xludf.DUMMYFUNCTION("""COMPUTED_VALUE"""),0)</f>
        <v>0</v>
      </c>
      <c r="N346" s="7">
        <f ca="1">IFERROR(__xludf.DUMMYFUNCTION("""COMPUTED_VALUE"""),0)</f>
        <v>0</v>
      </c>
      <c r="O346" s="7">
        <f ca="1">IFERROR(__xludf.DUMMYFUNCTION("""COMPUTED_VALUE"""),0)</f>
        <v>0</v>
      </c>
      <c r="P346" s="7">
        <f ca="1">IFERROR(__xludf.DUMMYFUNCTION("""COMPUTED_VALUE"""),190.4)</f>
        <v>190.4</v>
      </c>
      <c r="Q346" s="7">
        <f ca="1">IFERROR(__xludf.DUMMYFUNCTION("""COMPUTED_VALUE"""),0)</f>
        <v>0</v>
      </c>
      <c r="R346" s="7">
        <f ca="1">IFERROR(__xludf.DUMMYFUNCTION("""COMPUTED_VALUE"""),0)</f>
        <v>0</v>
      </c>
      <c r="S346" s="7">
        <f ca="1">IFERROR(__xludf.DUMMYFUNCTION("""COMPUTED_VALUE"""),0)</f>
        <v>0</v>
      </c>
      <c r="T346" s="7">
        <f ca="1">IFERROR(__xludf.DUMMYFUNCTION("""COMPUTED_VALUE"""),754.4)</f>
        <v>754.4</v>
      </c>
      <c r="U346" s="61"/>
      <c r="V346" s="61"/>
      <c r="W346" s="61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IFERROR(__xludf.DUMMYFUNCTION("""COMPUTED_VALUE"""),"Pedro Afonso")</f>
        <v>Pedro Afonso</v>
      </c>
      <c r="C347" s="60" t="str">
        <f ca="1">IFERROR(__xludf.DUMMYFUNCTION("""COMPUTED_VALUE"""),"ASS. DE APOIO A ESCOLA ESTADUAL BOM TEMPO")</f>
        <v>ASS. DE APOIO A ESCOLA ESTADUAL BOM TEMPO</v>
      </c>
      <c r="D347" s="136" t="str">
        <f ca="1">IFERROR(__xludf.DUMMYFUNCTION("""COMPUTED_VALUE"""),"44776099000193")</f>
        <v>44776099000193</v>
      </c>
      <c r="E347" s="6" t="str">
        <f ca="1">IFERROR(__xludf.DUMMYFUNCTION("""COMPUTED_VALUE"""),"001")</f>
        <v>001</v>
      </c>
      <c r="F347" s="7" t="str">
        <f ca="1">IFERROR(__xludf.DUMMYFUNCTION("""COMPUTED_VALUE"""),"1595")</f>
        <v>1595</v>
      </c>
      <c r="G347" s="7" t="str">
        <f ca="1">IFERROR(__xludf.DUMMYFUNCTION("""COMPUTED_VALUE"""),"324981")</f>
        <v>324981</v>
      </c>
      <c r="H347" s="7">
        <f ca="1">IFERROR(__xludf.DUMMYFUNCTION("""COMPUTED_VALUE"""),0)</f>
        <v>0</v>
      </c>
      <c r="I347" s="7">
        <f ca="1">IFERROR(__xludf.DUMMYFUNCTION("""COMPUTED_VALUE"""),0)</f>
        <v>0</v>
      </c>
      <c r="J347" s="7">
        <f ca="1">IFERROR(__xludf.DUMMYFUNCTION("""COMPUTED_VALUE"""),410)</f>
        <v>410</v>
      </c>
      <c r="K347" s="7">
        <f ca="1">IFERROR(__xludf.DUMMYFUNCTION("""COMPUTED_VALUE"""),0)</f>
        <v>0</v>
      </c>
      <c r="L347" s="7">
        <f ca="1">IFERROR(__xludf.DUMMYFUNCTION("""COMPUTED_VALUE"""),0)</f>
        <v>0</v>
      </c>
      <c r="M347" s="7">
        <f ca="1">IFERROR(__xludf.DUMMYFUNCTION("""COMPUTED_VALUE"""),0)</f>
        <v>0</v>
      </c>
      <c r="N347" s="7">
        <f ca="1">IFERROR(__xludf.DUMMYFUNCTION("""COMPUTED_VALUE"""),0)</f>
        <v>0</v>
      </c>
      <c r="O347" s="7">
        <f ca="1">IFERROR(__xludf.DUMMYFUNCTION("""COMPUTED_VALUE"""),0)</f>
        <v>0</v>
      </c>
      <c r="P347" s="7">
        <f ca="1">IFERROR(__xludf.DUMMYFUNCTION("""COMPUTED_VALUE"""),0)</f>
        <v>0</v>
      </c>
      <c r="Q347" s="7">
        <f ca="1">IFERROR(__xludf.DUMMYFUNCTION("""COMPUTED_VALUE"""),90)</f>
        <v>90</v>
      </c>
      <c r="R347" s="7">
        <f ca="1">IFERROR(__xludf.DUMMYFUNCTION("""COMPUTED_VALUE"""),0)</f>
        <v>0</v>
      </c>
      <c r="S347" s="7">
        <f ca="1">IFERROR(__xludf.DUMMYFUNCTION("""COMPUTED_VALUE"""),0)</f>
        <v>0</v>
      </c>
      <c r="T347" s="7">
        <f ca="1">IFERROR(__xludf.DUMMYFUNCTION("""COMPUTED_VALUE"""),106.6)</f>
        <v>106.6</v>
      </c>
      <c r="U347" s="61"/>
      <c r="V347" s="61"/>
      <c r="W347" s="61"/>
    </row>
    <row r="348" spans="1:23" ht="12.75">
      <c r="A348" t="str">
        <f ca="1">IFERROR(__xludf.DUMMYFUNCTION("""COMPUTED_VALUE"""),"Pedro Afonso")</f>
        <v>Pedro Afonso</v>
      </c>
      <c r="B348" t="str">
        <f ca="1">IFERROR(__xludf.DUMMYFUNCTION("""COMPUTED_VALUE"""),"Pedro Afonso")</f>
        <v>Pedro Afonso</v>
      </c>
      <c r="C348" s="60" t="str">
        <f ca="1">IFERROR(__xludf.DUMMYFUNCTION("""COMPUTED_VALUE"""),"A.A. AO COLÉGIO DE TEMPO INTEGRAL PROFESSOR ANTONIO BELARMINO FILHO")</f>
        <v>A.A. AO COLÉGIO DE TEMPO INTEGRAL PROFESSOR ANTONIO BELARMINO FILHO</v>
      </c>
      <c r="D348" s="136" t="str">
        <f ca="1">IFERROR(__xludf.DUMMYFUNCTION("""COMPUTED_VALUE"""),"47823286000179")</f>
        <v>47823286000179</v>
      </c>
      <c r="E348" s="6" t="str">
        <f ca="1">IFERROR(__xludf.DUMMYFUNCTION("""COMPUTED_VALUE"""),"001")</f>
        <v>001</v>
      </c>
      <c r="F348" s="7" t="str">
        <f ca="1">IFERROR(__xludf.DUMMYFUNCTION("""COMPUTED_VALUE"""),"1595")</f>
        <v>1595</v>
      </c>
      <c r="G348" s="7" t="str">
        <f ca="1">IFERROR(__xludf.DUMMYFUNCTION("""COMPUTED_VALUE"""),"334804")</f>
        <v>334804</v>
      </c>
      <c r="H348" s="7">
        <f ca="1">IFERROR(__xludf.DUMMYFUNCTION("""COMPUTED_VALUE"""),0)</f>
        <v>0</v>
      </c>
      <c r="I348" s="7">
        <f ca="1">IFERROR(__xludf.DUMMYFUNCTION("""COMPUTED_VALUE"""),0)</f>
        <v>0</v>
      </c>
      <c r="J348" s="7">
        <f ca="1">IFERROR(__xludf.DUMMYFUNCTION("""COMPUTED_VALUE"""),0)</f>
        <v>0</v>
      </c>
      <c r="K348" s="7">
        <f ca="1">IFERROR(__xludf.DUMMYFUNCTION("""COMPUTED_VALUE"""),11014.8)</f>
        <v>11014.8</v>
      </c>
      <c r="L348" s="7">
        <f ca="1">IFERROR(__xludf.DUMMYFUNCTION("""COMPUTED_VALUE"""),0)</f>
        <v>0</v>
      </c>
      <c r="M348" s="7">
        <f ca="1">IFERROR(__xludf.DUMMYFUNCTION("""COMPUTED_VALUE"""),0)</f>
        <v>0</v>
      </c>
      <c r="N348" s="7">
        <f ca="1">IFERROR(__xludf.DUMMYFUNCTION("""COMPUTED_VALUE"""),0)</f>
        <v>0</v>
      </c>
      <c r="O348" s="7">
        <f ca="1">IFERROR(__xludf.DUMMYFUNCTION("""COMPUTED_VALUE"""),0)</f>
        <v>0</v>
      </c>
      <c r="P348" s="7">
        <f ca="1">IFERROR(__xludf.DUMMYFUNCTION("""COMPUTED_VALUE"""),0)</f>
        <v>0</v>
      </c>
      <c r="Q348" s="7">
        <f ca="1">IFERROR(__xludf.DUMMYFUNCTION("""COMPUTED_VALUE"""),0)</f>
        <v>0</v>
      </c>
      <c r="R348" s="7">
        <f ca="1">IFERROR(__xludf.DUMMYFUNCTION("""COMPUTED_VALUE"""),2767.39999999999)</f>
        <v>2767.3999999999901</v>
      </c>
      <c r="S348" s="7">
        <f ca="1">IFERROR(__xludf.DUMMYFUNCTION("""COMPUTED_VALUE"""),0)</f>
        <v>0</v>
      </c>
      <c r="T348" s="7">
        <f ca="1">IFERROR(__xludf.DUMMYFUNCTION("""COMPUTED_VALUE"""),0)</f>
        <v>0</v>
      </c>
      <c r="U348" s="61"/>
      <c r="V348" s="61"/>
      <c r="W348" s="61"/>
    </row>
    <row r="349" spans="1:23" ht="12.75">
      <c r="A349" t="str">
        <f ca="1">IFERROR(__xludf.DUMMYFUNCTION("""COMPUTED_VALUE"""),"Pedro Afonso")</f>
        <v>Pedro Afonso</v>
      </c>
      <c r="B349" t="str">
        <f ca="1">IFERROR(__xludf.DUMMYFUNCTION("""COMPUTED_VALUE"""),"Recursolandia")</f>
        <v>Recursolandia</v>
      </c>
      <c r="C349" s="60" t="str">
        <f ca="1">IFERROR(__xludf.DUMMYFUNCTION("""COMPUTED_VALUE"""),"ASS. DE A. A ESCOLA EST. RECURSO I")</f>
        <v>ASS. DE A. A ESCOLA EST. RECURSO I</v>
      </c>
      <c r="D349" s="136" t="str">
        <f ca="1">IFERROR(__xludf.DUMMYFUNCTION("""COMPUTED_VALUE"""),"02021097000144")</f>
        <v>02021097000144</v>
      </c>
      <c r="E349" s="6" t="str">
        <f ca="1">IFERROR(__xludf.DUMMYFUNCTION("""COMPUTED_VALUE"""),"001")</f>
        <v>001</v>
      </c>
      <c r="F349" s="7" t="str">
        <f ca="1">IFERROR(__xludf.DUMMYFUNCTION("""COMPUTED_VALUE"""),"1595")</f>
        <v>1595</v>
      </c>
      <c r="G349" s="7" t="str">
        <f ca="1">IFERROR(__xludf.DUMMYFUNCTION("""COMPUTED_VALUE"""),"11029")</f>
        <v>11029</v>
      </c>
      <c r="H349" s="7">
        <f ca="1">IFERROR(__xludf.DUMMYFUNCTION("""COMPUTED_VALUE"""),0)</f>
        <v>0</v>
      </c>
      <c r="I349" s="7">
        <f ca="1">IFERROR(__xludf.DUMMYFUNCTION("""COMPUTED_VALUE"""),0)</f>
        <v>0</v>
      </c>
      <c r="J349" s="7">
        <f ca="1">IFERROR(__xludf.DUMMYFUNCTION("""COMPUTED_VALUE"""),1210)</f>
        <v>1210</v>
      </c>
      <c r="K349" s="7">
        <f ca="1">IFERROR(__xludf.DUMMYFUNCTION("""COMPUTED_VALUE"""),0)</f>
        <v>0</v>
      </c>
      <c r="L349" s="7">
        <f ca="1">IFERROR(__xludf.DUMMYFUNCTION("""COMPUTED_VALUE"""),0)</f>
        <v>0</v>
      </c>
      <c r="M349" s="7">
        <f ca="1">IFERROR(__xludf.DUMMYFUNCTION("""COMPUTED_VALUE"""),0)</f>
        <v>0</v>
      </c>
      <c r="N349" s="7">
        <f ca="1">IFERROR(__xludf.DUMMYFUNCTION("""COMPUTED_VALUE"""),0)</f>
        <v>0</v>
      </c>
      <c r="O349" s="7">
        <f ca="1">IFERROR(__xludf.DUMMYFUNCTION("""COMPUTED_VALUE"""),0)</f>
        <v>0</v>
      </c>
      <c r="P349" s="7">
        <f ca="1">IFERROR(__xludf.DUMMYFUNCTION("""COMPUTED_VALUE"""),0)</f>
        <v>0</v>
      </c>
      <c r="Q349" s="7">
        <f ca="1">IFERROR(__xludf.DUMMYFUNCTION("""COMPUTED_VALUE"""),1890)</f>
        <v>1890</v>
      </c>
      <c r="R349" s="7">
        <f ca="1">IFERROR(__xludf.DUMMYFUNCTION("""COMPUTED_VALUE"""),0)</f>
        <v>0</v>
      </c>
      <c r="S349" s="7">
        <f ca="1">IFERROR(__xludf.DUMMYFUNCTION("""COMPUTED_VALUE"""),0)</f>
        <v>0</v>
      </c>
      <c r="T349" s="7">
        <f ca="1">IFERROR(__xludf.DUMMYFUNCTION("""COMPUTED_VALUE"""),0)</f>
        <v>0</v>
      </c>
      <c r="U349" s="61"/>
      <c r="V349" s="61"/>
      <c r="W349" s="61"/>
    </row>
    <row r="350" spans="1:23" ht="12.75">
      <c r="A350" t="str">
        <f ca="1">IFERROR(__xludf.DUMMYFUNCTION("""COMPUTED_VALUE"""),"Pedro Afonso")</f>
        <v>Pedro Afonso</v>
      </c>
      <c r="B350" t="str">
        <f ca="1">IFERROR(__xludf.DUMMYFUNCTION("""COMPUTED_VALUE"""),"Santa Maria do Tocantins")</f>
        <v>Santa Maria do Tocantins</v>
      </c>
      <c r="C350" s="60" t="str">
        <f ca="1">IFERROR(__xludf.DUMMYFUNCTION("""COMPUTED_VALUE"""),"A. A.AS ESC.DO COL. EST. SANTA MARIA")</f>
        <v>A. A.AS ESC.DO COL. EST. SANTA MARIA</v>
      </c>
      <c r="D350" s="136" t="str">
        <f ca="1">IFERROR(__xludf.DUMMYFUNCTION("""COMPUTED_VALUE"""),"02087933000193")</f>
        <v>02087933000193</v>
      </c>
      <c r="E350" s="6" t="str">
        <f ca="1">IFERROR(__xludf.DUMMYFUNCTION("""COMPUTED_VALUE"""),"001")</f>
        <v>001</v>
      </c>
      <c r="F350" s="7" t="str">
        <f ca="1">IFERROR(__xludf.DUMMYFUNCTION("""COMPUTED_VALUE"""),"1595")</f>
        <v>1595</v>
      </c>
      <c r="G350" s="7" t="str">
        <f ca="1">IFERROR(__xludf.DUMMYFUNCTION("""COMPUTED_VALUE"""),"83089")</f>
        <v>83089</v>
      </c>
      <c r="H350" s="7">
        <f ca="1">IFERROR(__xludf.DUMMYFUNCTION("""COMPUTED_VALUE"""),0)</f>
        <v>0</v>
      </c>
      <c r="I350" s="7">
        <f ca="1">IFERROR(__xludf.DUMMYFUNCTION("""COMPUTED_VALUE"""),0)</f>
        <v>0</v>
      </c>
      <c r="J350" s="7">
        <f ca="1">IFERROR(__xludf.DUMMYFUNCTION("""COMPUTED_VALUE"""),1380)</f>
        <v>1380</v>
      </c>
      <c r="K350" s="7">
        <f ca="1">IFERROR(__xludf.DUMMYFUNCTION("""COMPUTED_VALUE"""),2904.39999999999)</f>
        <v>2904.3999999999901</v>
      </c>
      <c r="L350" s="7">
        <f ca="1">IFERROR(__xludf.DUMMYFUNCTION("""COMPUTED_VALUE"""),0)</f>
        <v>0</v>
      </c>
      <c r="M350" s="7">
        <f ca="1">IFERROR(__xludf.DUMMYFUNCTION("""COMPUTED_VALUE"""),0)</f>
        <v>0</v>
      </c>
      <c r="N350" s="7">
        <f ca="1">IFERROR(__xludf.DUMMYFUNCTION("""COMPUTED_VALUE"""),0)</f>
        <v>0</v>
      </c>
      <c r="O350" s="7">
        <f ca="1">IFERROR(__xludf.DUMMYFUNCTION("""COMPUTED_VALUE"""),0)</f>
        <v>0</v>
      </c>
      <c r="P350" s="7">
        <f ca="1">IFERROR(__xludf.DUMMYFUNCTION("""COMPUTED_VALUE"""),0)</f>
        <v>0</v>
      </c>
      <c r="Q350" s="7">
        <f ca="1">IFERROR(__xludf.DUMMYFUNCTION("""COMPUTED_VALUE"""),1180)</f>
        <v>1180</v>
      </c>
      <c r="R350" s="7">
        <f ca="1">IFERROR(__xludf.DUMMYFUNCTION("""COMPUTED_VALUE"""),0)</f>
        <v>0</v>
      </c>
      <c r="S350" s="7">
        <f ca="1">IFERROR(__xludf.DUMMYFUNCTION("""COMPUTED_VALUE"""),0)</f>
        <v>0</v>
      </c>
      <c r="T350" s="7">
        <f ca="1">IFERROR(__xludf.DUMMYFUNCTION("""COMPUTED_VALUE"""),0)</f>
        <v>0</v>
      </c>
      <c r="U350" s="61"/>
      <c r="V350" s="61"/>
      <c r="W350" s="61"/>
    </row>
    <row r="351" spans="1:23" ht="12.75">
      <c r="A351" t="str">
        <f ca="1">IFERROR(__xludf.DUMMYFUNCTION("""COMPUTED_VALUE"""),"Pedro Afonso")</f>
        <v>Pedro Afonso</v>
      </c>
      <c r="B351" t="str">
        <f ca="1">IFERROR(__xludf.DUMMYFUNCTION("""COMPUTED_VALUE"""),"Tupirama")</f>
        <v>Tupirama</v>
      </c>
      <c r="C351" s="60" t="str">
        <f ca="1">IFERROR(__xludf.DUMMYFUNCTION("""COMPUTED_VALUE"""),"A.A. A ESCOLA EST. MARIA DA GLORIA")</f>
        <v>A.A. A ESCOLA EST. MARIA DA GLORIA</v>
      </c>
      <c r="D351" s="136" t="str">
        <f ca="1">IFERROR(__xludf.DUMMYFUNCTION("""COMPUTED_VALUE"""),"02096555000104")</f>
        <v>02096555000104</v>
      </c>
      <c r="E351" s="6" t="str">
        <f ca="1">IFERROR(__xludf.DUMMYFUNCTION("""COMPUTED_VALUE"""),"001")</f>
        <v>001</v>
      </c>
      <c r="F351" s="7" t="str">
        <f ca="1">IFERROR(__xludf.DUMMYFUNCTION("""COMPUTED_VALUE"""),"2094")</f>
        <v>2094</v>
      </c>
      <c r="G351" s="7" t="str">
        <f ca="1">IFERROR(__xludf.DUMMYFUNCTION("""COMPUTED_VALUE"""),"50482")</f>
        <v>50482</v>
      </c>
      <c r="H351" s="7">
        <f ca="1">IFERROR(__xludf.DUMMYFUNCTION("""COMPUTED_VALUE"""),0)</f>
        <v>0</v>
      </c>
      <c r="I351" s="7">
        <f ca="1">IFERROR(__xludf.DUMMYFUNCTION("""COMPUTED_VALUE"""),0)</f>
        <v>0</v>
      </c>
      <c r="J351" s="7">
        <f ca="1">IFERROR(__xludf.DUMMYFUNCTION("""COMPUTED_VALUE"""),0)</f>
        <v>0</v>
      </c>
      <c r="K351" s="7">
        <f ca="1">IFERROR(__xludf.DUMMYFUNCTION("""COMPUTED_VALUE"""),3671.6)</f>
        <v>3671.6</v>
      </c>
      <c r="L351" s="7">
        <f ca="1">IFERROR(__xludf.DUMMYFUNCTION("""COMPUTED_VALUE"""),0)</f>
        <v>0</v>
      </c>
      <c r="M351" s="7">
        <f ca="1">IFERROR(__xludf.DUMMYFUNCTION("""COMPUTED_VALUE"""),0)</f>
        <v>0</v>
      </c>
      <c r="N351" s="7">
        <f ca="1">IFERROR(__xludf.DUMMYFUNCTION("""COMPUTED_VALUE"""),0)</f>
        <v>0</v>
      </c>
      <c r="O351" s="7">
        <f ca="1">IFERROR(__xludf.DUMMYFUNCTION("""COMPUTED_VALUE"""),0)</f>
        <v>0</v>
      </c>
      <c r="P351" s="7">
        <f ca="1">IFERROR(__xludf.DUMMYFUNCTION("""COMPUTED_VALUE"""),0)</f>
        <v>0</v>
      </c>
      <c r="Q351" s="7">
        <f ca="1">IFERROR(__xludf.DUMMYFUNCTION("""COMPUTED_VALUE"""),580)</f>
        <v>580</v>
      </c>
      <c r="R351" s="7">
        <f ca="1">IFERROR(__xludf.DUMMYFUNCTION("""COMPUTED_VALUE"""),2383.79999999999)</f>
        <v>2383.7999999999902</v>
      </c>
      <c r="S351" s="7">
        <f ca="1">IFERROR(__xludf.DUMMYFUNCTION("""COMPUTED_VALUE"""),0)</f>
        <v>0</v>
      </c>
      <c r="T351" s="7">
        <f ca="1">IFERROR(__xludf.DUMMYFUNCTION("""COMPUTED_VALUE"""),0)</f>
        <v>0</v>
      </c>
      <c r="U351" s="61"/>
      <c r="V351" s="61"/>
      <c r="W351" s="61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IFERROR(__xludf.DUMMYFUNCTION("""COMPUTED_VALUE"""),"Brejinho de Nazare")</f>
        <v>Brejinho de Nazare</v>
      </c>
      <c r="C352" s="60" t="str">
        <f ca="1">IFERROR(__xludf.DUMMYFUNCTION("""COMPUTED_VALUE"""),"A.A. DO COLEGIO ESTADUAL PADRAO")</f>
        <v>A.A. DO COLEGIO ESTADUAL PADRAO</v>
      </c>
      <c r="D352" s="136" t="str">
        <f ca="1">IFERROR(__xludf.DUMMYFUNCTION("""COMPUTED_VALUE"""),"01181175000105")</f>
        <v>01181175000105</v>
      </c>
      <c r="E352" s="6" t="str">
        <f ca="1">IFERROR(__xludf.DUMMYFUNCTION("""COMPUTED_VALUE"""),"001")</f>
        <v>001</v>
      </c>
      <c r="F352" s="7" t="str">
        <f ca="1">IFERROR(__xludf.DUMMYFUNCTION("""COMPUTED_VALUE"""),"3976")</f>
        <v>3976</v>
      </c>
      <c r="G352" s="7" t="str">
        <f ca="1">IFERROR(__xludf.DUMMYFUNCTION("""COMPUTED_VALUE"""),"51047")</f>
        <v>51047</v>
      </c>
      <c r="H352" s="7">
        <f ca="1">IFERROR(__xludf.DUMMYFUNCTION("""COMPUTED_VALUE"""),0)</f>
        <v>0</v>
      </c>
      <c r="I352" s="7">
        <f ca="1">IFERROR(__xludf.DUMMYFUNCTION("""COMPUTED_VALUE"""),0)</f>
        <v>0</v>
      </c>
      <c r="J352" s="7">
        <f ca="1">IFERROR(__xludf.DUMMYFUNCTION("""COMPUTED_VALUE"""),0)</f>
        <v>0</v>
      </c>
      <c r="K352" s="7">
        <f ca="1">IFERROR(__xludf.DUMMYFUNCTION("""COMPUTED_VALUE"""),0)</f>
        <v>0</v>
      </c>
      <c r="L352" s="7">
        <f ca="1">IFERROR(__xludf.DUMMYFUNCTION("""COMPUTED_VALUE"""),0)</f>
        <v>0</v>
      </c>
      <c r="M352" s="7">
        <f ca="1">IFERROR(__xludf.DUMMYFUNCTION("""COMPUTED_VALUE"""),0)</f>
        <v>0</v>
      </c>
      <c r="N352" s="7">
        <f ca="1">IFERROR(__xludf.DUMMYFUNCTION("""COMPUTED_VALUE"""),0)</f>
        <v>0</v>
      </c>
      <c r="O352" s="7">
        <f ca="1">IFERROR(__xludf.DUMMYFUNCTION("""COMPUTED_VALUE"""),0)</f>
        <v>0</v>
      </c>
      <c r="P352" s="7">
        <f ca="1">IFERROR(__xludf.DUMMYFUNCTION("""COMPUTED_VALUE"""),0)</f>
        <v>0</v>
      </c>
      <c r="Q352" s="7">
        <f ca="1">IFERROR(__xludf.DUMMYFUNCTION("""COMPUTED_VALUE"""),0)</f>
        <v>0</v>
      </c>
      <c r="R352" s="7">
        <f ca="1">IFERROR(__xludf.DUMMYFUNCTION("""COMPUTED_VALUE"""),0)</f>
        <v>0</v>
      </c>
      <c r="S352" s="7">
        <f ca="1">IFERROR(__xludf.DUMMYFUNCTION("""COMPUTED_VALUE"""),8960)</f>
        <v>8960</v>
      </c>
      <c r="T352" s="7">
        <f ca="1">IFERROR(__xludf.DUMMYFUNCTION("""COMPUTED_VALUE"""),0)</f>
        <v>0</v>
      </c>
      <c r="U352" s="61"/>
      <c r="V352" s="61"/>
      <c r="W352" s="61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IFERROR(__xludf.DUMMYFUNCTION("""COMPUTED_VALUE"""),"Brejinho de Nazare")</f>
        <v>Brejinho de Nazare</v>
      </c>
      <c r="C353" s="60" t="str">
        <f ca="1">IFERROR(__xludf.DUMMYFUNCTION("""COMPUTED_VALUE"""),"AS.DE APOIO A ESC. EST. JONAS PEREIRA LIMA")</f>
        <v>AS.DE APOIO A ESC. EST. JONAS PEREIRA LIMA</v>
      </c>
      <c r="D353" s="136" t="str">
        <f ca="1">IFERROR(__xludf.DUMMYFUNCTION("""COMPUTED_VALUE"""),"01148459000108")</f>
        <v>01148459000108</v>
      </c>
      <c r="E353" s="6" t="str">
        <f ca="1">IFERROR(__xludf.DUMMYFUNCTION("""COMPUTED_VALUE"""),"001")</f>
        <v>001</v>
      </c>
      <c r="F353" s="7" t="str">
        <f ca="1">IFERROR(__xludf.DUMMYFUNCTION("""COMPUTED_VALUE"""),"3976")</f>
        <v>3976</v>
      </c>
      <c r="G353" s="7" t="str">
        <f ca="1">IFERROR(__xludf.DUMMYFUNCTION("""COMPUTED_VALUE"""),"80489")</f>
        <v>80489</v>
      </c>
      <c r="H353" s="7">
        <f ca="1">IFERROR(__xludf.DUMMYFUNCTION("""COMPUTED_VALUE"""),0)</f>
        <v>0</v>
      </c>
      <c r="I353" s="7">
        <f ca="1">IFERROR(__xludf.DUMMYFUNCTION("""COMPUTED_VALUE"""),0)</f>
        <v>0</v>
      </c>
      <c r="J353" s="7">
        <f ca="1">IFERROR(__xludf.DUMMYFUNCTION("""COMPUTED_VALUE"""),0)</f>
        <v>0</v>
      </c>
      <c r="K353" s="7">
        <f ca="1">IFERROR(__xludf.DUMMYFUNCTION("""COMPUTED_VALUE"""),6987)</f>
        <v>6987</v>
      </c>
      <c r="L353" s="7">
        <f ca="1">IFERROR(__xludf.DUMMYFUNCTION("""COMPUTED_VALUE"""),0)</f>
        <v>0</v>
      </c>
      <c r="M353" s="7">
        <f ca="1">IFERROR(__xludf.DUMMYFUNCTION("""COMPUTED_VALUE"""),0)</f>
        <v>0</v>
      </c>
      <c r="N353" s="7">
        <f ca="1">IFERROR(__xludf.DUMMYFUNCTION("""COMPUTED_VALUE"""),0)</f>
        <v>0</v>
      </c>
      <c r="O353" s="7">
        <f ca="1">IFERROR(__xludf.DUMMYFUNCTION("""COMPUTED_VALUE"""),0)</f>
        <v>0</v>
      </c>
      <c r="P353" s="7">
        <f ca="1">IFERROR(__xludf.DUMMYFUNCTION("""COMPUTED_VALUE"""),217.6)</f>
        <v>217.6</v>
      </c>
      <c r="Q353" s="7">
        <f ca="1">IFERROR(__xludf.DUMMYFUNCTION("""COMPUTED_VALUE"""),0)</f>
        <v>0</v>
      </c>
      <c r="R353" s="7">
        <f ca="1">IFERROR(__xludf.DUMMYFUNCTION("""COMPUTED_VALUE"""),0)</f>
        <v>0</v>
      </c>
      <c r="S353" s="7">
        <f ca="1">IFERROR(__xludf.DUMMYFUNCTION("""COMPUTED_VALUE"""),0)</f>
        <v>0</v>
      </c>
      <c r="T353" s="7">
        <f ca="1">IFERROR(__xludf.DUMMYFUNCTION("""COMPUTED_VALUE"""),0)</f>
        <v>0</v>
      </c>
      <c r="U353" s="61"/>
      <c r="V353" s="61"/>
      <c r="W353" s="61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IFERROR(__xludf.DUMMYFUNCTION("""COMPUTED_VALUE"""),"Chapada da Natividade")</f>
        <v>Chapada da Natividade</v>
      </c>
      <c r="C354" s="60" t="str">
        <f ca="1">IFERROR(__xludf.DUMMYFUNCTION("""COMPUTED_VALUE"""),"A. APOIO ESCOLA EST. FULGENCIO NUNES")</f>
        <v>A. APOIO ESCOLA EST. FULGENCIO NUNES</v>
      </c>
      <c r="D354" s="136" t="str">
        <f ca="1">IFERROR(__xludf.DUMMYFUNCTION("""COMPUTED_VALUE"""),"01257085000150")</f>
        <v>01257085000150</v>
      </c>
      <c r="E354" s="6" t="str">
        <f ca="1">IFERROR(__xludf.DUMMYFUNCTION("""COMPUTED_VALUE"""),"003")</f>
        <v>003</v>
      </c>
      <c r="F354" s="7" t="str">
        <f ca="1">IFERROR(__xludf.DUMMYFUNCTION("""COMPUTED_VALUE"""),"0037")</f>
        <v>0037</v>
      </c>
      <c r="G354" s="7" t="str">
        <f ca="1">IFERROR(__xludf.DUMMYFUNCTION("""COMPUTED_VALUE"""),"706153")</f>
        <v>706153</v>
      </c>
      <c r="H354" s="7">
        <f ca="1">IFERROR(__xludf.DUMMYFUNCTION("""COMPUTED_VALUE"""),0)</f>
        <v>0</v>
      </c>
      <c r="I354" s="7">
        <f ca="1">IFERROR(__xludf.DUMMYFUNCTION("""COMPUTED_VALUE"""),0)</f>
        <v>0</v>
      </c>
      <c r="J354" s="7">
        <f ca="1">IFERROR(__xludf.DUMMYFUNCTION("""COMPUTED_VALUE"""),0)</f>
        <v>0</v>
      </c>
      <c r="K354" s="7">
        <f ca="1">IFERROR(__xludf.DUMMYFUNCTION("""COMPUTED_VALUE"""),0)</f>
        <v>0</v>
      </c>
      <c r="L354" s="7">
        <f ca="1">IFERROR(__xludf.DUMMYFUNCTION("""COMPUTED_VALUE"""),5624.4)</f>
        <v>5624.4</v>
      </c>
      <c r="M354" s="7">
        <f ca="1">IFERROR(__xludf.DUMMYFUNCTION("""COMPUTED_VALUE"""),0)</f>
        <v>0</v>
      </c>
      <c r="N354" s="7">
        <f ca="1">IFERROR(__xludf.DUMMYFUNCTION("""COMPUTED_VALUE"""),0)</f>
        <v>0</v>
      </c>
      <c r="O354" s="7">
        <f ca="1">IFERROR(__xludf.DUMMYFUNCTION("""COMPUTED_VALUE"""),0)</f>
        <v>0</v>
      </c>
      <c r="P354" s="7">
        <f ca="1">IFERROR(__xludf.DUMMYFUNCTION("""COMPUTED_VALUE"""),0)</f>
        <v>0</v>
      </c>
      <c r="Q354" s="7">
        <f ca="1">IFERROR(__xludf.DUMMYFUNCTION("""COMPUTED_VALUE"""),0)</f>
        <v>0</v>
      </c>
      <c r="R354" s="7">
        <f ca="1">IFERROR(__xludf.DUMMYFUNCTION("""COMPUTED_VALUE"""),0)</f>
        <v>0</v>
      </c>
      <c r="S354" s="7">
        <f ca="1">IFERROR(__xludf.DUMMYFUNCTION("""COMPUTED_VALUE"""),0)</f>
        <v>0</v>
      </c>
      <c r="T354" s="7">
        <f ca="1">IFERROR(__xludf.DUMMYFUNCTION("""COMPUTED_VALUE"""),0)</f>
        <v>0</v>
      </c>
      <c r="U354" s="61"/>
      <c r="V354" s="61"/>
      <c r="W354" s="61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IFERROR(__xludf.DUMMYFUNCTION("""COMPUTED_VALUE"""),"Fatima")</f>
        <v>Fatima</v>
      </c>
      <c r="C355" s="60" t="str">
        <f ca="1">IFERROR(__xludf.DUMMYFUNCTION("""COMPUTED_VALUE"""),"A.A. ESCOLA ESTADUAL CONCEICAO BRITO")</f>
        <v>A.A. ESCOLA ESTADUAL CONCEICAO BRITO</v>
      </c>
      <c r="D355" s="136" t="str">
        <f ca="1">IFERROR(__xludf.DUMMYFUNCTION("""COMPUTED_VALUE"""),"01268285000109")</f>
        <v>01268285000109</v>
      </c>
      <c r="E355" s="6" t="str">
        <f ca="1">IFERROR(__xludf.DUMMYFUNCTION("""COMPUTED_VALUE"""),"001")</f>
        <v>001</v>
      </c>
      <c r="F355" s="7" t="str">
        <f ca="1">IFERROR(__xludf.DUMMYFUNCTION("""COMPUTED_VALUE"""),"4107")</f>
        <v>4107</v>
      </c>
      <c r="G355" s="7" t="str">
        <f ca="1">IFERROR(__xludf.DUMMYFUNCTION("""COMPUTED_VALUE"""),"50911")</f>
        <v>50911</v>
      </c>
      <c r="H355" s="7">
        <f ca="1">IFERROR(__xludf.DUMMYFUNCTION("""COMPUTED_VALUE"""),0)</f>
        <v>0</v>
      </c>
      <c r="I355" s="7">
        <f ca="1">IFERROR(__xludf.DUMMYFUNCTION("""COMPUTED_VALUE"""),0)</f>
        <v>0</v>
      </c>
      <c r="J355" s="7">
        <f ca="1">IFERROR(__xludf.DUMMYFUNCTION("""COMPUTED_VALUE"""),2690)</f>
        <v>2690</v>
      </c>
      <c r="K355" s="7">
        <f ca="1">IFERROR(__xludf.DUMMYFUNCTION("""COMPUTED_VALUE"""),0)</f>
        <v>0</v>
      </c>
      <c r="L355" s="7">
        <f ca="1">IFERROR(__xludf.DUMMYFUNCTION("""COMPUTED_VALUE"""),0)</f>
        <v>0</v>
      </c>
      <c r="M355" s="7">
        <f ca="1">IFERROR(__xludf.DUMMYFUNCTION("""COMPUTED_VALUE"""),0)</f>
        <v>0</v>
      </c>
      <c r="N355" s="7">
        <f ca="1">IFERROR(__xludf.DUMMYFUNCTION("""COMPUTED_VALUE"""),0)</f>
        <v>0</v>
      </c>
      <c r="O355" s="7">
        <f ca="1">IFERROR(__xludf.DUMMYFUNCTION("""COMPUTED_VALUE"""),0)</f>
        <v>0</v>
      </c>
      <c r="P355" s="7">
        <f ca="1">IFERROR(__xludf.DUMMYFUNCTION("""COMPUTED_VALUE"""),122.399999999999)</f>
        <v>122.399999999999</v>
      </c>
      <c r="Q355" s="7">
        <f ca="1">IFERROR(__xludf.DUMMYFUNCTION("""COMPUTED_VALUE"""),1320)</f>
        <v>1320</v>
      </c>
      <c r="R355" s="7">
        <f ca="1">IFERROR(__xludf.DUMMYFUNCTION("""COMPUTED_VALUE"""),0)</f>
        <v>0</v>
      </c>
      <c r="S355" s="7">
        <f ca="1">IFERROR(__xludf.DUMMYFUNCTION("""COMPUTED_VALUE"""),0)</f>
        <v>0</v>
      </c>
      <c r="T355" s="7">
        <f ca="1">IFERROR(__xludf.DUMMYFUNCTION("""COMPUTED_VALUE"""),0)</f>
        <v>0</v>
      </c>
      <c r="U355" s="61"/>
      <c r="V355" s="61"/>
      <c r="W355" s="61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IFERROR(__xludf.DUMMYFUNCTION("""COMPUTED_VALUE"""),"Fatima")</f>
        <v>Fatima</v>
      </c>
      <c r="C356" s="60" t="str">
        <f ca="1">IFERROR(__xludf.DUMMYFUNCTION("""COMPUTED_VALUE"""),"ASSOC. DE APOIO A ESCOLA ESPECIAL RENASCER")</f>
        <v>ASSOC. DE APOIO A ESCOLA ESPECIAL RENASCER</v>
      </c>
      <c r="D356" s="136" t="str">
        <f ca="1">IFERROR(__xludf.DUMMYFUNCTION("""COMPUTED_VALUE"""),"11726757000183")</f>
        <v>11726757000183</v>
      </c>
      <c r="E356" s="6" t="str">
        <f ca="1">IFERROR(__xludf.DUMMYFUNCTION("""COMPUTED_VALUE"""),"001")</f>
        <v>001</v>
      </c>
      <c r="F356" s="7" t="str">
        <f ca="1">IFERROR(__xludf.DUMMYFUNCTION("""COMPUTED_VALUE"""),"4107")</f>
        <v>4107</v>
      </c>
      <c r="G356" s="7" t="str">
        <f ca="1">IFERROR(__xludf.DUMMYFUNCTION("""COMPUTED_VALUE"""),"7991X")</f>
        <v>7991X</v>
      </c>
      <c r="H356" s="7">
        <f ca="1">IFERROR(__xludf.DUMMYFUNCTION("""COMPUTED_VALUE"""),0)</f>
        <v>0</v>
      </c>
      <c r="I356" s="7">
        <f ca="1">IFERROR(__xludf.DUMMYFUNCTION("""COMPUTED_VALUE"""),0)</f>
        <v>0</v>
      </c>
      <c r="J356" s="7">
        <f ca="1">IFERROR(__xludf.DUMMYFUNCTION("""COMPUTED_VALUE"""),0)</f>
        <v>0</v>
      </c>
      <c r="K356" s="7">
        <f ca="1">IFERROR(__xludf.DUMMYFUNCTION("""COMPUTED_VALUE"""),0)</f>
        <v>0</v>
      </c>
      <c r="L356" s="7">
        <f ca="1">IFERROR(__xludf.DUMMYFUNCTION("""COMPUTED_VALUE"""),0)</f>
        <v>0</v>
      </c>
      <c r="M356" s="7">
        <f ca="1">IFERROR(__xludf.DUMMYFUNCTION("""COMPUTED_VALUE"""),0)</f>
        <v>0</v>
      </c>
      <c r="N356" s="7">
        <f ca="1">IFERROR(__xludf.DUMMYFUNCTION("""COMPUTED_VALUE"""),0)</f>
        <v>0</v>
      </c>
      <c r="O356" s="7">
        <f ca="1">IFERROR(__xludf.DUMMYFUNCTION("""COMPUTED_VALUE"""),0)</f>
        <v>0</v>
      </c>
      <c r="P356" s="7">
        <f ca="1">IFERROR(__xludf.DUMMYFUNCTION("""COMPUTED_VALUE"""),244.799999999999)</f>
        <v>244.79999999999899</v>
      </c>
      <c r="Q356" s="7">
        <f ca="1">IFERROR(__xludf.DUMMYFUNCTION("""COMPUTED_VALUE"""),0)</f>
        <v>0</v>
      </c>
      <c r="R356" s="7">
        <f ca="1">IFERROR(__xludf.DUMMYFUNCTION("""COMPUTED_VALUE"""),0)</f>
        <v>0</v>
      </c>
      <c r="S356" s="7">
        <f ca="1">IFERROR(__xludf.DUMMYFUNCTION("""COMPUTED_VALUE"""),0)</f>
        <v>0</v>
      </c>
      <c r="T356" s="7">
        <f ca="1">IFERROR(__xludf.DUMMYFUNCTION("""COMPUTED_VALUE"""),270.599999999999)</f>
        <v>270.599999999999</v>
      </c>
      <c r="U356" s="61"/>
      <c r="V356" s="61"/>
      <c r="W356" s="61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IFERROR(__xludf.DUMMYFUNCTION("""COMPUTED_VALUE"""),"Ipueiras")</f>
        <v>Ipueiras</v>
      </c>
      <c r="C357" s="60" t="str">
        <f ca="1">IFERROR(__xludf.DUMMYFUNCTION("""COMPUTED_VALUE"""),"ASSOC. DE APOIO DA ESC. EST. FELIX CAMOA")</f>
        <v>ASSOC. DE APOIO DA ESC. EST. FELIX CAMOA</v>
      </c>
      <c r="D357" s="136" t="str">
        <f ca="1">IFERROR(__xludf.DUMMYFUNCTION("""COMPUTED_VALUE"""),"01469443000199")</f>
        <v>01469443000199</v>
      </c>
      <c r="E357" s="6" t="str">
        <f ca="1">IFERROR(__xludf.DUMMYFUNCTION("""COMPUTED_VALUE"""),"001")</f>
        <v>001</v>
      </c>
      <c r="F357" s="7" t="str">
        <f ca="1">IFERROR(__xludf.DUMMYFUNCTION("""COMPUTED_VALUE"""),"1117")</f>
        <v>1117</v>
      </c>
      <c r="G357" s="7" t="str">
        <f ca="1">IFERROR(__xludf.DUMMYFUNCTION("""COMPUTED_VALUE"""),"315052")</f>
        <v>315052</v>
      </c>
      <c r="H357" s="7">
        <f ca="1">IFERROR(__xludf.DUMMYFUNCTION("""COMPUTED_VALUE"""),0)</f>
        <v>0</v>
      </c>
      <c r="I357" s="7">
        <f ca="1">IFERROR(__xludf.DUMMYFUNCTION("""COMPUTED_VALUE"""),0)</f>
        <v>0</v>
      </c>
      <c r="J357" s="7">
        <f ca="1">IFERROR(__xludf.DUMMYFUNCTION("""COMPUTED_VALUE"""),200)</f>
        <v>200</v>
      </c>
      <c r="K357" s="7">
        <f ca="1">IFERROR(__xludf.DUMMYFUNCTION("""COMPUTED_VALUE"""),0)</f>
        <v>0</v>
      </c>
      <c r="L357" s="7">
        <f ca="1">IFERROR(__xludf.DUMMYFUNCTION("""COMPUTED_VALUE"""),0)</f>
        <v>0</v>
      </c>
      <c r="M357" s="7">
        <f ca="1">IFERROR(__xludf.DUMMYFUNCTION("""COMPUTED_VALUE"""),0)</f>
        <v>0</v>
      </c>
      <c r="N357" s="7">
        <f ca="1">IFERROR(__xludf.DUMMYFUNCTION("""COMPUTED_VALUE"""),0)</f>
        <v>0</v>
      </c>
      <c r="O357" s="7">
        <f ca="1">IFERROR(__xludf.DUMMYFUNCTION("""COMPUTED_VALUE"""),0)</f>
        <v>0</v>
      </c>
      <c r="P357" s="7">
        <f ca="1">IFERROR(__xludf.DUMMYFUNCTION("""COMPUTED_VALUE"""),54.4)</f>
        <v>54.4</v>
      </c>
      <c r="Q357" s="7">
        <f ca="1">IFERROR(__xludf.DUMMYFUNCTION("""COMPUTED_VALUE"""),720)</f>
        <v>720</v>
      </c>
      <c r="R357" s="7">
        <f ca="1">IFERROR(__xludf.DUMMYFUNCTION("""COMPUTED_VALUE"""),0)</f>
        <v>0</v>
      </c>
      <c r="S357" s="7">
        <f ca="1">IFERROR(__xludf.DUMMYFUNCTION("""COMPUTED_VALUE"""),0)</f>
        <v>0</v>
      </c>
      <c r="T357" s="7">
        <f ca="1">IFERROR(__xludf.DUMMYFUNCTION("""COMPUTED_VALUE"""),122.999999999999)</f>
        <v>122.99999999999901</v>
      </c>
      <c r="U357" s="61"/>
      <c r="V357" s="61"/>
      <c r="W357" s="61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IFERROR(__xludf.DUMMYFUNCTION("""COMPUTED_VALUE"""),"Monte do Carmo")</f>
        <v>Monte do Carmo</v>
      </c>
      <c r="C358" s="60" t="str">
        <f ca="1">IFERROR(__xludf.DUMMYFUNCTION("""COMPUTED_VALUE"""),"A.A. DA ESC. EST. BRIGADAS CHE GUEVARA")</f>
        <v>A.A. DA ESC. EST. BRIGADAS CHE GUEVARA</v>
      </c>
      <c r="D358" s="136" t="str">
        <f ca="1">IFERROR(__xludf.DUMMYFUNCTION("""COMPUTED_VALUE"""),"08593650000108")</f>
        <v>08593650000108</v>
      </c>
      <c r="E358" s="6" t="str">
        <f ca="1">IFERROR(__xludf.DUMMYFUNCTION("""COMPUTED_VALUE"""),"001")</f>
        <v>001</v>
      </c>
      <c r="F358" s="7" t="str">
        <f ca="1">IFERROR(__xludf.DUMMYFUNCTION("""COMPUTED_VALUE"""),"1117")</f>
        <v>1117</v>
      </c>
      <c r="G358" s="7" t="str">
        <f ca="1">IFERROR(__xludf.DUMMYFUNCTION("""COMPUTED_VALUE"""),"263060")</f>
        <v>263060</v>
      </c>
      <c r="H358" s="7">
        <f ca="1">IFERROR(__xludf.DUMMYFUNCTION("""COMPUTED_VALUE"""),0)</f>
        <v>0</v>
      </c>
      <c r="I358" s="7">
        <f ca="1">IFERROR(__xludf.DUMMYFUNCTION("""COMPUTED_VALUE"""),0)</f>
        <v>0</v>
      </c>
      <c r="J358" s="7">
        <f ca="1">IFERROR(__xludf.DUMMYFUNCTION("""COMPUTED_VALUE"""),0)</f>
        <v>0</v>
      </c>
      <c r="K358" s="7">
        <f ca="1">IFERROR(__xludf.DUMMYFUNCTION("""COMPUTED_VALUE"""),0)</f>
        <v>0</v>
      </c>
      <c r="L358" s="7">
        <f ca="1">IFERROR(__xludf.DUMMYFUNCTION("""COMPUTED_VALUE"""),0)</f>
        <v>0</v>
      </c>
      <c r="M358" s="7">
        <f ca="1">IFERROR(__xludf.DUMMYFUNCTION("""COMPUTED_VALUE"""),0)</f>
        <v>0</v>
      </c>
      <c r="N358" s="7">
        <f ca="1">IFERROR(__xludf.DUMMYFUNCTION("""COMPUTED_VALUE"""),0)</f>
        <v>0</v>
      </c>
      <c r="O358" s="7">
        <f ca="1">IFERROR(__xludf.DUMMYFUNCTION("""COMPUTED_VALUE"""),0)</f>
        <v>0</v>
      </c>
      <c r="P358" s="7">
        <f ca="1">IFERROR(__xludf.DUMMYFUNCTION("""COMPUTED_VALUE"""),0)</f>
        <v>0</v>
      </c>
      <c r="Q358" s="7">
        <f ca="1">IFERROR(__xludf.DUMMYFUNCTION("""COMPUTED_VALUE"""),0)</f>
        <v>0</v>
      </c>
      <c r="R358" s="7">
        <f ca="1">IFERROR(__xludf.DUMMYFUNCTION("""COMPUTED_VALUE"""),1287.8)</f>
        <v>1287.8</v>
      </c>
      <c r="S358" s="7">
        <f ca="1">IFERROR(__xludf.DUMMYFUNCTION("""COMPUTED_VALUE"""),0)</f>
        <v>0</v>
      </c>
      <c r="T358" s="7">
        <f ca="1">IFERROR(__xludf.DUMMYFUNCTION("""COMPUTED_VALUE"""),0)</f>
        <v>0</v>
      </c>
      <c r="U358" s="61"/>
      <c r="V358" s="61"/>
      <c r="W358" s="61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IFERROR(__xludf.DUMMYFUNCTION("""COMPUTED_VALUE"""),"Monte do Carmo")</f>
        <v>Monte do Carmo</v>
      </c>
      <c r="C359" s="60" t="str">
        <f ca="1">IFERROR(__xludf.DUMMYFUNCTION("""COMPUTED_VALUE"""),"A.A.  DO COLEGIO EST. PADRE GAMA")</f>
        <v>A.A.  DO COLEGIO EST. PADRE GAMA</v>
      </c>
      <c r="D359" s="136" t="str">
        <f ca="1">IFERROR(__xludf.DUMMYFUNCTION("""COMPUTED_VALUE"""),"01071443000136")</f>
        <v>01071443000136</v>
      </c>
      <c r="E359" s="6" t="str">
        <f ca="1">IFERROR(__xludf.DUMMYFUNCTION("""COMPUTED_VALUE"""),"001")</f>
        <v>001</v>
      </c>
      <c r="F359" s="7" t="str">
        <f ca="1">IFERROR(__xludf.DUMMYFUNCTION("""COMPUTED_VALUE"""),"1117")</f>
        <v>1117</v>
      </c>
      <c r="G359" s="7" t="str">
        <f ca="1">IFERROR(__xludf.DUMMYFUNCTION("""COMPUTED_VALUE"""),"0312878")</f>
        <v>0312878</v>
      </c>
      <c r="H359" s="7">
        <f ca="1">IFERROR(__xludf.DUMMYFUNCTION("""COMPUTED_VALUE"""),0)</f>
        <v>0</v>
      </c>
      <c r="I359" s="7">
        <f ca="1">IFERROR(__xludf.DUMMYFUNCTION("""COMPUTED_VALUE"""),0)</f>
        <v>0</v>
      </c>
      <c r="J359" s="7">
        <f ca="1">IFERROR(__xludf.DUMMYFUNCTION("""COMPUTED_VALUE"""),1430)</f>
        <v>1430</v>
      </c>
      <c r="K359" s="7">
        <f ca="1">IFERROR(__xludf.DUMMYFUNCTION("""COMPUTED_VALUE"""),0)</f>
        <v>0</v>
      </c>
      <c r="L359" s="7">
        <f ca="1">IFERROR(__xludf.DUMMYFUNCTION("""COMPUTED_VALUE"""),0)</f>
        <v>0</v>
      </c>
      <c r="M359" s="7">
        <f ca="1">IFERROR(__xludf.DUMMYFUNCTION("""COMPUTED_VALUE"""),0)</f>
        <v>0</v>
      </c>
      <c r="N359" s="7">
        <f ca="1">IFERROR(__xludf.DUMMYFUNCTION("""COMPUTED_VALUE"""),0)</f>
        <v>0</v>
      </c>
      <c r="O359" s="7">
        <f ca="1">IFERROR(__xludf.DUMMYFUNCTION("""COMPUTED_VALUE"""),0)</f>
        <v>0</v>
      </c>
      <c r="P359" s="7">
        <f ca="1">IFERROR(__xludf.DUMMYFUNCTION("""COMPUTED_VALUE"""),149.6)</f>
        <v>149.6</v>
      </c>
      <c r="Q359" s="7">
        <f ca="1">IFERROR(__xludf.DUMMYFUNCTION("""COMPUTED_VALUE"""),1480)</f>
        <v>1480</v>
      </c>
      <c r="R359" s="7">
        <f ca="1">IFERROR(__xludf.DUMMYFUNCTION("""COMPUTED_VALUE"""),0)</f>
        <v>0</v>
      </c>
      <c r="S359" s="7">
        <f ca="1">IFERROR(__xludf.DUMMYFUNCTION("""COMPUTED_VALUE"""),0)</f>
        <v>0</v>
      </c>
      <c r="T359" s="7">
        <f ca="1">IFERROR(__xludf.DUMMYFUNCTION("""COMPUTED_VALUE"""),188.6)</f>
        <v>188.6</v>
      </c>
      <c r="U359" s="61"/>
      <c r="V359" s="61"/>
      <c r="W359" s="61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IFERROR(__xludf.DUMMYFUNCTION("""COMPUTED_VALUE"""),"Monte do Carmo")</f>
        <v>Monte do Carmo</v>
      </c>
      <c r="C360" s="60" t="str">
        <f ca="1">IFERROR(__xludf.DUMMYFUNCTION("""COMPUTED_VALUE"""),"A.APOIO DA ESCOLA ESTADUAL MESTRA BELA")</f>
        <v>A.APOIO DA ESCOLA ESTADUAL MESTRA BELA</v>
      </c>
      <c r="D360" s="136" t="str">
        <f ca="1">IFERROR(__xludf.DUMMYFUNCTION("""COMPUTED_VALUE"""),"01071442000191")</f>
        <v>01071442000191</v>
      </c>
      <c r="E360" s="6" t="str">
        <f ca="1">IFERROR(__xludf.DUMMYFUNCTION("""COMPUTED_VALUE"""),"001")</f>
        <v>001</v>
      </c>
      <c r="F360" s="7" t="str">
        <f ca="1">IFERROR(__xludf.DUMMYFUNCTION("""COMPUTED_VALUE"""),"1117")</f>
        <v>1117</v>
      </c>
      <c r="G360" s="7" t="str">
        <f ca="1">IFERROR(__xludf.DUMMYFUNCTION("""COMPUTED_VALUE"""),"31286X")</f>
        <v>31286X</v>
      </c>
      <c r="H360" s="7">
        <f ca="1">IFERROR(__xludf.DUMMYFUNCTION("""COMPUTED_VALUE"""),0)</f>
        <v>0</v>
      </c>
      <c r="I360" s="7">
        <f ca="1">IFERROR(__xludf.DUMMYFUNCTION("""COMPUTED_VALUE"""),0)</f>
        <v>0</v>
      </c>
      <c r="J360" s="7">
        <f ca="1">IFERROR(__xludf.DUMMYFUNCTION("""COMPUTED_VALUE"""),0)</f>
        <v>0</v>
      </c>
      <c r="K360" s="7">
        <f ca="1">IFERROR(__xludf.DUMMYFUNCTION("""COMPUTED_VALUE"""),3014)</f>
        <v>3014</v>
      </c>
      <c r="L360" s="7">
        <f ca="1">IFERROR(__xludf.DUMMYFUNCTION("""COMPUTED_VALUE"""),0)</f>
        <v>0</v>
      </c>
      <c r="M360" s="7">
        <f ca="1">IFERROR(__xludf.DUMMYFUNCTION("""COMPUTED_VALUE"""),0)</f>
        <v>0</v>
      </c>
      <c r="N360" s="7">
        <f ca="1">IFERROR(__xludf.DUMMYFUNCTION("""COMPUTED_VALUE"""),0)</f>
        <v>0</v>
      </c>
      <c r="O360" s="7">
        <f ca="1">IFERROR(__xludf.DUMMYFUNCTION("""COMPUTED_VALUE"""),0)</f>
        <v>0</v>
      </c>
      <c r="P360" s="7">
        <f ca="1">IFERROR(__xludf.DUMMYFUNCTION("""COMPUTED_VALUE"""),136)</f>
        <v>136</v>
      </c>
      <c r="Q360" s="7">
        <f ca="1">IFERROR(__xludf.DUMMYFUNCTION("""COMPUTED_VALUE"""),0)</f>
        <v>0</v>
      </c>
      <c r="R360" s="7">
        <f ca="1">IFERROR(__xludf.DUMMYFUNCTION("""COMPUTED_VALUE"""),0)</f>
        <v>0</v>
      </c>
      <c r="S360" s="7">
        <f ca="1">IFERROR(__xludf.DUMMYFUNCTION("""COMPUTED_VALUE"""),0)</f>
        <v>0</v>
      </c>
      <c r="T360" s="7">
        <f ca="1">IFERROR(__xludf.DUMMYFUNCTION("""COMPUTED_VALUE"""),0)</f>
        <v>0</v>
      </c>
      <c r="U360" s="61"/>
      <c r="V360" s="61"/>
      <c r="W360" s="61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IFERROR(__xludf.DUMMYFUNCTION("""COMPUTED_VALUE"""),"Monte do Carmo")</f>
        <v>Monte do Carmo</v>
      </c>
      <c r="C361" s="60" t="str">
        <f ca="1">IFERROR(__xludf.DUMMYFUNCTION("""COMPUTED_VALUE"""),"ASSOC. APOIA A ESC. EST. PROF.DINA DE OLIVEIRA AMORIM")</f>
        <v>ASSOC. APOIA A ESC. EST. PROF.DINA DE OLIVEIRA AMORIM</v>
      </c>
      <c r="D361" s="136" t="str">
        <f ca="1">IFERROR(__xludf.DUMMYFUNCTION("""COMPUTED_VALUE"""),"16437349000125")</f>
        <v>16437349000125</v>
      </c>
      <c r="E361" s="6" t="str">
        <f ca="1">IFERROR(__xludf.DUMMYFUNCTION("""COMPUTED_VALUE"""),"001")</f>
        <v>001</v>
      </c>
      <c r="F361" s="7" t="str">
        <f ca="1">IFERROR(__xludf.DUMMYFUNCTION("""COMPUTED_VALUE"""),"1117")</f>
        <v>1117</v>
      </c>
      <c r="G361" s="7" t="str">
        <f ca="1">IFERROR(__xludf.DUMMYFUNCTION("""COMPUTED_VALUE"""),"339113")</f>
        <v>339113</v>
      </c>
      <c r="H361" s="7">
        <f ca="1">IFERROR(__xludf.DUMMYFUNCTION("""COMPUTED_VALUE"""),0)</f>
        <v>0</v>
      </c>
      <c r="I361" s="7">
        <f ca="1">IFERROR(__xludf.DUMMYFUNCTION("""COMPUTED_VALUE"""),0)</f>
        <v>0</v>
      </c>
      <c r="J361" s="7">
        <f ca="1">IFERROR(__xludf.DUMMYFUNCTION("""COMPUTED_VALUE"""),720)</f>
        <v>720</v>
      </c>
      <c r="K361" s="7">
        <f ca="1">IFERROR(__xludf.DUMMYFUNCTION("""COMPUTED_VALUE"""),0)</f>
        <v>0</v>
      </c>
      <c r="L361" s="7">
        <f ca="1">IFERROR(__xludf.DUMMYFUNCTION("""COMPUTED_VALUE"""),0)</f>
        <v>0</v>
      </c>
      <c r="M361" s="7">
        <f ca="1">IFERROR(__xludf.DUMMYFUNCTION("""COMPUTED_VALUE"""),0)</f>
        <v>0</v>
      </c>
      <c r="N361" s="7">
        <f ca="1">IFERROR(__xludf.DUMMYFUNCTION("""COMPUTED_VALUE"""),0)</f>
        <v>0</v>
      </c>
      <c r="O361" s="7">
        <f ca="1">IFERROR(__xludf.DUMMYFUNCTION("""COMPUTED_VALUE"""),0)</f>
        <v>0</v>
      </c>
      <c r="P361" s="7">
        <f ca="1">IFERROR(__xludf.DUMMYFUNCTION("""COMPUTED_VALUE"""),0)</f>
        <v>0</v>
      </c>
      <c r="Q361" s="7">
        <f ca="1">IFERROR(__xludf.DUMMYFUNCTION("""COMPUTED_VALUE"""),0)</f>
        <v>0</v>
      </c>
      <c r="R361" s="7">
        <f ca="1">IFERROR(__xludf.DUMMYFUNCTION("""COMPUTED_VALUE"""),0)</f>
        <v>0</v>
      </c>
      <c r="S361" s="7">
        <f ca="1">IFERROR(__xludf.DUMMYFUNCTION("""COMPUTED_VALUE"""),0)</f>
        <v>0</v>
      </c>
      <c r="T361" s="7">
        <f ca="1">IFERROR(__xludf.DUMMYFUNCTION("""COMPUTED_VALUE"""),0)</f>
        <v>0</v>
      </c>
      <c r="U361" s="61"/>
      <c r="V361" s="61"/>
      <c r="W361" s="61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0" t="str">
        <f ca="1">IFERROR(__xludf.DUMMYFUNCTION("""COMPUTED_VALUE"""),"ASSOC. NOSSA SENHORA NATIVIDADE COL. AGRÍCOLA")</f>
        <v>ASSOC. NOSSA SENHORA NATIVIDADE COL. AGRÍCOLA</v>
      </c>
      <c r="D362" s="136" t="str">
        <f ca="1">IFERROR(__xludf.DUMMYFUNCTION("""COMPUTED_VALUE"""),"03758716000140")</f>
        <v>03758716000140</v>
      </c>
      <c r="E362" s="6" t="str">
        <f ca="1">IFERROR(__xludf.DUMMYFUNCTION("""COMPUTED_VALUE"""),"001")</f>
        <v>001</v>
      </c>
      <c r="F362" s="7" t="str">
        <f ca="1">IFERROR(__xludf.DUMMYFUNCTION("""COMPUTED_VALUE"""),"3980")</f>
        <v>3980</v>
      </c>
      <c r="G362" s="7" t="str">
        <f ca="1">IFERROR(__xludf.DUMMYFUNCTION("""COMPUTED_VALUE"""),"282782")</f>
        <v>282782</v>
      </c>
      <c r="H362" s="7">
        <f ca="1">IFERROR(__xludf.DUMMYFUNCTION("""COMPUTED_VALUE"""),0)</f>
        <v>0</v>
      </c>
      <c r="I362" s="7">
        <f ca="1">IFERROR(__xludf.DUMMYFUNCTION("""COMPUTED_VALUE"""),0)</f>
        <v>0</v>
      </c>
      <c r="J362" s="7">
        <f ca="1">IFERROR(__xludf.DUMMYFUNCTION("""COMPUTED_VALUE"""),0)</f>
        <v>0</v>
      </c>
      <c r="K362" s="7">
        <f ca="1">IFERROR(__xludf.DUMMYFUNCTION("""COMPUTED_VALUE"""),0)</f>
        <v>0</v>
      </c>
      <c r="L362" s="7">
        <f ca="1">IFERROR(__xludf.DUMMYFUNCTION("""COMPUTED_VALUE"""),0)</f>
        <v>0</v>
      </c>
      <c r="M362" s="7">
        <f ca="1">IFERROR(__xludf.DUMMYFUNCTION("""COMPUTED_VALUE"""),0)</f>
        <v>0</v>
      </c>
      <c r="N362" s="7">
        <f ca="1">IFERROR(__xludf.DUMMYFUNCTION("""COMPUTED_VALUE"""),0)</f>
        <v>0</v>
      </c>
      <c r="O362" s="7">
        <f ca="1">IFERROR(__xludf.DUMMYFUNCTION("""COMPUTED_VALUE"""),0)</f>
        <v>0</v>
      </c>
      <c r="P362" s="7">
        <f ca="1">IFERROR(__xludf.DUMMYFUNCTION("""COMPUTED_VALUE"""),0)</f>
        <v>0</v>
      </c>
      <c r="Q362" s="7">
        <f ca="1">IFERROR(__xludf.DUMMYFUNCTION("""COMPUTED_VALUE"""),0)</f>
        <v>0</v>
      </c>
      <c r="R362" s="7">
        <f ca="1">IFERROR(__xludf.DUMMYFUNCTION("""COMPUTED_VALUE"""),0)</f>
        <v>0</v>
      </c>
      <c r="S362" s="7">
        <f ca="1">IFERROR(__xludf.DUMMYFUNCTION("""COMPUTED_VALUE"""),11878.4)</f>
        <v>11878.4</v>
      </c>
      <c r="T362" s="7">
        <f ca="1">IFERROR(__xludf.DUMMYFUNCTION("""COMPUTED_VALUE"""),0)</f>
        <v>0</v>
      </c>
      <c r="U362" s="61"/>
      <c r="V362" s="61"/>
      <c r="W362" s="61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IFERROR(__xludf.DUMMYFUNCTION("""COMPUTED_VALUE"""),"Natividade")</f>
        <v>Natividade</v>
      </c>
      <c r="C363" s="60" t="str">
        <f ca="1">IFERROR(__xludf.DUMMYFUNCTION("""COMPUTED_VALUE"""),"A.A. COL. EST. DR.QUINTILIANO DA SILVA")</f>
        <v>A.A. COL. EST. DR.QUINTILIANO DA SILVA</v>
      </c>
      <c r="D363" s="136" t="str">
        <f ca="1">IFERROR(__xludf.DUMMYFUNCTION("""COMPUTED_VALUE"""),"01133702000106")</f>
        <v>01133702000106</v>
      </c>
      <c r="E363" s="6" t="str">
        <f ca="1">IFERROR(__xludf.DUMMYFUNCTION("""COMPUTED_VALUE"""),"003")</f>
        <v>003</v>
      </c>
      <c r="F363" s="7" t="str">
        <f ca="1">IFERROR(__xludf.DUMMYFUNCTION("""COMPUTED_VALUE"""),"0037")</f>
        <v>0037</v>
      </c>
      <c r="G363" s="7" t="str">
        <f ca="1">IFERROR(__xludf.DUMMYFUNCTION("""COMPUTED_VALUE"""),"0702727")</f>
        <v>0702727</v>
      </c>
      <c r="H363" s="7">
        <f ca="1">IFERROR(__xludf.DUMMYFUNCTION("""COMPUTED_VALUE"""),0)</f>
        <v>0</v>
      </c>
      <c r="I363" s="7">
        <f ca="1">IFERROR(__xludf.DUMMYFUNCTION("""COMPUTED_VALUE"""),0)</f>
        <v>0</v>
      </c>
      <c r="J363" s="7">
        <f ca="1">IFERROR(__xludf.DUMMYFUNCTION("""COMPUTED_VALUE"""),1550)</f>
        <v>1550</v>
      </c>
      <c r="K363" s="7">
        <f ca="1">IFERROR(__xludf.DUMMYFUNCTION("""COMPUTED_VALUE"""),0)</f>
        <v>0</v>
      </c>
      <c r="L363" s="7">
        <f ca="1">IFERROR(__xludf.DUMMYFUNCTION("""COMPUTED_VALUE"""),0)</f>
        <v>0</v>
      </c>
      <c r="M363" s="7">
        <f ca="1">IFERROR(__xludf.DUMMYFUNCTION("""COMPUTED_VALUE"""),0)</f>
        <v>0</v>
      </c>
      <c r="N363" s="7">
        <f ca="1">IFERROR(__xludf.DUMMYFUNCTION("""COMPUTED_VALUE"""),0)</f>
        <v>0</v>
      </c>
      <c r="O363" s="7">
        <f ca="1">IFERROR(__xludf.DUMMYFUNCTION("""COMPUTED_VALUE"""),0)</f>
        <v>0</v>
      </c>
      <c r="P363" s="7">
        <f ca="1">IFERROR(__xludf.DUMMYFUNCTION("""COMPUTED_VALUE"""),0)</f>
        <v>0</v>
      </c>
      <c r="Q363" s="7">
        <f ca="1">IFERROR(__xludf.DUMMYFUNCTION("""COMPUTED_VALUE"""),2340)</f>
        <v>2340</v>
      </c>
      <c r="R363" s="7">
        <f ca="1">IFERROR(__xludf.DUMMYFUNCTION("""COMPUTED_VALUE"""),0)</f>
        <v>0</v>
      </c>
      <c r="S363" s="7">
        <f ca="1">IFERROR(__xludf.DUMMYFUNCTION("""COMPUTED_VALUE"""),0)</f>
        <v>0</v>
      </c>
      <c r="T363" s="7">
        <f ca="1">IFERROR(__xludf.DUMMYFUNCTION("""COMPUTED_VALUE"""),0)</f>
        <v>0</v>
      </c>
      <c r="U363" s="61"/>
      <c r="V363" s="61"/>
      <c r="W363" s="61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IFERROR(__xludf.DUMMYFUNCTION("""COMPUTED_VALUE"""),"Natividade")</f>
        <v>Natividade</v>
      </c>
      <c r="C364" s="60" t="str">
        <f ca="1">IFERROR(__xludf.DUMMYFUNCTION("""COMPUTED_VALUE"""),"ASSOC. DE APOIO A ESC. ESPECIAL TIA CORACI DE SENA FERNANDES")</f>
        <v>ASSOC. DE APOIO A ESC. ESPECIAL TIA CORACI DE SENA FERNANDES</v>
      </c>
      <c r="D364" s="136" t="str">
        <f ca="1">IFERROR(__xludf.DUMMYFUNCTION("""COMPUTED_VALUE"""),"17163914000176")</f>
        <v>17163914000176</v>
      </c>
      <c r="E364" s="6" t="str">
        <f ca="1">IFERROR(__xludf.DUMMYFUNCTION("""COMPUTED_VALUE"""),"001")</f>
        <v>001</v>
      </c>
      <c r="F364" s="7" t="str">
        <f ca="1">IFERROR(__xludf.DUMMYFUNCTION("""COMPUTED_VALUE"""),"2334")</f>
        <v>2334</v>
      </c>
      <c r="G364" s="7" t="str">
        <f ca="1">IFERROR(__xludf.DUMMYFUNCTION("""COMPUTED_VALUE"""),"19860")</f>
        <v>19860</v>
      </c>
      <c r="H364" s="7">
        <f ca="1">IFERROR(__xludf.DUMMYFUNCTION("""COMPUTED_VALUE"""),0)</f>
        <v>0</v>
      </c>
      <c r="I364" s="7">
        <f ca="1">IFERROR(__xludf.DUMMYFUNCTION("""COMPUTED_VALUE"""),0)</f>
        <v>0</v>
      </c>
      <c r="J364" s="7">
        <f ca="1">IFERROR(__xludf.DUMMYFUNCTION("""COMPUTED_VALUE"""),80)</f>
        <v>80</v>
      </c>
      <c r="K364" s="7">
        <f ca="1">IFERROR(__xludf.DUMMYFUNCTION("""COMPUTED_VALUE"""),0)</f>
        <v>0</v>
      </c>
      <c r="L364" s="7">
        <f ca="1">IFERROR(__xludf.DUMMYFUNCTION("""COMPUTED_VALUE"""),0)</f>
        <v>0</v>
      </c>
      <c r="M364" s="7">
        <f ca="1">IFERROR(__xludf.DUMMYFUNCTION("""COMPUTED_VALUE"""),0)</f>
        <v>0</v>
      </c>
      <c r="N364" s="7">
        <f ca="1">IFERROR(__xludf.DUMMYFUNCTION("""COMPUTED_VALUE"""),0)</f>
        <v>0</v>
      </c>
      <c r="O364" s="7">
        <f ca="1">IFERROR(__xludf.DUMMYFUNCTION("""COMPUTED_VALUE"""),0)</f>
        <v>0</v>
      </c>
      <c r="P364" s="7">
        <f ca="1">IFERROR(__xludf.DUMMYFUNCTION("""COMPUTED_VALUE"""),204)</f>
        <v>204</v>
      </c>
      <c r="Q364" s="7">
        <f ca="1">IFERROR(__xludf.DUMMYFUNCTION("""COMPUTED_VALUE"""),0)</f>
        <v>0</v>
      </c>
      <c r="R364" s="7">
        <f ca="1">IFERROR(__xludf.DUMMYFUNCTION("""COMPUTED_VALUE"""),0)</f>
        <v>0</v>
      </c>
      <c r="S364" s="7">
        <f ca="1">IFERROR(__xludf.DUMMYFUNCTION("""COMPUTED_VALUE"""),0)</f>
        <v>0</v>
      </c>
      <c r="T364" s="7">
        <f ca="1">IFERROR(__xludf.DUMMYFUNCTION("""COMPUTED_VALUE"""),368.999999999999)</f>
        <v>368.99999999999898</v>
      </c>
      <c r="U364" s="61"/>
      <c r="V364" s="61"/>
      <c r="W364" s="61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IFERROR(__xludf.DUMMYFUNCTION("""COMPUTED_VALUE"""),"Natividade")</f>
        <v>Natividade</v>
      </c>
      <c r="C365" s="60" t="str">
        <f ca="1">IFERROR(__xludf.DUMMYFUNCTION("""COMPUTED_VALUE"""),"ASS. APOIO ESC. EST. JOAQUIM LINO SUARTE")</f>
        <v>ASS. APOIO ESC. EST. JOAQUIM LINO SUARTE</v>
      </c>
      <c r="D365" s="136" t="str">
        <f ca="1">IFERROR(__xludf.DUMMYFUNCTION("""COMPUTED_VALUE"""),"01133708000183")</f>
        <v>01133708000183</v>
      </c>
      <c r="E365" s="6" t="str">
        <f ca="1">IFERROR(__xludf.DUMMYFUNCTION("""COMPUTED_VALUE"""),"003")</f>
        <v>003</v>
      </c>
      <c r="F365" s="7" t="str">
        <f ca="1">IFERROR(__xludf.DUMMYFUNCTION("""COMPUTED_VALUE"""),"0037")</f>
        <v>0037</v>
      </c>
      <c r="G365" s="7" t="str">
        <f ca="1">IFERROR(__xludf.DUMMYFUNCTION("""COMPUTED_VALUE"""),"0702670")</f>
        <v>0702670</v>
      </c>
      <c r="H365" s="7">
        <f ca="1">IFERROR(__xludf.DUMMYFUNCTION("""COMPUTED_VALUE"""),0)</f>
        <v>0</v>
      </c>
      <c r="I365" s="7">
        <f ca="1">IFERROR(__xludf.DUMMYFUNCTION("""COMPUTED_VALUE"""),0)</f>
        <v>0</v>
      </c>
      <c r="J365" s="7">
        <f ca="1">IFERROR(__xludf.DUMMYFUNCTION("""COMPUTED_VALUE"""),1610)</f>
        <v>1610</v>
      </c>
      <c r="K365" s="7">
        <f ca="1">IFERROR(__xludf.DUMMYFUNCTION("""COMPUTED_VALUE"""),0)</f>
        <v>0</v>
      </c>
      <c r="L365" s="7">
        <f ca="1">IFERROR(__xludf.DUMMYFUNCTION("""COMPUTED_VALUE"""),0)</f>
        <v>0</v>
      </c>
      <c r="M365" s="7">
        <f ca="1">IFERROR(__xludf.DUMMYFUNCTION("""COMPUTED_VALUE"""),0)</f>
        <v>0</v>
      </c>
      <c r="N365" s="7">
        <f ca="1">IFERROR(__xludf.DUMMYFUNCTION("""COMPUTED_VALUE"""),0)</f>
        <v>0</v>
      </c>
      <c r="O365" s="7">
        <f ca="1">IFERROR(__xludf.DUMMYFUNCTION("""COMPUTED_VALUE"""),0)</f>
        <v>0</v>
      </c>
      <c r="P365" s="7">
        <f ca="1">IFERROR(__xludf.DUMMYFUNCTION("""COMPUTED_VALUE"""),190.4)</f>
        <v>190.4</v>
      </c>
      <c r="Q365" s="7">
        <f ca="1">IFERROR(__xludf.DUMMYFUNCTION("""COMPUTED_VALUE"""),440)</f>
        <v>440</v>
      </c>
      <c r="R365" s="7">
        <f ca="1">IFERROR(__xludf.DUMMYFUNCTION("""COMPUTED_VALUE"""),0)</f>
        <v>0</v>
      </c>
      <c r="S365" s="7">
        <f ca="1">IFERROR(__xludf.DUMMYFUNCTION("""COMPUTED_VALUE"""),0)</f>
        <v>0</v>
      </c>
      <c r="T365" s="7">
        <f ca="1">IFERROR(__xludf.DUMMYFUNCTION("""COMPUTED_VALUE"""),0)</f>
        <v>0</v>
      </c>
      <c r="U365" s="61"/>
      <c r="V365" s="61"/>
      <c r="W365" s="61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IFERROR(__xludf.DUMMYFUNCTION("""COMPUTED_VALUE"""),"Natividade")</f>
        <v>Natividade</v>
      </c>
      <c r="C366" s="60" t="str">
        <f ca="1">IFERROR(__xludf.DUMMYFUNCTION("""COMPUTED_VALUE"""),"A.A. E. EST.NOSSA SENHORA DE FATIMA")</f>
        <v>A.A. E. EST.NOSSA SENHORA DE FATIMA</v>
      </c>
      <c r="D366" s="136" t="str">
        <f ca="1">IFERROR(__xludf.DUMMYFUNCTION("""COMPUTED_VALUE"""),"01064860000151")</f>
        <v>01064860000151</v>
      </c>
      <c r="E366" s="6" t="str">
        <f ca="1">IFERROR(__xludf.DUMMYFUNCTION("""COMPUTED_VALUE"""),"003")</f>
        <v>003</v>
      </c>
      <c r="F366" s="7" t="str">
        <f ca="1">IFERROR(__xludf.DUMMYFUNCTION("""COMPUTED_VALUE"""),"0037")</f>
        <v>0037</v>
      </c>
      <c r="G366" s="7" t="str">
        <f ca="1">IFERROR(__xludf.DUMMYFUNCTION("""COMPUTED_VALUE"""),"0702646")</f>
        <v>0702646</v>
      </c>
      <c r="H366" s="7">
        <f ca="1">IFERROR(__xludf.DUMMYFUNCTION("""COMPUTED_VALUE"""),0)</f>
        <v>0</v>
      </c>
      <c r="I366" s="7">
        <f ca="1">IFERROR(__xludf.DUMMYFUNCTION("""COMPUTED_VALUE"""),0)</f>
        <v>0</v>
      </c>
      <c r="J366" s="7">
        <f ca="1">IFERROR(__xludf.DUMMYFUNCTION("""COMPUTED_VALUE"""),3000)</f>
        <v>3000</v>
      </c>
      <c r="K366" s="7">
        <f ca="1">IFERROR(__xludf.DUMMYFUNCTION("""COMPUTED_VALUE"""),0)</f>
        <v>0</v>
      </c>
      <c r="L366" s="7">
        <f ca="1">IFERROR(__xludf.DUMMYFUNCTION("""COMPUTED_VALUE"""),0)</f>
        <v>0</v>
      </c>
      <c r="M366" s="7">
        <f ca="1">IFERROR(__xludf.DUMMYFUNCTION("""COMPUTED_VALUE"""),0)</f>
        <v>0</v>
      </c>
      <c r="N366" s="7">
        <f ca="1">IFERROR(__xludf.DUMMYFUNCTION("""COMPUTED_VALUE"""),0)</f>
        <v>0</v>
      </c>
      <c r="O366" s="7">
        <f ca="1">IFERROR(__xludf.DUMMYFUNCTION("""COMPUTED_VALUE"""),0)</f>
        <v>0</v>
      </c>
      <c r="P366" s="7">
        <f ca="1">IFERROR(__xludf.DUMMYFUNCTION("""COMPUTED_VALUE"""),149.6)</f>
        <v>149.6</v>
      </c>
      <c r="Q366" s="7">
        <f ca="1">IFERROR(__xludf.DUMMYFUNCTION("""COMPUTED_VALUE"""),0)</f>
        <v>0</v>
      </c>
      <c r="R366" s="7">
        <f ca="1">IFERROR(__xludf.DUMMYFUNCTION("""COMPUTED_VALUE"""),0)</f>
        <v>0</v>
      </c>
      <c r="S366" s="7">
        <f ca="1">IFERROR(__xludf.DUMMYFUNCTION("""COMPUTED_VALUE"""),0)</f>
        <v>0</v>
      </c>
      <c r="T366" s="7">
        <f ca="1">IFERROR(__xludf.DUMMYFUNCTION("""COMPUTED_VALUE"""),0)</f>
        <v>0</v>
      </c>
      <c r="U366" s="61"/>
      <c r="V366" s="61"/>
      <c r="W366" s="61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IFERROR(__xludf.DUMMYFUNCTION("""COMPUTED_VALUE"""),"Oliveira de Fatima")</f>
        <v>Oliveira de Fatima</v>
      </c>
      <c r="C367" s="60" t="str">
        <f ca="1">IFERROR(__xludf.DUMMYFUNCTION("""COMPUTED_VALUE"""),"ASS. DE APOIO DA ESC. EST.RIACHUELO")</f>
        <v>ASS. DE APOIO DA ESC. EST.RIACHUELO</v>
      </c>
      <c r="D367" s="136" t="str">
        <f ca="1">IFERROR(__xludf.DUMMYFUNCTION("""COMPUTED_VALUE"""),"01696068000110")</f>
        <v>01696068000110</v>
      </c>
      <c r="E367" s="6" t="str">
        <f ca="1">IFERROR(__xludf.DUMMYFUNCTION("""COMPUTED_VALUE"""),"001")</f>
        <v>001</v>
      </c>
      <c r="F367" s="7" t="str">
        <f ca="1">IFERROR(__xludf.DUMMYFUNCTION("""COMPUTED_VALUE"""),"4107")</f>
        <v>4107</v>
      </c>
      <c r="G367" s="7" t="str">
        <f ca="1">IFERROR(__xludf.DUMMYFUNCTION("""COMPUTED_VALUE"""),"319511")</f>
        <v>319511</v>
      </c>
      <c r="H367" s="7">
        <f ca="1">IFERROR(__xludf.DUMMYFUNCTION("""COMPUTED_VALUE"""),0)</f>
        <v>0</v>
      </c>
      <c r="I367" s="7">
        <f ca="1">IFERROR(__xludf.DUMMYFUNCTION("""COMPUTED_VALUE"""),0)</f>
        <v>0</v>
      </c>
      <c r="J367" s="7">
        <f ca="1">IFERROR(__xludf.DUMMYFUNCTION("""COMPUTED_VALUE"""),180)</f>
        <v>180</v>
      </c>
      <c r="K367" s="7">
        <f ca="1">IFERROR(__xludf.DUMMYFUNCTION("""COMPUTED_VALUE"""),0)</f>
        <v>0</v>
      </c>
      <c r="L367" s="7">
        <f ca="1">IFERROR(__xludf.DUMMYFUNCTION("""COMPUTED_VALUE"""),0)</f>
        <v>0</v>
      </c>
      <c r="M367" s="7">
        <f ca="1">IFERROR(__xludf.DUMMYFUNCTION("""COMPUTED_VALUE"""),0)</f>
        <v>0</v>
      </c>
      <c r="N367" s="7">
        <f ca="1">IFERROR(__xludf.DUMMYFUNCTION("""COMPUTED_VALUE"""),0)</f>
        <v>0</v>
      </c>
      <c r="O367" s="7">
        <f ca="1">IFERROR(__xludf.DUMMYFUNCTION("""COMPUTED_VALUE"""),0)</f>
        <v>0</v>
      </c>
      <c r="P367" s="7">
        <f ca="1">IFERROR(__xludf.DUMMYFUNCTION("""COMPUTED_VALUE"""),0)</f>
        <v>0</v>
      </c>
      <c r="Q367" s="7">
        <f ca="1">IFERROR(__xludf.DUMMYFUNCTION("""COMPUTED_VALUE"""),530)</f>
        <v>530</v>
      </c>
      <c r="R367" s="7">
        <f ca="1">IFERROR(__xludf.DUMMYFUNCTION("""COMPUTED_VALUE"""),0)</f>
        <v>0</v>
      </c>
      <c r="S367" s="7">
        <f ca="1">IFERROR(__xludf.DUMMYFUNCTION("""COMPUTED_VALUE"""),0)</f>
        <v>0</v>
      </c>
      <c r="T367" s="7">
        <f ca="1">IFERROR(__xludf.DUMMYFUNCTION("""COMPUTED_VALUE"""),90.1999999999999)</f>
        <v>90.199999999999903</v>
      </c>
      <c r="U367" s="61"/>
      <c r="V367" s="61"/>
      <c r="W367" s="61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IFERROR(__xludf.DUMMYFUNCTION("""COMPUTED_VALUE"""),"Pindorama do Tocantins")</f>
        <v>Pindorama do Tocantins</v>
      </c>
      <c r="C368" s="60" t="str">
        <f ca="1">IFERROR(__xludf.DUMMYFUNCTION("""COMPUTED_VALUE"""),"A.A. DO COL. EST. MANOEL DOS SANTOS ROSAL")</f>
        <v>A.A. DO COL. EST. MANOEL DOS SANTOS ROSAL</v>
      </c>
      <c r="D368" s="136" t="str">
        <f ca="1">IFERROR(__xludf.DUMMYFUNCTION("""COMPUTED_VALUE"""),"01034136000185")</f>
        <v>01034136000185</v>
      </c>
      <c r="E368" s="6" t="str">
        <f ca="1">IFERROR(__xludf.DUMMYFUNCTION("""COMPUTED_VALUE"""),"001")</f>
        <v>001</v>
      </c>
      <c r="F368" s="7" t="str">
        <f ca="1">IFERROR(__xludf.DUMMYFUNCTION("""COMPUTED_VALUE"""),"1117")</f>
        <v>1117</v>
      </c>
      <c r="G368" s="7" t="str">
        <f ca="1">IFERROR(__xludf.DUMMYFUNCTION("""COMPUTED_VALUE"""),"312991")</f>
        <v>312991</v>
      </c>
      <c r="H368" s="7">
        <f ca="1">IFERROR(__xludf.DUMMYFUNCTION("""COMPUTED_VALUE"""),0)</f>
        <v>0</v>
      </c>
      <c r="I368" s="7">
        <f ca="1">IFERROR(__xludf.DUMMYFUNCTION("""COMPUTED_VALUE"""),0)</f>
        <v>0</v>
      </c>
      <c r="J368" s="7">
        <f ca="1">IFERROR(__xludf.DUMMYFUNCTION("""COMPUTED_VALUE"""),0)</f>
        <v>0</v>
      </c>
      <c r="K368" s="7">
        <f ca="1">IFERROR(__xludf.DUMMYFUNCTION("""COMPUTED_VALUE"""),3041.39999999999)</f>
        <v>3041.3999999999901</v>
      </c>
      <c r="L368" s="7">
        <f ca="1">IFERROR(__xludf.DUMMYFUNCTION("""COMPUTED_VALUE"""),0)</f>
        <v>0</v>
      </c>
      <c r="M368" s="7">
        <f ca="1">IFERROR(__xludf.DUMMYFUNCTION("""COMPUTED_VALUE"""),0)</f>
        <v>0</v>
      </c>
      <c r="N368" s="7">
        <f ca="1">IFERROR(__xludf.DUMMYFUNCTION("""COMPUTED_VALUE"""),0)</f>
        <v>0</v>
      </c>
      <c r="O368" s="7">
        <f ca="1">IFERROR(__xludf.DUMMYFUNCTION("""COMPUTED_VALUE"""),0)</f>
        <v>0</v>
      </c>
      <c r="P368" s="7">
        <f ca="1">IFERROR(__xludf.DUMMYFUNCTION("""COMPUTED_VALUE"""),0)</f>
        <v>0</v>
      </c>
      <c r="Q368" s="7">
        <f ca="1">IFERROR(__xludf.DUMMYFUNCTION("""COMPUTED_VALUE"""),0)</f>
        <v>0</v>
      </c>
      <c r="R368" s="7">
        <f ca="1">IFERROR(__xludf.DUMMYFUNCTION("""COMPUTED_VALUE"""),0)</f>
        <v>0</v>
      </c>
      <c r="S368" s="7">
        <f ca="1">IFERROR(__xludf.DUMMYFUNCTION("""COMPUTED_VALUE"""),8499.2)</f>
        <v>8499.2000000000007</v>
      </c>
      <c r="T368" s="7">
        <f ca="1">IFERROR(__xludf.DUMMYFUNCTION("""COMPUTED_VALUE"""),0)</f>
        <v>0</v>
      </c>
      <c r="U368" s="61"/>
      <c r="V368" s="61"/>
      <c r="W368" s="61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IFERROR(__xludf.DUMMYFUNCTION("""COMPUTED_VALUE"""),"Pindorama do Tocantins")</f>
        <v>Pindorama do Tocantins</v>
      </c>
      <c r="C369" s="60" t="str">
        <f ca="1">IFERROR(__xludf.DUMMYFUNCTION("""COMPUTED_VALUE"""),"A.A. E. E. DEP.JOSE A. DE ASSIS")</f>
        <v>A.A. E. E. DEP.JOSE A. DE ASSIS</v>
      </c>
      <c r="D369" s="136" t="str">
        <f ca="1">IFERROR(__xludf.DUMMYFUNCTION("""COMPUTED_VALUE"""),"01066411000142")</f>
        <v>01066411000142</v>
      </c>
      <c r="E369" s="6" t="str">
        <f ca="1">IFERROR(__xludf.DUMMYFUNCTION("""COMPUTED_VALUE"""),"001")</f>
        <v>001</v>
      </c>
      <c r="F369" s="7" t="str">
        <f ca="1">IFERROR(__xludf.DUMMYFUNCTION("""COMPUTED_VALUE"""),"1117")</f>
        <v>1117</v>
      </c>
      <c r="G369" s="7" t="str">
        <f ca="1">IFERROR(__xludf.DUMMYFUNCTION("""COMPUTED_VALUE"""),"312770")</f>
        <v>312770</v>
      </c>
      <c r="H369" s="7">
        <f ca="1">IFERROR(__xludf.DUMMYFUNCTION("""COMPUTED_VALUE"""),0)</f>
        <v>0</v>
      </c>
      <c r="I369" s="7">
        <f ca="1">IFERROR(__xludf.DUMMYFUNCTION("""COMPUTED_VALUE"""),0)</f>
        <v>0</v>
      </c>
      <c r="J369" s="7">
        <f ca="1">IFERROR(__xludf.DUMMYFUNCTION("""COMPUTED_VALUE"""),1440)</f>
        <v>1440</v>
      </c>
      <c r="K369" s="7">
        <f ca="1">IFERROR(__xludf.DUMMYFUNCTION("""COMPUTED_VALUE"""),0)</f>
        <v>0</v>
      </c>
      <c r="L369" s="7">
        <f ca="1">IFERROR(__xludf.DUMMYFUNCTION("""COMPUTED_VALUE"""),0)</f>
        <v>0</v>
      </c>
      <c r="M369" s="7">
        <f ca="1">IFERROR(__xludf.DUMMYFUNCTION("""COMPUTED_VALUE"""),0)</f>
        <v>0</v>
      </c>
      <c r="N369" s="7">
        <f ca="1">IFERROR(__xludf.DUMMYFUNCTION("""COMPUTED_VALUE"""),0)</f>
        <v>0</v>
      </c>
      <c r="O369" s="7">
        <f ca="1">IFERROR(__xludf.DUMMYFUNCTION("""COMPUTED_VALUE"""),0)</f>
        <v>0</v>
      </c>
      <c r="P369" s="7">
        <f ca="1">IFERROR(__xludf.DUMMYFUNCTION("""COMPUTED_VALUE"""),122.399999999999)</f>
        <v>122.399999999999</v>
      </c>
      <c r="Q369" s="7">
        <f ca="1">IFERROR(__xludf.DUMMYFUNCTION("""COMPUTED_VALUE"""),340)</f>
        <v>340</v>
      </c>
      <c r="R369" s="7">
        <f ca="1">IFERROR(__xludf.DUMMYFUNCTION("""COMPUTED_VALUE"""),0)</f>
        <v>0</v>
      </c>
      <c r="S369" s="7">
        <f ca="1">IFERROR(__xludf.DUMMYFUNCTION("""COMPUTED_VALUE"""),0)</f>
        <v>0</v>
      </c>
      <c r="T369" s="7">
        <f ca="1">IFERROR(__xludf.DUMMYFUNCTION("""COMPUTED_VALUE"""),0)</f>
        <v>0</v>
      </c>
      <c r="U369" s="61"/>
      <c r="V369" s="61"/>
      <c r="W369" s="61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IFERROR(__xludf.DUMMYFUNCTION("""COMPUTED_VALUE"""),"Ponte Alta do Tocantins")</f>
        <v>Ponte Alta do Tocantins</v>
      </c>
      <c r="C370" s="60" t="str">
        <f ca="1">IFERROR(__xludf.DUMMYFUNCTION("""COMPUTED_VALUE"""),"ASS. A. AO COL. EST. ODOLFO SOARES")</f>
        <v>ASS. A. AO COL. EST. ODOLFO SOARES</v>
      </c>
      <c r="D370" s="136" t="str">
        <f ca="1">IFERROR(__xludf.DUMMYFUNCTION("""COMPUTED_VALUE"""),"01342866000143")</f>
        <v>01342866000143</v>
      </c>
      <c r="E370" s="6" t="str">
        <f ca="1">IFERROR(__xludf.DUMMYFUNCTION("""COMPUTED_VALUE"""),"001")</f>
        <v>001</v>
      </c>
      <c r="F370" s="7" t="str">
        <f ca="1">IFERROR(__xludf.DUMMYFUNCTION("""COMPUTED_VALUE"""),"1117")</f>
        <v>1117</v>
      </c>
      <c r="G370" s="7" t="str">
        <f ca="1">IFERROR(__xludf.DUMMYFUNCTION("""COMPUTED_VALUE"""),"333921")</f>
        <v>333921</v>
      </c>
      <c r="H370" s="7">
        <f ca="1">IFERROR(__xludf.DUMMYFUNCTION("""COMPUTED_VALUE"""),0)</f>
        <v>0</v>
      </c>
      <c r="I370" s="7">
        <f ca="1">IFERROR(__xludf.DUMMYFUNCTION("""COMPUTED_VALUE"""),0)</f>
        <v>0</v>
      </c>
      <c r="J370" s="7">
        <f ca="1">IFERROR(__xludf.DUMMYFUNCTION("""COMPUTED_VALUE"""),6180)</f>
        <v>6180</v>
      </c>
      <c r="K370" s="7">
        <f ca="1">IFERROR(__xludf.DUMMYFUNCTION("""COMPUTED_VALUE"""),0)</f>
        <v>0</v>
      </c>
      <c r="L370" s="7">
        <f ca="1">IFERROR(__xludf.DUMMYFUNCTION("""COMPUTED_VALUE"""),0)</f>
        <v>0</v>
      </c>
      <c r="M370" s="7">
        <f ca="1">IFERROR(__xludf.DUMMYFUNCTION("""COMPUTED_VALUE"""),0)</f>
        <v>0</v>
      </c>
      <c r="N370" s="7">
        <f ca="1">IFERROR(__xludf.DUMMYFUNCTION("""COMPUTED_VALUE"""),0)</f>
        <v>0</v>
      </c>
      <c r="O370" s="7">
        <f ca="1">IFERROR(__xludf.DUMMYFUNCTION("""COMPUTED_VALUE"""),0)</f>
        <v>0</v>
      </c>
      <c r="P370" s="7">
        <f ca="1">IFERROR(__xludf.DUMMYFUNCTION("""COMPUTED_VALUE"""),380.8)</f>
        <v>380.8</v>
      </c>
      <c r="Q370" s="7">
        <f ca="1">IFERROR(__xludf.DUMMYFUNCTION("""COMPUTED_VALUE"""),6440)</f>
        <v>6440</v>
      </c>
      <c r="R370" s="7">
        <f ca="1">IFERROR(__xludf.DUMMYFUNCTION("""COMPUTED_VALUE"""),0)</f>
        <v>0</v>
      </c>
      <c r="S370" s="7">
        <f ca="1">IFERROR(__xludf.DUMMYFUNCTION("""COMPUTED_VALUE"""),0)</f>
        <v>0</v>
      </c>
      <c r="T370" s="7">
        <f ca="1">IFERROR(__xludf.DUMMYFUNCTION("""COMPUTED_VALUE"""),0)</f>
        <v>0</v>
      </c>
      <c r="U370" s="61"/>
      <c r="V370" s="61"/>
      <c r="W370" s="61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IFERROR(__xludf.DUMMYFUNCTION("""COMPUTED_VALUE"""),"Ponte Alta do Tocantins")</f>
        <v>Ponte Alta do Tocantins</v>
      </c>
      <c r="C371" s="60" t="str">
        <f ca="1">IFERROR(__xludf.DUMMYFUNCTION("""COMPUTED_VALUE"""),"ASS. APOIO DA ESCOLA EST. ALCIDES RUFO")</f>
        <v>ASS. APOIO DA ESCOLA EST. ALCIDES RUFO</v>
      </c>
      <c r="D371" s="136" t="str">
        <f ca="1">IFERROR(__xludf.DUMMYFUNCTION("""COMPUTED_VALUE"""),"01192931000100")</f>
        <v>01192931000100</v>
      </c>
      <c r="E371" s="6" t="str">
        <f ca="1">IFERROR(__xludf.DUMMYFUNCTION("""COMPUTED_VALUE"""),"001")</f>
        <v>001</v>
      </c>
      <c r="F371" s="7" t="str">
        <f ca="1">IFERROR(__xludf.DUMMYFUNCTION("""COMPUTED_VALUE"""),"1117")</f>
        <v>1117</v>
      </c>
      <c r="G371" s="7" t="str">
        <f ca="1">IFERROR(__xludf.DUMMYFUNCTION("""COMPUTED_VALUE"""),"313785")</f>
        <v>313785</v>
      </c>
      <c r="H371" s="7">
        <f ca="1">IFERROR(__xludf.DUMMYFUNCTION("""COMPUTED_VALUE"""),0)</f>
        <v>0</v>
      </c>
      <c r="I371" s="7">
        <f ca="1">IFERROR(__xludf.DUMMYFUNCTION("""COMPUTED_VALUE"""),0)</f>
        <v>0</v>
      </c>
      <c r="J371" s="7">
        <f ca="1">IFERROR(__xludf.DUMMYFUNCTION("""COMPUTED_VALUE"""),2610)</f>
        <v>2610</v>
      </c>
      <c r="K371" s="7">
        <f ca="1">IFERROR(__xludf.DUMMYFUNCTION("""COMPUTED_VALUE"""),0)</f>
        <v>0</v>
      </c>
      <c r="L371" s="7">
        <f ca="1">IFERROR(__xludf.DUMMYFUNCTION("""COMPUTED_VALUE"""),0)</f>
        <v>0</v>
      </c>
      <c r="M371" s="7">
        <f ca="1">IFERROR(__xludf.DUMMYFUNCTION("""COMPUTED_VALUE"""),0)</f>
        <v>0</v>
      </c>
      <c r="N371" s="7">
        <f ca="1">IFERROR(__xludf.DUMMYFUNCTION("""COMPUTED_VALUE"""),0)</f>
        <v>0</v>
      </c>
      <c r="O371" s="7">
        <f ca="1">IFERROR(__xludf.DUMMYFUNCTION("""COMPUTED_VALUE"""),0)</f>
        <v>0</v>
      </c>
      <c r="P371" s="7">
        <f ca="1">IFERROR(__xludf.DUMMYFUNCTION("""COMPUTED_VALUE"""),0)</f>
        <v>0</v>
      </c>
      <c r="Q371" s="7">
        <f ca="1">IFERROR(__xludf.DUMMYFUNCTION("""COMPUTED_VALUE"""),0)</f>
        <v>0</v>
      </c>
      <c r="R371" s="7">
        <f ca="1">IFERROR(__xludf.DUMMYFUNCTION("""COMPUTED_VALUE"""),0)</f>
        <v>0</v>
      </c>
      <c r="S371" s="7">
        <f ca="1">IFERROR(__xludf.DUMMYFUNCTION("""COMPUTED_VALUE"""),0)</f>
        <v>0</v>
      </c>
      <c r="T371" s="7">
        <f ca="1">IFERROR(__xludf.DUMMYFUNCTION("""COMPUTED_VALUE"""),0)</f>
        <v>0</v>
      </c>
      <c r="U371" s="61"/>
      <c r="V371" s="61"/>
      <c r="W371" s="61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IFERROR(__xludf.DUMMYFUNCTION("""COMPUTED_VALUE"""),"Ponte Alta do Tocantins")</f>
        <v>Ponte Alta do Tocantins</v>
      </c>
      <c r="C372" s="60" t="str">
        <f ca="1">IFERROR(__xludf.DUMMYFUNCTION("""COMPUTED_VALUE"""),"ASS. DE APOIO A ESCOLA EST. ESPECIAL AMILSON FRAZÃO DOS REIS")</f>
        <v>ASS. DE APOIO A ESCOLA EST. ESPECIAL AMILSON FRAZÃO DOS REIS</v>
      </c>
      <c r="D372" s="136" t="str">
        <f ca="1">IFERROR(__xludf.DUMMYFUNCTION("""COMPUTED_VALUE"""),"20309905000155")</f>
        <v>20309905000155</v>
      </c>
      <c r="E372" s="6" t="str">
        <f ca="1">IFERROR(__xludf.DUMMYFUNCTION("""COMPUTED_VALUE"""),"001")</f>
        <v>001</v>
      </c>
      <c r="F372" s="7" t="str">
        <f ca="1">IFERROR(__xludf.DUMMYFUNCTION("""COMPUTED_VALUE"""),"1117")</f>
        <v>1117</v>
      </c>
      <c r="G372" s="7" t="str">
        <f ca="1">IFERROR(__xludf.DUMMYFUNCTION("""COMPUTED_VALUE"""),"567426")</f>
        <v>567426</v>
      </c>
      <c r="H372" s="7">
        <f ca="1">IFERROR(__xludf.DUMMYFUNCTION("""COMPUTED_VALUE"""),0)</f>
        <v>0</v>
      </c>
      <c r="I372" s="7">
        <f ca="1">IFERROR(__xludf.DUMMYFUNCTION("""COMPUTED_VALUE"""),0)</f>
        <v>0</v>
      </c>
      <c r="J372" s="7">
        <f ca="1">IFERROR(__xludf.DUMMYFUNCTION("""COMPUTED_VALUE"""),80)</f>
        <v>80</v>
      </c>
      <c r="K372" s="7">
        <f ca="1">IFERROR(__xludf.DUMMYFUNCTION("""COMPUTED_VALUE"""),0)</f>
        <v>0</v>
      </c>
      <c r="L372" s="7">
        <f ca="1">IFERROR(__xludf.DUMMYFUNCTION("""COMPUTED_VALUE"""),0)</f>
        <v>0</v>
      </c>
      <c r="M372" s="7">
        <f ca="1">IFERROR(__xludf.DUMMYFUNCTION("""COMPUTED_VALUE"""),0)</f>
        <v>0</v>
      </c>
      <c r="N372" s="7">
        <f ca="1">IFERROR(__xludf.DUMMYFUNCTION("""COMPUTED_VALUE"""),0)</f>
        <v>0</v>
      </c>
      <c r="O372" s="7">
        <f ca="1">IFERROR(__xludf.DUMMYFUNCTION("""COMPUTED_VALUE"""),0)</f>
        <v>0</v>
      </c>
      <c r="P372" s="7">
        <f ca="1">IFERROR(__xludf.DUMMYFUNCTION("""COMPUTED_VALUE"""),163.2)</f>
        <v>163.19999999999999</v>
      </c>
      <c r="Q372" s="7">
        <f ca="1">IFERROR(__xludf.DUMMYFUNCTION("""COMPUTED_VALUE"""),0)</f>
        <v>0</v>
      </c>
      <c r="R372" s="7">
        <f ca="1">IFERROR(__xludf.DUMMYFUNCTION("""COMPUTED_VALUE"""),0)</f>
        <v>0</v>
      </c>
      <c r="S372" s="7">
        <f ca="1">IFERROR(__xludf.DUMMYFUNCTION("""COMPUTED_VALUE"""),0)</f>
        <v>0</v>
      </c>
      <c r="T372" s="7">
        <f ca="1">IFERROR(__xludf.DUMMYFUNCTION("""COMPUTED_VALUE"""),393.599999999999)</f>
        <v>393.599999999999</v>
      </c>
      <c r="U372" s="61"/>
      <c r="V372" s="61"/>
      <c r="W372" s="61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0" t="str">
        <f ca="1">IFERROR(__xludf.DUMMYFUNCTION("""COMPUTED_VALUE"""),"ASSOC. DE APOIO AO CEM FELIX CAMOA I")</f>
        <v>ASSOC. DE APOIO AO CEM FELIX CAMOA I</v>
      </c>
      <c r="D373" s="136" t="str">
        <f ca="1">IFERROR(__xludf.DUMMYFUNCTION("""COMPUTED_VALUE"""),"01112476000187")</f>
        <v>01112476000187</v>
      </c>
      <c r="E373" s="6" t="str">
        <f ca="1">IFERROR(__xludf.DUMMYFUNCTION("""COMPUTED_VALUE"""),"104")</f>
        <v>104</v>
      </c>
      <c r="F373" s="7" t="str">
        <f ca="1">IFERROR(__xludf.DUMMYFUNCTION("""COMPUTED_VALUE"""),"1829")</f>
        <v>1829</v>
      </c>
      <c r="G373" s="7" t="str">
        <f ca="1">IFERROR(__xludf.DUMMYFUNCTION("""COMPUTED_VALUE"""),"3050011")</f>
        <v>3050011</v>
      </c>
      <c r="H373" s="7">
        <f ca="1">IFERROR(__xludf.DUMMYFUNCTION("""COMPUTED_VALUE"""),0)</f>
        <v>0</v>
      </c>
      <c r="I373" s="7">
        <f ca="1">IFERROR(__xludf.DUMMYFUNCTION("""COMPUTED_VALUE"""),0)</f>
        <v>0</v>
      </c>
      <c r="J373" s="7">
        <f ca="1">IFERROR(__xludf.DUMMYFUNCTION("""COMPUTED_VALUE"""),0)</f>
        <v>0</v>
      </c>
      <c r="K373" s="7">
        <f ca="1">IFERROR(__xludf.DUMMYFUNCTION("""COMPUTED_VALUE"""),0)</f>
        <v>0</v>
      </c>
      <c r="L373" s="7">
        <f ca="1">IFERROR(__xludf.DUMMYFUNCTION("""COMPUTED_VALUE"""),0)</f>
        <v>0</v>
      </c>
      <c r="M373" s="7">
        <f ca="1">IFERROR(__xludf.DUMMYFUNCTION("""COMPUTED_VALUE"""),0)</f>
        <v>0</v>
      </c>
      <c r="N373" s="7">
        <f ca="1">IFERROR(__xludf.DUMMYFUNCTION("""COMPUTED_VALUE"""),0)</f>
        <v>0</v>
      </c>
      <c r="O373" s="7">
        <f ca="1">IFERROR(__xludf.DUMMYFUNCTION("""COMPUTED_VALUE"""),0)</f>
        <v>0</v>
      </c>
      <c r="P373" s="7">
        <f ca="1">IFERROR(__xludf.DUMMYFUNCTION("""COMPUTED_VALUE"""),163.2)</f>
        <v>163.19999999999999</v>
      </c>
      <c r="Q373" s="7">
        <f ca="1">IFERROR(__xludf.DUMMYFUNCTION("""COMPUTED_VALUE"""),0)</f>
        <v>0</v>
      </c>
      <c r="R373" s="7">
        <f ca="1">IFERROR(__xludf.DUMMYFUNCTION("""COMPUTED_VALUE"""),0)</f>
        <v>0</v>
      </c>
      <c r="S373" s="7">
        <f ca="1">IFERROR(__xludf.DUMMYFUNCTION("""COMPUTED_VALUE"""),13926.4)</f>
        <v>13926.4</v>
      </c>
      <c r="T373" s="7">
        <f ca="1">IFERROR(__xludf.DUMMYFUNCTION("""COMPUTED_VALUE"""),0)</f>
        <v>0</v>
      </c>
      <c r="U373" s="61"/>
      <c r="V373" s="61"/>
      <c r="W373" s="61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0" t="str">
        <f ca="1">IFERROR(__xludf.DUMMYFUNCTION("""COMPUTED_VALUE"""),"ASSOC. DE A.DO CEM PROFº. FLORÊNCIO AIRES DA SILVA")</f>
        <v>ASSOC. DE A.DO CEM PROFº. FLORÊNCIO AIRES DA SILVA</v>
      </c>
      <c r="D374" s="136" t="str">
        <f ca="1">IFERROR(__xludf.DUMMYFUNCTION("""COMPUTED_VALUE"""),"01138326000142")</f>
        <v>01138326000142</v>
      </c>
      <c r="E374" s="6" t="str">
        <f ca="1">IFERROR(__xludf.DUMMYFUNCTION("""COMPUTED_VALUE"""),"001")</f>
        <v>001</v>
      </c>
      <c r="F374" s="7" t="str">
        <f ca="1">IFERROR(__xludf.DUMMYFUNCTION("""COMPUTED_VALUE"""),"1117")</f>
        <v>1117</v>
      </c>
      <c r="G374" s="7" t="str">
        <f ca="1">IFERROR(__xludf.DUMMYFUNCTION("""COMPUTED_VALUE"""),"5500X")</f>
        <v>5500X</v>
      </c>
      <c r="H374" s="7">
        <f ca="1">IFERROR(__xludf.DUMMYFUNCTION("""COMPUTED_VALUE"""),0)</f>
        <v>0</v>
      </c>
      <c r="I374" s="7">
        <f ca="1">IFERROR(__xludf.DUMMYFUNCTION("""COMPUTED_VALUE"""),0)</f>
        <v>0</v>
      </c>
      <c r="J374" s="7">
        <f ca="1">IFERROR(__xludf.DUMMYFUNCTION("""COMPUTED_VALUE"""),1020)</f>
        <v>1020</v>
      </c>
      <c r="K374" s="7">
        <f ca="1">IFERROR(__xludf.DUMMYFUNCTION("""COMPUTED_VALUE"""),0)</f>
        <v>0</v>
      </c>
      <c r="L374" s="7">
        <f ca="1">IFERROR(__xludf.DUMMYFUNCTION("""COMPUTED_VALUE"""),0)</f>
        <v>0</v>
      </c>
      <c r="M374" s="7">
        <f ca="1">IFERROR(__xludf.DUMMYFUNCTION("""COMPUTED_VALUE"""),0)</f>
        <v>0</v>
      </c>
      <c r="N374" s="7">
        <f ca="1">IFERROR(__xludf.DUMMYFUNCTION("""COMPUTED_VALUE"""),0)</f>
        <v>0</v>
      </c>
      <c r="O374" s="7">
        <f ca="1">IFERROR(__xludf.DUMMYFUNCTION("""COMPUTED_VALUE"""),0)</f>
        <v>0</v>
      </c>
      <c r="P374" s="7">
        <f ca="1">IFERROR(__xludf.DUMMYFUNCTION("""COMPUTED_VALUE"""),190.4)</f>
        <v>190.4</v>
      </c>
      <c r="Q374" s="7">
        <f ca="1">IFERROR(__xludf.DUMMYFUNCTION("""COMPUTED_VALUE"""),2360)</f>
        <v>2360</v>
      </c>
      <c r="R374" s="7">
        <f ca="1">IFERROR(__xludf.DUMMYFUNCTION("""COMPUTED_VALUE"""),0)</f>
        <v>0</v>
      </c>
      <c r="S374" s="7">
        <f ca="1">IFERROR(__xludf.DUMMYFUNCTION("""COMPUTED_VALUE"""),0)</f>
        <v>0</v>
      </c>
      <c r="T374" s="7">
        <f ca="1">IFERROR(__xludf.DUMMYFUNCTION("""COMPUTED_VALUE"""),442.799999999999)</f>
        <v>442.79999999999899</v>
      </c>
      <c r="U374" s="61"/>
      <c r="V374" s="61"/>
      <c r="W374" s="61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0" t="str">
        <f ca="1">IFERROR(__xludf.DUMMYFUNCTION("""COMPUTED_VALUE"""),"A. E. COM. ESC. CONV. ANGELICA R. ARANHA")</f>
        <v>A. E. COM. ESC. CONV. ANGELICA R. ARANHA</v>
      </c>
      <c r="D375" s="136" t="str">
        <f ca="1">IFERROR(__xludf.DUMMYFUNCTION("""COMPUTED_VALUE"""),"01075455000139")</f>
        <v>01075455000139</v>
      </c>
      <c r="E375" s="6" t="str">
        <f ca="1">IFERROR(__xludf.DUMMYFUNCTION("""COMPUTED_VALUE"""),"104")</f>
        <v>104</v>
      </c>
      <c r="F375" s="7" t="str">
        <f ca="1">IFERROR(__xludf.DUMMYFUNCTION("""COMPUTED_VALUE"""),"1829")</f>
        <v>1829</v>
      </c>
      <c r="G375" s="7" t="str">
        <f ca="1">IFERROR(__xludf.DUMMYFUNCTION("""COMPUTED_VALUE"""),"307313")</f>
        <v>307313</v>
      </c>
      <c r="H375" s="7">
        <f ca="1">IFERROR(__xludf.DUMMYFUNCTION("""COMPUTED_VALUE"""),0)</f>
        <v>0</v>
      </c>
      <c r="I375" s="7">
        <f ca="1">IFERROR(__xludf.DUMMYFUNCTION("""COMPUTED_VALUE"""),0)</f>
        <v>0</v>
      </c>
      <c r="J375" s="7">
        <f ca="1">IFERROR(__xludf.DUMMYFUNCTION("""COMPUTED_VALUE"""),1470)</f>
        <v>1470</v>
      </c>
      <c r="K375" s="7">
        <f ca="1">IFERROR(__xludf.DUMMYFUNCTION("""COMPUTED_VALUE"""),0)</f>
        <v>0</v>
      </c>
      <c r="L375" s="7">
        <f ca="1">IFERROR(__xludf.DUMMYFUNCTION("""COMPUTED_VALUE"""),0)</f>
        <v>0</v>
      </c>
      <c r="M375" s="7">
        <f ca="1">IFERROR(__xludf.DUMMYFUNCTION("""COMPUTED_VALUE"""),0)</f>
        <v>0</v>
      </c>
      <c r="N375" s="7">
        <f ca="1">IFERROR(__xludf.DUMMYFUNCTION("""COMPUTED_VALUE"""),0)</f>
        <v>0</v>
      </c>
      <c r="O375" s="7">
        <f ca="1">IFERROR(__xludf.DUMMYFUNCTION("""COMPUTED_VALUE"""),0)</f>
        <v>0</v>
      </c>
      <c r="P375" s="7">
        <f ca="1">IFERROR(__xludf.DUMMYFUNCTION("""COMPUTED_VALUE"""),149.6)</f>
        <v>149.6</v>
      </c>
      <c r="Q375" s="7">
        <f ca="1">IFERROR(__xludf.DUMMYFUNCTION("""COMPUTED_VALUE"""),700)</f>
        <v>700</v>
      </c>
      <c r="R375" s="7">
        <f ca="1">IFERROR(__xludf.DUMMYFUNCTION("""COMPUTED_VALUE"""),0)</f>
        <v>0</v>
      </c>
      <c r="S375" s="7">
        <f ca="1">IFERROR(__xludf.DUMMYFUNCTION("""COMPUTED_VALUE"""),0)</f>
        <v>0</v>
      </c>
      <c r="T375" s="7">
        <f ca="1">IFERROR(__xludf.DUMMYFUNCTION("""COMPUTED_VALUE"""),0)</f>
        <v>0</v>
      </c>
      <c r="U375" s="61"/>
      <c r="V375" s="61"/>
      <c r="W375" s="61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0" t="str">
        <f ca="1">IFERROR(__xludf.DUMMYFUNCTION("""COMPUTED_VALUE"""),"A.A. ESC. EST. DR.PEDRO LUDOVICO TEIXEIRA")</f>
        <v>A.A. ESC. EST. DR.PEDRO LUDOVICO TEIXEIRA</v>
      </c>
      <c r="D376" s="136" t="str">
        <f ca="1">IFERROR(__xludf.DUMMYFUNCTION("""COMPUTED_VALUE"""),"01135997000150")</f>
        <v>01135997000150</v>
      </c>
      <c r="E376" s="6" t="str">
        <f ca="1">IFERROR(__xludf.DUMMYFUNCTION("""COMPUTED_VALUE"""),"104")</f>
        <v>104</v>
      </c>
      <c r="F376" s="7" t="str">
        <f ca="1">IFERROR(__xludf.DUMMYFUNCTION("""COMPUTED_VALUE"""),"1829")</f>
        <v>1829</v>
      </c>
      <c r="G376" s="7" t="str">
        <f ca="1">IFERROR(__xludf.DUMMYFUNCTION("""COMPUTED_VALUE"""),"305949")</f>
        <v>305949</v>
      </c>
      <c r="H376" s="7">
        <f ca="1">IFERROR(__xludf.DUMMYFUNCTION("""COMPUTED_VALUE"""),0)</f>
        <v>0</v>
      </c>
      <c r="I376" s="7">
        <f ca="1">IFERROR(__xludf.DUMMYFUNCTION("""COMPUTED_VALUE"""),0)</f>
        <v>0</v>
      </c>
      <c r="J376" s="7">
        <f ca="1">IFERROR(__xludf.DUMMYFUNCTION("""COMPUTED_VALUE"""),9560)</f>
        <v>9560</v>
      </c>
      <c r="K376" s="7">
        <f ca="1">IFERROR(__xludf.DUMMYFUNCTION("""COMPUTED_VALUE"""),0)</f>
        <v>0</v>
      </c>
      <c r="L376" s="7">
        <f ca="1">IFERROR(__xludf.DUMMYFUNCTION("""COMPUTED_VALUE"""),0)</f>
        <v>0</v>
      </c>
      <c r="M376" s="7">
        <f ca="1">IFERROR(__xludf.DUMMYFUNCTION("""COMPUTED_VALUE"""),0)</f>
        <v>0</v>
      </c>
      <c r="N376" s="7">
        <f ca="1">IFERROR(__xludf.DUMMYFUNCTION("""COMPUTED_VALUE"""),0)</f>
        <v>0</v>
      </c>
      <c r="O376" s="7">
        <f ca="1">IFERROR(__xludf.DUMMYFUNCTION("""COMPUTED_VALUE"""),0)</f>
        <v>0</v>
      </c>
      <c r="P376" s="7">
        <f ca="1">IFERROR(__xludf.DUMMYFUNCTION("""COMPUTED_VALUE"""),571.199999999999)</f>
        <v>571.19999999999902</v>
      </c>
      <c r="Q376" s="7">
        <f ca="1">IFERROR(__xludf.DUMMYFUNCTION("""COMPUTED_VALUE"""),4900)</f>
        <v>4900</v>
      </c>
      <c r="R376" s="7">
        <f ca="1">IFERROR(__xludf.DUMMYFUNCTION("""COMPUTED_VALUE"""),0)</f>
        <v>0</v>
      </c>
      <c r="S376" s="7">
        <f ca="1">IFERROR(__xludf.DUMMYFUNCTION("""COMPUTED_VALUE"""),0)</f>
        <v>0</v>
      </c>
      <c r="T376" s="7">
        <f ca="1">IFERROR(__xludf.DUMMYFUNCTION("""COMPUTED_VALUE"""),0)</f>
        <v>0</v>
      </c>
      <c r="U376" s="61"/>
      <c r="V376" s="61"/>
      <c r="W376" s="61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0" t="str">
        <f ca="1">IFERROR(__xludf.DUMMYFUNCTION("""COMPUTED_VALUE"""),"A. ESCOL.COM. ESC. EST. MAL.ARTUR C.E SILVA")</f>
        <v>A. ESCOL.COM. ESC. EST. MAL.ARTUR C.E SILVA</v>
      </c>
      <c r="D377" s="136" t="str">
        <f ca="1">IFERROR(__xludf.DUMMYFUNCTION("""COMPUTED_VALUE"""),"01112763000197")</f>
        <v>01112763000197</v>
      </c>
      <c r="E377" s="6" t="str">
        <f ca="1">IFERROR(__xludf.DUMMYFUNCTION("""COMPUTED_VALUE"""),"104")</f>
        <v>104</v>
      </c>
      <c r="F377" s="7" t="str">
        <f ca="1">IFERROR(__xludf.DUMMYFUNCTION("""COMPUTED_VALUE"""),"1829")</f>
        <v>1829</v>
      </c>
      <c r="G377" s="7" t="str">
        <f ca="1">IFERROR(__xludf.DUMMYFUNCTION("""COMPUTED_VALUE"""),"307364")</f>
        <v>307364</v>
      </c>
      <c r="H377" s="7">
        <f ca="1">IFERROR(__xludf.DUMMYFUNCTION("""COMPUTED_VALUE"""),0)</f>
        <v>0</v>
      </c>
      <c r="I377" s="7">
        <f ca="1">IFERROR(__xludf.DUMMYFUNCTION("""COMPUTED_VALUE"""),0)</f>
        <v>0</v>
      </c>
      <c r="J377" s="7">
        <f ca="1">IFERROR(__xludf.DUMMYFUNCTION("""COMPUTED_VALUE"""),2390)</f>
        <v>2390</v>
      </c>
      <c r="K377" s="7">
        <f ca="1">IFERROR(__xludf.DUMMYFUNCTION("""COMPUTED_VALUE"""),0)</f>
        <v>0</v>
      </c>
      <c r="L377" s="7">
        <f ca="1">IFERROR(__xludf.DUMMYFUNCTION("""COMPUTED_VALUE"""),0)</f>
        <v>0</v>
      </c>
      <c r="M377" s="7">
        <f ca="1">IFERROR(__xludf.DUMMYFUNCTION("""COMPUTED_VALUE"""),0)</f>
        <v>0</v>
      </c>
      <c r="N377" s="7">
        <f ca="1">IFERROR(__xludf.DUMMYFUNCTION("""COMPUTED_VALUE"""),0)</f>
        <v>0</v>
      </c>
      <c r="O377" s="7">
        <f ca="1">IFERROR(__xludf.DUMMYFUNCTION("""COMPUTED_VALUE"""),0)</f>
        <v>0</v>
      </c>
      <c r="P377" s="7">
        <f ca="1">IFERROR(__xludf.DUMMYFUNCTION("""COMPUTED_VALUE"""),231.2)</f>
        <v>231.2</v>
      </c>
      <c r="Q377" s="7">
        <f ca="1">IFERROR(__xludf.DUMMYFUNCTION("""COMPUTED_VALUE"""),1440)</f>
        <v>1440</v>
      </c>
      <c r="R377" s="7">
        <f ca="1">IFERROR(__xludf.DUMMYFUNCTION("""COMPUTED_VALUE"""),0)</f>
        <v>0</v>
      </c>
      <c r="S377" s="7">
        <f ca="1">IFERROR(__xludf.DUMMYFUNCTION("""COMPUTED_VALUE"""),0)</f>
        <v>0</v>
      </c>
      <c r="T377" s="7">
        <f ca="1">IFERROR(__xludf.DUMMYFUNCTION("""COMPUTED_VALUE"""),656)</f>
        <v>656</v>
      </c>
      <c r="U377" s="61"/>
      <c r="V377" s="61"/>
      <c r="W377" s="61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0" t="str">
        <f ca="1">IFERROR(__xludf.DUMMYFUNCTION("""COMPUTED_VALUE"""),"ASSOCIAÇÃO DE APOIO DA ESCOLA FAMÍLIA AGRÍCOLA")</f>
        <v>ASSOCIAÇÃO DE APOIO DA ESCOLA FAMÍLIA AGRÍCOLA</v>
      </c>
      <c r="D378" s="136" t="str">
        <f ca="1">IFERROR(__xludf.DUMMYFUNCTION("""COMPUTED_VALUE"""),"01197155000122")</f>
        <v>01197155000122</v>
      </c>
      <c r="E378" s="6" t="str">
        <f ca="1">IFERROR(__xludf.DUMMYFUNCTION("""COMPUTED_VALUE"""),"001")</f>
        <v>001</v>
      </c>
      <c r="F378" s="7" t="str">
        <f ca="1">IFERROR(__xludf.DUMMYFUNCTION("""COMPUTED_VALUE"""),"1117")</f>
        <v>1117</v>
      </c>
      <c r="G378" s="7" t="str">
        <f ca="1">IFERROR(__xludf.DUMMYFUNCTION("""COMPUTED_VALUE"""),"313483")</f>
        <v>313483</v>
      </c>
      <c r="H378" s="7">
        <f ca="1">IFERROR(__xludf.DUMMYFUNCTION("""COMPUTED_VALUE"""),0)</f>
        <v>0</v>
      </c>
      <c r="I378" s="7">
        <f ca="1">IFERROR(__xludf.DUMMYFUNCTION("""COMPUTED_VALUE"""),0)</f>
        <v>0</v>
      </c>
      <c r="J378" s="7">
        <f ca="1">IFERROR(__xludf.DUMMYFUNCTION("""COMPUTED_VALUE"""),0)</f>
        <v>0</v>
      </c>
      <c r="K378" s="7">
        <f ca="1">IFERROR(__xludf.DUMMYFUNCTION("""COMPUTED_VALUE"""),0)</f>
        <v>0</v>
      </c>
      <c r="L378" s="7">
        <f ca="1">IFERROR(__xludf.DUMMYFUNCTION("""COMPUTED_VALUE"""),0)</f>
        <v>0</v>
      </c>
      <c r="M378" s="7">
        <f ca="1">IFERROR(__xludf.DUMMYFUNCTION("""COMPUTED_VALUE"""),0)</f>
        <v>0</v>
      </c>
      <c r="N378" s="7">
        <f ca="1">IFERROR(__xludf.DUMMYFUNCTION("""COMPUTED_VALUE"""),0)</f>
        <v>0</v>
      </c>
      <c r="O378" s="7">
        <f ca="1">IFERROR(__xludf.DUMMYFUNCTION("""COMPUTED_VALUE"""),0)</f>
        <v>0</v>
      </c>
      <c r="P378" s="7">
        <f ca="1">IFERROR(__xludf.DUMMYFUNCTION("""COMPUTED_VALUE"""),0)</f>
        <v>0</v>
      </c>
      <c r="Q378" s="7">
        <f ca="1">IFERROR(__xludf.DUMMYFUNCTION("""COMPUTED_VALUE"""),0)</f>
        <v>0</v>
      </c>
      <c r="R378" s="7">
        <f ca="1">IFERROR(__xludf.DUMMYFUNCTION("""COMPUTED_VALUE"""),5918.4)</f>
        <v>5918.4</v>
      </c>
      <c r="S378" s="7">
        <f ca="1">IFERROR(__xludf.DUMMYFUNCTION("""COMPUTED_VALUE"""),0)</f>
        <v>0</v>
      </c>
      <c r="T378" s="7">
        <f ca="1">IFERROR(__xludf.DUMMYFUNCTION("""COMPUTED_VALUE"""),0)</f>
        <v>0</v>
      </c>
      <c r="U378" s="61"/>
      <c r="V378" s="61"/>
      <c r="W378" s="61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0" t="str">
        <f ca="1">IFERROR(__xludf.DUMMYFUNCTION("""COMPUTED_VALUE"""),"ASSOC.P.A.DOS EXCEP. DE PORTO NACIONAL")</f>
        <v>ASSOC.P.A.DOS EXCEP. DE PORTO NACIONAL</v>
      </c>
      <c r="D379" s="136" t="str">
        <f ca="1">IFERROR(__xludf.DUMMYFUNCTION("""COMPUTED_VALUE"""),"26752113000137")</f>
        <v>26752113000137</v>
      </c>
      <c r="E379" s="6" t="str">
        <f ca="1">IFERROR(__xludf.DUMMYFUNCTION("""COMPUTED_VALUE"""),"001")</f>
        <v>001</v>
      </c>
      <c r="F379" s="7" t="str">
        <f ca="1">IFERROR(__xludf.DUMMYFUNCTION("""COMPUTED_VALUE"""),"1117")</f>
        <v>1117</v>
      </c>
      <c r="G379" s="7" t="str">
        <f ca="1">IFERROR(__xludf.DUMMYFUNCTION("""COMPUTED_VALUE"""),"86657")</f>
        <v>86657</v>
      </c>
      <c r="H379" s="7">
        <f ca="1">IFERROR(__xludf.DUMMYFUNCTION("""COMPUTED_VALUE"""),0)</f>
        <v>0</v>
      </c>
      <c r="I379" s="7">
        <f ca="1">IFERROR(__xludf.DUMMYFUNCTION("""COMPUTED_VALUE"""),172.8)</f>
        <v>172.8</v>
      </c>
      <c r="J379" s="7">
        <f ca="1">IFERROR(__xludf.DUMMYFUNCTION("""COMPUTED_VALUE"""),140)</f>
        <v>140</v>
      </c>
      <c r="K379" s="7">
        <f ca="1">IFERROR(__xludf.DUMMYFUNCTION("""COMPUTED_VALUE"""),0)</f>
        <v>0</v>
      </c>
      <c r="L379" s="7">
        <f ca="1">IFERROR(__xludf.DUMMYFUNCTION("""COMPUTED_VALUE"""),0)</f>
        <v>0</v>
      </c>
      <c r="M379" s="7">
        <f ca="1">IFERROR(__xludf.DUMMYFUNCTION("""COMPUTED_VALUE"""),0)</f>
        <v>0</v>
      </c>
      <c r="N379" s="7">
        <f ca="1">IFERROR(__xludf.DUMMYFUNCTION("""COMPUTED_VALUE"""),0)</f>
        <v>0</v>
      </c>
      <c r="O379" s="7">
        <f ca="1">IFERROR(__xludf.DUMMYFUNCTION("""COMPUTED_VALUE"""),0)</f>
        <v>0</v>
      </c>
      <c r="P379" s="7">
        <f ca="1">IFERROR(__xludf.DUMMYFUNCTION("""COMPUTED_VALUE"""),231.2)</f>
        <v>231.2</v>
      </c>
      <c r="Q379" s="7">
        <f ca="1">IFERROR(__xludf.DUMMYFUNCTION("""COMPUTED_VALUE"""),0)</f>
        <v>0</v>
      </c>
      <c r="R379" s="7">
        <f ca="1">IFERROR(__xludf.DUMMYFUNCTION("""COMPUTED_VALUE"""),0)</f>
        <v>0</v>
      </c>
      <c r="S379" s="7">
        <f ca="1">IFERROR(__xludf.DUMMYFUNCTION("""COMPUTED_VALUE"""),0)</f>
        <v>0</v>
      </c>
      <c r="T379" s="7">
        <f ca="1">IFERROR(__xludf.DUMMYFUNCTION("""COMPUTED_VALUE"""),672.4)</f>
        <v>672.4</v>
      </c>
      <c r="U379" s="61"/>
      <c r="V379" s="61"/>
      <c r="W379" s="61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0" t="str">
        <f ca="1">IFERROR(__xludf.DUMMYFUNCTION("""COMPUTED_VALUE"""),"A.A.  ESCOLA ESTADUAL ALFREDO NASSER")</f>
        <v>A.A.  ESCOLA ESTADUAL ALFREDO NASSER</v>
      </c>
      <c r="D380" s="136" t="str">
        <f ca="1">IFERROR(__xludf.DUMMYFUNCTION("""COMPUTED_VALUE"""),"01251862000150")</f>
        <v>01251862000150</v>
      </c>
      <c r="E380" s="6" t="str">
        <f ca="1">IFERROR(__xludf.DUMMYFUNCTION("""COMPUTED_VALUE"""),"104")</f>
        <v>104</v>
      </c>
      <c r="F380" s="7" t="str">
        <f ca="1">IFERROR(__xludf.DUMMYFUNCTION("""COMPUTED_VALUE"""),"1829")</f>
        <v>1829</v>
      </c>
      <c r="G380" s="7" t="str">
        <f ca="1">IFERROR(__xludf.DUMMYFUNCTION("""COMPUTED_VALUE"""),"307410")</f>
        <v>307410</v>
      </c>
      <c r="H380" s="7">
        <f ca="1">IFERROR(__xludf.DUMMYFUNCTION("""COMPUTED_VALUE"""),0)</f>
        <v>0</v>
      </c>
      <c r="I380" s="7">
        <f ca="1">IFERROR(__xludf.DUMMYFUNCTION("""COMPUTED_VALUE"""),0)</f>
        <v>0</v>
      </c>
      <c r="J380" s="7">
        <f ca="1">IFERROR(__xludf.DUMMYFUNCTION("""COMPUTED_VALUE"""),1410)</f>
        <v>1410</v>
      </c>
      <c r="K380" s="7">
        <f ca="1">IFERROR(__xludf.DUMMYFUNCTION("""COMPUTED_VALUE"""),0)</f>
        <v>0</v>
      </c>
      <c r="L380" s="7">
        <f ca="1">IFERROR(__xludf.DUMMYFUNCTION("""COMPUTED_VALUE"""),0)</f>
        <v>0</v>
      </c>
      <c r="M380" s="7">
        <f ca="1">IFERROR(__xludf.DUMMYFUNCTION("""COMPUTED_VALUE"""),0)</f>
        <v>0</v>
      </c>
      <c r="N380" s="7">
        <f ca="1">IFERROR(__xludf.DUMMYFUNCTION("""COMPUTED_VALUE"""),0)</f>
        <v>0</v>
      </c>
      <c r="O380" s="7">
        <f ca="1">IFERROR(__xludf.DUMMYFUNCTION("""COMPUTED_VALUE"""),0)</f>
        <v>0</v>
      </c>
      <c r="P380" s="7">
        <f ca="1">IFERROR(__xludf.DUMMYFUNCTION("""COMPUTED_VALUE"""),108.8)</f>
        <v>108.8</v>
      </c>
      <c r="Q380" s="7">
        <f ca="1">IFERROR(__xludf.DUMMYFUNCTION("""COMPUTED_VALUE"""),470)</f>
        <v>470</v>
      </c>
      <c r="R380" s="7">
        <f ca="1">IFERROR(__xludf.DUMMYFUNCTION("""COMPUTED_VALUE"""),0)</f>
        <v>0</v>
      </c>
      <c r="S380" s="7">
        <f ca="1">IFERROR(__xludf.DUMMYFUNCTION("""COMPUTED_VALUE"""),0)</f>
        <v>0</v>
      </c>
      <c r="T380" s="7">
        <f ca="1">IFERROR(__xludf.DUMMYFUNCTION("""COMPUTED_VALUE"""),0)</f>
        <v>0</v>
      </c>
      <c r="U380" s="61"/>
      <c r="V380" s="61"/>
      <c r="W380" s="61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0" t="str">
        <f ca="1">IFERROR(__xludf.DUMMYFUNCTION("""COMPUTED_VALUE"""),"A.A. ESCOLA ESTADUAL ANA MACEDO MAIA")</f>
        <v>A.A. ESCOLA ESTADUAL ANA MACEDO MAIA</v>
      </c>
      <c r="D381" s="136" t="str">
        <f ca="1">IFERROR(__xludf.DUMMYFUNCTION("""COMPUTED_VALUE"""),"01243662000155")</f>
        <v>01243662000155</v>
      </c>
      <c r="E381" s="6" t="str">
        <f ca="1">IFERROR(__xludf.DUMMYFUNCTION("""COMPUTED_VALUE"""),"104")</f>
        <v>104</v>
      </c>
      <c r="F381" s="7" t="str">
        <f ca="1">IFERROR(__xludf.DUMMYFUNCTION("""COMPUTED_VALUE"""),"1829")</f>
        <v>1829</v>
      </c>
      <c r="G381" s="7" t="str">
        <f ca="1">IFERROR(__xludf.DUMMYFUNCTION("""COMPUTED_VALUE"""),"306015")</f>
        <v>306015</v>
      </c>
      <c r="H381" s="7">
        <f ca="1">IFERROR(__xludf.DUMMYFUNCTION("""COMPUTED_VALUE"""),0)</f>
        <v>0</v>
      </c>
      <c r="I381" s="7">
        <f ca="1">IFERROR(__xludf.DUMMYFUNCTION("""COMPUTED_VALUE"""),0)</f>
        <v>0</v>
      </c>
      <c r="J381" s="7">
        <f ca="1">IFERROR(__xludf.DUMMYFUNCTION("""COMPUTED_VALUE"""),3090)</f>
        <v>3090</v>
      </c>
      <c r="K381" s="7">
        <f ca="1">IFERROR(__xludf.DUMMYFUNCTION("""COMPUTED_VALUE"""),0)</f>
        <v>0</v>
      </c>
      <c r="L381" s="7">
        <f ca="1">IFERROR(__xludf.DUMMYFUNCTION("""COMPUTED_VALUE"""),0)</f>
        <v>0</v>
      </c>
      <c r="M381" s="7">
        <f ca="1">IFERROR(__xludf.DUMMYFUNCTION("""COMPUTED_VALUE"""),0)</f>
        <v>0</v>
      </c>
      <c r="N381" s="7">
        <f ca="1">IFERROR(__xludf.DUMMYFUNCTION("""COMPUTED_VALUE"""),0)</f>
        <v>0</v>
      </c>
      <c r="O381" s="7">
        <f ca="1">IFERROR(__xludf.DUMMYFUNCTION("""COMPUTED_VALUE"""),0)</f>
        <v>0</v>
      </c>
      <c r="P381" s="7">
        <f ca="1">IFERROR(__xludf.DUMMYFUNCTION("""COMPUTED_VALUE"""),0)</f>
        <v>0</v>
      </c>
      <c r="Q381" s="7">
        <f ca="1">IFERROR(__xludf.DUMMYFUNCTION("""COMPUTED_VALUE"""),0)</f>
        <v>0</v>
      </c>
      <c r="R381" s="7">
        <f ca="1">IFERROR(__xludf.DUMMYFUNCTION("""COMPUTED_VALUE"""),0)</f>
        <v>0</v>
      </c>
      <c r="S381" s="7">
        <f ca="1">IFERROR(__xludf.DUMMYFUNCTION("""COMPUTED_VALUE"""),0)</f>
        <v>0</v>
      </c>
      <c r="T381" s="7">
        <f ca="1">IFERROR(__xludf.DUMMYFUNCTION("""COMPUTED_VALUE"""),0)</f>
        <v>0</v>
      </c>
      <c r="U381" s="61"/>
      <c r="V381" s="61"/>
      <c r="W381" s="61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0" t="str">
        <f ca="1">IFERROR(__xludf.DUMMYFUNCTION("""COMPUTED_VALUE"""),"A. ESCOLAR COMUN. DA ESC. CONV. BRASIL")</f>
        <v>A. ESCOLAR COMUN. DA ESC. CONV. BRASIL</v>
      </c>
      <c r="D382" s="136" t="str">
        <f ca="1">IFERROR(__xludf.DUMMYFUNCTION("""COMPUTED_VALUE"""),"01112471000154")</f>
        <v>01112471000154</v>
      </c>
      <c r="E382" s="6" t="str">
        <f ca="1">IFERROR(__xludf.DUMMYFUNCTION("""COMPUTED_VALUE"""),"104")</f>
        <v>104</v>
      </c>
      <c r="F382" s="7" t="str">
        <f ca="1">IFERROR(__xludf.DUMMYFUNCTION("""COMPUTED_VALUE"""),"1829")</f>
        <v>1829</v>
      </c>
      <c r="G382" s="7" t="str">
        <f ca="1">IFERROR(__xludf.DUMMYFUNCTION("""COMPUTED_VALUE"""),"307402")</f>
        <v>307402</v>
      </c>
      <c r="H382" s="7">
        <f ca="1">IFERROR(__xludf.DUMMYFUNCTION("""COMPUTED_VALUE"""),0)</f>
        <v>0</v>
      </c>
      <c r="I382" s="7">
        <f ca="1">IFERROR(__xludf.DUMMYFUNCTION("""COMPUTED_VALUE"""),0)</f>
        <v>0</v>
      </c>
      <c r="J382" s="7">
        <f ca="1">IFERROR(__xludf.DUMMYFUNCTION("""COMPUTED_VALUE"""),860)</f>
        <v>860</v>
      </c>
      <c r="K382" s="7">
        <f ca="1">IFERROR(__xludf.DUMMYFUNCTION("""COMPUTED_VALUE"""),0)</f>
        <v>0</v>
      </c>
      <c r="L382" s="7">
        <f ca="1">IFERROR(__xludf.DUMMYFUNCTION("""COMPUTED_VALUE"""),0)</f>
        <v>0</v>
      </c>
      <c r="M382" s="7">
        <f ca="1">IFERROR(__xludf.DUMMYFUNCTION("""COMPUTED_VALUE"""),0)</f>
        <v>0</v>
      </c>
      <c r="N382" s="7">
        <f ca="1">IFERROR(__xludf.DUMMYFUNCTION("""COMPUTED_VALUE"""),0)</f>
        <v>0</v>
      </c>
      <c r="O382" s="7">
        <f ca="1">IFERROR(__xludf.DUMMYFUNCTION("""COMPUTED_VALUE"""),0)</f>
        <v>0</v>
      </c>
      <c r="P382" s="7">
        <f ca="1">IFERROR(__xludf.DUMMYFUNCTION("""COMPUTED_VALUE"""),0)</f>
        <v>0</v>
      </c>
      <c r="Q382" s="7">
        <f ca="1">IFERROR(__xludf.DUMMYFUNCTION("""COMPUTED_VALUE"""),520)</f>
        <v>520</v>
      </c>
      <c r="R382" s="7">
        <f ca="1">IFERROR(__xludf.DUMMYFUNCTION("""COMPUTED_VALUE"""),0)</f>
        <v>0</v>
      </c>
      <c r="S382" s="7">
        <f ca="1">IFERROR(__xludf.DUMMYFUNCTION("""COMPUTED_VALUE"""),0)</f>
        <v>0</v>
      </c>
      <c r="T382" s="7">
        <f ca="1">IFERROR(__xludf.DUMMYFUNCTION("""COMPUTED_VALUE"""),0)</f>
        <v>0</v>
      </c>
      <c r="U382" s="61"/>
      <c r="V382" s="61"/>
      <c r="W382" s="61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0" t="str">
        <f ca="1">IFERROR(__xludf.DUMMYFUNCTION("""COMPUTED_VALUE"""),"A.A.  ESCOLA ESTADUAL CUSTÓDIA DA SILVA PEDREIRA")</f>
        <v>A.A.  ESCOLA ESTADUAL CUSTÓDIA DA SILVA PEDREIRA</v>
      </c>
      <c r="D383" s="136" t="str">
        <f ca="1">IFERROR(__xludf.DUMMYFUNCTION("""COMPUTED_VALUE"""),"01192932000146")</f>
        <v>01192932000146</v>
      </c>
      <c r="E383" s="6" t="str">
        <f ca="1">IFERROR(__xludf.DUMMYFUNCTION("""COMPUTED_VALUE"""),"001")</f>
        <v>001</v>
      </c>
      <c r="F383" s="7" t="str">
        <f ca="1">IFERROR(__xludf.DUMMYFUNCTION("""COMPUTED_VALUE"""),"1117")</f>
        <v>1117</v>
      </c>
      <c r="G383" s="7" t="str">
        <f ca="1">IFERROR(__xludf.DUMMYFUNCTION("""COMPUTED_VALUE"""),"314080")</f>
        <v>314080</v>
      </c>
      <c r="H383" s="7">
        <f ca="1">IFERROR(__xludf.DUMMYFUNCTION("""COMPUTED_VALUE"""),0)</f>
        <v>0</v>
      </c>
      <c r="I383" s="7">
        <f ca="1">IFERROR(__xludf.DUMMYFUNCTION("""COMPUTED_VALUE"""),0)</f>
        <v>0</v>
      </c>
      <c r="J383" s="7">
        <f ca="1">IFERROR(__xludf.DUMMYFUNCTION("""COMPUTED_VALUE"""),4460)</f>
        <v>4460</v>
      </c>
      <c r="K383" s="7">
        <f ca="1">IFERROR(__xludf.DUMMYFUNCTION("""COMPUTED_VALUE"""),0)</f>
        <v>0</v>
      </c>
      <c r="L383" s="7">
        <f ca="1">IFERROR(__xludf.DUMMYFUNCTION("""COMPUTED_VALUE"""),0)</f>
        <v>0</v>
      </c>
      <c r="M383" s="7">
        <f ca="1">IFERROR(__xludf.DUMMYFUNCTION("""COMPUTED_VALUE"""),0)</f>
        <v>0</v>
      </c>
      <c r="N383" s="7">
        <f ca="1">IFERROR(__xludf.DUMMYFUNCTION("""COMPUTED_VALUE"""),0)</f>
        <v>0</v>
      </c>
      <c r="O383" s="7">
        <f ca="1">IFERROR(__xludf.DUMMYFUNCTION("""COMPUTED_VALUE"""),0)</f>
        <v>0</v>
      </c>
      <c r="P383" s="7">
        <f ca="1">IFERROR(__xludf.DUMMYFUNCTION("""COMPUTED_VALUE"""),0)</f>
        <v>0</v>
      </c>
      <c r="Q383" s="7">
        <f ca="1">IFERROR(__xludf.DUMMYFUNCTION("""COMPUTED_VALUE"""),3230)</f>
        <v>3230</v>
      </c>
      <c r="R383" s="7">
        <f ca="1">IFERROR(__xludf.DUMMYFUNCTION("""COMPUTED_VALUE"""),0)</f>
        <v>0</v>
      </c>
      <c r="S383" s="7">
        <f ca="1">IFERROR(__xludf.DUMMYFUNCTION("""COMPUTED_VALUE"""),0)</f>
        <v>0</v>
      </c>
      <c r="T383" s="7">
        <f ca="1">IFERROR(__xludf.DUMMYFUNCTION("""COMPUTED_VALUE"""),0)</f>
        <v>0</v>
      </c>
      <c r="U383" s="61"/>
      <c r="V383" s="61"/>
      <c r="W383" s="61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0" t="str">
        <f ca="1">IFERROR(__xludf.DUMMYFUNCTION("""COMPUTED_VALUE"""),"A. ESC. COM./ESC. EST. D.DOMINGOS CARREROT")</f>
        <v>A. ESC. COM./ESC. EST. D.DOMINGOS CARREROT</v>
      </c>
      <c r="D384" s="136" t="str">
        <f ca="1">IFERROR(__xludf.DUMMYFUNCTION("""COMPUTED_VALUE"""),"00900197000115")</f>
        <v>00900197000115</v>
      </c>
      <c r="E384" s="6" t="str">
        <f ca="1">IFERROR(__xludf.DUMMYFUNCTION("""COMPUTED_VALUE"""),"104")</f>
        <v>104</v>
      </c>
      <c r="F384" s="7" t="str">
        <f ca="1">IFERROR(__xludf.DUMMYFUNCTION("""COMPUTED_VALUE"""),"1829")</f>
        <v>1829</v>
      </c>
      <c r="G384" s="7" t="str">
        <f ca="1">IFERROR(__xludf.DUMMYFUNCTION("""COMPUTED_VALUE"""),"305914")</f>
        <v>305914</v>
      </c>
      <c r="H384" s="7">
        <f ca="1">IFERROR(__xludf.DUMMYFUNCTION("""COMPUTED_VALUE"""),0)</f>
        <v>0</v>
      </c>
      <c r="I384" s="7">
        <f ca="1">IFERROR(__xludf.DUMMYFUNCTION("""COMPUTED_VALUE"""),0)</f>
        <v>0</v>
      </c>
      <c r="J384" s="7">
        <f ca="1">IFERROR(__xludf.DUMMYFUNCTION("""COMPUTED_VALUE"""),3540)</f>
        <v>3540</v>
      </c>
      <c r="K384" s="7">
        <f ca="1">IFERROR(__xludf.DUMMYFUNCTION("""COMPUTED_VALUE"""),0)</f>
        <v>0</v>
      </c>
      <c r="L384" s="7">
        <f ca="1">IFERROR(__xludf.DUMMYFUNCTION("""COMPUTED_VALUE"""),0)</f>
        <v>0</v>
      </c>
      <c r="M384" s="7">
        <f ca="1">IFERROR(__xludf.DUMMYFUNCTION("""COMPUTED_VALUE"""),0)</f>
        <v>0</v>
      </c>
      <c r="N384" s="7">
        <f ca="1">IFERROR(__xludf.DUMMYFUNCTION("""COMPUTED_VALUE"""),0)</f>
        <v>0</v>
      </c>
      <c r="O384" s="7">
        <f ca="1">IFERROR(__xludf.DUMMYFUNCTION("""COMPUTED_VALUE"""),0)</f>
        <v>0</v>
      </c>
      <c r="P384" s="7">
        <f ca="1">IFERROR(__xludf.DUMMYFUNCTION("""COMPUTED_VALUE"""),217.6)</f>
        <v>217.6</v>
      </c>
      <c r="Q384" s="7">
        <f ca="1">IFERROR(__xludf.DUMMYFUNCTION("""COMPUTED_VALUE"""),0)</f>
        <v>0</v>
      </c>
      <c r="R384" s="7">
        <f ca="1">IFERROR(__xludf.DUMMYFUNCTION("""COMPUTED_VALUE"""),0)</f>
        <v>0</v>
      </c>
      <c r="S384" s="7">
        <f ca="1">IFERROR(__xludf.DUMMYFUNCTION("""COMPUTED_VALUE"""),0)</f>
        <v>0</v>
      </c>
      <c r="T384" s="7">
        <f ca="1">IFERROR(__xludf.DUMMYFUNCTION("""COMPUTED_VALUE"""),0)</f>
        <v>0</v>
      </c>
      <c r="U384" s="61"/>
      <c r="V384" s="61"/>
      <c r="W384" s="61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IFERROR(__xludf.DUMMYFUNCTION("""COMPUTED_VALUE"""),"Porto Nacional")</f>
        <v>Porto Nacional</v>
      </c>
      <c r="C385" s="60" t="str">
        <f ca="1">IFERROR(__xludf.DUMMYFUNCTION("""COMPUTED_VALUE"""),"A.A.  A ESCOLA D. PEDRO II")</f>
        <v>A.A.  A ESCOLA D. PEDRO II</v>
      </c>
      <c r="D385" s="136" t="str">
        <f ca="1">IFERROR(__xludf.DUMMYFUNCTION("""COMPUTED_VALUE"""),"01133697000131")</f>
        <v>01133697000131</v>
      </c>
      <c r="E385" s="6" t="str">
        <f ca="1">IFERROR(__xludf.DUMMYFUNCTION("""COMPUTED_VALUE"""),"001")</f>
        <v>001</v>
      </c>
      <c r="F385" s="7" t="str">
        <f ca="1">IFERROR(__xludf.DUMMYFUNCTION("""COMPUTED_VALUE"""),"1117")</f>
        <v>1117</v>
      </c>
      <c r="G385" s="7" t="str">
        <f ca="1">IFERROR(__xludf.DUMMYFUNCTION("""COMPUTED_VALUE"""),"0313092")</f>
        <v>0313092</v>
      </c>
      <c r="H385" s="7">
        <f ca="1">IFERROR(__xludf.DUMMYFUNCTION("""COMPUTED_VALUE"""),0)</f>
        <v>0</v>
      </c>
      <c r="I385" s="7">
        <f ca="1">IFERROR(__xludf.DUMMYFUNCTION("""COMPUTED_VALUE"""),0)</f>
        <v>0</v>
      </c>
      <c r="J385" s="7">
        <f ca="1">IFERROR(__xludf.DUMMYFUNCTION("""COMPUTED_VALUE"""),0)</f>
        <v>0</v>
      </c>
      <c r="K385" s="7">
        <f ca="1">IFERROR(__xludf.DUMMYFUNCTION("""COMPUTED_VALUE"""),3781.2)</f>
        <v>3781.2</v>
      </c>
      <c r="L385" s="7">
        <f ca="1">IFERROR(__xludf.DUMMYFUNCTION("""COMPUTED_VALUE"""),0)</f>
        <v>0</v>
      </c>
      <c r="M385" s="7">
        <f ca="1">IFERROR(__xludf.DUMMYFUNCTION("""COMPUTED_VALUE"""),0)</f>
        <v>0</v>
      </c>
      <c r="N385" s="7">
        <f ca="1">IFERROR(__xludf.DUMMYFUNCTION("""COMPUTED_VALUE"""),0)</f>
        <v>0</v>
      </c>
      <c r="O385" s="7">
        <f ca="1">IFERROR(__xludf.DUMMYFUNCTION("""COMPUTED_VALUE"""),0)</f>
        <v>0</v>
      </c>
      <c r="P385" s="7">
        <f ca="1">IFERROR(__xludf.DUMMYFUNCTION("""COMPUTED_VALUE"""),217.6)</f>
        <v>217.6</v>
      </c>
      <c r="Q385" s="7">
        <f ca="1">IFERROR(__xludf.DUMMYFUNCTION("""COMPUTED_VALUE"""),0)</f>
        <v>0</v>
      </c>
      <c r="R385" s="7">
        <f ca="1">IFERROR(__xludf.DUMMYFUNCTION("""COMPUTED_VALUE"""),0)</f>
        <v>0</v>
      </c>
      <c r="S385" s="7">
        <f ca="1">IFERROR(__xludf.DUMMYFUNCTION("""COMPUTED_VALUE"""),0)</f>
        <v>0</v>
      </c>
      <c r="T385" s="7">
        <f ca="1">IFERROR(__xludf.DUMMYFUNCTION("""COMPUTED_VALUE"""),0)</f>
        <v>0</v>
      </c>
      <c r="U385" s="61"/>
      <c r="V385" s="61"/>
      <c r="W385" s="61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IFERROR(__xludf.DUMMYFUNCTION("""COMPUTED_VALUE"""),"Porto Nacional")</f>
        <v>Porto Nacional</v>
      </c>
      <c r="C386" s="60" t="str">
        <f ca="1">IFERROR(__xludf.DUMMYFUNCTION("""COMPUTED_VALUE"""),"A.A. ESCOLA ESTADUAL IRMA ASPASIA")</f>
        <v>A.A. ESCOLA ESTADUAL IRMA ASPASIA</v>
      </c>
      <c r="D386" s="136" t="str">
        <f ca="1">IFERROR(__xludf.DUMMYFUNCTION("""COMPUTED_VALUE"""),"01136022000146")</f>
        <v>01136022000146</v>
      </c>
      <c r="E386" s="6" t="str">
        <f ca="1">IFERROR(__xludf.DUMMYFUNCTION("""COMPUTED_VALUE"""),"104")</f>
        <v>104</v>
      </c>
      <c r="F386" s="7" t="str">
        <f ca="1">IFERROR(__xludf.DUMMYFUNCTION("""COMPUTED_VALUE"""),"1829")</f>
        <v>1829</v>
      </c>
      <c r="G386" s="7" t="str">
        <f ca="1">IFERROR(__xludf.DUMMYFUNCTION("""COMPUTED_VALUE"""),"307453")</f>
        <v>307453</v>
      </c>
      <c r="H386" s="7">
        <f ca="1">IFERROR(__xludf.DUMMYFUNCTION("""COMPUTED_VALUE"""),0)</f>
        <v>0</v>
      </c>
      <c r="I386" s="7">
        <f ca="1">IFERROR(__xludf.DUMMYFUNCTION("""COMPUTED_VALUE"""),0)</f>
        <v>0</v>
      </c>
      <c r="J386" s="7">
        <f ca="1">IFERROR(__xludf.DUMMYFUNCTION("""COMPUTED_VALUE"""),1360)</f>
        <v>1360</v>
      </c>
      <c r="K386" s="7">
        <f ca="1">IFERROR(__xludf.DUMMYFUNCTION("""COMPUTED_VALUE"""),0)</f>
        <v>0</v>
      </c>
      <c r="L386" s="7">
        <f ca="1">IFERROR(__xludf.DUMMYFUNCTION("""COMPUTED_VALUE"""),0)</f>
        <v>0</v>
      </c>
      <c r="M386" s="7">
        <f ca="1">IFERROR(__xludf.DUMMYFUNCTION("""COMPUTED_VALUE"""),0)</f>
        <v>0</v>
      </c>
      <c r="N386" s="7">
        <f ca="1">IFERROR(__xludf.DUMMYFUNCTION("""COMPUTED_VALUE"""),0)</f>
        <v>0</v>
      </c>
      <c r="O386" s="7">
        <f ca="1">IFERROR(__xludf.DUMMYFUNCTION("""COMPUTED_VALUE"""),0)</f>
        <v>0</v>
      </c>
      <c r="P386" s="7">
        <f ca="1">IFERROR(__xludf.DUMMYFUNCTION("""COMPUTED_VALUE"""),204)</f>
        <v>204</v>
      </c>
      <c r="Q386" s="7">
        <f ca="1">IFERROR(__xludf.DUMMYFUNCTION("""COMPUTED_VALUE"""),2100)</f>
        <v>2100</v>
      </c>
      <c r="R386" s="7">
        <f ca="1">IFERROR(__xludf.DUMMYFUNCTION("""COMPUTED_VALUE"""),0)</f>
        <v>0</v>
      </c>
      <c r="S386" s="7">
        <f ca="1">IFERROR(__xludf.DUMMYFUNCTION("""COMPUTED_VALUE"""),0)</f>
        <v>0</v>
      </c>
      <c r="T386" s="7">
        <f ca="1">IFERROR(__xludf.DUMMYFUNCTION("""COMPUTED_VALUE"""),0)</f>
        <v>0</v>
      </c>
      <c r="U386" s="61"/>
      <c r="V386" s="61"/>
      <c r="W386" s="61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IFERROR(__xludf.DUMMYFUNCTION("""COMPUTED_VALUE"""),"Porto Nacional")</f>
        <v>Porto Nacional</v>
      </c>
      <c r="C387" s="60" t="str">
        <f ca="1">IFERROR(__xludf.DUMMYFUNCTION("""COMPUTED_VALUE"""),"A.A. DA ESC. EST. ALCIDES RODRIGUES AIRES")</f>
        <v>A.A. DA ESC. EST. ALCIDES RODRIGUES AIRES</v>
      </c>
      <c r="D387" s="136" t="str">
        <f ca="1">IFERROR(__xludf.DUMMYFUNCTION("""COMPUTED_VALUE"""),"03495455000113")</f>
        <v>03495455000113</v>
      </c>
      <c r="E387" s="6" t="str">
        <f ca="1">IFERROR(__xludf.DUMMYFUNCTION("""COMPUTED_VALUE"""),"001")</f>
        <v>001</v>
      </c>
      <c r="F387" s="7" t="str">
        <f ca="1">IFERROR(__xludf.DUMMYFUNCTION("""COMPUTED_VALUE"""),"1117")</f>
        <v>1117</v>
      </c>
      <c r="G387" s="7" t="str">
        <f ca="1">IFERROR(__xludf.DUMMYFUNCTION("""COMPUTED_VALUE"""),"77143")</f>
        <v>77143</v>
      </c>
      <c r="H387" s="7">
        <f ca="1">IFERROR(__xludf.DUMMYFUNCTION("""COMPUTED_VALUE"""),0)</f>
        <v>0</v>
      </c>
      <c r="I387" s="7">
        <f ca="1">IFERROR(__xludf.DUMMYFUNCTION("""COMPUTED_VALUE"""),0)</f>
        <v>0</v>
      </c>
      <c r="J387" s="7">
        <f ca="1">IFERROR(__xludf.DUMMYFUNCTION("""COMPUTED_VALUE"""),3690)</f>
        <v>3690</v>
      </c>
      <c r="K387" s="7">
        <f ca="1">IFERROR(__xludf.DUMMYFUNCTION("""COMPUTED_VALUE"""),0)</f>
        <v>0</v>
      </c>
      <c r="L387" s="7">
        <f ca="1">IFERROR(__xludf.DUMMYFUNCTION("""COMPUTED_VALUE"""),0)</f>
        <v>0</v>
      </c>
      <c r="M387" s="7">
        <f ca="1">IFERROR(__xludf.DUMMYFUNCTION("""COMPUTED_VALUE"""),0)</f>
        <v>0</v>
      </c>
      <c r="N387" s="7">
        <f ca="1">IFERROR(__xludf.DUMMYFUNCTION("""COMPUTED_VALUE"""),0)</f>
        <v>0</v>
      </c>
      <c r="O387" s="7">
        <f ca="1">IFERROR(__xludf.DUMMYFUNCTION("""COMPUTED_VALUE"""),0)</f>
        <v>0</v>
      </c>
      <c r="P387" s="7">
        <f ca="1">IFERROR(__xludf.DUMMYFUNCTION("""COMPUTED_VALUE"""),312.8)</f>
        <v>312.8</v>
      </c>
      <c r="Q387" s="7">
        <f ca="1">IFERROR(__xludf.DUMMYFUNCTION("""COMPUTED_VALUE"""),0)</f>
        <v>0</v>
      </c>
      <c r="R387" s="7">
        <f ca="1">IFERROR(__xludf.DUMMYFUNCTION("""COMPUTED_VALUE"""),0)</f>
        <v>0</v>
      </c>
      <c r="S387" s="7">
        <f ca="1">IFERROR(__xludf.DUMMYFUNCTION("""COMPUTED_VALUE"""),0)</f>
        <v>0</v>
      </c>
      <c r="T387" s="7">
        <f ca="1">IFERROR(__xludf.DUMMYFUNCTION("""COMPUTED_VALUE"""),360.799999999999)</f>
        <v>360.79999999999899</v>
      </c>
      <c r="U387" s="61"/>
      <c r="V387" s="61"/>
      <c r="W387" s="61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IFERROR(__xludf.DUMMYFUNCTION("""COMPUTED_VALUE"""),"Porto Nacional")</f>
        <v>Porto Nacional</v>
      </c>
      <c r="C388" s="60" t="str">
        <f ca="1">IFERROR(__xludf.DUMMYFUNCTION("""COMPUTED_VALUE"""),"A.A. E. E. PROFA. CARMENIA MATOS MAIA")</f>
        <v>A.A. E. E. PROFA. CARMENIA MATOS MAIA</v>
      </c>
      <c r="D388" s="136" t="str">
        <f ca="1">IFERROR(__xludf.DUMMYFUNCTION("""COMPUTED_VALUE"""),"01118897000115")</f>
        <v>01118897000115</v>
      </c>
      <c r="E388" s="6" t="str">
        <f ca="1">IFERROR(__xludf.DUMMYFUNCTION("""COMPUTED_VALUE"""),"104")</f>
        <v>104</v>
      </c>
      <c r="F388" s="7" t="str">
        <f ca="1">IFERROR(__xludf.DUMMYFUNCTION("""COMPUTED_VALUE"""),"1829")</f>
        <v>1829</v>
      </c>
      <c r="G388" s="7" t="str">
        <f ca="1">IFERROR(__xludf.DUMMYFUNCTION("""COMPUTED_VALUE"""),"307399")</f>
        <v>307399</v>
      </c>
      <c r="H388" s="7">
        <f ca="1">IFERROR(__xludf.DUMMYFUNCTION("""COMPUTED_VALUE"""),0)</f>
        <v>0</v>
      </c>
      <c r="I388" s="7">
        <f ca="1">IFERROR(__xludf.DUMMYFUNCTION("""COMPUTED_VALUE"""),0)</f>
        <v>0</v>
      </c>
      <c r="J388" s="7">
        <f ca="1">IFERROR(__xludf.DUMMYFUNCTION("""COMPUTED_VALUE"""),4460)</f>
        <v>4460</v>
      </c>
      <c r="K388" s="7">
        <f ca="1">IFERROR(__xludf.DUMMYFUNCTION("""COMPUTED_VALUE"""),0)</f>
        <v>0</v>
      </c>
      <c r="L388" s="7">
        <f ca="1">IFERROR(__xludf.DUMMYFUNCTION("""COMPUTED_VALUE"""),0)</f>
        <v>0</v>
      </c>
      <c r="M388" s="7">
        <f ca="1">IFERROR(__xludf.DUMMYFUNCTION("""COMPUTED_VALUE"""),0)</f>
        <v>0</v>
      </c>
      <c r="N388" s="7">
        <f ca="1">IFERROR(__xludf.DUMMYFUNCTION("""COMPUTED_VALUE"""),0)</f>
        <v>0</v>
      </c>
      <c r="O388" s="7">
        <f ca="1">IFERROR(__xludf.DUMMYFUNCTION("""COMPUTED_VALUE"""),0)</f>
        <v>0</v>
      </c>
      <c r="P388" s="7">
        <f ca="1">IFERROR(__xludf.DUMMYFUNCTION("""COMPUTED_VALUE"""),408)</f>
        <v>408</v>
      </c>
      <c r="Q388" s="7">
        <f ca="1">IFERROR(__xludf.DUMMYFUNCTION("""COMPUTED_VALUE"""),1740)</f>
        <v>1740</v>
      </c>
      <c r="R388" s="7">
        <f ca="1">IFERROR(__xludf.DUMMYFUNCTION("""COMPUTED_VALUE"""),0)</f>
        <v>0</v>
      </c>
      <c r="S388" s="7">
        <f ca="1">IFERROR(__xludf.DUMMYFUNCTION("""COMPUTED_VALUE"""),0)</f>
        <v>0</v>
      </c>
      <c r="T388" s="7">
        <f ca="1">IFERROR(__xludf.DUMMYFUNCTION("""COMPUTED_VALUE"""),0)</f>
        <v>0</v>
      </c>
      <c r="U388" s="61"/>
      <c r="V388" s="61"/>
      <c r="W388" s="61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IFERROR(__xludf.DUMMYFUNCTION("""COMPUTED_VALUE"""),"Santa Rita do Tocantins")</f>
        <v>Santa Rita do Tocantins</v>
      </c>
      <c r="C389" s="60" t="str">
        <f ca="1">IFERROR(__xludf.DUMMYFUNCTION("""COMPUTED_VALUE"""),"ASS. COM.DE AP.ESC. EST. DE 1 GRAU BOA NOVA")</f>
        <v>ASS. COM.DE AP.ESC. EST. DE 1 GRAU BOA NOVA</v>
      </c>
      <c r="D389" s="136" t="str">
        <f ca="1">IFERROR(__xludf.DUMMYFUNCTION("""COMPUTED_VALUE"""),"01856561000150")</f>
        <v>01856561000150</v>
      </c>
      <c r="E389" s="6" t="str">
        <f ca="1">IFERROR(__xludf.DUMMYFUNCTION("""COMPUTED_VALUE"""),"001")</f>
        <v>001</v>
      </c>
      <c r="F389" s="7" t="str">
        <f ca="1">IFERROR(__xludf.DUMMYFUNCTION("""COMPUTED_VALUE"""),"4107")</f>
        <v>4107</v>
      </c>
      <c r="G389" s="7" t="str">
        <f ca="1">IFERROR(__xludf.DUMMYFUNCTION("""COMPUTED_VALUE"""),"320722")</f>
        <v>320722</v>
      </c>
      <c r="H389" s="7">
        <f ca="1">IFERROR(__xludf.DUMMYFUNCTION("""COMPUTED_VALUE"""),0)</f>
        <v>0</v>
      </c>
      <c r="I389" s="7">
        <f ca="1">IFERROR(__xludf.DUMMYFUNCTION("""COMPUTED_VALUE"""),0)</f>
        <v>0</v>
      </c>
      <c r="J389" s="7">
        <f ca="1">IFERROR(__xludf.DUMMYFUNCTION("""COMPUTED_VALUE"""),850)</f>
        <v>850</v>
      </c>
      <c r="K389" s="7">
        <f ca="1">IFERROR(__xludf.DUMMYFUNCTION("""COMPUTED_VALUE"""),0)</f>
        <v>0</v>
      </c>
      <c r="L389" s="7">
        <f ca="1">IFERROR(__xludf.DUMMYFUNCTION("""COMPUTED_VALUE"""),0)</f>
        <v>0</v>
      </c>
      <c r="M389" s="7">
        <f ca="1">IFERROR(__xludf.DUMMYFUNCTION("""COMPUTED_VALUE"""),0)</f>
        <v>0</v>
      </c>
      <c r="N389" s="7">
        <f ca="1">IFERROR(__xludf.DUMMYFUNCTION("""COMPUTED_VALUE"""),0)</f>
        <v>0</v>
      </c>
      <c r="O389" s="7">
        <f ca="1">IFERROR(__xludf.DUMMYFUNCTION("""COMPUTED_VALUE"""),0)</f>
        <v>0</v>
      </c>
      <c r="P389" s="7">
        <f ca="1">IFERROR(__xludf.DUMMYFUNCTION("""COMPUTED_VALUE"""),0)</f>
        <v>0</v>
      </c>
      <c r="Q389" s="7">
        <f ca="1">IFERROR(__xludf.DUMMYFUNCTION("""COMPUTED_VALUE"""),870)</f>
        <v>870</v>
      </c>
      <c r="R389" s="7">
        <f ca="1">IFERROR(__xludf.DUMMYFUNCTION("""COMPUTED_VALUE"""),0)</f>
        <v>0</v>
      </c>
      <c r="S389" s="7">
        <f ca="1">IFERROR(__xludf.DUMMYFUNCTION("""COMPUTED_VALUE"""),0)</f>
        <v>0</v>
      </c>
      <c r="T389" s="7">
        <f ca="1">IFERROR(__xludf.DUMMYFUNCTION("""COMPUTED_VALUE"""),0)</f>
        <v>0</v>
      </c>
      <c r="U389" s="61"/>
      <c r="V389" s="61"/>
      <c r="W389" s="61"/>
    </row>
    <row r="390" spans="1:23" ht="12.75">
      <c r="A390" t="str">
        <f ca="1">IFERROR(__xludf.DUMMYFUNCTION("""COMPUTED_VALUE"""),"Porto Nacional")</f>
        <v>Porto Nacional</v>
      </c>
      <c r="B390" t="str">
        <f ca="1">IFERROR(__xludf.DUMMYFUNCTION("""COMPUTED_VALUE"""),"Santa Rosa do Tocantins")</f>
        <v>Santa Rosa do Tocantins</v>
      </c>
      <c r="C390" s="60" t="str">
        <f ca="1">IFERROR(__xludf.DUMMYFUNCTION("""COMPUTED_VALUE"""),"A.A. E. E.PROF.ZACHARIAS NUNES DA SILVEIRA")</f>
        <v>A.A. E. E.PROF.ZACHARIAS NUNES DA SILVEIRA</v>
      </c>
      <c r="D390" s="136" t="str">
        <f ca="1">IFERROR(__xludf.DUMMYFUNCTION("""COMPUTED_VALUE"""),"01066420000133")</f>
        <v>01066420000133</v>
      </c>
      <c r="E390" s="6" t="str">
        <f ca="1">IFERROR(__xludf.DUMMYFUNCTION("""COMPUTED_VALUE"""),"104")</f>
        <v>104</v>
      </c>
      <c r="F390" s="7" t="str">
        <f ca="1">IFERROR(__xludf.DUMMYFUNCTION("""COMPUTED_VALUE"""),"1829")</f>
        <v>1829</v>
      </c>
      <c r="G390" s="7" t="str">
        <f ca="1">IFERROR(__xludf.DUMMYFUNCTION("""COMPUTED_VALUE"""),"0307461")</f>
        <v>0307461</v>
      </c>
      <c r="H390" s="7">
        <f ca="1">IFERROR(__xludf.DUMMYFUNCTION("""COMPUTED_VALUE"""),0)</f>
        <v>0</v>
      </c>
      <c r="I390" s="7">
        <f ca="1">IFERROR(__xludf.DUMMYFUNCTION("""COMPUTED_VALUE"""),0)</f>
        <v>0</v>
      </c>
      <c r="J390" s="7">
        <f ca="1">IFERROR(__xludf.DUMMYFUNCTION("""COMPUTED_VALUE"""),1570)</f>
        <v>1570</v>
      </c>
      <c r="K390" s="7">
        <f ca="1">IFERROR(__xludf.DUMMYFUNCTION("""COMPUTED_VALUE"""),0)</f>
        <v>0</v>
      </c>
      <c r="L390" s="7">
        <f ca="1">IFERROR(__xludf.DUMMYFUNCTION("""COMPUTED_VALUE"""),0)</f>
        <v>0</v>
      </c>
      <c r="M390" s="7">
        <f ca="1">IFERROR(__xludf.DUMMYFUNCTION("""COMPUTED_VALUE"""),0)</f>
        <v>0</v>
      </c>
      <c r="N390" s="7">
        <f ca="1">IFERROR(__xludf.DUMMYFUNCTION("""COMPUTED_VALUE"""),0)</f>
        <v>0</v>
      </c>
      <c r="O390" s="7">
        <f ca="1">IFERROR(__xludf.DUMMYFUNCTION("""COMPUTED_VALUE"""),0)</f>
        <v>0</v>
      </c>
      <c r="P390" s="7">
        <f ca="1">IFERROR(__xludf.DUMMYFUNCTION("""COMPUTED_VALUE"""),149.6)</f>
        <v>149.6</v>
      </c>
      <c r="Q390" s="7">
        <f ca="1">IFERROR(__xludf.DUMMYFUNCTION("""COMPUTED_VALUE"""),0)</f>
        <v>0</v>
      </c>
      <c r="R390" s="7">
        <f ca="1">IFERROR(__xludf.DUMMYFUNCTION("""COMPUTED_VALUE"""),0)</f>
        <v>0</v>
      </c>
      <c r="S390" s="7">
        <f ca="1">IFERROR(__xludf.DUMMYFUNCTION("""COMPUTED_VALUE"""),0)</f>
        <v>0</v>
      </c>
      <c r="T390" s="7">
        <f ca="1">IFERROR(__xludf.DUMMYFUNCTION("""COMPUTED_VALUE"""),0)</f>
        <v>0</v>
      </c>
      <c r="U390" s="61"/>
      <c r="V390" s="61"/>
      <c r="W390" s="61"/>
    </row>
    <row r="391" spans="1:23" ht="12.75">
      <c r="A391" t="str">
        <f ca="1">IFERROR(__xludf.DUMMYFUNCTION("""COMPUTED_VALUE"""),"Porto Nacional")</f>
        <v>Porto Nacional</v>
      </c>
      <c r="B391" t="str">
        <f ca="1">IFERROR(__xludf.DUMMYFUNCTION("""COMPUTED_VALUE"""),"Santa Rosa do Tocantins")</f>
        <v>Santa Rosa do Tocantins</v>
      </c>
      <c r="C391" s="60" t="str">
        <f ca="1">IFERROR(__xludf.DUMMYFUNCTION("""COMPUTED_VALUE"""),"A.A. E. E. TENENTE SALVADOR RIBEIRO")</f>
        <v>A.A. E. E. TENENTE SALVADOR RIBEIRO</v>
      </c>
      <c r="D391" s="136" t="str">
        <f ca="1">IFERROR(__xludf.DUMMYFUNCTION("""COMPUTED_VALUE"""),"01066424000111")</f>
        <v>01066424000111</v>
      </c>
      <c r="E391" s="6" t="str">
        <f ca="1">IFERROR(__xludf.DUMMYFUNCTION("""COMPUTED_VALUE"""),"001")</f>
        <v>001</v>
      </c>
      <c r="F391" s="7" t="str">
        <f ca="1">IFERROR(__xludf.DUMMYFUNCTION("""COMPUTED_VALUE"""),"1117")</f>
        <v>1117</v>
      </c>
      <c r="G391" s="7" t="str">
        <f ca="1">IFERROR(__xludf.DUMMYFUNCTION("""COMPUTED_VALUE"""),"332623")</f>
        <v>332623</v>
      </c>
      <c r="H391" s="7">
        <f ca="1">IFERROR(__xludf.DUMMYFUNCTION("""COMPUTED_VALUE"""),0)</f>
        <v>0</v>
      </c>
      <c r="I391" s="7">
        <f ca="1">IFERROR(__xludf.DUMMYFUNCTION("""COMPUTED_VALUE"""),0)</f>
        <v>0</v>
      </c>
      <c r="J391" s="7">
        <f ca="1">IFERROR(__xludf.DUMMYFUNCTION("""COMPUTED_VALUE"""),250)</f>
        <v>250</v>
      </c>
      <c r="K391" s="7">
        <f ca="1">IFERROR(__xludf.DUMMYFUNCTION("""COMPUTED_VALUE"""),0)</f>
        <v>0</v>
      </c>
      <c r="L391" s="7">
        <f ca="1">IFERROR(__xludf.DUMMYFUNCTION("""COMPUTED_VALUE"""),0)</f>
        <v>0</v>
      </c>
      <c r="M391" s="7">
        <f ca="1">IFERROR(__xludf.DUMMYFUNCTION("""COMPUTED_VALUE"""),0)</f>
        <v>0</v>
      </c>
      <c r="N391" s="7">
        <f ca="1">IFERROR(__xludf.DUMMYFUNCTION("""COMPUTED_VALUE"""),0)</f>
        <v>0</v>
      </c>
      <c r="O391" s="7">
        <f ca="1">IFERROR(__xludf.DUMMYFUNCTION("""COMPUTED_VALUE"""),0)</f>
        <v>0</v>
      </c>
      <c r="P391" s="7">
        <f ca="1">IFERROR(__xludf.DUMMYFUNCTION("""COMPUTED_VALUE"""),0)</f>
        <v>0</v>
      </c>
      <c r="Q391" s="7">
        <f ca="1">IFERROR(__xludf.DUMMYFUNCTION("""COMPUTED_VALUE"""),1810)</f>
        <v>1810</v>
      </c>
      <c r="R391" s="7">
        <f ca="1">IFERROR(__xludf.DUMMYFUNCTION("""COMPUTED_VALUE"""),0)</f>
        <v>0</v>
      </c>
      <c r="S391" s="7">
        <f ca="1">IFERROR(__xludf.DUMMYFUNCTION("""COMPUTED_VALUE"""),0)</f>
        <v>0</v>
      </c>
      <c r="T391" s="7">
        <f ca="1">IFERROR(__xludf.DUMMYFUNCTION("""COMPUTED_VALUE"""),114.799999999999)</f>
        <v>114.799999999999</v>
      </c>
      <c r="U391" s="61"/>
      <c r="V391" s="61"/>
      <c r="W391" s="61"/>
    </row>
    <row r="392" spans="1:23" ht="12.75">
      <c r="A392" t="str">
        <f ca="1">IFERROR(__xludf.DUMMYFUNCTION("""COMPUTED_VALUE"""),"Porto Nacional")</f>
        <v>Porto Nacional</v>
      </c>
      <c r="B392" t="str">
        <f ca="1">IFERROR(__xludf.DUMMYFUNCTION("""COMPUTED_VALUE"""),"Silvanopolis")</f>
        <v>Silvanopolis</v>
      </c>
      <c r="C392" s="60" t="str">
        <f ca="1">IFERROR(__xludf.DUMMYFUNCTION("""COMPUTED_VALUE"""),"A.A. DA ESC. EST. JOAO DA SILVA GUIMARAES")</f>
        <v>A.A. DA ESC. EST. JOAO DA SILVA GUIMARAES</v>
      </c>
      <c r="D392" s="136" t="str">
        <f ca="1">IFERROR(__xludf.DUMMYFUNCTION("""COMPUTED_VALUE"""),"01557779000103")</f>
        <v>01557779000103</v>
      </c>
      <c r="E392" s="6" t="str">
        <f ca="1">IFERROR(__xludf.DUMMYFUNCTION("""COMPUTED_VALUE"""),"001")</f>
        <v>001</v>
      </c>
      <c r="F392" s="7" t="str">
        <f ca="1">IFERROR(__xludf.DUMMYFUNCTION("""COMPUTED_VALUE"""),"3980")</f>
        <v>3980</v>
      </c>
      <c r="G392" s="7" t="str">
        <f ca="1">IFERROR(__xludf.DUMMYFUNCTION("""COMPUTED_VALUE"""),"51292")</f>
        <v>51292</v>
      </c>
      <c r="H392" s="7">
        <f ca="1">IFERROR(__xludf.DUMMYFUNCTION("""COMPUTED_VALUE"""),0)</f>
        <v>0</v>
      </c>
      <c r="I392" s="7">
        <f ca="1">IFERROR(__xludf.DUMMYFUNCTION("""COMPUTED_VALUE"""),0)</f>
        <v>0</v>
      </c>
      <c r="J392" s="7">
        <f ca="1">IFERROR(__xludf.DUMMYFUNCTION("""COMPUTED_VALUE"""),3190)</f>
        <v>3190</v>
      </c>
      <c r="K392" s="7">
        <f ca="1">IFERROR(__xludf.DUMMYFUNCTION("""COMPUTED_VALUE"""),0)</f>
        <v>0</v>
      </c>
      <c r="L392" s="7">
        <f ca="1">IFERROR(__xludf.DUMMYFUNCTION("""COMPUTED_VALUE"""),0)</f>
        <v>0</v>
      </c>
      <c r="M392" s="7">
        <f ca="1">IFERROR(__xludf.DUMMYFUNCTION("""COMPUTED_VALUE"""),0)</f>
        <v>0</v>
      </c>
      <c r="N392" s="7">
        <f ca="1">IFERROR(__xludf.DUMMYFUNCTION("""COMPUTED_VALUE"""),0)</f>
        <v>0</v>
      </c>
      <c r="O392" s="7">
        <f ca="1">IFERROR(__xludf.DUMMYFUNCTION("""COMPUTED_VALUE"""),0)</f>
        <v>0</v>
      </c>
      <c r="P392" s="7">
        <f ca="1">IFERROR(__xludf.DUMMYFUNCTION("""COMPUTED_VALUE"""),0)</f>
        <v>0</v>
      </c>
      <c r="Q392" s="7">
        <f ca="1">IFERROR(__xludf.DUMMYFUNCTION("""COMPUTED_VALUE"""),2390)</f>
        <v>2390</v>
      </c>
      <c r="R392" s="7">
        <f ca="1">IFERROR(__xludf.DUMMYFUNCTION("""COMPUTED_VALUE"""),0)</f>
        <v>0</v>
      </c>
      <c r="S392" s="7">
        <f ca="1">IFERROR(__xludf.DUMMYFUNCTION("""COMPUTED_VALUE"""),0)</f>
        <v>0</v>
      </c>
      <c r="T392" s="7">
        <f ca="1">IFERROR(__xludf.DUMMYFUNCTION("""COMPUTED_VALUE"""),0)</f>
        <v>0</v>
      </c>
      <c r="U392" s="61"/>
      <c r="V392" s="61"/>
      <c r="W392" s="61"/>
    </row>
    <row r="393" spans="1:23" ht="12.75">
      <c r="A393" t="str">
        <f ca="1">IFERROR(__xludf.DUMMYFUNCTION("""COMPUTED_VALUE"""),"Porto Nacional")</f>
        <v>Porto Nacional</v>
      </c>
      <c r="B393" t="str">
        <f ca="1">IFERROR(__xludf.DUMMYFUNCTION("""COMPUTED_VALUE"""),"Silvanopolis")</f>
        <v>Silvanopolis</v>
      </c>
      <c r="C393" s="60" t="str">
        <f ca="1">IFERROR(__xludf.DUMMYFUNCTION("""COMPUTED_VALUE"""),"A.A. A ESC. EST. JOAO PIRES QUERIDO")</f>
        <v>A.A. A ESC. EST. JOAO PIRES QUERIDO</v>
      </c>
      <c r="D393" s="136" t="str">
        <f ca="1">IFERROR(__xludf.DUMMYFUNCTION("""COMPUTED_VALUE"""),"01284632000197")</f>
        <v>01284632000197</v>
      </c>
      <c r="E393" s="6" t="str">
        <f ca="1">IFERROR(__xludf.DUMMYFUNCTION("""COMPUTED_VALUE"""),"001")</f>
        <v>001</v>
      </c>
      <c r="F393" s="7" t="str">
        <f ca="1">IFERROR(__xludf.DUMMYFUNCTION("""COMPUTED_VALUE"""),"3980")</f>
        <v>3980</v>
      </c>
      <c r="G393" s="7" t="str">
        <f ca="1">IFERROR(__xludf.DUMMYFUNCTION("""COMPUTED_VALUE"""),"051187")</f>
        <v>051187</v>
      </c>
      <c r="H393" s="7">
        <f ca="1">IFERROR(__xludf.DUMMYFUNCTION("""COMPUTED_VALUE"""),0)</f>
        <v>0</v>
      </c>
      <c r="I393" s="7">
        <f ca="1">IFERROR(__xludf.DUMMYFUNCTION("""COMPUTED_VALUE"""),0)</f>
        <v>0</v>
      </c>
      <c r="J393" s="7">
        <f ca="1">IFERROR(__xludf.DUMMYFUNCTION("""COMPUTED_VALUE"""),0)</f>
        <v>0</v>
      </c>
      <c r="K393" s="7">
        <f ca="1">IFERROR(__xludf.DUMMYFUNCTION("""COMPUTED_VALUE"""),4247)</f>
        <v>4247</v>
      </c>
      <c r="L393" s="7">
        <f ca="1">IFERROR(__xludf.DUMMYFUNCTION("""COMPUTED_VALUE"""),0)</f>
        <v>0</v>
      </c>
      <c r="M393" s="7">
        <f ca="1">IFERROR(__xludf.DUMMYFUNCTION("""COMPUTED_VALUE"""),0)</f>
        <v>0</v>
      </c>
      <c r="N393" s="7">
        <f ca="1">IFERROR(__xludf.DUMMYFUNCTION("""COMPUTED_VALUE"""),0)</f>
        <v>0</v>
      </c>
      <c r="O393" s="7">
        <f ca="1">IFERROR(__xludf.DUMMYFUNCTION("""COMPUTED_VALUE"""),0)</f>
        <v>0</v>
      </c>
      <c r="P393" s="7">
        <f ca="1">IFERROR(__xludf.DUMMYFUNCTION("""COMPUTED_VALUE"""),0)</f>
        <v>0</v>
      </c>
      <c r="Q393" s="7">
        <f ca="1">IFERROR(__xludf.DUMMYFUNCTION("""COMPUTED_VALUE"""),0)</f>
        <v>0</v>
      </c>
      <c r="R393" s="7">
        <f ca="1">IFERROR(__xludf.DUMMYFUNCTION("""COMPUTED_VALUE"""),0)</f>
        <v>0</v>
      </c>
      <c r="S393" s="7">
        <f ca="1">IFERROR(__xludf.DUMMYFUNCTION("""COMPUTED_VALUE"""),0)</f>
        <v>0</v>
      </c>
      <c r="T393" s="7">
        <f ca="1">IFERROR(__xludf.DUMMYFUNCTION("""COMPUTED_VALUE"""),106.6)</f>
        <v>106.6</v>
      </c>
      <c r="U393" s="61"/>
      <c r="V393" s="61"/>
      <c r="W393" s="61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IFERROR(__xludf.DUMMYFUNCTION("""COMPUTED_VALUE"""),"Aguiarnopolis")</f>
        <v>Aguiarnopolis</v>
      </c>
      <c r="C394" s="60" t="str">
        <f ca="1">IFERROR(__xludf.DUMMYFUNCTION("""COMPUTED_VALUE"""),"A.A. DA ESC. EST. NAZARÉ NUNES DA SILVA (AGUIARNOPOLIS)")</f>
        <v>A.A. DA ESC. EST. NAZARÉ NUNES DA SILVA (AGUIARNOPOLIS)</v>
      </c>
      <c r="D394" s="136" t="str">
        <f ca="1">IFERROR(__xludf.DUMMYFUNCTION("""COMPUTED_VALUE"""),"01213519000110")</f>
        <v>01213519000110</v>
      </c>
      <c r="E394" s="6" t="str">
        <f ca="1">IFERROR(__xludf.DUMMYFUNCTION("""COMPUTED_VALUE"""),"001")</f>
        <v>001</v>
      </c>
      <c r="F394" s="7" t="str">
        <f ca="1">IFERROR(__xludf.DUMMYFUNCTION("""COMPUTED_VALUE"""),"0810")</f>
        <v>0810</v>
      </c>
      <c r="G394" s="7" t="str">
        <f ca="1">IFERROR(__xludf.DUMMYFUNCTION("""COMPUTED_VALUE"""),"217727")</f>
        <v>217727</v>
      </c>
      <c r="H394" s="7">
        <f ca="1">IFERROR(__xludf.DUMMYFUNCTION("""COMPUTED_VALUE"""),0)</f>
        <v>0</v>
      </c>
      <c r="I394" s="7">
        <f ca="1">IFERROR(__xludf.DUMMYFUNCTION("""COMPUTED_VALUE"""),0)</f>
        <v>0</v>
      </c>
      <c r="J394" s="7">
        <f ca="1">IFERROR(__xludf.DUMMYFUNCTION("""COMPUTED_VALUE"""),1560)</f>
        <v>1560</v>
      </c>
      <c r="K394" s="7">
        <f ca="1">IFERROR(__xludf.DUMMYFUNCTION("""COMPUTED_VALUE"""),2438.6)</f>
        <v>2438.6</v>
      </c>
      <c r="L394" s="7">
        <f ca="1">IFERROR(__xludf.DUMMYFUNCTION("""COMPUTED_VALUE"""),0)</f>
        <v>0</v>
      </c>
      <c r="M394" s="7">
        <f ca="1">IFERROR(__xludf.DUMMYFUNCTION("""COMPUTED_VALUE"""),0)</f>
        <v>0</v>
      </c>
      <c r="N394" s="7">
        <f ca="1">IFERROR(__xludf.DUMMYFUNCTION("""COMPUTED_VALUE"""),0)</f>
        <v>0</v>
      </c>
      <c r="O394" s="7">
        <f ca="1">IFERROR(__xludf.DUMMYFUNCTION("""COMPUTED_VALUE"""),0)</f>
        <v>0</v>
      </c>
      <c r="P394" s="7">
        <f ca="1">IFERROR(__xludf.DUMMYFUNCTION("""COMPUTED_VALUE"""),0)</f>
        <v>0</v>
      </c>
      <c r="Q394" s="7">
        <f ca="1">IFERROR(__xludf.DUMMYFUNCTION("""COMPUTED_VALUE"""),700)</f>
        <v>700</v>
      </c>
      <c r="R394" s="7">
        <f ca="1">IFERROR(__xludf.DUMMYFUNCTION("""COMPUTED_VALUE"""),0)</f>
        <v>0</v>
      </c>
      <c r="S394" s="7">
        <f ca="1">IFERROR(__xludf.DUMMYFUNCTION("""COMPUTED_VALUE"""),9830.4)</f>
        <v>9830.4</v>
      </c>
      <c r="T394" s="7">
        <f ca="1">IFERROR(__xludf.DUMMYFUNCTION("""COMPUTED_VALUE"""),0)</f>
        <v>0</v>
      </c>
      <c r="U394" s="61"/>
      <c r="V394" s="61"/>
      <c r="W394" s="61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IFERROR(__xludf.DUMMYFUNCTION("""COMPUTED_VALUE"""),"Angico")</f>
        <v>Angico</v>
      </c>
      <c r="C395" s="60" t="str">
        <f ca="1">IFERROR(__xludf.DUMMYFUNCTION("""COMPUTED_VALUE"""),"ASSOCIAÇÃO DE APOIO DO COL. EST. DULCE COELHO DE SOUSA")</f>
        <v>ASSOCIAÇÃO DE APOIO DO COL. EST. DULCE COELHO DE SOUSA</v>
      </c>
      <c r="D395" s="136" t="str">
        <f ca="1">IFERROR(__xludf.DUMMYFUNCTION("""COMPUTED_VALUE"""),"10800992000195")</f>
        <v>10800992000195</v>
      </c>
      <c r="E395" s="6" t="str">
        <f ca="1">IFERROR(__xludf.DUMMYFUNCTION("""COMPUTED_VALUE"""),"001")</f>
        <v>001</v>
      </c>
      <c r="F395" s="7" t="str">
        <f ca="1">IFERROR(__xludf.DUMMYFUNCTION("""COMPUTED_VALUE"""),"3973")</f>
        <v>3973</v>
      </c>
      <c r="G395" s="7" t="str">
        <f ca="1">IFERROR(__xludf.DUMMYFUNCTION("""COMPUTED_VALUE"""),"212792")</f>
        <v>212792</v>
      </c>
      <c r="H395" s="7">
        <f ca="1">IFERROR(__xludf.DUMMYFUNCTION("""COMPUTED_VALUE"""),0)</f>
        <v>0</v>
      </c>
      <c r="I395" s="7">
        <f ca="1">IFERROR(__xludf.DUMMYFUNCTION("""COMPUTED_VALUE"""),0)</f>
        <v>0</v>
      </c>
      <c r="J395" s="7">
        <f ca="1">IFERROR(__xludf.DUMMYFUNCTION("""COMPUTED_VALUE"""),2150)</f>
        <v>2150</v>
      </c>
      <c r="K395" s="7">
        <f ca="1">IFERROR(__xludf.DUMMYFUNCTION("""COMPUTED_VALUE"""),0)</f>
        <v>0</v>
      </c>
      <c r="L395" s="7">
        <f ca="1">IFERROR(__xludf.DUMMYFUNCTION("""COMPUTED_VALUE"""),0)</f>
        <v>0</v>
      </c>
      <c r="M395" s="7">
        <f ca="1">IFERROR(__xludf.DUMMYFUNCTION("""COMPUTED_VALUE"""),0)</f>
        <v>0</v>
      </c>
      <c r="N395" s="7">
        <f ca="1">IFERROR(__xludf.DUMMYFUNCTION("""COMPUTED_VALUE"""),0)</f>
        <v>0</v>
      </c>
      <c r="O395" s="7">
        <f ca="1">IFERROR(__xludf.DUMMYFUNCTION("""COMPUTED_VALUE"""),0)</f>
        <v>0</v>
      </c>
      <c r="P395" s="7">
        <f ca="1">IFERROR(__xludf.DUMMYFUNCTION("""COMPUTED_VALUE"""),326.4)</f>
        <v>326.39999999999998</v>
      </c>
      <c r="Q395" s="7">
        <f ca="1">IFERROR(__xludf.DUMMYFUNCTION("""COMPUTED_VALUE"""),1320)</f>
        <v>1320</v>
      </c>
      <c r="R395" s="7">
        <f ca="1">IFERROR(__xludf.DUMMYFUNCTION("""COMPUTED_VALUE"""),0)</f>
        <v>0</v>
      </c>
      <c r="S395" s="7">
        <f ca="1">IFERROR(__xludf.DUMMYFUNCTION("""COMPUTED_VALUE"""),0)</f>
        <v>0</v>
      </c>
      <c r="T395" s="7">
        <f ca="1">IFERROR(__xludf.DUMMYFUNCTION("""COMPUTED_VALUE"""),0)</f>
        <v>0</v>
      </c>
      <c r="U395" s="61"/>
      <c r="V395" s="61"/>
      <c r="W395" s="61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IFERROR(__xludf.DUMMYFUNCTION("""COMPUTED_VALUE"""),"Cachoeirinha")</f>
        <v>Cachoeirinha</v>
      </c>
      <c r="C396" s="60" t="str">
        <f ca="1">IFERROR(__xludf.DUMMYFUNCTION("""COMPUTED_VALUE"""),"A.A. E. EST. NOVA DA CACHOEIRINHA/RAIMUNDO NONATO TORRES")</f>
        <v>A.A. E. EST. NOVA DA CACHOEIRINHA/RAIMUNDO NONATO TORRES</v>
      </c>
      <c r="D396" s="136" t="str">
        <f ca="1">IFERROR(__xludf.DUMMYFUNCTION("""COMPUTED_VALUE"""),"01213535000103")</f>
        <v>01213535000103</v>
      </c>
      <c r="E396" s="6" t="str">
        <f ca="1">IFERROR(__xludf.DUMMYFUNCTION("""COMPUTED_VALUE"""),"001")</f>
        <v>001</v>
      </c>
      <c r="F396" s="7" t="str">
        <f ca="1">IFERROR(__xludf.DUMMYFUNCTION("""COMPUTED_VALUE"""),"0810")</f>
        <v>0810</v>
      </c>
      <c r="G396" s="7" t="str">
        <f ca="1">IFERROR(__xludf.DUMMYFUNCTION("""COMPUTED_VALUE"""),"0217689")</f>
        <v>0217689</v>
      </c>
      <c r="H396" s="7">
        <f ca="1">IFERROR(__xludf.DUMMYFUNCTION("""COMPUTED_VALUE"""),0)</f>
        <v>0</v>
      </c>
      <c r="I396" s="7">
        <f ca="1">IFERROR(__xludf.DUMMYFUNCTION("""COMPUTED_VALUE"""),0)</f>
        <v>0</v>
      </c>
      <c r="J396" s="7">
        <f ca="1">IFERROR(__xludf.DUMMYFUNCTION("""COMPUTED_VALUE"""),1200)</f>
        <v>1200</v>
      </c>
      <c r="K396" s="7">
        <f ca="1">IFERROR(__xludf.DUMMYFUNCTION("""COMPUTED_VALUE"""),0)</f>
        <v>0</v>
      </c>
      <c r="L396" s="7">
        <f ca="1">IFERROR(__xludf.DUMMYFUNCTION("""COMPUTED_VALUE"""),0)</f>
        <v>0</v>
      </c>
      <c r="M396" s="7">
        <f ca="1">IFERROR(__xludf.DUMMYFUNCTION("""COMPUTED_VALUE"""),0)</f>
        <v>0</v>
      </c>
      <c r="N396" s="7">
        <f ca="1">IFERROR(__xludf.DUMMYFUNCTION("""COMPUTED_VALUE"""),0)</f>
        <v>0</v>
      </c>
      <c r="O396" s="7">
        <f ca="1">IFERROR(__xludf.DUMMYFUNCTION("""COMPUTED_VALUE"""),0)</f>
        <v>0</v>
      </c>
      <c r="P396" s="7">
        <f ca="1">IFERROR(__xludf.DUMMYFUNCTION("""COMPUTED_VALUE"""),163.2)</f>
        <v>163.19999999999999</v>
      </c>
      <c r="Q396" s="7">
        <f ca="1">IFERROR(__xludf.DUMMYFUNCTION("""COMPUTED_VALUE"""),910)</f>
        <v>910</v>
      </c>
      <c r="R396" s="7">
        <f ca="1">IFERROR(__xludf.DUMMYFUNCTION("""COMPUTED_VALUE"""),0)</f>
        <v>0</v>
      </c>
      <c r="S396" s="7">
        <f ca="1">IFERROR(__xludf.DUMMYFUNCTION("""COMPUTED_VALUE"""),0)</f>
        <v>0</v>
      </c>
      <c r="T396" s="7">
        <f ca="1">IFERROR(__xludf.DUMMYFUNCTION("""COMPUTED_VALUE"""),0)</f>
        <v>0</v>
      </c>
      <c r="U396" s="61"/>
      <c r="V396" s="61"/>
      <c r="W396" s="61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IFERROR(__xludf.DUMMYFUNCTION("""COMPUTED_VALUE"""),"darcinopolis")</f>
        <v>darcinopolis</v>
      </c>
      <c r="C397" s="60" t="str">
        <f ca="1">IFERROR(__xludf.DUMMYFUNCTION("""COMPUTED_VALUE"""),"A. APOIO COL. EST. JOSE DE SOUZA PORTO")</f>
        <v>A. APOIO COL. EST. JOSE DE SOUZA PORTO</v>
      </c>
      <c r="D397" s="136" t="str">
        <f ca="1">IFERROR(__xludf.DUMMYFUNCTION("""COMPUTED_VALUE"""),"01213532000170")</f>
        <v>01213532000170</v>
      </c>
      <c r="E397" s="6" t="str">
        <f ca="1">IFERROR(__xludf.DUMMYFUNCTION("""COMPUTED_VALUE"""),"001")</f>
        <v>001</v>
      </c>
      <c r="F397" s="7" t="str">
        <f ca="1">IFERROR(__xludf.DUMMYFUNCTION("""COMPUTED_VALUE"""),"0810")</f>
        <v>0810</v>
      </c>
      <c r="G397" s="7" t="str">
        <f ca="1">IFERROR(__xludf.DUMMYFUNCTION("""COMPUTED_VALUE"""),"25739")</f>
        <v>25739</v>
      </c>
      <c r="H397" s="7">
        <f ca="1">IFERROR(__xludf.DUMMYFUNCTION("""COMPUTED_VALUE"""),0)</f>
        <v>0</v>
      </c>
      <c r="I397" s="7">
        <f ca="1">IFERROR(__xludf.DUMMYFUNCTION("""COMPUTED_VALUE"""),0)</f>
        <v>0</v>
      </c>
      <c r="J397" s="7">
        <f ca="1">IFERROR(__xludf.DUMMYFUNCTION("""COMPUTED_VALUE"""),5100)</f>
        <v>5100</v>
      </c>
      <c r="K397" s="7">
        <f ca="1">IFERROR(__xludf.DUMMYFUNCTION("""COMPUTED_VALUE"""),0)</f>
        <v>0</v>
      </c>
      <c r="L397" s="7">
        <f ca="1">IFERROR(__xludf.DUMMYFUNCTION("""COMPUTED_VALUE"""),0)</f>
        <v>0</v>
      </c>
      <c r="M397" s="7">
        <f ca="1">IFERROR(__xludf.DUMMYFUNCTION("""COMPUTED_VALUE"""),0)</f>
        <v>0</v>
      </c>
      <c r="N397" s="7">
        <f ca="1">IFERROR(__xludf.DUMMYFUNCTION("""COMPUTED_VALUE"""),0)</f>
        <v>0</v>
      </c>
      <c r="O397" s="7">
        <f ca="1">IFERROR(__xludf.DUMMYFUNCTION("""COMPUTED_VALUE"""),0)</f>
        <v>0</v>
      </c>
      <c r="P397" s="7">
        <f ca="1">IFERROR(__xludf.DUMMYFUNCTION("""COMPUTED_VALUE"""),340)</f>
        <v>340</v>
      </c>
      <c r="Q397" s="7">
        <f ca="1">IFERROR(__xludf.DUMMYFUNCTION("""COMPUTED_VALUE"""),2520)</f>
        <v>2520</v>
      </c>
      <c r="R397" s="7">
        <f ca="1">IFERROR(__xludf.DUMMYFUNCTION("""COMPUTED_VALUE"""),0)</f>
        <v>0</v>
      </c>
      <c r="S397" s="7">
        <f ca="1">IFERROR(__xludf.DUMMYFUNCTION("""COMPUTED_VALUE"""),0)</f>
        <v>0</v>
      </c>
      <c r="T397" s="7">
        <f ca="1">IFERROR(__xludf.DUMMYFUNCTION("""COMPUTED_VALUE"""),0)</f>
        <v>0</v>
      </c>
      <c r="U397" s="61"/>
      <c r="V397" s="61"/>
      <c r="W397" s="61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IFERROR(__xludf.DUMMYFUNCTION("""COMPUTED_VALUE"""),"Itaguatins")</f>
        <v>Itaguatins</v>
      </c>
      <c r="C398" s="60" t="str">
        <f ca="1">IFERROR(__xludf.DUMMYFUNCTION("""COMPUTED_VALUE"""),"ASS. DE APOIO ESC. EST. OLAVO BILAC")</f>
        <v>ASS. DE APOIO ESC. EST. OLAVO BILAC</v>
      </c>
      <c r="D398" s="136" t="str">
        <f ca="1">IFERROR(__xludf.DUMMYFUNCTION("""COMPUTED_VALUE"""),"01358337000138")</f>
        <v>01358337000138</v>
      </c>
      <c r="E398" s="6" t="str">
        <f ca="1">IFERROR(__xludf.DUMMYFUNCTION("""COMPUTED_VALUE"""),"001")</f>
        <v>001</v>
      </c>
      <c r="F398" s="7" t="str">
        <f ca="1">IFERROR(__xludf.DUMMYFUNCTION("""COMPUTED_VALUE"""),"0810")</f>
        <v>0810</v>
      </c>
      <c r="G398" s="7" t="str">
        <f ca="1">IFERROR(__xludf.DUMMYFUNCTION("""COMPUTED_VALUE"""),"218391")</f>
        <v>218391</v>
      </c>
      <c r="H398" s="7">
        <f ca="1">IFERROR(__xludf.DUMMYFUNCTION("""COMPUTED_VALUE"""),0)</f>
        <v>0</v>
      </c>
      <c r="I398" s="7">
        <f ca="1">IFERROR(__xludf.DUMMYFUNCTION("""COMPUTED_VALUE"""),0)</f>
        <v>0</v>
      </c>
      <c r="J398" s="7">
        <f ca="1">IFERROR(__xludf.DUMMYFUNCTION("""COMPUTED_VALUE"""),630)</f>
        <v>630</v>
      </c>
      <c r="K398" s="7">
        <f ca="1">IFERROR(__xludf.DUMMYFUNCTION("""COMPUTED_VALUE"""),0)</f>
        <v>0</v>
      </c>
      <c r="L398" s="7">
        <f ca="1">IFERROR(__xludf.DUMMYFUNCTION("""COMPUTED_VALUE"""),0)</f>
        <v>0</v>
      </c>
      <c r="M398" s="7">
        <f ca="1">IFERROR(__xludf.DUMMYFUNCTION("""COMPUTED_VALUE"""),0)</f>
        <v>0</v>
      </c>
      <c r="N398" s="7">
        <f ca="1">IFERROR(__xludf.DUMMYFUNCTION("""COMPUTED_VALUE"""),0)</f>
        <v>0</v>
      </c>
      <c r="O398" s="7">
        <f ca="1">IFERROR(__xludf.DUMMYFUNCTION("""COMPUTED_VALUE"""),0)</f>
        <v>0</v>
      </c>
      <c r="P398" s="7">
        <f ca="1">IFERROR(__xludf.DUMMYFUNCTION("""COMPUTED_VALUE"""),0)</f>
        <v>0</v>
      </c>
      <c r="Q398" s="7">
        <f ca="1">IFERROR(__xludf.DUMMYFUNCTION("""COMPUTED_VALUE"""),2120)</f>
        <v>2120</v>
      </c>
      <c r="R398" s="7">
        <f ca="1">IFERROR(__xludf.DUMMYFUNCTION("""COMPUTED_VALUE"""),0)</f>
        <v>0</v>
      </c>
      <c r="S398" s="7">
        <f ca="1">IFERROR(__xludf.DUMMYFUNCTION("""COMPUTED_VALUE"""),0)</f>
        <v>0</v>
      </c>
      <c r="T398" s="7">
        <f ca="1">IFERROR(__xludf.DUMMYFUNCTION("""COMPUTED_VALUE"""),122.999999999999)</f>
        <v>122.99999999999901</v>
      </c>
      <c r="U398" s="61"/>
      <c r="V398" s="61"/>
      <c r="W398" s="61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IFERROR(__xludf.DUMMYFUNCTION("""COMPUTED_VALUE"""),"Luzinopolis")</f>
        <v>Luzinopolis</v>
      </c>
      <c r="C399" s="60" t="str">
        <f ca="1">IFERROR(__xludf.DUMMYFUNCTION("""COMPUTED_VALUE"""),"ASS. AP.A ESC. EST. JUSCELINO K.DE OLIVEIRA")</f>
        <v>ASS. AP.A ESC. EST. JUSCELINO K.DE OLIVEIRA</v>
      </c>
      <c r="D399" s="136" t="str">
        <f ca="1">IFERROR(__xludf.DUMMYFUNCTION("""COMPUTED_VALUE"""),"01230232000107")</f>
        <v>01230232000107</v>
      </c>
      <c r="E399" s="6" t="str">
        <f ca="1">IFERROR(__xludf.DUMMYFUNCTION("""COMPUTED_VALUE"""),"001")</f>
        <v>001</v>
      </c>
      <c r="F399" s="7" t="str">
        <f ca="1">IFERROR(__xludf.DUMMYFUNCTION("""COMPUTED_VALUE"""),"0810")</f>
        <v>0810</v>
      </c>
      <c r="G399" s="7" t="str">
        <f ca="1">IFERROR(__xludf.DUMMYFUNCTION("""COMPUTED_VALUE"""),"022135X")</f>
        <v>022135X</v>
      </c>
      <c r="H399" s="7">
        <f ca="1">IFERROR(__xludf.DUMMYFUNCTION("""COMPUTED_VALUE"""),0)</f>
        <v>0</v>
      </c>
      <c r="I399" s="7">
        <f ca="1">IFERROR(__xludf.DUMMYFUNCTION("""COMPUTED_VALUE"""),0)</f>
        <v>0</v>
      </c>
      <c r="J399" s="7">
        <f ca="1">IFERROR(__xludf.DUMMYFUNCTION("""COMPUTED_VALUE"""),2390)</f>
        <v>2390</v>
      </c>
      <c r="K399" s="7">
        <f ca="1">IFERROR(__xludf.DUMMYFUNCTION("""COMPUTED_VALUE"""),0)</f>
        <v>0</v>
      </c>
      <c r="L399" s="7">
        <f ca="1">IFERROR(__xludf.DUMMYFUNCTION("""COMPUTED_VALUE"""),0)</f>
        <v>0</v>
      </c>
      <c r="M399" s="7">
        <f ca="1">IFERROR(__xludf.DUMMYFUNCTION("""COMPUTED_VALUE"""),0)</f>
        <v>0</v>
      </c>
      <c r="N399" s="7">
        <f ca="1">IFERROR(__xludf.DUMMYFUNCTION("""COMPUTED_VALUE"""),0)</f>
        <v>0</v>
      </c>
      <c r="O399" s="7">
        <f ca="1">IFERROR(__xludf.DUMMYFUNCTION("""COMPUTED_VALUE"""),0)</f>
        <v>0</v>
      </c>
      <c r="P399" s="7">
        <f ca="1">IFERROR(__xludf.DUMMYFUNCTION("""COMPUTED_VALUE"""),0)</f>
        <v>0</v>
      </c>
      <c r="Q399" s="7">
        <f ca="1">IFERROR(__xludf.DUMMYFUNCTION("""COMPUTED_VALUE"""),1660)</f>
        <v>1660</v>
      </c>
      <c r="R399" s="7">
        <f ca="1">IFERROR(__xludf.DUMMYFUNCTION("""COMPUTED_VALUE"""),0)</f>
        <v>0</v>
      </c>
      <c r="S399" s="7">
        <f ca="1">IFERROR(__xludf.DUMMYFUNCTION("""COMPUTED_VALUE"""),0)</f>
        <v>0</v>
      </c>
      <c r="T399" s="7">
        <f ca="1">IFERROR(__xludf.DUMMYFUNCTION("""COMPUTED_VALUE"""),0)</f>
        <v>0</v>
      </c>
      <c r="U399" s="61"/>
      <c r="V399" s="61"/>
      <c r="W399" s="61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IFERROR(__xludf.DUMMYFUNCTION("""COMPUTED_VALUE"""),"Maurilandia do Tocantins")</f>
        <v>Maurilandia do Tocantins</v>
      </c>
      <c r="C400" s="60" t="str">
        <f ca="1">IFERROR(__xludf.DUMMYFUNCTION("""COMPUTED_VALUE"""),"A.A.  DA ESC. EST.PEDRO LUDOVICO TEIXEIRA")</f>
        <v>A.A.  DA ESC. EST.PEDRO LUDOVICO TEIXEIRA</v>
      </c>
      <c r="D400" s="136" t="str">
        <f ca="1">IFERROR(__xludf.DUMMYFUNCTION("""COMPUTED_VALUE"""),"01213528000101")</f>
        <v>01213528000101</v>
      </c>
      <c r="E400" s="6" t="str">
        <f ca="1">IFERROR(__xludf.DUMMYFUNCTION("""COMPUTED_VALUE"""),"001")</f>
        <v>001</v>
      </c>
      <c r="F400" s="7" t="str">
        <f ca="1">IFERROR(__xludf.DUMMYFUNCTION("""COMPUTED_VALUE"""),"0810")</f>
        <v>0810</v>
      </c>
      <c r="G400" s="7" t="str">
        <f ca="1">IFERROR(__xludf.DUMMYFUNCTION("""COMPUTED_VALUE"""),"0217670")</f>
        <v>0217670</v>
      </c>
      <c r="H400" s="7">
        <f ca="1">IFERROR(__xludf.DUMMYFUNCTION("""COMPUTED_VALUE"""),0)</f>
        <v>0</v>
      </c>
      <c r="I400" s="7">
        <f ca="1">IFERROR(__xludf.DUMMYFUNCTION("""COMPUTED_VALUE"""),0)</f>
        <v>0</v>
      </c>
      <c r="J400" s="7">
        <f ca="1">IFERROR(__xludf.DUMMYFUNCTION("""COMPUTED_VALUE"""),570)</f>
        <v>570</v>
      </c>
      <c r="K400" s="7">
        <f ca="1">IFERROR(__xludf.DUMMYFUNCTION("""COMPUTED_VALUE"""),0)</f>
        <v>0</v>
      </c>
      <c r="L400" s="7">
        <f ca="1">IFERROR(__xludf.DUMMYFUNCTION("""COMPUTED_VALUE"""),0)</f>
        <v>0</v>
      </c>
      <c r="M400" s="7">
        <f ca="1">IFERROR(__xludf.DUMMYFUNCTION("""COMPUTED_VALUE"""),0)</f>
        <v>0</v>
      </c>
      <c r="N400" s="7">
        <f ca="1">IFERROR(__xludf.DUMMYFUNCTION("""COMPUTED_VALUE"""),0)</f>
        <v>0</v>
      </c>
      <c r="O400" s="7">
        <f ca="1">IFERROR(__xludf.DUMMYFUNCTION("""COMPUTED_VALUE"""),0)</f>
        <v>0</v>
      </c>
      <c r="P400" s="7">
        <f ca="1">IFERROR(__xludf.DUMMYFUNCTION("""COMPUTED_VALUE"""),0)</f>
        <v>0</v>
      </c>
      <c r="Q400" s="7">
        <f ca="1">IFERROR(__xludf.DUMMYFUNCTION("""COMPUTED_VALUE"""),1560)</f>
        <v>1560</v>
      </c>
      <c r="R400" s="7">
        <f ca="1">IFERROR(__xludf.DUMMYFUNCTION("""COMPUTED_VALUE"""),0)</f>
        <v>0</v>
      </c>
      <c r="S400" s="7">
        <f ca="1">IFERROR(__xludf.DUMMYFUNCTION("""COMPUTED_VALUE"""),0)</f>
        <v>0</v>
      </c>
      <c r="T400" s="7">
        <f ca="1">IFERROR(__xludf.DUMMYFUNCTION("""COMPUTED_VALUE"""),0)</f>
        <v>0</v>
      </c>
      <c r="U400" s="61"/>
      <c r="V400" s="61"/>
      <c r="W400" s="61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IFERROR(__xludf.DUMMYFUNCTION("""COMPUTED_VALUE"""),"Nazare")</f>
        <v>Nazare</v>
      </c>
      <c r="C401" s="60" t="str">
        <f ca="1">IFERROR(__xludf.DUMMYFUNCTION("""COMPUTED_VALUE"""),"A.DO COLEGIO EST.PRES.CASTELO BRANCO")</f>
        <v>A.DO COLEGIO EST.PRES.CASTELO BRANCO</v>
      </c>
      <c r="D401" s="136" t="str">
        <f ca="1">IFERROR(__xludf.DUMMYFUNCTION("""COMPUTED_VALUE"""),"01213522000134")</f>
        <v>01213522000134</v>
      </c>
      <c r="E401" s="6" t="str">
        <f ca="1">IFERROR(__xludf.DUMMYFUNCTION("""COMPUTED_VALUE"""),"001")</f>
        <v>001</v>
      </c>
      <c r="F401" s="7" t="str">
        <f ca="1">IFERROR(__xludf.DUMMYFUNCTION("""COMPUTED_VALUE"""),"0810")</f>
        <v>0810</v>
      </c>
      <c r="G401" s="7" t="str">
        <f ca="1">IFERROR(__xludf.DUMMYFUNCTION("""COMPUTED_VALUE"""),"217859")</f>
        <v>217859</v>
      </c>
      <c r="H401" s="7">
        <f ca="1">IFERROR(__xludf.DUMMYFUNCTION("""COMPUTED_VALUE"""),0)</f>
        <v>0</v>
      </c>
      <c r="I401" s="7">
        <f ca="1">IFERROR(__xludf.DUMMYFUNCTION("""COMPUTED_VALUE"""),0)</f>
        <v>0</v>
      </c>
      <c r="J401" s="7">
        <f ca="1">IFERROR(__xludf.DUMMYFUNCTION("""COMPUTED_VALUE"""),2030)</f>
        <v>2030</v>
      </c>
      <c r="K401" s="7">
        <f ca="1">IFERROR(__xludf.DUMMYFUNCTION("""COMPUTED_VALUE"""),0)</f>
        <v>0</v>
      </c>
      <c r="L401" s="7">
        <f ca="1">IFERROR(__xludf.DUMMYFUNCTION("""COMPUTED_VALUE"""),0)</f>
        <v>0</v>
      </c>
      <c r="M401" s="7">
        <f ca="1">IFERROR(__xludf.DUMMYFUNCTION("""COMPUTED_VALUE"""),0)</f>
        <v>0</v>
      </c>
      <c r="N401" s="7">
        <f ca="1">IFERROR(__xludf.DUMMYFUNCTION("""COMPUTED_VALUE"""),0)</f>
        <v>0</v>
      </c>
      <c r="O401" s="7">
        <f ca="1">IFERROR(__xludf.DUMMYFUNCTION("""COMPUTED_VALUE"""),0)</f>
        <v>0</v>
      </c>
      <c r="P401" s="7">
        <f ca="1">IFERROR(__xludf.DUMMYFUNCTION("""COMPUTED_VALUE"""),299.2)</f>
        <v>299.2</v>
      </c>
      <c r="Q401" s="7">
        <f ca="1">IFERROR(__xludf.DUMMYFUNCTION("""COMPUTED_VALUE"""),900)</f>
        <v>900</v>
      </c>
      <c r="R401" s="7">
        <f ca="1">IFERROR(__xludf.DUMMYFUNCTION("""COMPUTED_VALUE"""),0)</f>
        <v>0</v>
      </c>
      <c r="S401" s="7">
        <f ca="1">IFERROR(__xludf.DUMMYFUNCTION("""COMPUTED_VALUE"""),0)</f>
        <v>0</v>
      </c>
      <c r="T401" s="7">
        <f ca="1">IFERROR(__xludf.DUMMYFUNCTION("""COMPUTED_VALUE"""),0)</f>
        <v>0</v>
      </c>
      <c r="U401" s="61"/>
      <c r="V401" s="61"/>
      <c r="W401" s="61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IFERROR(__xludf.DUMMYFUNCTION("""COMPUTED_VALUE"""),"Nazare")</f>
        <v>Nazare</v>
      </c>
      <c r="C402" s="60" t="str">
        <f ca="1">IFERROR(__xludf.DUMMYFUNCTION("""COMPUTED_VALUE"""),"ASSOC. DE APOIO A ESC. EST.ESPECIAL BEM VIVER")</f>
        <v>ASSOC. DE APOIO A ESC. EST.ESPECIAL BEM VIVER</v>
      </c>
      <c r="D402" s="136" t="str">
        <f ca="1">IFERROR(__xludf.DUMMYFUNCTION("""COMPUTED_VALUE"""),"10520927000106")</f>
        <v>10520927000106</v>
      </c>
      <c r="E402" s="6" t="str">
        <f ca="1">IFERROR(__xludf.DUMMYFUNCTION("""COMPUTED_VALUE"""),"001")</f>
        <v>001</v>
      </c>
      <c r="F402" s="7" t="str">
        <f ca="1">IFERROR(__xludf.DUMMYFUNCTION("""COMPUTED_VALUE"""),"0810")</f>
        <v>0810</v>
      </c>
      <c r="G402" s="7" t="str">
        <f ca="1">IFERROR(__xludf.DUMMYFUNCTION("""COMPUTED_VALUE"""),"200336")</f>
        <v>200336</v>
      </c>
      <c r="H402" s="7">
        <f ca="1">IFERROR(__xludf.DUMMYFUNCTION("""COMPUTED_VALUE"""),0)</f>
        <v>0</v>
      </c>
      <c r="I402" s="7">
        <f ca="1">IFERROR(__xludf.DUMMYFUNCTION("""COMPUTED_VALUE"""),144)</f>
        <v>144</v>
      </c>
      <c r="J402" s="7">
        <f ca="1">IFERROR(__xludf.DUMMYFUNCTION("""COMPUTED_VALUE"""),210)</f>
        <v>210</v>
      </c>
      <c r="K402" s="7">
        <f ca="1">IFERROR(__xludf.DUMMYFUNCTION("""COMPUTED_VALUE"""),0)</f>
        <v>0</v>
      </c>
      <c r="L402" s="7">
        <f ca="1">IFERROR(__xludf.DUMMYFUNCTION("""COMPUTED_VALUE"""),0)</f>
        <v>0</v>
      </c>
      <c r="M402" s="7">
        <f ca="1">IFERROR(__xludf.DUMMYFUNCTION("""COMPUTED_VALUE"""),0)</f>
        <v>0</v>
      </c>
      <c r="N402" s="7">
        <f ca="1">IFERROR(__xludf.DUMMYFUNCTION("""COMPUTED_VALUE"""),0)</f>
        <v>0</v>
      </c>
      <c r="O402" s="7">
        <f ca="1">IFERROR(__xludf.DUMMYFUNCTION("""COMPUTED_VALUE"""),0)</f>
        <v>0</v>
      </c>
      <c r="P402" s="7">
        <f ca="1">IFERROR(__xludf.DUMMYFUNCTION("""COMPUTED_VALUE"""),0)</f>
        <v>0</v>
      </c>
      <c r="Q402" s="7">
        <f ca="1">IFERROR(__xludf.DUMMYFUNCTION("""COMPUTED_VALUE"""),0)</f>
        <v>0</v>
      </c>
      <c r="R402" s="7">
        <f ca="1">IFERROR(__xludf.DUMMYFUNCTION("""COMPUTED_VALUE"""),0)</f>
        <v>0</v>
      </c>
      <c r="S402" s="7">
        <f ca="1">IFERROR(__xludf.DUMMYFUNCTION("""COMPUTED_VALUE"""),0)</f>
        <v>0</v>
      </c>
      <c r="T402" s="7">
        <f ca="1">IFERROR(__xludf.DUMMYFUNCTION("""COMPUTED_VALUE"""),475.599999999999)</f>
        <v>475.599999999999</v>
      </c>
      <c r="U402" s="61"/>
      <c r="V402" s="61"/>
      <c r="W402" s="61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IFERROR(__xludf.DUMMYFUNCTION("""COMPUTED_VALUE"""),"Nazare")</f>
        <v>Nazare</v>
      </c>
      <c r="C403" s="60" t="str">
        <f ca="1">IFERROR(__xludf.DUMMYFUNCTION("""COMPUTED_VALUE"""),"A.A. ESC. EST. DOM CORNELIO CHIZZINI")</f>
        <v>A.A. ESC. EST. DOM CORNELIO CHIZZINI</v>
      </c>
      <c r="D403" s="136" t="str">
        <f ca="1">IFERROR(__xludf.DUMMYFUNCTION("""COMPUTED_VALUE"""),"01230233000143")</f>
        <v>01230233000143</v>
      </c>
      <c r="E403" s="6" t="str">
        <f ca="1">IFERROR(__xludf.DUMMYFUNCTION("""COMPUTED_VALUE"""),"001")</f>
        <v>001</v>
      </c>
      <c r="F403" s="7" t="str">
        <f ca="1">IFERROR(__xludf.DUMMYFUNCTION("""COMPUTED_VALUE"""),"0810")</f>
        <v>0810</v>
      </c>
      <c r="G403" s="7" t="str">
        <f ca="1">IFERROR(__xludf.DUMMYFUNCTION("""COMPUTED_VALUE"""),"21776X")</f>
        <v>21776X</v>
      </c>
      <c r="H403" s="7">
        <f ca="1">IFERROR(__xludf.DUMMYFUNCTION("""COMPUTED_VALUE"""),0)</f>
        <v>0</v>
      </c>
      <c r="I403" s="7">
        <f ca="1">IFERROR(__xludf.DUMMYFUNCTION("""COMPUTED_VALUE"""),0)</f>
        <v>0</v>
      </c>
      <c r="J403" s="7">
        <f ca="1">IFERROR(__xludf.DUMMYFUNCTION("""COMPUTED_VALUE"""),640)</f>
        <v>640</v>
      </c>
      <c r="K403" s="7">
        <f ca="1">IFERROR(__xludf.DUMMYFUNCTION("""COMPUTED_VALUE"""),0)</f>
        <v>0</v>
      </c>
      <c r="L403" s="7">
        <f ca="1">IFERROR(__xludf.DUMMYFUNCTION("""COMPUTED_VALUE"""),0)</f>
        <v>0</v>
      </c>
      <c r="M403" s="7">
        <f ca="1">IFERROR(__xludf.DUMMYFUNCTION("""COMPUTED_VALUE"""),0)</f>
        <v>0</v>
      </c>
      <c r="N403" s="7">
        <f ca="1">IFERROR(__xludf.DUMMYFUNCTION("""COMPUTED_VALUE"""),0)</f>
        <v>0</v>
      </c>
      <c r="O403" s="7">
        <f ca="1">IFERROR(__xludf.DUMMYFUNCTION("""COMPUTED_VALUE"""),0)</f>
        <v>0</v>
      </c>
      <c r="P403" s="7">
        <f ca="1">IFERROR(__xludf.DUMMYFUNCTION("""COMPUTED_VALUE"""),0)</f>
        <v>0</v>
      </c>
      <c r="Q403" s="7">
        <f ca="1">IFERROR(__xludf.DUMMYFUNCTION("""COMPUTED_VALUE"""),470)</f>
        <v>470</v>
      </c>
      <c r="R403" s="7">
        <f ca="1">IFERROR(__xludf.DUMMYFUNCTION("""COMPUTED_VALUE"""),0)</f>
        <v>0</v>
      </c>
      <c r="S403" s="7">
        <f ca="1">IFERROR(__xludf.DUMMYFUNCTION("""COMPUTED_VALUE"""),0)</f>
        <v>0</v>
      </c>
      <c r="T403" s="7">
        <f ca="1">IFERROR(__xludf.DUMMYFUNCTION("""COMPUTED_VALUE"""),0)</f>
        <v>0</v>
      </c>
      <c r="U403" s="61"/>
      <c r="V403" s="61"/>
      <c r="W403" s="61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IFERROR(__xludf.DUMMYFUNCTION("""COMPUTED_VALUE"""),"Nazare")</f>
        <v>Nazare</v>
      </c>
      <c r="C404" s="60" t="str">
        <f ca="1">IFERROR(__xludf.DUMMYFUNCTION("""COMPUTED_VALUE"""),"A.A.  DA ESCOLA ESTADUAL PIACAVA")</f>
        <v>A.A.  DA ESCOLA ESTADUAL PIACAVA</v>
      </c>
      <c r="D404" s="136" t="str">
        <f ca="1">IFERROR(__xludf.DUMMYFUNCTION("""COMPUTED_VALUE"""),"01230239000110")</f>
        <v>01230239000110</v>
      </c>
      <c r="E404" s="6" t="str">
        <f ca="1">IFERROR(__xludf.DUMMYFUNCTION("""COMPUTED_VALUE"""),"001")</f>
        <v>001</v>
      </c>
      <c r="F404" s="7" t="str">
        <f ca="1">IFERROR(__xludf.DUMMYFUNCTION("""COMPUTED_VALUE"""),"0810")</f>
        <v>0810</v>
      </c>
      <c r="G404" s="7" t="str">
        <f ca="1">IFERROR(__xludf.DUMMYFUNCTION("""COMPUTED_VALUE"""),"217883")</f>
        <v>217883</v>
      </c>
      <c r="H404" s="7">
        <f ca="1">IFERROR(__xludf.DUMMYFUNCTION("""COMPUTED_VALUE"""),0)</f>
        <v>0</v>
      </c>
      <c r="I404" s="7">
        <f ca="1">IFERROR(__xludf.DUMMYFUNCTION("""COMPUTED_VALUE"""),0)</f>
        <v>0</v>
      </c>
      <c r="J404" s="7">
        <f ca="1">IFERROR(__xludf.DUMMYFUNCTION("""COMPUTED_VALUE"""),470)</f>
        <v>470</v>
      </c>
      <c r="K404" s="7">
        <f ca="1">IFERROR(__xludf.DUMMYFUNCTION("""COMPUTED_VALUE"""),0)</f>
        <v>0</v>
      </c>
      <c r="L404" s="7">
        <f ca="1">IFERROR(__xludf.DUMMYFUNCTION("""COMPUTED_VALUE"""),0)</f>
        <v>0</v>
      </c>
      <c r="M404" s="7">
        <f ca="1">IFERROR(__xludf.DUMMYFUNCTION("""COMPUTED_VALUE"""),0)</f>
        <v>0</v>
      </c>
      <c r="N404" s="7">
        <f ca="1">IFERROR(__xludf.DUMMYFUNCTION("""COMPUTED_VALUE"""),0)</f>
        <v>0</v>
      </c>
      <c r="O404" s="7">
        <f ca="1">IFERROR(__xludf.DUMMYFUNCTION("""COMPUTED_VALUE"""),0)</f>
        <v>0</v>
      </c>
      <c r="P404" s="7">
        <f ca="1">IFERROR(__xludf.DUMMYFUNCTION("""COMPUTED_VALUE"""),0)</f>
        <v>0</v>
      </c>
      <c r="Q404" s="7">
        <f ca="1">IFERROR(__xludf.DUMMYFUNCTION("""COMPUTED_VALUE"""),290)</f>
        <v>290</v>
      </c>
      <c r="R404" s="7">
        <f ca="1">IFERROR(__xludf.DUMMYFUNCTION("""COMPUTED_VALUE"""),0)</f>
        <v>0</v>
      </c>
      <c r="S404" s="7">
        <f ca="1">IFERROR(__xludf.DUMMYFUNCTION("""COMPUTED_VALUE"""),0)</f>
        <v>0</v>
      </c>
      <c r="T404" s="7">
        <f ca="1">IFERROR(__xludf.DUMMYFUNCTION("""COMPUTED_VALUE"""),196.799999999999)</f>
        <v>196.79999999999899</v>
      </c>
      <c r="U404" s="61"/>
      <c r="V404" s="61"/>
      <c r="W404" s="61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IFERROR(__xludf.DUMMYFUNCTION("""COMPUTED_VALUE"""),"Palmeiras do Tocantins")</f>
        <v>Palmeiras do Tocantins</v>
      </c>
      <c r="C405" s="60" t="str">
        <f ca="1">IFERROR(__xludf.DUMMYFUNCTION("""COMPUTED_VALUE"""),"A.A. ESC. EST. RAIMUNDO NEIVA DE CARVALHO")</f>
        <v>A.A. ESC. EST. RAIMUNDO NEIVA DE CARVALHO</v>
      </c>
      <c r="D405" s="136" t="str">
        <f ca="1">IFERROR(__xludf.DUMMYFUNCTION("""COMPUTED_VALUE"""),"01213533000114")</f>
        <v>01213533000114</v>
      </c>
      <c r="E405" s="6" t="str">
        <f ca="1">IFERROR(__xludf.DUMMYFUNCTION("""COMPUTED_VALUE"""),"001")</f>
        <v>001</v>
      </c>
      <c r="F405" s="7" t="str">
        <f ca="1">IFERROR(__xludf.DUMMYFUNCTION("""COMPUTED_VALUE"""),"0810")</f>
        <v>0810</v>
      </c>
      <c r="G405" s="7" t="str">
        <f ca="1">IFERROR(__xludf.DUMMYFUNCTION("""COMPUTED_VALUE"""),"0027529")</f>
        <v>0027529</v>
      </c>
      <c r="H405" s="7">
        <f ca="1">IFERROR(__xludf.DUMMYFUNCTION("""COMPUTED_VALUE"""),0)</f>
        <v>0</v>
      </c>
      <c r="I405" s="7">
        <f ca="1">IFERROR(__xludf.DUMMYFUNCTION("""COMPUTED_VALUE"""),0)</f>
        <v>0</v>
      </c>
      <c r="J405" s="7">
        <f ca="1">IFERROR(__xludf.DUMMYFUNCTION("""COMPUTED_VALUE"""),2140)</f>
        <v>2140</v>
      </c>
      <c r="K405" s="7">
        <f ca="1">IFERROR(__xludf.DUMMYFUNCTION("""COMPUTED_VALUE"""),0)</f>
        <v>0</v>
      </c>
      <c r="L405" s="7">
        <f ca="1">IFERROR(__xludf.DUMMYFUNCTION("""COMPUTED_VALUE"""),0)</f>
        <v>0</v>
      </c>
      <c r="M405" s="7">
        <f ca="1">IFERROR(__xludf.DUMMYFUNCTION("""COMPUTED_VALUE"""),0)</f>
        <v>0</v>
      </c>
      <c r="N405" s="7">
        <f ca="1">IFERROR(__xludf.DUMMYFUNCTION("""COMPUTED_VALUE"""),0)</f>
        <v>0</v>
      </c>
      <c r="O405" s="7">
        <f ca="1">IFERROR(__xludf.DUMMYFUNCTION("""COMPUTED_VALUE"""),0)</f>
        <v>0</v>
      </c>
      <c r="P405" s="7">
        <f ca="1">IFERROR(__xludf.DUMMYFUNCTION("""COMPUTED_VALUE"""),217.6)</f>
        <v>217.6</v>
      </c>
      <c r="Q405" s="7">
        <f ca="1">IFERROR(__xludf.DUMMYFUNCTION("""COMPUTED_VALUE"""),2590)</f>
        <v>2590</v>
      </c>
      <c r="R405" s="7">
        <f ca="1">IFERROR(__xludf.DUMMYFUNCTION("""COMPUTED_VALUE"""),0)</f>
        <v>0</v>
      </c>
      <c r="S405" s="7">
        <f ca="1">IFERROR(__xludf.DUMMYFUNCTION("""COMPUTED_VALUE"""),0)</f>
        <v>0</v>
      </c>
      <c r="T405" s="7">
        <f ca="1">IFERROR(__xludf.DUMMYFUNCTION("""COMPUTED_VALUE"""),0)</f>
        <v>0</v>
      </c>
      <c r="U405" s="61"/>
      <c r="V405" s="61"/>
      <c r="W405" s="61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IFERROR(__xludf.DUMMYFUNCTION("""COMPUTED_VALUE"""),"Palmeiras do Tocantins")</f>
        <v>Palmeiras do Tocantins</v>
      </c>
      <c r="C406" s="60" t="str">
        <f ca="1">IFERROR(__xludf.DUMMYFUNCTION("""COMPUTED_VALUE"""),"A. DE APOIO DA E. E. PE. CESARE LELLI")</f>
        <v>A. DE APOIO DA E. E. PE. CESARE LELLI</v>
      </c>
      <c r="D406" s="136" t="str">
        <f ca="1">IFERROR(__xludf.DUMMYFUNCTION("""COMPUTED_VALUE"""),"03778873000118")</f>
        <v>03778873000118</v>
      </c>
      <c r="E406" s="6" t="str">
        <f ca="1">IFERROR(__xludf.DUMMYFUNCTION("""COMPUTED_VALUE"""),"001")</f>
        <v>001</v>
      </c>
      <c r="F406" s="7" t="str">
        <f ca="1">IFERROR(__xludf.DUMMYFUNCTION("""COMPUTED_VALUE"""),"0810")</f>
        <v>0810</v>
      </c>
      <c r="G406" s="7" t="str">
        <f ca="1">IFERROR(__xludf.DUMMYFUNCTION("""COMPUTED_VALUE"""),"82007")</f>
        <v>82007</v>
      </c>
      <c r="H406" s="7">
        <f ca="1">IFERROR(__xludf.DUMMYFUNCTION("""COMPUTED_VALUE"""),0)</f>
        <v>0</v>
      </c>
      <c r="I406" s="7">
        <f ca="1">IFERROR(__xludf.DUMMYFUNCTION("""COMPUTED_VALUE"""),0)</f>
        <v>0</v>
      </c>
      <c r="J406" s="7">
        <f ca="1">IFERROR(__xludf.DUMMYFUNCTION("""COMPUTED_VALUE"""),1950)</f>
        <v>1950</v>
      </c>
      <c r="K406" s="7">
        <f ca="1">IFERROR(__xludf.DUMMYFUNCTION("""COMPUTED_VALUE"""),0)</f>
        <v>0</v>
      </c>
      <c r="L406" s="7">
        <f ca="1">IFERROR(__xludf.DUMMYFUNCTION("""COMPUTED_VALUE"""),0)</f>
        <v>0</v>
      </c>
      <c r="M406" s="7">
        <f ca="1">IFERROR(__xludf.DUMMYFUNCTION("""COMPUTED_VALUE"""),0)</f>
        <v>0</v>
      </c>
      <c r="N406" s="7">
        <f ca="1">IFERROR(__xludf.DUMMYFUNCTION("""COMPUTED_VALUE"""),0)</f>
        <v>0</v>
      </c>
      <c r="O406" s="7">
        <f ca="1">IFERROR(__xludf.DUMMYFUNCTION("""COMPUTED_VALUE"""),0)</f>
        <v>0</v>
      </c>
      <c r="P406" s="7">
        <f ca="1">IFERROR(__xludf.DUMMYFUNCTION("""COMPUTED_VALUE"""),312.8)</f>
        <v>312.8</v>
      </c>
      <c r="Q406" s="7">
        <f ca="1">IFERROR(__xludf.DUMMYFUNCTION("""COMPUTED_VALUE"""),0)</f>
        <v>0</v>
      </c>
      <c r="R406" s="7">
        <f ca="1">IFERROR(__xludf.DUMMYFUNCTION("""COMPUTED_VALUE"""),0)</f>
        <v>0</v>
      </c>
      <c r="S406" s="7">
        <f ca="1">IFERROR(__xludf.DUMMYFUNCTION("""COMPUTED_VALUE"""),0)</f>
        <v>0</v>
      </c>
      <c r="T406" s="7">
        <f ca="1">IFERROR(__xludf.DUMMYFUNCTION("""COMPUTED_VALUE"""),0)</f>
        <v>0</v>
      </c>
      <c r="U406" s="61"/>
      <c r="V406" s="61"/>
      <c r="W406" s="61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IFERROR(__xludf.DUMMYFUNCTION("""COMPUTED_VALUE"""),"Santa Terezinha do Tocantins")</f>
        <v>Santa Terezinha do Tocantins</v>
      </c>
      <c r="C407" s="60" t="str">
        <f ca="1">IFERROR(__xludf.DUMMYFUNCTION("""COMPUTED_VALUE"""),"ASS. A. ESC. EST. DR JOSE FELICIANO FERREIRA")</f>
        <v>ASS. A. ESC. EST. DR JOSE FELICIANO FERREIRA</v>
      </c>
      <c r="D407" s="136" t="str">
        <f ca="1">IFERROR(__xludf.DUMMYFUNCTION("""COMPUTED_VALUE"""),"01077441000154")</f>
        <v>01077441000154</v>
      </c>
      <c r="E407" s="6" t="str">
        <f ca="1">IFERROR(__xludf.DUMMYFUNCTION("""COMPUTED_VALUE"""),"001")</f>
        <v>001</v>
      </c>
      <c r="F407" s="7" t="str">
        <f ca="1">IFERROR(__xludf.DUMMYFUNCTION("""COMPUTED_VALUE"""),"0810")</f>
        <v>0810</v>
      </c>
      <c r="G407" s="7" t="str">
        <f ca="1">IFERROR(__xludf.DUMMYFUNCTION("""COMPUTED_VALUE"""),"0026085")</f>
        <v>0026085</v>
      </c>
      <c r="H407" s="7">
        <f ca="1">IFERROR(__xludf.DUMMYFUNCTION("""COMPUTED_VALUE"""),0)</f>
        <v>0</v>
      </c>
      <c r="I407" s="7">
        <f ca="1">IFERROR(__xludf.DUMMYFUNCTION("""COMPUTED_VALUE"""),0)</f>
        <v>0</v>
      </c>
      <c r="J407" s="7">
        <f ca="1">IFERROR(__xludf.DUMMYFUNCTION("""COMPUTED_VALUE"""),610)</f>
        <v>610</v>
      </c>
      <c r="K407" s="7">
        <f ca="1">IFERROR(__xludf.DUMMYFUNCTION("""COMPUTED_VALUE"""),0)</f>
        <v>0</v>
      </c>
      <c r="L407" s="7">
        <f ca="1">IFERROR(__xludf.DUMMYFUNCTION("""COMPUTED_VALUE"""),0)</f>
        <v>0</v>
      </c>
      <c r="M407" s="7">
        <f ca="1">IFERROR(__xludf.DUMMYFUNCTION("""COMPUTED_VALUE"""),0)</f>
        <v>0</v>
      </c>
      <c r="N407" s="7">
        <f ca="1">IFERROR(__xludf.DUMMYFUNCTION("""COMPUTED_VALUE"""),0)</f>
        <v>0</v>
      </c>
      <c r="O407" s="7">
        <f ca="1">IFERROR(__xludf.DUMMYFUNCTION("""COMPUTED_VALUE"""),0)</f>
        <v>0</v>
      </c>
      <c r="P407" s="7">
        <f ca="1">IFERROR(__xludf.DUMMYFUNCTION("""COMPUTED_VALUE"""),0)</f>
        <v>0</v>
      </c>
      <c r="Q407" s="7">
        <f ca="1">IFERROR(__xludf.DUMMYFUNCTION("""COMPUTED_VALUE"""),860)</f>
        <v>860</v>
      </c>
      <c r="R407" s="7">
        <f ca="1">IFERROR(__xludf.DUMMYFUNCTION("""COMPUTED_VALUE"""),0)</f>
        <v>0</v>
      </c>
      <c r="S407" s="7">
        <f ca="1">IFERROR(__xludf.DUMMYFUNCTION("""COMPUTED_VALUE"""),0)</f>
        <v>0</v>
      </c>
      <c r="T407" s="7">
        <f ca="1">IFERROR(__xludf.DUMMYFUNCTION("""COMPUTED_VALUE"""),0)</f>
        <v>0</v>
      </c>
      <c r="U407" s="61"/>
      <c r="V407" s="61"/>
      <c r="W407" s="61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0" t="str">
        <f ca="1">IFERROR(__xludf.DUMMYFUNCTION("""COMPUTED_VALUE"""),"A.A ESC. EST.INDIGENAS NRE TOCANTINOPOLIS")</f>
        <v>A.A ESC. EST.INDIGENAS NRE TOCANTINOPOLIS</v>
      </c>
      <c r="D408" s="136" t="str">
        <f ca="1">IFERROR(__xludf.DUMMYFUNCTION("""COMPUTED_VALUE"""),"06171083000168")</f>
        <v>06171083000168</v>
      </c>
      <c r="E408" s="6" t="str">
        <f ca="1">IFERROR(__xludf.DUMMYFUNCTION("""COMPUTED_VALUE"""),"001")</f>
        <v>001</v>
      </c>
      <c r="F408" s="7" t="str">
        <f ca="1">IFERROR(__xludf.DUMMYFUNCTION("""COMPUTED_VALUE"""),"0810")</f>
        <v>0810</v>
      </c>
      <c r="G408" s="7" t="str">
        <f ca="1">IFERROR(__xludf.DUMMYFUNCTION("""COMPUTED_VALUE"""),"140538")</f>
        <v>140538</v>
      </c>
      <c r="H408" s="7">
        <f ca="1">IFERROR(__xludf.DUMMYFUNCTION("""COMPUTED_VALUE"""),0)</f>
        <v>0</v>
      </c>
      <c r="I408" s="7">
        <f ca="1">IFERROR(__xludf.DUMMYFUNCTION("""COMPUTED_VALUE"""),0)</f>
        <v>0</v>
      </c>
      <c r="J408" s="7">
        <f ca="1">IFERROR(__xludf.DUMMYFUNCTION("""COMPUTED_VALUE"""),0)</f>
        <v>0</v>
      </c>
      <c r="K408" s="7">
        <f ca="1">IFERROR(__xludf.DUMMYFUNCTION("""COMPUTED_VALUE"""),0)</f>
        <v>0</v>
      </c>
      <c r="L408" s="7">
        <f ca="1">IFERROR(__xludf.DUMMYFUNCTION("""COMPUTED_VALUE"""),0)</f>
        <v>0</v>
      </c>
      <c r="M408" s="7">
        <f ca="1">IFERROR(__xludf.DUMMYFUNCTION("""COMPUTED_VALUE"""),0)</f>
        <v>0</v>
      </c>
      <c r="N408" s="7">
        <f ca="1">IFERROR(__xludf.DUMMYFUNCTION("""COMPUTED_VALUE"""),0)</f>
        <v>0</v>
      </c>
      <c r="O408" s="7">
        <f ca="1">IFERROR(__xludf.DUMMYFUNCTION("""COMPUTED_VALUE"""),9683.6)</f>
        <v>9683.6</v>
      </c>
      <c r="P408" s="7">
        <f ca="1">IFERROR(__xludf.DUMMYFUNCTION("""COMPUTED_VALUE"""),0)</f>
        <v>0</v>
      </c>
      <c r="Q408" s="7">
        <f ca="1">IFERROR(__xludf.DUMMYFUNCTION("""COMPUTED_VALUE"""),0)</f>
        <v>0</v>
      </c>
      <c r="R408" s="7">
        <f ca="1">IFERROR(__xludf.DUMMYFUNCTION("""COMPUTED_VALUE"""),0)</f>
        <v>0</v>
      </c>
      <c r="S408" s="7">
        <f ca="1">IFERROR(__xludf.DUMMYFUNCTION("""COMPUTED_VALUE"""),0)</f>
        <v>0</v>
      </c>
      <c r="T408" s="7">
        <f ca="1">IFERROR(__xludf.DUMMYFUNCTION("""COMPUTED_VALUE"""),0)</f>
        <v>0</v>
      </c>
      <c r="U408" s="61"/>
      <c r="V408" s="61"/>
      <c r="W408" s="61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0" t="str">
        <f ca="1">IFERROR(__xludf.DUMMYFUNCTION("""COMPUTED_VALUE"""),"A.A. AS ESC. EST.INDIGENAS MATYK E APORO")</f>
        <v>A.A. AS ESC. EST.INDIGENAS MATYK E APORO</v>
      </c>
      <c r="D409" s="136" t="str">
        <f ca="1">IFERROR(__xludf.DUMMYFUNCTION("""COMPUTED_VALUE"""),"03544096000147")</f>
        <v>03544096000147</v>
      </c>
      <c r="E409" s="6" t="str">
        <f ca="1">IFERROR(__xludf.DUMMYFUNCTION("""COMPUTED_VALUE"""),"001")</f>
        <v>001</v>
      </c>
      <c r="F409" s="7" t="str">
        <f ca="1">IFERROR(__xludf.DUMMYFUNCTION("""COMPUTED_VALUE"""),"0810")</f>
        <v>0810</v>
      </c>
      <c r="G409" s="7" t="str">
        <f ca="1">IFERROR(__xludf.DUMMYFUNCTION("""COMPUTED_VALUE"""),"67423")</f>
        <v>67423</v>
      </c>
      <c r="H409" s="7">
        <f ca="1">IFERROR(__xludf.DUMMYFUNCTION("""COMPUTED_VALUE"""),0)</f>
        <v>0</v>
      </c>
      <c r="I409" s="7">
        <f ca="1">IFERROR(__xludf.DUMMYFUNCTION("""COMPUTED_VALUE"""),0)</f>
        <v>0</v>
      </c>
      <c r="J409" s="7">
        <f ca="1">IFERROR(__xludf.DUMMYFUNCTION("""COMPUTED_VALUE"""),0)</f>
        <v>0</v>
      </c>
      <c r="K409" s="7">
        <f ca="1">IFERROR(__xludf.DUMMYFUNCTION("""COMPUTED_VALUE"""),0)</f>
        <v>0</v>
      </c>
      <c r="L409" s="7">
        <f ca="1">IFERROR(__xludf.DUMMYFUNCTION("""COMPUTED_VALUE"""),0)</f>
        <v>0</v>
      </c>
      <c r="M409" s="7">
        <f ca="1">IFERROR(__xludf.DUMMYFUNCTION("""COMPUTED_VALUE"""),0)</f>
        <v>0</v>
      </c>
      <c r="N409" s="7">
        <f ca="1">IFERROR(__xludf.DUMMYFUNCTION("""COMPUTED_VALUE"""),0)</f>
        <v>0</v>
      </c>
      <c r="O409" s="7">
        <f ca="1">IFERROR(__xludf.DUMMYFUNCTION("""COMPUTED_VALUE"""),11730.4)</f>
        <v>11730.4</v>
      </c>
      <c r="P409" s="7">
        <f ca="1">IFERROR(__xludf.DUMMYFUNCTION("""COMPUTED_VALUE"""),0)</f>
        <v>0</v>
      </c>
      <c r="Q409" s="7">
        <f ca="1">IFERROR(__xludf.DUMMYFUNCTION("""COMPUTED_VALUE"""),0)</f>
        <v>0</v>
      </c>
      <c r="R409" s="7">
        <f ca="1">IFERROR(__xludf.DUMMYFUNCTION("""COMPUTED_VALUE"""),0)</f>
        <v>0</v>
      </c>
      <c r="S409" s="7">
        <f ca="1">IFERROR(__xludf.DUMMYFUNCTION("""COMPUTED_VALUE"""),0)</f>
        <v>0</v>
      </c>
      <c r="T409" s="7">
        <f ca="1">IFERROR(__xludf.DUMMYFUNCTION("""COMPUTED_VALUE"""),0)</f>
        <v>0</v>
      </c>
      <c r="U409" s="61"/>
      <c r="V409" s="61"/>
      <c r="W409" s="61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0" t="str">
        <f ca="1">IFERROR(__xludf.DUMMYFUNCTION("""COMPUTED_VALUE"""),"ASSOC.PAIS E MESTRES COL. EST. DEP.DARCY MARINHO")</f>
        <v>ASSOC.PAIS E MESTRES COL. EST. DEP.DARCY MARINHO</v>
      </c>
      <c r="D410" s="136" t="str">
        <f ca="1">IFERROR(__xludf.DUMMYFUNCTION("""COMPUTED_VALUE"""),"01230236000187")</f>
        <v>01230236000187</v>
      </c>
      <c r="E410" s="6" t="str">
        <f ca="1">IFERROR(__xludf.DUMMYFUNCTION("""COMPUTED_VALUE"""),"001")</f>
        <v>001</v>
      </c>
      <c r="F410" s="7" t="str">
        <f ca="1">IFERROR(__xludf.DUMMYFUNCTION("""COMPUTED_VALUE"""),"0810")</f>
        <v>0810</v>
      </c>
      <c r="G410" s="7" t="str">
        <f ca="1">IFERROR(__xludf.DUMMYFUNCTION("""COMPUTED_VALUE"""),"297410")</f>
        <v>297410</v>
      </c>
      <c r="H410" s="7">
        <f ca="1">IFERROR(__xludf.DUMMYFUNCTION("""COMPUTED_VALUE"""),0)</f>
        <v>0</v>
      </c>
      <c r="I410" s="7">
        <f ca="1">IFERROR(__xludf.DUMMYFUNCTION("""COMPUTED_VALUE"""),0)</f>
        <v>0</v>
      </c>
      <c r="J410" s="7">
        <f ca="1">IFERROR(__xludf.DUMMYFUNCTION("""COMPUTED_VALUE"""),0)</f>
        <v>0</v>
      </c>
      <c r="K410" s="7">
        <f ca="1">IFERROR(__xludf.DUMMYFUNCTION("""COMPUTED_VALUE"""),0)</f>
        <v>0</v>
      </c>
      <c r="L410" s="7">
        <f ca="1">IFERROR(__xludf.DUMMYFUNCTION("""COMPUTED_VALUE"""),0)</f>
        <v>0</v>
      </c>
      <c r="M410" s="7">
        <f ca="1">IFERROR(__xludf.DUMMYFUNCTION("""COMPUTED_VALUE"""),0)</f>
        <v>0</v>
      </c>
      <c r="N410" s="7">
        <f ca="1">IFERROR(__xludf.DUMMYFUNCTION("""COMPUTED_VALUE"""),0)</f>
        <v>0</v>
      </c>
      <c r="O410" s="7">
        <f ca="1">IFERROR(__xludf.DUMMYFUNCTION("""COMPUTED_VALUE"""),0)</f>
        <v>0</v>
      </c>
      <c r="P410" s="7">
        <f ca="1">IFERROR(__xludf.DUMMYFUNCTION("""COMPUTED_VALUE"""),326.4)</f>
        <v>326.39999999999998</v>
      </c>
      <c r="Q410" s="7">
        <f ca="1">IFERROR(__xludf.DUMMYFUNCTION("""COMPUTED_VALUE"""),0)</f>
        <v>0</v>
      </c>
      <c r="R410" s="7">
        <f ca="1">IFERROR(__xludf.DUMMYFUNCTION("""COMPUTED_VALUE"""),0)</f>
        <v>0</v>
      </c>
      <c r="S410" s="7">
        <f ca="1">IFERROR(__xludf.DUMMYFUNCTION("""COMPUTED_VALUE"""),9113.6)</f>
        <v>9113.6</v>
      </c>
      <c r="T410" s="7">
        <f ca="1">IFERROR(__xludf.DUMMYFUNCTION("""COMPUTED_VALUE"""),0)</f>
        <v>0</v>
      </c>
      <c r="U410" s="61"/>
      <c r="V410" s="61"/>
      <c r="W410" s="61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0" t="str">
        <f ca="1">IFERROR(__xludf.DUMMYFUNCTION("""COMPUTED_VALUE"""),"ASSOC. APOIO AO COLÉGIODOM ORIONE")</f>
        <v>ASSOC. APOIO AO COLÉGIODOM ORIONE</v>
      </c>
      <c r="D411" s="136" t="str">
        <f ca="1">IFERROR(__xludf.DUMMYFUNCTION("""COMPUTED_VALUE"""),"13033002000129")</f>
        <v>13033002000129</v>
      </c>
      <c r="E411" s="6" t="str">
        <f ca="1">IFERROR(__xludf.DUMMYFUNCTION("""COMPUTED_VALUE"""),"001")</f>
        <v>001</v>
      </c>
      <c r="F411" s="7" t="str">
        <f ca="1">IFERROR(__xludf.DUMMYFUNCTION("""COMPUTED_VALUE"""),"0810")</f>
        <v>0810</v>
      </c>
      <c r="G411" s="7" t="str">
        <f ca="1">IFERROR(__xludf.DUMMYFUNCTION("""COMPUTED_VALUE"""),"254193")</f>
        <v>254193</v>
      </c>
      <c r="H411" s="7">
        <f ca="1">IFERROR(__xludf.DUMMYFUNCTION("""COMPUTED_VALUE"""),0)</f>
        <v>0</v>
      </c>
      <c r="I411" s="7">
        <f ca="1">IFERROR(__xludf.DUMMYFUNCTION("""COMPUTED_VALUE"""),0)</f>
        <v>0</v>
      </c>
      <c r="J411" s="7">
        <f ca="1">IFERROR(__xludf.DUMMYFUNCTION("""COMPUTED_VALUE"""),1850)</f>
        <v>1850</v>
      </c>
      <c r="K411" s="7">
        <f ca="1">IFERROR(__xludf.DUMMYFUNCTION("""COMPUTED_VALUE"""),0)</f>
        <v>0</v>
      </c>
      <c r="L411" s="7">
        <f ca="1">IFERROR(__xludf.DUMMYFUNCTION("""COMPUTED_VALUE"""),0)</f>
        <v>0</v>
      </c>
      <c r="M411" s="7">
        <f ca="1">IFERROR(__xludf.DUMMYFUNCTION("""COMPUTED_VALUE"""),0)</f>
        <v>0</v>
      </c>
      <c r="N411" s="7">
        <f ca="1">IFERROR(__xludf.DUMMYFUNCTION("""COMPUTED_VALUE"""),0)</f>
        <v>0</v>
      </c>
      <c r="O411" s="7">
        <f ca="1">IFERROR(__xludf.DUMMYFUNCTION("""COMPUTED_VALUE"""),0)</f>
        <v>0</v>
      </c>
      <c r="P411" s="7">
        <f ca="1">IFERROR(__xludf.DUMMYFUNCTION("""COMPUTED_VALUE"""),367.2)</f>
        <v>367.2</v>
      </c>
      <c r="Q411" s="7">
        <f ca="1">IFERROR(__xludf.DUMMYFUNCTION("""COMPUTED_VALUE"""),3770)</f>
        <v>3770</v>
      </c>
      <c r="R411" s="7">
        <f ca="1">IFERROR(__xludf.DUMMYFUNCTION("""COMPUTED_VALUE"""),0)</f>
        <v>0</v>
      </c>
      <c r="S411" s="7">
        <f ca="1">IFERROR(__xludf.DUMMYFUNCTION("""COMPUTED_VALUE"""),0)</f>
        <v>0</v>
      </c>
      <c r="T411" s="7">
        <f ca="1">IFERROR(__xludf.DUMMYFUNCTION("""COMPUTED_VALUE"""),0)</f>
        <v>0</v>
      </c>
      <c r="U411" s="61"/>
      <c r="V411" s="61"/>
      <c r="W411" s="61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0" t="str">
        <f ca="1">IFERROR(__xludf.DUMMYFUNCTION("""COMPUTED_VALUE"""),"A.A. DO COL.PADRAO/JOSÉ CARNEIRO DE BRITO")</f>
        <v>A.A. DO COL.PADRAO/JOSÉ CARNEIRO DE BRITO</v>
      </c>
      <c r="D412" s="136" t="str">
        <f ca="1">IFERROR(__xludf.DUMMYFUNCTION("""COMPUTED_VALUE"""),"03880040000163")</f>
        <v>03880040000163</v>
      </c>
      <c r="E412" s="6" t="str">
        <f ca="1">IFERROR(__xludf.DUMMYFUNCTION("""COMPUTED_VALUE"""),"001")</f>
        <v>001</v>
      </c>
      <c r="F412" s="7" t="str">
        <f ca="1">IFERROR(__xludf.DUMMYFUNCTION("""COMPUTED_VALUE"""),"0810")</f>
        <v>0810</v>
      </c>
      <c r="G412" s="7" t="str">
        <f ca="1">IFERROR(__xludf.DUMMYFUNCTION("""COMPUTED_VALUE"""),"81884")</f>
        <v>81884</v>
      </c>
      <c r="H412" s="7">
        <f ca="1">IFERROR(__xludf.DUMMYFUNCTION("""COMPUTED_VALUE"""),0)</f>
        <v>0</v>
      </c>
      <c r="I412" s="7">
        <f ca="1">IFERROR(__xludf.DUMMYFUNCTION("""COMPUTED_VALUE"""),0)</f>
        <v>0</v>
      </c>
      <c r="J412" s="7">
        <f ca="1">IFERROR(__xludf.DUMMYFUNCTION("""COMPUTED_VALUE"""),1750)</f>
        <v>1750</v>
      </c>
      <c r="K412" s="7">
        <f ca="1">IFERROR(__xludf.DUMMYFUNCTION("""COMPUTED_VALUE"""),0)</f>
        <v>0</v>
      </c>
      <c r="L412" s="7">
        <f ca="1">IFERROR(__xludf.DUMMYFUNCTION("""COMPUTED_VALUE"""),0)</f>
        <v>0</v>
      </c>
      <c r="M412" s="7">
        <f ca="1">IFERROR(__xludf.DUMMYFUNCTION("""COMPUTED_VALUE"""),0)</f>
        <v>0</v>
      </c>
      <c r="N412" s="7">
        <f ca="1">IFERROR(__xludf.DUMMYFUNCTION("""COMPUTED_VALUE"""),0)</f>
        <v>0</v>
      </c>
      <c r="O412" s="7">
        <f ca="1">IFERROR(__xludf.DUMMYFUNCTION("""COMPUTED_VALUE"""),0)</f>
        <v>0</v>
      </c>
      <c r="P412" s="7">
        <f ca="1">IFERROR(__xludf.DUMMYFUNCTION("""COMPUTED_VALUE"""),272)</f>
        <v>272</v>
      </c>
      <c r="Q412" s="7">
        <f ca="1">IFERROR(__xludf.DUMMYFUNCTION("""COMPUTED_VALUE"""),2460)</f>
        <v>2460</v>
      </c>
      <c r="R412" s="7">
        <f ca="1">IFERROR(__xludf.DUMMYFUNCTION("""COMPUTED_VALUE"""),0)</f>
        <v>0</v>
      </c>
      <c r="S412" s="7">
        <f ca="1">IFERROR(__xludf.DUMMYFUNCTION("""COMPUTED_VALUE"""),0)</f>
        <v>0</v>
      </c>
      <c r="T412" s="7">
        <f ca="1">IFERROR(__xludf.DUMMYFUNCTION("""COMPUTED_VALUE"""),500.199999999999)</f>
        <v>500.19999999999902</v>
      </c>
      <c r="U412" s="61"/>
      <c r="V412" s="61"/>
      <c r="W412" s="61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0" t="str">
        <f ca="1">IFERROR(__xludf.DUMMYFUNCTION("""COMPUTED_VALUE"""),"ASSOCIAÇÃO DE APOIO A ESCOLA ESPECIAL UM PASSO DIFERENTE -APAE")</f>
        <v>ASSOCIAÇÃO DE APOIO A ESCOLA ESPECIAL UM PASSO DIFERENTE -APAE</v>
      </c>
      <c r="D413" s="142" t="str">
        <f ca="1">IFERROR(__xludf.DUMMYFUNCTION("""COMPUTED_VALUE"""),"08012610000117")</f>
        <v>08012610000117</v>
      </c>
      <c r="E413" s="6" t="str">
        <f ca="1">IFERROR(__xludf.DUMMYFUNCTION("""COMPUTED_VALUE"""),"001")</f>
        <v>001</v>
      </c>
      <c r="F413" s="7" t="str">
        <f ca="1">IFERROR(__xludf.DUMMYFUNCTION("""COMPUTED_VALUE"""),"0810")</f>
        <v>0810</v>
      </c>
      <c r="G413" s="7" t="str">
        <f ca="1">IFERROR(__xludf.DUMMYFUNCTION("""COMPUTED_VALUE"""),"204250")</f>
        <v>204250</v>
      </c>
      <c r="H413" s="7">
        <f ca="1">IFERROR(__xludf.DUMMYFUNCTION("""COMPUTED_VALUE"""),0)</f>
        <v>0</v>
      </c>
      <c r="I413" s="7">
        <f ca="1">IFERROR(__xludf.DUMMYFUNCTION("""COMPUTED_VALUE"""),43.2)</f>
        <v>43.2</v>
      </c>
      <c r="J413" s="7">
        <f ca="1">IFERROR(__xludf.DUMMYFUNCTION("""COMPUTED_VALUE"""),80)</f>
        <v>80</v>
      </c>
      <c r="K413" s="7">
        <f ca="1">IFERROR(__xludf.DUMMYFUNCTION("""COMPUTED_VALUE"""),0)</f>
        <v>0</v>
      </c>
      <c r="L413" s="7">
        <f ca="1">IFERROR(__xludf.DUMMYFUNCTION("""COMPUTED_VALUE"""),0)</f>
        <v>0</v>
      </c>
      <c r="M413" s="7">
        <f ca="1">IFERROR(__xludf.DUMMYFUNCTION("""COMPUTED_VALUE"""),0)</f>
        <v>0</v>
      </c>
      <c r="N413" s="7">
        <f ca="1">IFERROR(__xludf.DUMMYFUNCTION("""COMPUTED_VALUE"""),0)</f>
        <v>0</v>
      </c>
      <c r="O413" s="7">
        <f ca="1">IFERROR(__xludf.DUMMYFUNCTION("""COMPUTED_VALUE"""),0)</f>
        <v>0</v>
      </c>
      <c r="P413" s="7">
        <f ca="1">IFERROR(__xludf.DUMMYFUNCTION("""COMPUTED_VALUE"""),0)</f>
        <v>0</v>
      </c>
      <c r="Q413" s="7">
        <f ca="1">IFERROR(__xludf.DUMMYFUNCTION("""COMPUTED_VALUE"""),0)</f>
        <v>0</v>
      </c>
      <c r="R413" s="7">
        <f ca="1">IFERROR(__xludf.DUMMYFUNCTION("""COMPUTED_VALUE"""),0)</f>
        <v>0</v>
      </c>
      <c r="S413" s="7">
        <f ca="1">IFERROR(__xludf.DUMMYFUNCTION("""COMPUTED_VALUE"""),0)</f>
        <v>0</v>
      </c>
      <c r="T413" s="7">
        <f ca="1">IFERROR(__xludf.DUMMYFUNCTION("""COMPUTED_VALUE"""),696.999999999999)</f>
        <v>696.99999999999898</v>
      </c>
      <c r="U413" s="61"/>
      <c r="V413" s="61"/>
      <c r="W413" s="61"/>
    </row>
    <row r="414" spans="1:23" ht="12.75">
      <c r="A414" t="str">
        <f ca="1">IFERROR(__xludf.DUMMYFUNCTION("""COMPUTED_VALUE"""),"Tocantinópolis")</f>
        <v>Tocantinópolis</v>
      </c>
      <c r="B414" t="str">
        <f ca="1">IFERROR(__xludf.DUMMYFUNCTION("""COMPUTED_VALUE"""),"Tocantinopolis")</f>
        <v>Tocantinopolis</v>
      </c>
      <c r="C414" s="60" t="str">
        <f ca="1">IFERROR(__xludf.DUMMYFUNCTION("""COMPUTED_VALUE"""),"A.A. ESC. E. E.PROF.ALDENORA A.CORREIA")</f>
        <v>A.A. ESC. E. E.PROF.ALDENORA A.CORREIA</v>
      </c>
      <c r="D414" s="136" t="str">
        <f ca="1">IFERROR(__xludf.DUMMYFUNCTION("""COMPUTED_VALUE"""),"01213527000167")</f>
        <v>01213527000167</v>
      </c>
      <c r="E414" s="6" t="str">
        <f ca="1">IFERROR(__xludf.DUMMYFUNCTION("""COMPUTED_VALUE"""),"001")</f>
        <v>001</v>
      </c>
      <c r="F414" s="7" t="str">
        <f ca="1">IFERROR(__xludf.DUMMYFUNCTION("""COMPUTED_VALUE"""),"0810")</f>
        <v>0810</v>
      </c>
      <c r="G414" s="7" t="str">
        <f ca="1">IFERROR(__xludf.DUMMYFUNCTION("""COMPUTED_VALUE"""),"58319")</f>
        <v>58319</v>
      </c>
      <c r="H414" s="143">
        <f ca="1">IFERROR(__xludf.DUMMYFUNCTION("""COMPUTED_VALUE"""),0)</f>
        <v>0</v>
      </c>
      <c r="I414" s="143">
        <f ca="1">IFERROR(__xludf.DUMMYFUNCTION("""COMPUTED_VALUE"""),0)</f>
        <v>0</v>
      </c>
      <c r="J414" s="143">
        <f ca="1">IFERROR(__xludf.DUMMYFUNCTION("""COMPUTED_VALUE"""),0)</f>
        <v>0</v>
      </c>
      <c r="K414" s="143">
        <f ca="1">IFERROR(__xludf.DUMMYFUNCTION("""COMPUTED_VALUE"""),3151)</f>
        <v>3151</v>
      </c>
      <c r="L414" s="143">
        <f ca="1">IFERROR(__xludf.DUMMYFUNCTION("""COMPUTED_VALUE"""),0)</f>
        <v>0</v>
      </c>
      <c r="M414" s="143">
        <f ca="1">IFERROR(__xludf.DUMMYFUNCTION("""COMPUTED_VALUE"""),0)</f>
        <v>0</v>
      </c>
      <c r="N414" s="143">
        <f ca="1">IFERROR(__xludf.DUMMYFUNCTION("""COMPUTED_VALUE"""),0)</f>
        <v>0</v>
      </c>
      <c r="O414" s="143">
        <f ca="1">IFERROR(__xludf.DUMMYFUNCTION("""COMPUTED_VALUE"""),0)</f>
        <v>0</v>
      </c>
      <c r="P414" s="143">
        <f ca="1">IFERROR(__xludf.DUMMYFUNCTION("""COMPUTED_VALUE"""),108.8)</f>
        <v>108.8</v>
      </c>
      <c r="Q414" s="143">
        <f ca="1">IFERROR(__xludf.DUMMYFUNCTION("""COMPUTED_VALUE"""),0)</f>
        <v>0</v>
      </c>
      <c r="R414" s="143">
        <f ca="1">IFERROR(__xludf.DUMMYFUNCTION("""COMPUTED_VALUE"""),0)</f>
        <v>0</v>
      </c>
      <c r="S414" s="143">
        <f ca="1">IFERROR(__xludf.DUMMYFUNCTION("""COMPUTED_VALUE"""),0)</f>
        <v>0</v>
      </c>
      <c r="T414" s="143">
        <f ca="1">IFERROR(__xludf.DUMMYFUNCTION("""COMPUTED_VALUE"""),0)</f>
        <v>0</v>
      </c>
      <c r="U414" s="61"/>
      <c r="V414" s="61"/>
      <c r="W414" s="61"/>
    </row>
    <row r="415" spans="1:23" ht="12.75">
      <c r="A415" t="str">
        <f ca="1">IFERROR(__xludf.DUMMYFUNCTION("""COMPUTED_VALUE"""),"Tocantinópolis")</f>
        <v>Tocantinópolis</v>
      </c>
      <c r="B415" t="str">
        <f ca="1">IFERROR(__xludf.DUMMYFUNCTION("""COMPUTED_VALUE"""),"Tocantinopolis")</f>
        <v>Tocantinopolis</v>
      </c>
      <c r="C415" s="60" t="str">
        <f ca="1">IFERROR(__xludf.DUMMYFUNCTION("""COMPUTED_VALUE"""),"A. PAIS DA ESC. EST. XV DE NOVEMBRO")</f>
        <v>A. PAIS DA ESC. EST. XV DE NOVEMBRO</v>
      </c>
      <c r="D415" s="136" t="str">
        <f ca="1">IFERROR(__xludf.DUMMYFUNCTION("""COMPUTED_VALUE"""),"01213520000145")</f>
        <v>01213520000145</v>
      </c>
      <c r="E415" s="6" t="str">
        <f ca="1">IFERROR(__xludf.DUMMYFUNCTION("""COMPUTED_VALUE"""),"001")</f>
        <v>001</v>
      </c>
      <c r="F415" s="7" t="str">
        <f ca="1">IFERROR(__xludf.DUMMYFUNCTION("""COMPUTED_VALUE"""),"0810")</f>
        <v>0810</v>
      </c>
      <c r="G415" s="7" t="str">
        <f ca="1">IFERROR(__xludf.DUMMYFUNCTION("""COMPUTED_VALUE"""),"58238")</f>
        <v>58238</v>
      </c>
      <c r="H415" s="7">
        <f ca="1">IFERROR(__xludf.DUMMYFUNCTION("""COMPUTED_VALUE"""),0)</f>
        <v>0</v>
      </c>
      <c r="I415" s="7">
        <f ca="1">IFERROR(__xludf.DUMMYFUNCTION("""COMPUTED_VALUE"""),0)</f>
        <v>0</v>
      </c>
      <c r="J415" s="7">
        <f ca="1">IFERROR(__xludf.DUMMYFUNCTION("""COMPUTED_VALUE"""),0)</f>
        <v>0</v>
      </c>
      <c r="K415" s="7">
        <f ca="1">IFERROR(__xludf.DUMMYFUNCTION("""COMPUTED_VALUE"""),4438.8)</f>
        <v>4438.8</v>
      </c>
      <c r="L415" s="7">
        <f ca="1">IFERROR(__xludf.DUMMYFUNCTION("""COMPUTED_VALUE"""),0)</f>
        <v>0</v>
      </c>
      <c r="M415" s="7">
        <f ca="1">IFERROR(__xludf.DUMMYFUNCTION("""COMPUTED_VALUE"""),0)</f>
        <v>0</v>
      </c>
      <c r="N415" s="7">
        <f ca="1">IFERROR(__xludf.DUMMYFUNCTION("""COMPUTED_VALUE"""),0)</f>
        <v>0</v>
      </c>
      <c r="O415" s="7">
        <f ca="1">IFERROR(__xludf.DUMMYFUNCTION("""COMPUTED_VALUE"""),0)</f>
        <v>0</v>
      </c>
      <c r="P415" s="7">
        <f ca="1">IFERROR(__xludf.DUMMYFUNCTION("""COMPUTED_VALUE"""),258.4)</f>
        <v>258.39999999999998</v>
      </c>
      <c r="Q415" s="7">
        <f ca="1">IFERROR(__xludf.DUMMYFUNCTION("""COMPUTED_VALUE"""),0)</f>
        <v>0</v>
      </c>
      <c r="R415" s="7">
        <f ca="1">IFERROR(__xludf.DUMMYFUNCTION("""COMPUTED_VALUE"""),0)</f>
        <v>0</v>
      </c>
      <c r="S415" s="7">
        <f ca="1">IFERROR(__xludf.DUMMYFUNCTION("""COMPUTED_VALUE"""),0)</f>
        <v>0</v>
      </c>
      <c r="T415" s="7">
        <f ca="1">IFERROR(__xludf.DUMMYFUNCTION("""COMPUTED_VALUE"""),0)</f>
        <v>0</v>
      </c>
      <c r="U415" s="61"/>
      <c r="V415" s="61"/>
      <c r="W415" s="61"/>
    </row>
    <row r="416" spans="1:23" ht="12.75">
      <c r="A416" t="str">
        <f ca="1">IFERROR(__xludf.DUMMYFUNCTION("""COMPUTED_VALUE"""),"Tocantinópolis")</f>
        <v>Tocantinópolis</v>
      </c>
      <c r="B416" t="str">
        <f ca="1">IFERROR(__xludf.DUMMYFUNCTION("""COMPUTED_VALUE"""),"Tocantinopolis")</f>
        <v>Tocantinopolis</v>
      </c>
      <c r="C416" s="60" t="str">
        <f ca="1">IFERROR(__xludf.DUMMYFUNCTION("""COMPUTED_VALUE"""),"A. ESCOLAR COM. PE. GIULIANO MORETTI")</f>
        <v>A. ESCOLAR COM. PE. GIULIANO MORETTI</v>
      </c>
      <c r="D416" s="136" t="str">
        <f ca="1">IFERROR(__xludf.DUMMYFUNCTION("""COMPUTED_VALUE"""),"00900202000190")</f>
        <v>00900202000190</v>
      </c>
      <c r="E416" s="6" t="str">
        <f ca="1">IFERROR(__xludf.DUMMYFUNCTION("""COMPUTED_VALUE"""),"001")</f>
        <v>001</v>
      </c>
      <c r="F416" s="7" t="str">
        <f ca="1">IFERROR(__xludf.DUMMYFUNCTION("""COMPUTED_VALUE"""),"0810")</f>
        <v>0810</v>
      </c>
      <c r="G416" s="7" t="str">
        <f ca="1">IFERROR(__xludf.DUMMYFUNCTION("""COMPUTED_VALUE"""),"217484")</f>
        <v>217484</v>
      </c>
      <c r="H416" s="7">
        <f ca="1">IFERROR(__xludf.DUMMYFUNCTION("""COMPUTED_VALUE"""),0)</f>
        <v>0</v>
      </c>
      <c r="I416" s="7">
        <f ca="1">IFERROR(__xludf.DUMMYFUNCTION("""COMPUTED_VALUE"""),0)</f>
        <v>0</v>
      </c>
      <c r="J416" s="7">
        <f ca="1">IFERROR(__xludf.DUMMYFUNCTION("""COMPUTED_VALUE"""),2700)</f>
        <v>2700</v>
      </c>
      <c r="K416" s="7">
        <f ca="1">IFERROR(__xludf.DUMMYFUNCTION("""COMPUTED_VALUE"""),0)</f>
        <v>0</v>
      </c>
      <c r="L416" s="7">
        <f ca="1">IFERROR(__xludf.DUMMYFUNCTION("""COMPUTED_VALUE"""),0)</f>
        <v>0</v>
      </c>
      <c r="M416" s="7">
        <f ca="1">IFERROR(__xludf.DUMMYFUNCTION("""COMPUTED_VALUE"""),0)</f>
        <v>0</v>
      </c>
      <c r="N416" s="7">
        <f ca="1">IFERROR(__xludf.DUMMYFUNCTION("""COMPUTED_VALUE"""),0)</f>
        <v>0</v>
      </c>
      <c r="O416" s="7">
        <f ca="1">IFERROR(__xludf.DUMMYFUNCTION("""COMPUTED_VALUE"""),0)</f>
        <v>0</v>
      </c>
      <c r="P416" s="7">
        <f ca="1">IFERROR(__xludf.DUMMYFUNCTION("""COMPUTED_VALUE"""),816)</f>
        <v>816</v>
      </c>
      <c r="Q416" s="7">
        <f ca="1">IFERROR(__xludf.DUMMYFUNCTION("""COMPUTED_VALUE"""),0)</f>
        <v>0</v>
      </c>
      <c r="R416" s="7">
        <f ca="1">IFERROR(__xludf.DUMMYFUNCTION("""COMPUTED_VALUE"""),0)</f>
        <v>0</v>
      </c>
      <c r="S416" s="7">
        <f ca="1">IFERROR(__xludf.DUMMYFUNCTION("""COMPUTED_VALUE"""),0)</f>
        <v>0</v>
      </c>
      <c r="T416" s="7">
        <f ca="1">IFERROR(__xludf.DUMMYFUNCTION("""COMPUTED_VALUE"""),475.599999999999)</f>
        <v>475.599999999999</v>
      </c>
      <c r="U416" s="61"/>
      <c r="V416" s="61"/>
      <c r="W416" s="61"/>
    </row>
    <row r="417" spans="1:23" ht="12.75">
      <c r="A417" t="str">
        <f ca="1">IFERROR(__xludf.DUMMYFUNCTION("""COMPUTED_VALUE"""),"Tocantinópolis")</f>
        <v>Tocantinópolis</v>
      </c>
      <c r="B417" t="str">
        <f ca="1">IFERROR(__xludf.DUMMYFUNCTION("""COMPUTED_VALUE"""),"Tocantinopolis")</f>
        <v>Tocantinopolis</v>
      </c>
      <c r="C417" s="60" t="str">
        <f ca="1">IFERROR(__xludf.DUMMYFUNCTION("""COMPUTED_VALUE"""),"A. DA ESCOLA PAROQUIAL CRISTO REI")</f>
        <v>A. DA ESCOLA PAROQUIAL CRISTO REI</v>
      </c>
      <c r="D417" s="136" t="str">
        <f ca="1">IFERROR(__xludf.DUMMYFUNCTION("""COMPUTED_VALUE"""),"02026329000157")</f>
        <v>02026329000157</v>
      </c>
      <c r="E417" s="6" t="str">
        <f ca="1">IFERROR(__xludf.DUMMYFUNCTION("""COMPUTED_VALUE"""),"001")</f>
        <v>001</v>
      </c>
      <c r="F417" s="7" t="str">
        <f ca="1">IFERROR(__xludf.DUMMYFUNCTION("""COMPUTED_VALUE"""),"0810")</f>
        <v>0810</v>
      </c>
      <c r="G417" s="7" t="str">
        <f ca="1">IFERROR(__xludf.DUMMYFUNCTION("""COMPUTED_VALUE"""),"58149")</f>
        <v>58149</v>
      </c>
      <c r="H417" s="7">
        <f ca="1">IFERROR(__xludf.DUMMYFUNCTION("""COMPUTED_VALUE"""),0)</f>
        <v>0</v>
      </c>
      <c r="I417" s="7">
        <f ca="1">IFERROR(__xludf.DUMMYFUNCTION("""COMPUTED_VALUE"""),0)</f>
        <v>0</v>
      </c>
      <c r="J417" s="7">
        <f ca="1">IFERROR(__xludf.DUMMYFUNCTION("""COMPUTED_VALUE"""),4510)</f>
        <v>4510</v>
      </c>
      <c r="K417" s="7">
        <f ca="1">IFERROR(__xludf.DUMMYFUNCTION("""COMPUTED_VALUE"""),0)</f>
        <v>0</v>
      </c>
      <c r="L417" s="7">
        <f ca="1">IFERROR(__xludf.DUMMYFUNCTION("""COMPUTED_VALUE"""),0)</f>
        <v>0</v>
      </c>
      <c r="M417" s="7">
        <f ca="1">IFERROR(__xludf.DUMMYFUNCTION("""COMPUTED_VALUE"""),0)</f>
        <v>0</v>
      </c>
      <c r="N417" s="7">
        <f ca="1">IFERROR(__xludf.DUMMYFUNCTION("""COMPUTED_VALUE"""),0)</f>
        <v>0</v>
      </c>
      <c r="O417" s="7">
        <f ca="1">IFERROR(__xludf.DUMMYFUNCTION("""COMPUTED_VALUE"""),0)</f>
        <v>0</v>
      </c>
      <c r="P417" s="7">
        <f ca="1">IFERROR(__xludf.DUMMYFUNCTION("""COMPUTED_VALUE"""),462.4)</f>
        <v>462.4</v>
      </c>
      <c r="Q417" s="7">
        <f ca="1">IFERROR(__xludf.DUMMYFUNCTION("""COMPUTED_VALUE"""),650)</f>
        <v>650</v>
      </c>
      <c r="R417" s="7">
        <f ca="1">IFERROR(__xludf.DUMMYFUNCTION("""COMPUTED_VALUE"""),0)</f>
        <v>0</v>
      </c>
      <c r="S417" s="7">
        <f ca="1">IFERROR(__xludf.DUMMYFUNCTION("""COMPUTED_VALUE"""),0)</f>
        <v>0</v>
      </c>
      <c r="T417" s="7">
        <f ca="1">IFERROR(__xludf.DUMMYFUNCTION("""COMPUTED_VALUE"""),0)</f>
        <v>0</v>
      </c>
      <c r="U417" s="61"/>
      <c r="V417" s="61"/>
      <c r="W417" s="61"/>
    </row>
    <row r="418" spans="1:23" ht="12.75">
      <c r="D418" s="136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61"/>
      <c r="V418" s="61"/>
      <c r="W418" s="61"/>
    </row>
    <row r="419" spans="1:23" ht="12.75">
      <c r="D419" s="136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61"/>
      <c r="V419" s="61"/>
      <c r="W419" s="61"/>
    </row>
    <row r="420" spans="1:23" ht="12.75">
      <c r="D420" s="136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61"/>
      <c r="V420" s="61"/>
      <c r="W420" s="61"/>
    </row>
    <row r="421" spans="1:23" ht="12.75">
      <c r="D421" s="136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61"/>
      <c r="V421" s="61"/>
      <c r="W421" s="61"/>
    </row>
    <row r="422" spans="1:23" ht="12.75">
      <c r="D422" s="136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61"/>
      <c r="V422" s="61"/>
      <c r="W422" s="61"/>
    </row>
    <row r="423" spans="1:23" ht="12.75">
      <c r="D423" s="136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61"/>
      <c r="V423" s="61"/>
      <c r="W423" s="61"/>
    </row>
    <row r="424" spans="1:23" ht="12.75">
      <c r="D424" s="136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61"/>
      <c r="V424" s="61"/>
      <c r="W424" s="61"/>
    </row>
    <row r="425" spans="1:23" ht="12.75">
      <c r="D425" s="136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61"/>
      <c r="V425" s="61"/>
      <c r="W425" s="61"/>
    </row>
    <row r="426" spans="1:23" ht="12.75">
      <c r="D426" s="136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61"/>
      <c r="V426" s="61"/>
      <c r="W426" s="61"/>
    </row>
    <row r="427" spans="1:23" ht="12.75">
      <c r="D427" s="136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61"/>
      <c r="V427" s="61"/>
      <c r="W427" s="61"/>
    </row>
    <row r="428" spans="1:23" ht="12.75">
      <c r="D428" s="136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61"/>
      <c r="V428" s="61"/>
      <c r="W428" s="61"/>
    </row>
    <row r="429" spans="1:23" ht="12.75">
      <c r="D429" s="136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61"/>
      <c r="V429" s="61"/>
      <c r="W429" s="61"/>
    </row>
    <row r="430" spans="1:23" ht="12.75">
      <c r="D430" s="136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61"/>
      <c r="V430" s="61"/>
      <c r="W430" s="61"/>
    </row>
    <row r="431" spans="1:23" ht="12.75">
      <c r="D431" s="136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61"/>
      <c r="V431" s="61"/>
      <c r="W431" s="61"/>
    </row>
    <row r="432" spans="1:23" ht="12.75">
      <c r="D432" s="136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61"/>
      <c r="V432" s="61"/>
      <c r="W432" s="61"/>
    </row>
    <row r="433" spans="4:23" ht="12.75">
      <c r="D433" s="136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61"/>
      <c r="V433" s="61"/>
      <c r="W433" s="61"/>
    </row>
    <row r="434" spans="4:23" ht="12.75">
      <c r="D434" s="136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61"/>
      <c r="V434" s="61"/>
      <c r="W434" s="61"/>
    </row>
    <row r="435" spans="4:23" ht="12.75">
      <c r="D435" s="136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61"/>
      <c r="V435" s="61"/>
      <c r="W435" s="61"/>
    </row>
    <row r="436" spans="4:23" ht="12.75">
      <c r="D436" s="136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61"/>
      <c r="V436" s="61"/>
      <c r="W436" s="61"/>
    </row>
    <row r="437" spans="4:23" ht="12.75">
      <c r="D437" s="136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61"/>
      <c r="V437" s="61"/>
      <c r="W437" s="61"/>
    </row>
    <row r="438" spans="4:23" ht="12.75">
      <c r="D438" s="136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61"/>
      <c r="V438" s="61"/>
      <c r="W438" s="61"/>
    </row>
    <row r="439" spans="4:23" ht="12.75">
      <c r="D439" s="136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61"/>
      <c r="V439" s="61"/>
      <c r="W439" s="61"/>
    </row>
    <row r="440" spans="4:23" ht="12.75">
      <c r="D440" s="136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61"/>
      <c r="V440" s="61"/>
      <c r="W440" s="61"/>
    </row>
    <row r="441" spans="4:23" ht="12.75">
      <c r="D441" s="136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61"/>
      <c r="V441" s="61"/>
      <c r="W441" s="61"/>
    </row>
    <row r="442" spans="4:23" ht="12.75">
      <c r="D442" s="136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61"/>
      <c r="V442" s="61"/>
      <c r="W442" s="61"/>
    </row>
    <row r="443" spans="4:23" ht="12.75">
      <c r="D443" s="136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61"/>
      <c r="V443" s="61"/>
      <c r="W443" s="61"/>
    </row>
    <row r="444" spans="4:23" ht="12.75">
      <c r="D444" s="136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61"/>
      <c r="V444" s="61"/>
      <c r="W444" s="61"/>
    </row>
    <row r="445" spans="4:23" ht="12.75">
      <c r="D445" s="136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61"/>
      <c r="V445" s="61"/>
      <c r="W445" s="61"/>
    </row>
    <row r="446" spans="4:23" ht="12.75">
      <c r="D446" s="136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61"/>
      <c r="V446" s="61"/>
      <c r="W446" s="61"/>
    </row>
    <row r="447" spans="4:23" ht="12.75">
      <c r="D447" s="136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61"/>
      <c r="V447" s="61"/>
      <c r="W447" s="61"/>
    </row>
    <row r="448" spans="4:23" ht="12.75">
      <c r="D448" s="136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61"/>
      <c r="V448" s="61"/>
      <c r="W448" s="61"/>
    </row>
    <row r="449" spans="4:23" ht="12.75">
      <c r="D449" s="136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61"/>
      <c r="V449" s="61"/>
      <c r="W449" s="61"/>
    </row>
    <row r="450" spans="4:23" ht="12.75">
      <c r="D450" s="136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61"/>
      <c r="V450" s="61"/>
      <c r="W450" s="61"/>
    </row>
    <row r="451" spans="4:23" ht="12.75">
      <c r="D451" s="136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61"/>
      <c r="V451" s="61"/>
      <c r="W451" s="61"/>
    </row>
    <row r="452" spans="4:23" ht="12.75">
      <c r="D452" s="136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61"/>
      <c r="V452" s="61"/>
      <c r="W452" s="61"/>
    </row>
    <row r="453" spans="4:23" ht="12.75">
      <c r="D453" s="136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61"/>
      <c r="V453" s="61"/>
      <c r="W453" s="61"/>
    </row>
    <row r="454" spans="4:23" ht="12.75">
      <c r="D454" s="136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61"/>
      <c r="V454" s="61"/>
      <c r="W454" s="61"/>
    </row>
    <row r="455" spans="4:23" ht="12.75">
      <c r="D455" s="136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61"/>
      <c r="V455" s="61"/>
      <c r="W455" s="61"/>
    </row>
    <row r="456" spans="4:23" ht="12.75">
      <c r="D456" s="136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61"/>
      <c r="V456" s="61"/>
      <c r="W456" s="61"/>
    </row>
    <row r="457" spans="4:23" ht="12.75">
      <c r="D457" s="136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61"/>
      <c r="V457" s="61"/>
      <c r="W457" s="61"/>
    </row>
    <row r="458" spans="4:23" ht="12.75">
      <c r="D458" s="136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61"/>
      <c r="V458" s="61"/>
      <c r="W458" s="61"/>
    </row>
    <row r="459" spans="4:23" ht="12.75">
      <c r="D459" s="136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61"/>
      <c r="V459" s="61"/>
      <c r="W459" s="61"/>
    </row>
    <row r="460" spans="4:23" ht="12.75">
      <c r="D460" s="136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61"/>
      <c r="V460" s="61"/>
      <c r="W460" s="61"/>
    </row>
    <row r="461" spans="4:23" ht="12.75">
      <c r="D461" s="136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61"/>
      <c r="V461" s="61"/>
      <c r="W461" s="61"/>
    </row>
    <row r="462" spans="4:23" ht="12.75">
      <c r="D462" s="136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61"/>
      <c r="V462" s="61"/>
      <c r="W462" s="61"/>
    </row>
    <row r="463" spans="4:23" ht="12.75">
      <c r="D463" s="136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61"/>
      <c r="V463" s="61"/>
      <c r="W463" s="61"/>
    </row>
    <row r="464" spans="4:23" ht="12.75">
      <c r="D464" s="136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61"/>
      <c r="V464" s="61"/>
      <c r="W464" s="61"/>
    </row>
    <row r="465" spans="4:23" ht="12.75">
      <c r="D465" s="136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61"/>
      <c r="V465" s="61"/>
      <c r="W465" s="61"/>
    </row>
    <row r="466" spans="4:23" ht="12.75">
      <c r="D466" s="136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61"/>
      <c r="V466" s="61"/>
      <c r="W466" s="61"/>
    </row>
    <row r="467" spans="4:23" ht="12.75">
      <c r="D467" s="136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61"/>
      <c r="V467" s="61"/>
      <c r="W467" s="61"/>
    </row>
    <row r="468" spans="4:23" ht="12.75">
      <c r="D468" s="136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61"/>
      <c r="V468" s="61"/>
      <c r="W468" s="61"/>
    </row>
    <row r="469" spans="4:23" ht="12.75">
      <c r="D469" s="136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61"/>
      <c r="V469" s="61"/>
      <c r="W469" s="61"/>
    </row>
    <row r="470" spans="4:23" ht="12.75">
      <c r="D470" s="136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61"/>
      <c r="V470" s="61"/>
      <c r="W470" s="61"/>
    </row>
    <row r="471" spans="4:23" ht="12.75">
      <c r="D471" s="136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61"/>
      <c r="V471" s="61"/>
      <c r="W471" s="61"/>
    </row>
    <row r="472" spans="4:23" ht="12.75">
      <c r="D472" s="136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61"/>
      <c r="V472" s="61"/>
      <c r="W472" s="61"/>
    </row>
    <row r="473" spans="4:23" ht="12.75">
      <c r="D473" s="136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61"/>
      <c r="V473" s="61"/>
      <c r="W473" s="61"/>
    </row>
    <row r="474" spans="4:23" ht="12.75">
      <c r="D474" s="136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61"/>
      <c r="V474" s="61"/>
      <c r="W474" s="61"/>
    </row>
    <row r="475" spans="4:23" ht="12.75">
      <c r="D475" s="136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61"/>
      <c r="V475" s="61"/>
      <c r="W475" s="61"/>
    </row>
    <row r="476" spans="4:23" ht="12.75">
      <c r="D476" s="136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61"/>
      <c r="V476" s="61"/>
      <c r="W476" s="61"/>
    </row>
    <row r="477" spans="4:23" ht="12.75">
      <c r="D477" s="136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61"/>
      <c r="V477" s="61"/>
      <c r="W477" s="61"/>
    </row>
    <row r="478" spans="4:23" ht="12.75">
      <c r="D478" s="136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61"/>
      <c r="V478" s="61"/>
      <c r="W478" s="61"/>
    </row>
    <row r="479" spans="4:23" ht="12.75">
      <c r="D479" s="136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61"/>
      <c r="V479" s="61"/>
      <c r="W479" s="61"/>
    </row>
    <row r="480" spans="4:23" ht="12.75">
      <c r="D480" s="136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61"/>
      <c r="V480" s="61"/>
      <c r="W480" s="61"/>
    </row>
    <row r="481" spans="4:23" ht="12.75">
      <c r="D481" s="136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61"/>
      <c r="V481" s="61"/>
      <c r="W481" s="61"/>
    </row>
    <row r="482" spans="4:23" ht="12.75">
      <c r="D482" s="136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61"/>
      <c r="V482" s="61"/>
      <c r="W482" s="61"/>
    </row>
    <row r="483" spans="4:23" ht="12.75">
      <c r="D483" s="136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61"/>
      <c r="V483" s="61"/>
      <c r="W483" s="61"/>
    </row>
    <row r="484" spans="4:23" ht="12.75">
      <c r="D484" s="136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61"/>
      <c r="V484" s="61"/>
      <c r="W484" s="61"/>
    </row>
    <row r="485" spans="4:23" ht="12.75">
      <c r="D485" s="136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61"/>
      <c r="V485" s="61"/>
      <c r="W485" s="61"/>
    </row>
    <row r="486" spans="4:23" ht="12.75">
      <c r="D486" s="136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61"/>
      <c r="V486" s="61"/>
      <c r="W486" s="61"/>
    </row>
    <row r="487" spans="4:23" ht="12.75">
      <c r="D487" s="136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61"/>
      <c r="V487" s="61"/>
      <c r="W487" s="61"/>
    </row>
    <row r="488" spans="4:23" ht="12.75">
      <c r="D488" s="136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61"/>
      <c r="V488" s="61"/>
      <c r="W488" s="61"/>
    </row>
    <row r="489" spans="4:23" ht="12.75">
      <c r="D489" s="136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61"/>
      <c r="V489" s="61"/>
      <c r="W489" s="61"/>
    </row>
    <row r="490" spans="4:23" ht="12.75">
      <c r="D490" s="136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61"/>
      <c r="V490" s="61"/>
      <c r="W490" s="61"/>
    </row>
    <row r="491" spans="4:23" ht="12.75">
      <c r="D491" s="136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61"/>
      <c r="V491" s="61"/>
      <c r="W491" s="61"/>
    </row>
    <row r="492" spans="4:23" ht="12.75">
      <c r="D492" s="136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61"/>
      <c r="V492" s="61"/>
      <c r="W492" s="61"/>
    </row>
    <row r="493" spans="4:23" ht="12.75">
      <c r="D493" s="136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61"/>
      <c r="V493" s="61"/>
      <c r="W493" s="61"/>
    </row>
    <row r="494" spans="4:23" ht="12.75">
      <c r="D494" s="136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61"/>
      <c r="V494" s="61"/>
      <c r="W494" s="61"/>
    </row>
    <row r="495" spans="4:23" ht="12.75">
      <c r="D495" s="136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61"/>
      <c r="V495" s="61"/>
      <c r="W495" s="61"/>
    </row>
    <row r="496" spans="4:23" ht="12.75">
      <c r="D496" s="136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61"/>
      <c r="V496" s="61"/>
      <c r="W496" s="61"/>
    </row>
    <row r="497" spans="4:23" ht="12.75">
      <c r="D497" s="136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61"/>
      <c r="V497" s="61"/>
      <c r="W497" s="61"/>
    </row>
    <row r="498" spans="4:23" ht="12.75">
      <c r="D498" s="136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61"/>
      <c r="V498" s="61"/>
      <c r="W498" s="61"/>
    </row>
    <row r="499" spans="4:23" ht="12.75">
      <c r="D499" s="136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61"/>
      <c r="V499" s="61"/>
      <c r="W499" s="61"/>
    </row>
    <row r="500" spans="4:23" ht="12.75">
      <c r="D500" s="136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61"/>
      <c r="V500" s="61"/>
      <c r="W500" s="61"/>
    </row>
    <row r="501" spans="4:23" ht="12.75">
      <c r="D501" s="136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61"/>
      <c r="V501" s="61"/>
      <c r="W501" s="61"/>
    </row>
    <row r="502" spans="4:23" ht="12.75">
      <c r="D502" s="136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61"/>
      <c r="V502" s="61"/>
      <c r="W502" s="61"/>
    </row>
    <row r="503" spans="4:23" ht="12.75">
      <c r="D503" s="136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61"/>
      <c r="V503" s="61"/>
      <c r="W503" s="61"/>
    </row>
    <row r="504" spans="4:23" ht="12.75">
      <c r="D504" s="136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61"/>
      <c r="V504" s="61"/>
      <c r="W504" s="61"/>
    </row>
    <row r="505" spans="4:23" ht="12.75">
      <c r="D505" s="136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61"/>
      <c r="V505" s="61"/>
      <c r="W505" s="61"/>
    </row>
    <row r="506" spans="4:23" ht="12.75">
      <c r="D506" s="136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61"/>
      <c r="V506" s="61"/>
      <c r="W506" s="61"/>
    </row>
    <row r="507" spans="4:23" ht="12.75">
      <c r="D507" s="136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61"/>
      <c r="V507" s="61"/>
      <c r="W507" s="61"/>
    </row>
    <row r="508" spans="4:23" ht="12.75">
      <c r="D508" s="136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61"/>
      <c r="V508" s="61"/>
      <c r="W508" s="61"/>
    </row>
    <row r="509" spans="4:23" ht="12.75">
      <c r="D509" s="136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61"/>
      <c r="V509" s="61"/>
      <c r="W509" s="61"/>
    </row>
    <row r="510" spans="4:23" ht="12.75">
      <c r="D510" s="136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61"/>
      <c r="V510" s="61"/>
      <c r="W510" s="61"/>
    </row>
    <row r="511" spans="4:23" ht="12.75">
      <c r="D511" s="136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61"/>
      <c r="V511" s="61"/>
      <c r="W511" s="61"/>
    </row>
    <row r="512" spans="4:23" ht="12.75">
      <c r="D512" s="136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61"/>
      <c r="V512" s="61"/>
      <c r="W512" s="61"/>
    </row>
    <row r="513" spans="4:23" ht="12.75">
      <c r="D513" s="136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61"/>
      <c r="V513" s="61"/>
      <c r="W513" s="61"/>
    </row>
    <row r="514" spans="4:23" ht="12.75">
      <c r="D514" s="136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61"/>
      <c r="V514" s="61"/>
      <c r="W514" s="61"/>
    </row>
    <row r="515" spans="4:23" ht="12.75">
      <c r="D515" s="136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61"/>
      <c r="V515" s="61"/>
      <c r="W515" s="61"/>
    </row>
    <row r="516" spans="4:23" ht="12.75">
      <c r="D516" s="136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61"/>
      <c r="V516" s="61"/>
      <c r="W516" s="61"/>
    </row>
    <row r="517" spans="4:23" ht="12.75">
      <c r="D517" s="136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61"/>
      <c r="V517" s="61"/>
      <c r="W517" s="61"/>
    </row>
    <row r="518" spans="4:23" ht="12.75">
      <c r="D518" s="136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61"/>
      <c r="V518" s="61"/>
      <c r="W518" s="61"/>
    </row>
    <row r="519" spans="4:23" ht="12.75">
      <c r="D519" s="136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61"/>
      <c r="V519" s="61"/>
      <c r="W519" s="61"/>
    </row>
    <row r="520" spans="4:23" ht="12.75">
      <c r="D520" s="136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61"/>
      <c r="V520" s="61"/>
      <c r="W520" s="61"/>
    </row>
    <row r="521" spans="4:23" ht="12.75">
      <c r="D521" s="136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61"/>
      <c r="V521" s="61"/>
      <c r="W521" s="61"/>
    </row>
    <row r="522" spans="4:23" ht="12.75">
      <c r="D522" s="136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61"/>
      <c r="V522" s="61"/>
      <c r="W522" s="61"/>
    </row>
    <row r="523" spans="4:23" ht="12.75">
      <c r="D523" s="136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61"/>
      <c r="V523" s="61"/>
      <c r="W523" s="61"/>
    </row>
    <row r="524" spans="4:23" ht="12.75">
      <c r="D524" s="136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61"/>
      <c r="V524" s="61"/>
      <c r="W524" s="61"/>
    </row>
    <row r="525" spans="4:23" ht="12.75">
      <c r="D525" s="136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61"/>
      <c r="V525" s="61"/>
      <c r="W525" s="61"/>
    </row>
    <row r="526" spans="4:23" ht="12.75">
      <c r="D526" s="136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61"/>
      <c r="V526" s="61"/>
      <c r="W526" s="61"/>
    </row>
    <row r="527" spans="4:23" ht="12.75">
      <c r="D527" s="136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61"/>
      <c r="V527" s="61"/>
      <c r="W527" s="61"/>
    </row>
    <row r="528" spans="4:23" ht="12.75">
      <c r="D528" s="136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61"/>
      <c r="V528" s="61"/>
      <c r="W528" s="61"/>
    </row>
    <row r="529" spans="4:23" ht="12.75">
      <c r="D529" s="136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61"/>
      <c r="V529" s="61"/>
      <c r="W529" s="61"/>
    </row>
    <row r="530" spans="4:23" ht="12.75">
      <c r="D530" s="136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61"/>
      <c r="V530" s="61"/>
      <c r="W530" s="61"/>
    </row>
    <row r="531" spans="4:23" ht="12.75">
      <c r="D531" s="136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61"/>
      <c r="V531" s="61"/>
      <c r="W531" s="61"/>
    </row>
    <row r="532" spans="4:23" ht="12.75">
      <c r="D532" s="136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61"/>
      <c r="V532" s="61"/>
      <c r="W532" s="61"/>
    </row>
    <row r="533" spans="4:23" ht="12.75">
      <c r="D533" s="136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61"/>
      <c r="V533" s="61"/>
      <c r="W533" s="61"/>
    </row>
    <row r="534" spans="4:23" ht="12.75">
      <c r="D534" s="136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61"/>
      <c r="V534" s="61"/>
      <c r="W534" s="61"/>
    </row>
    <row r="535" spans="4:23" ht="12.75">
      <c r="D535" s="136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61"/>
      <c r="V535" s="61"/>
      <c r="W535" s="61"/>
    </row>
    <row r="536" spans="4:23" ht="12.75">
      <c r="D536" s="136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61"/>
      <c r="V536" s="61"/>
      <c r="W536" s="61"/>
    </row>
    <row r="537" spans="4:23" ht="12.75">
      <c r="D537" s="136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61"/>
      <c r="V537" s="61"/>
      <c r="W537" s="61"/>
    </row>
    <row r="538" spans="4:23" ht="12.75">
      <c r="D538" s="136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61"/>
      <c r="V538" s="61"/>
      <c r="W538" s="61"/>
    </row>
    <row r="539" spans="4:23" ht="12.75">
      <c r="D539" s="136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61"/>
      <c r="V539" s="61"/>
      <c r="W539" s="61"/>
    </row>
    <row r="540" spans="4:23" ht="12.75">
      <c r="D540" s="136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61"/>
      <c r="V540" s="61"/>
      <c r="W540" s="61"/>
    </row>
    <row r="541" spans="4:23" ht="12.75">
      <c r="D541" s="136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61"/>
      <c r="V541" s="61"/>
      <c r="W541" s="61"/>
    </row>
    <row r="542" spans="4:23" ht="12.75">
      <c r="D542" s="136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61"/>
      <c r="V542" s="61"/>
      <c r="W542" s="61"/>
    </row>
    <row r="543" spans="4:23" ht="12.75">
      <c r="D543" s="136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61"/>
      <c r="V543" s="61"/>
      <c r="W543" s="61"/>
    </row>
    <row r="544" spans="4:23" ht="12.75">
      <c r="D544" s="136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61"/>
      <c r="V544" s="61"/>
      <c r="W544" s="61"/>
    </row>
    <row r="545" spans="4:23" ht="12.75">
      <c r="D545" s="136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61"/>
      <c r="V545" s="61"/>
      <c r="W545" s="61"/>
    </row>
    <row r="546" spans="4:23" ht="12.75">
      <c r="D546" s="136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61"/>
      <c r="V546" s="61"/>
      <c r="W546" s="61"/>
    </row>
    <row r="547" spans="4:23" ht="12.75">
      <c r="D547" s="136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61"/>
      <c r="V547" s="61"/>
      <c r="W547" s="61"/>
    </row>
    <row r="548" spans="4:23" ht="12.75">
      <c r="D548" s="136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61"/>
      <c r="V548" s="61"/>
      <c r="W548" s="61"/>
    </row>
    <row r="549" spans="4:23" ht="12.75">
      <c r="D549" s="136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61"/>
      <c r="V549" s="61"/>
      <c r="W549" s="61"/>
    </row>
    <row r="550" spans="4:23" ht="12.75">
      <c r="D550" s="136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61"/>
      <c r="V550" s="61"/>
      <c r="W550" s="61"/>
    </row>
    <row r="551" spans="4:23" ht="12.75">
      <c r="D551" s="136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61"/>
      <c r="V551" s="61"/>
      <c r="W551" s="61"/>
    </row>
    <row r="552" spans="4:23" ht="12.75">
      <c r="D552" s="136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61"/>
      <c r="V552" s="61"/>
      <c r="W552" s="61"/>
    </row>
    <row r="553" spans="4:23" ht="12.75">
      <c r="D553" s="136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61"/>
      <c r="V553" s="61"/>
      <c r="W553" s="61"/>
    </row>
    <row r="554" spans="4:23" ht="12.75">
      <c r="D554" s="136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61"/>
      <c r="V554" s="61"/>
      <c r="W554" s="61"/>
    </row>
    <row r="555" spans="4:23" ht="12.75">
      <c r="D555" s="136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61"/>
      <c r="V555" s="61"/>
      <c r="W555" s="61"/>
    </row>
    <row r="556" spans="4:23" ht="12.75">
      <c r="D556" s="136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61"/>
      <c r="V556" s="61"/>
      <c r="W556" s="61"/>
    </row>
    <row r="557" spans="4:23" ht="12.75">
      <c r="D557" s="136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61"/>
      <c r="V557" s="61"/>
      <c r="W557" s="61"/>
    </row>
    <row r="558" spans="4:23" ht="12.75">
      <c r="D558" s="136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61"/>
      <c r="V558" s="61"/>
      <c r="W558" s="61"/>
    </row>
    <row r="559" spans="4:23" ht="12.75">
      <c r="D559" s="136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61"/>
      <c r="V559" s="61"/>
      <c r="W559" s="61"/>
    </row>
    <row r="560" spans="4:23" ht="12.75">
      <c r="D560" s="136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61"/>
      <c r="V560" s="61"/>
      <c r="W560" s="61"/>
    </row>
    <row r="561" spans="4:23" ht="12.75">
      <c r="D561" s="136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61"/>
      <c r="V561" s="61"/>
      <c r="W561" s="61"/>
    </row>
    <row r="562" spans="4:23" ht="12.75">
      <c r="D562" s="136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61"/>
      <c r="V562" s="61"/>
      <c r="W562" s="61"/>
    </row>
    <row r="563" spans="4:23" ht="12.75">
      <c r="D563" s="136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61"/>
      <c r="V563" s="61"/>
      <c r="W563" s="61"/>
    </row>
    <row r="564" spans="4:23" ht="12.75">
      <c r="D564" s="136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61"/>
      <c r="V564" s="61"/>
      <c r="W564" s="61"/>
    </row>
    <row r="565" spans="4:23" ht="12.75">
      <c r="D565" s="136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61"/>
      <c r="V565" s="61"/>
      <c r="W565" s="61"/>
    </row>
    <row r="566" spans="4:23" ht="12.75">
      <c r="D566" s="136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61"/>
      <c r="V566" s="61"/>
      <c r="W566" s="61"/>
    </row>
    <row r="567" spans="4:23" ht="12.75">
      <c r="D567" s="136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61"/>
      <c r="V567" s="61"/>
      <c r="W567" s="61"/>
    </row>
    <row r="568" spans="4:23" ht="12.75">
      <c r="D568" s="136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61"/>
      <c r="V568" s="61"/>
      <c r="W568" s="61"/>
    </row>
    <row r="569" spans="4:23" ht="12.75">
      <c r="D569" s="136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61"/>
      <c r="V569" s="61"/>
      <c r="W569" s="61"/>
    </row>
    <row r="570" spans="4:23" ht="12.75">
      <c r="D570" s="136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61"/>
      <c r="V570" s="61"/>
      <c r="W570" s="61"/>
    </row>
    <row r="571" spans="4:23" ht="12.75">
      <c r="D571" s="136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61"/>
      <c r="V571" s="61"/>
      <c r="W571" s="61"/>
    </row>
    <row r="572" spans="4:23" ht="12.75">
      <c r="D572" s="136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61"/>
      <c r="V572" s="61"/>
      <c r="W572" s="61"/>
    </row>
    <row r="573" spans="4:23" ht="12.75">
      <c r="D573" s="136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61"/>
      <c r="V573" s="61"/>
      <c r="W573" s="61"/>
    </row>
    <row r="574" spans="4:23" ht="12.75">
      <c r="D574" s="136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61"/>
      <c r="V574" s="61"/>
      <c r="W574" s="61"/>
    </row>
    <row r="575" spans="4:23" ht="12.75">
      <c r="D575" s="136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61"/>
      <c r="V575" s="61"/>
      <c r="W575" s="61"/>
    </row>
    <row r="576" spans="4:23" ht="12.75">
      <c r="D576" s="136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61"/>
      <c r="V576" s="61"/>
      <c r="W576" s="61"/>
    </row>
    <row r="577" spans="4:23" ht="12.75">
      <c r="D577" s="136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61"/>
      <c r="V577" s="61"/>
      <c r="W577" s="61"/>
    </row>
    <row r="578" spans="4:23" ht="12.75">
      <c r="D578" s="136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61"/>
      <c r="V578" s="61"/>
      <c r="W578" s="61"/>
    </row>
    <row r="579" spans="4:23" ht="12.75">
      <c r="D579" s="136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61"/>
      <c r="V579" s="61"/>
      <c r="W579" s="61"/>
    </row>
    <row r="580" spans="4:23" ht="12.75">
      <c r="D580" s="136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61"/>
      <c r="V580" s="61"/>
      <c r="W580" s="61"/>
    </row>
    <row r="581" spans="4:23" ht="12.75">
      <c r="D581" s="136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61"/>
      <c r="V581" s="61"/>
      <c r="W581" s="61"/>
    </row>
    <row r="582" spans="4:23" ht="12.75">
      <c r="D582" s="136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61"/>
      <c r="V582" s="61"/>
      <c r="W582" s="61"/>
    </row>
    <row r="583" spans="4:23" ht="12.75">
      <c r="D583" s="136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61"/>
      <c r="V583" s="61"/>
      <c r="W583" s="61"/>
    </row>
    <row r="584" spans="4:23" ht="12.75">
      <c r="D584" s="136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61"/>
      <c r="V584" s="61"/>
      <c r="W584" s="61"/>
    </row>
    <row r="585" spans="4:23" ht="12.75">
      <c r="D585" s="136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61"/>
      <c r="V585" s="61"/>
      <c r="W585" s="61"/>
    </row>
    <row r="586" spans="4:23" ht="12.75">
      <c r="D586" s="136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61"/>
      <c r="V586" s="61"/>
      <c r="W586" s="61"/>
    </row>
    <row r="587" spans="4:23" ht="12.75">
      <c r="D587" s="136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61"/>
      <c r="V587" s="61"/>
      <c r="W587" s="61"/>
    </row>
    <row r="588" spans="4:23" ht="12.75">
      <c r="D588" s="136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61"/>
      <c r="V588" s="61"/>
      <c r="W588" s="61"/>
    </row>
    <row r="589" spans="4:23" ht="12.75">
      <c r="D589" s="136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61"/>
      <c r="V589" s="61"/>
      <c r="W589" s="61"/>
    </row>
    <row r="590" spans="4:23" ht="12.75">
      <c r="D590" s="136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61"/>
      <c r="V590" s="61"/>
      <c r="W590" s="61"/>
    </row>
    <row r="591" spans="4:23" ht="12.75">
      <c r="D591" s="136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61"/>
      <c r="V591" s="61"/>
      <c r="W591" s="61"/>
    </row>
    <row r="592" spans="4:23" ht="12.75">
      <c r="D592" s="136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61"/>
      <c r="V592" s="61"/>
      <c r="W592" s="61"/>
    </row>
    <row r="593" spans="4:23" ht="12.75">
      <c r="D593" s="136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61"/>
      <c r="V593" s="61"/>
      <c r="W593" s="61"/>
    </row>
    <row r="594" spans="4:23" ht="12.75">
      <c r="D594" s="136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61"/>
      <c r="V594" s="61"/>
      <c r="W594" s="61"/>
    </row>
    <row r="595" spans="4:23" ht="12.75">
      <c r="D595" s="136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61"/>
      <c r="V595" s="61"/>
      <c r="W595" s="61"/>
    </row>
    <row r="596" spans="4:23" ht="12.75">
      <c r="D596" s="136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61"/>
      <c r="V596" s="61"/>
      <c r="W596" s="61"/>
    </row>
    <row r="597" spans="4:23" ht="12.75">
      <c r="D597" s="136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61"/>
      <c r="V597" s="61"/>
      <c r="W597" s="61"/>
    </row>
    <row r="598" spans="4:23" ht="12.75">
      <c r="D598" s="136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61"/>
      <c r="V598" s="61"/>
      <c r="W598" s="61"/>
    </row>
    <row r="599" spans="4:23" ht="12.75">
      <c r="D599" s="136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61"/>
      <c r="V599" s="61"/>
      <c r="W599" s="61"/>
    </row>
    <row r="600" spans="4:23" ht="12.75">
      <c r="D600" s="136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61"/>
      <c r="V600" s="61"/>
      <c r="W600" s="61"/>
    </row>
    <row r="601" spans="4:23" ht="12.75">
      <c r="D601" s="136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61"/>
      <c r="V601" s="61"/>
      <c r="W601" s="61"/>
    </row>
    <row r="602" spans="4:23" ht="12.75">
      <c r="D602" s="136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61"/>
      <c r="V602" s="61"/>
      <c r="W602" s="61"/>
    </row>
    <row r="603" spans="4:23" ht="12.75">
      <c r="D603" s="136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61"/>
      <c r="V603" s="61"/>
      <c r="W603" s="61"/>
    </row>
    <row r="604" spans="4:23" ht="12.75">
      <c r="D604" s="136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61"/>
      <c r="V604" s="61"/>
      <c r="W604" s="61"/>
    </row>
    <row r="605" spans="4:23" ht="12.75">
      <c r="D605" s="136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61"/>
      <c r="V605" s="61"/>
      <c r="W605" s="61"/>
    </row>
    <row r="606" spans="4:23" ht="12.75">
      <c r="D606" s="136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61"/>
      <c r="V606" s="61"/>
      <c r="W606" s="61"/>
    </row>
    <row r="607" spans="4:23" ht="12.75">
      <c r="D607" s="136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61"/>
      <c r="V607" s="61"/>
      <c r="W607" s="61"/>
    </row>
    <row r="608" spans="4:23" ht="12.75">
      <c r="D608" s="136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61"/>
      <c r="V608" s="61"/>
      <c r="W608" s="61"/>
    </row>
    <row r="609" spans="4:23" ht="12.75">
      <c r="D609" s="136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61"/>
      <c r="V609" s="61"/>
      <c r="W609" s="61"/>
    </row>
    <row r="610" spans="4:23" ht="12.75">
      <c r="D610" s="136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61"/>
      <c r="V610" s="61"/>
      <c r="W610" s="61"/>
    </row>
    <row r="611" spans="4:23" ht="12.75">
      <c r="D611" s="136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61"/>
      <c r="V611" s="61"/>
      <c r="W611" s="61"/>
    </row>
    <row r="612" spans="4:23" ht="12.75">
      <c r="D612" s="136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61"/>
      <c r="V612" s="61"/>
      <c r="W612" s="61"/>
    </row>
    <row r="613" spans="4:23" ht="12.75">
      <c r="D613" s="136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61"/>
      <c r="V613" s="61"/>
      <c r="W613" s="61"/>
    </row>
    <row r="614" spans="4:23" ht="12.75">
      <c r="D614" s="136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61"/>
      <c r="V614" s="61"/>
      <c r="W614" s="61"/>
    </row>
    <row r="615" spans="4:23" ht="12.75">
      <c r="D615" s="136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61"/>
      <c r="V615" s="61"/>
      <c r="W615" s="61"/>
    </row>
    <row r="616" spans="4:23" ht="12.75">
      <c r="D616" s="136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61"/>
      <c r="V616" s="61"/>
      <c r="W616" s="61"/>
    </row>
    <row r="617" spans="4:23" ht="12.75">
      <c r="D617" s="136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61"/>
      <c r="V617" s="61"/>
      <c r="W617" s="61"/>
    </row>
    <row r="618" spans="4:23" ht="12.75">
      <c r="D618" s="136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61"/>
      <c r="V618" s="61"/>
      <c r="W618" s="61"/>
    </row>
    <row r="619" spans="4:23" ht="12.75">
      <c r="D619" s="136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61"/>
      <c r="V619" s="61"/>
      <c r="W619" s="61"/>
    </row>
    <row r="620" spans="4:23" ht="12.75">
      <c r="D620" s="136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61"/>
      <c r="V620" s="61"/>
      <c r="W620" s="61"/>
    </row>
    <row r="621" spans="4:23" ht="12.75">
      <c r="D621" s="136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61"/>
      <c r="V621" s="61"/>
      <c r="W621" s="61"/>
    </row>
    <row r="622" spans="4:23" ht="12.75">
      <c r="D622" s="136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61"/>
      <c r="V622" s="61"/>
      <c r="W622" s="61"/>
    </row>
    <row r="623" spans="4:23" ht="12.75">
      <c r="D623" s="136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61"/>
      <c r="V623" s="61"/>
      <c r="W623" s="61"/>
    </row>
    <row r="624" spans="4:23" ht="12.75">
      <c r="D624" s="136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61"/>
      <c r="V624" s="61"/>
      <c r="W624" s="61"/>
    </row>
    <row r="625" spans="4:23" ht="12.75">
      <c r="D625" s="136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61"/>
      <c r="V625" s="61"/>
      <c r="W625" s="61"/>
    </row>
    <row r="626" spans="4:23" ht="12.75">
      <c r="D626" s="136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61"/>
      <c r="V626" s="61"/>
      <c r="W626" s="61"/>
    </row>
    <row r="627" spans="4:23" ht="12.75">
      <c r="D627" s="136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61"/>
      <c r="V627" s="61"/>
      <c r="W627" s="61"/>
    </row>
    <row r="628" spans="4:23" ht="12.75">
      <c r="D628" s="136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61"/>
      <c r="V628" s="61"/>
      <c r="W628" s="61"/>
    </row>
    <row r="629" spans="4:23" ht="12.75">
      <c r="D629" s="136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61"/>
      <c r="V629" s="61"/>
      <c r="W629" s="61"/>
    </row>
    <row r="630" spans="4:23" ht="12.75">
      <c r="D630" s="136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61"/>
      <c r="V630" s="61"/>
      <c r="W630" s="61"/>
    </row>
    <row r="631" spans="4:23" ht="12.75">
      <c r="D631" s="136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61"/>
      <c r="V631" s="61"/>
      <c r="W631" s="61"/>
    </row>
    <row r="632" spans="4:23" ht="12.75">
      <c r="D632" s="136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61"/>
      <c r="V632" s="61"/>
      <c r="W632" s="61"/>
    </row>
    <row r="633" spans="4:23" ht="12.75">
      <c r="D633" s="136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61"/>
      <c r="V633" s="61"/>
      <c r="W633" s="61"/>
    </row>
    <row r="634" spans="4:23" ht="12.75">
      <c r="D634" s="136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61"/>
      <c r="V634" s="61"/>
      <c r="W634" s="61"/>
    </row>
    <row r="635" spans="4:23" ht="12.75">
      <c r="D635" s="136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61"/>
      <c r="V635" s="61"/>
      <c r="W635" s="61"/>
    </row>
    <row r="636" spans="4:23" ht="12.75">
      <c r="D636" s="136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61"/>
      <c r="V636" s="61"/>
      <c r="W636" s="61"/>
    </row>
    <row r="637" spans="4:23" ht="12.75">
      <c r="D637" s="136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61"/>
      <c r="V637" s="61"/>
      <c r="W637" s="61"/>
    </row>
    <row r="638" spans="4:23" ht="12.75">
      <c r="D638" s="136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61"/>
      <c r="V638" s="61"/>
      <c r="W638" s="61"/>
    </row>
    <row r="639" spans="4:23" ht="12.75">
      <c r="D639" s="136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61"/>
      <c r="V639" s="61"/>
      <c r="W639" s="61"/>
    </row>
    <row r="640" spans="4:23" ht="12.75">
      <c r="D640" s="136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61"/>
      <c r="V640" s="61"/>
      <c r="W640" s="61"/>
    </row>
    <row r="641" spans="4:23" ht="12.75">
      <c r="D641" s="136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61"/>
      <c r="V641" s="61"/>
      <c r="W641" s="61"/>
    </row>
    <row r="642" spans="4:23" ht="12.75">
      <c r="D642" s="136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61"/>
      <c r="V642" s="61"/>
      <c r="W642" s="61"/>
    </row>
    <row r="643" spans="4:23" ht="12.75">
      <c r="D643" s="136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61"/>
      <c r="V643" s="61"/>
      <c r="W643" s="61"/>
    </row>
    <row r="644" spans="4:23" ht="12.75">
      <c r="D644" s="136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61"/>
      <c r="V644" s="61"/>
      <c r="W644" s="61"/>
    </row>
    <row r="645" spans="4:23" ht="12.75">
      <c r="D645" s="136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61"/>
      <c r="V645" s="61"/>
      <c r="W645" s="61"/>
    </row>
    <row r="646" spans="4:23" ht="12.75">
      <c r="D646" s="136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61"/>
      <c r="V646" s="61"/>
      <c r="W646" s="61"/>
    </row>
    <row r="647" spans="4:23" ht="12.75">
      <c r="D647" s="136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61"/>
      <c r="V647" s="61"/>
      <c r="W647" s="61"/>
    </row>
    <row r="648" spans="4:23" ht="12.75">
      <c r="D648" s="136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61"/>
      <c r="V648" s="61"/>
      <c r="W648" s="61"/>
    </row>
    <row r="649" spans="4:23" ht="12.75">
      <c r="D649" s="136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61"/>
      <c r="V649" s="61"/>
      <c r="W649" s="61"/>
    </row>
    <row r="650" spans="4:23" ht="12.75">
      <c r="D650" s="136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61"/>
      <c r="V650" s="61"/>
      <c r="W650" s="61"/>
    </row>
    <row r="651" spans="4:23" ht="12.75">
      <c r="D651" s="136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61"/>
      <c r="V651" s="61"/>
      <c r="W651" s="61"/>
    </row>
    <row r="652" spans="4:23" ht="12.75">
      <c r="D652" s="136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61"/>
      <c r="V652" s="61"/>
      <c r="W652" s="61"/>
    </row>
    <row r="653" spans="4:23" ht="12.75">
      <c r="D653" s="136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61"/>
      <c r="V653" s="61"/>
      <c r="W653" s="61"/>
    </row>
    <row r="654" spans="4:23" ht="12.75">
      <c r="D654" s="136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61"/>
      <c r="V654" s="61"/>
      <c r="W654" s="61"/>
    </row>
    <row r="655" spans="4:23" ht="12.75">
      <c r="D655" s="136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61"/>
      <c r="V655" s="61"/>
      <c r="W655" s="61"/>
    </row>
    <row r="656" spans="4:23" ht="12.75">
      <c r="D656" s="136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61"/>
      <c r="V656" s="61"/>
      <c r="W656" s="61"/>
    </row>
    <row r="657" spans="4:23" ht="12.75">
      <c r="D657" s="136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61"/>
      <c r="V657" s="61"/>
      <c r="W657" s="61"/>
    </row>
    <row r="658" spans="4:23" ht="12.75">
      <c r="D658" s="136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61"/>
      <c r="V658" s="61"/>
      <c r="W658" s="61"/>
    </row>
    <row r="659" spans="4:23" ht="12.75">
      <c r="D659" s="136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61"/>
      <c r="V659" s="61"/>
      <c r="W659" s="61"/>
    </row>
    <row r="660" spans="4:23" ht="12.75">
      <c r="D660" s="136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61"/>
      <c r="V660" s="61"/>
      <c r="W660" s="61"/>
    </row>
    <row r="661" spans="4:23" ht="12.75">
      <c r="D661" s="136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61"/>
      <c r="V661" s="61"/>
      <c r="W661" s="61"/>
    </row>
    <row r="662" spans="4:23" ht="12.75">
      <c r="D662" s="136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61"/>
      <c r="V662" s="61"/>
      <c r="W662" s="61"/>
    </row>
    <row r="663" spans="4:23" ht="12.75">
      <c r="D663" s="136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61"/>
      <c r="V663" s="61"/>
      <c r="W663" s="61"/>
    </row>
    <row r="664" spans="4:23" ht="12.75">
      <c r="D664" s="136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61"/>
      <c r="V664" s="61"/>
      <c r="W664" s="61"/>
    </row>
    <row r="665" spans="4:23" ht="12.75">
      <c r="D665" s="136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61"/>
      <c r="V665" s="61"/>
      <c r="W665" s="61"/>
    </row>
    <row r="666" spans="4:23" ht="12.75">
      <c r="D666" s="136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61"/>
      <c r="V666" s="61"/>
      <c r="W666" s="61"/>
    </row>
    <row r="667" spans="4:23" ht="12.75">
      <c r="D667" s="136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61"/>
      <c r="V667" s="61"/>
      <c r="W667" s="61"/>
    </row>
    <row r="668" spans="4:23" ht="12.75">
      <c r="D668" s="136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61"/>
      <c r="V668" s="61"/>
      <c r="W668" s="61"/>
    </row>
    <row r="669" spans="4:23" ht="12.75">
      <c r="D669" s="136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61"/>
      <c r="V669" s="61"/>
      <c r="W669" s="61"/>
    </row>
    <row r="670" spans="4:23" ht="12.75">
      <c r="D670" s="136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61"/>
      <c r="V670" s="61"/>
      <c r="W670" s="61"/>
    </row>
    <row r="671" spans="4:23" ht="12.75">
      <c r="D671" s="136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61"/>
      <c r="V671" s="61"/>
      <c r="W671" s="61"/>
    </row>
    <row r="672" spans="4:23" ht="12.75">
      <c r="D672" s="136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61"/>
      <c r="V672" s="61"/>
      <c r="W672" s="61"/>
    </row>
    <row r="673" spans="4:23" ht="12.75">
      <c r="D673" s="136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61"/>
      <c r="V673" s="61"/>
      <c r="W673" s="61"/>
    </row>
    <row r="674" spans="4:23" ht="12.75">
      <c r="D674" s="136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61"/>
      <c r="V674" s="61"/>
      <c r="W674" s="61"/>
    </row>
    <row r="675" spans="4:23" ht="12.75">
      <c r="D675" s="136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61"/>
      <c r="V675" s="61"/>
      <c r="W675" s="61"/>
    </row>
    <row r="676" spans="4:23" ht="12.75">
      <c r="D676" s="136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61"/>
      <c r="V676" s="61"/>
      <c r="W676" s="61"/>
    </row>
    <row r="677" spans="4:23" ht="12.75">
      <c r="D677" s="136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61"/>
      <c r="V677" s="61"/>
      <c r="W677" s="61"/>
    </row>
    <row r="678" spans="4:23" ht="12.75">
      <c r="D678" s="136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61"/>
      <c r="V678" s="61"/>
      <c r="W678" s="61"/>
    </row>
    <row r="679" spans="4:23" ht="12.75">
      <c r="D679" s="136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61"/>
      <c r="V679" s="61"/>
      <c r="W679" s="61"/>
    </row>
    <row r="680" spans="4:23" ht="12.75">
      <c r="D680" s="136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61"/>
      <c r="V680" s="61"/>
      <c r="W680" s="61"/>
    </row>
    <row r="681" spans="4:23" ht="12.75">
      <c r="D681" s="136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61"/>
      <c r="V681" s="61"/>
      <c r="W681" s="61"/>
    </row>
    <row r="682" spans="4:23" ht="12.75">
      <c r="D682" s="136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61"/>
      <c r="V682" s="61"/>
      <c r="W682" s="61"/>
    </row>
    <row r="683" spans="4:23" ht="12.75">
      <c r="D683" s="136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61"/>
      <c r="V683" s="61"/>
      <c r="W683" s="61"/>
    </row>
    <row r="684" spans="4:23" ht="12.75">
      <c r="D684" s="136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61"/>
      <c r="V684" s="61"/>
      <c r="W684" s="61"/>
    </row>
    <row r="685" spans="4:23" ht="12.75">
      <c r="D685" s="136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61"/>
      <c r="V685" s="61"/>
      <c r="W685" s="61"/>
    </row>
    <row r="686" spans="4:23" ht="12.75">
      <c r="D686" s="136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61"/>
      <c r="V686" s="61"/>
      <c r="W686" s="61"/>
    </row>
    <row r="687" spans="4:23" ht="12.75">
      <c r="D687" s="136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61"/>
      <c r="V687" s="61"/>
      <c r="W687" s="61"/>
    </row>
    <row r="688" spans="4:23" ht="12.75">
      <c r="D688" s="136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61"/>
      <c r="V688" s="61"/>
      <c r="W688" s="61"/>
    </row>
    <row r="689" spans="4:23" ht="12.75">
      <c r="D689" s="136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61"/>
      <c r="V689" s="61"/>
      <c r="W689" s="61"/>
    </row>
    <row r="690" spans="4:23" ht="12.75">
      <c r="D690" s="136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61"/>
      <c r="V690" s="61"/>
      <c r="W690" s="61"/>
    </row>
    <row r="691" spans="4:23" ht="12.75">
      <c r="D691" s="136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61"/>
      <c r="V691" s="61"/>
      <c r="W691" s="61"/>
    </row>
    <row r="692" spans="4:23" ht="12.75">
      <c r="D692" s="136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61"/>
      <c r="V692" s="61"/>
      <c r="W692" s="61"/>
    </row>
    <row r="693" spans="4:23" ht="12.75">
      <c r="D693" s="136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61"/>
      <c r="V693" s="61"/>
      <c r="W693" s="61"/>
    </row>
    <row r="694" spans="4:23" ht="12.75">
      <c r="D694" s="136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61"/>
      <c r="V694" s="61"/>
      <c r="W694" s="61"/>
    </row>
    <row r="695" spans="4:23" ht="12.75">
      <c r="D695" s="136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61"/>
      <c r="V695" s="61"/>
      <c r="W695" s="61"/>
    </row>
    <row r="696" spans="4:23" ht="12.75">
      <c r="D696" s="136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61"/>
      <c r="V696" s="61"/>
      <c r="W696" s="61"/>
    </row>
    <row r="697" spans="4:23" ht="12.75">
      <c r="D697" s="136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61"/>
      <c r="V697" s="61"/>
      <c r="W697" s="61"/>
    </row>
    <row r="698" spans="4:23" ht="12.75">
      <c r="D698" s="136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61"/>
      <c r="V698" s="61"/>
      <c r="W698" s="61"/>
    </row>
    <row r="699" spans="4:23" ht="12.75">
      <c r="D699" s="136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61"/>
      <c r="V699" s="61"/>
      <c r="W699" s="61"/>
    </row>
    <row r="700" spans="4:23" ht="12.75">
      <c r="D700" s="136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61"/>
      <c r="V700" s="61"/>
      <c r="W700" s="61"/>
    </row>
    <row r="701" spans="4:23" ht="12.75">
      <c r="D701" s="136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61"/>
      <c r="V701" s="61"/>
      <c r="W701" s="61"/>
    </row>
    <row r="702" spans="4:23" ht="12.75">
      <c r="D702" s="136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61"/>
      <c r="V702" s="61"/>
      <c r="W702" s="61"/>
    </row>
    <row r="703" spans="4:23" ht="12.75">
      <c r="D703" s="136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61"/>
      <c r="V703" s="61"/>
      <c r="W703" s="61"/>
    </row>
    <row r="704" spans="4:23" ht="12.75">
      <c r="D704" s="136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61"/>
      <c r="V704" s="61"/>
      <c r="W704" s="61"/>
    </row>
    <row r="705" spans="4:23" ht="12.75">
      <c r="D705" s="136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61"/>
      <c r="V705" s="61"/>
      <c r="W705" s="61"/>
    </row>
    <row r="706" spans="4:23" ht="12.75">
      <c r="D706" s="136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61"/>
      <c r="V706" s="61"/>
      <c r="W706" s="61"/>
    </row>
    <row r="707" spans="4:23" ht="12.75">
      <c r="D707" s="136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61"/>
      <c r="V707" s="61"/>
      <c r="W707" s="61"/>
    </row>
    <row r="708" spans="4:23" ht="12.75">
      <c r="D708" s="136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61"/>
      <c r="V708" s="61"/>
      <c r="W708" s="61"/>
    </row>
    <row r="709" spans="4:23" ht="12.75">
      <c r="D709" s="136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61"/>
      <c r="V709" s="61"/>
      <c r="W709" s="61"/>
    </row>
    <row r="710" spans="4:23" ht="12.75">
      <c r="D710" s="136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61"/>
      <c r="V710" s="61"/>
      <c r="W710" s="61"/>
    </row>
    <row r="711" spans="4:23" ht="12.75">
      <c r="D711" s="136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61"/>
      <c r="V711" s="61"/>
      <c r="W711" s="61"/>
    </row>
    <row r="712" spans="4:23" ht="12.75">
      <c r="D712" s="136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61"/>
      <c r="V712" s="61"/>
      <c r="W712" s="61"/>
    </row>
    <row r="713" spans="4:23" ht="12.75">
      <c r="D713" s="136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61"/>
      <c r="V713" s="61"/>
      <c r="W713" s="61"/>
    </row>
    <row r="714" spans="4:23" ht="12.75">
      <c r="D714" s="136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61"/>
      <c r="V714" s="61"/>
      <c r="W714" s="61"/>
    </row>
    <row r="715" spans="4:23" ht="12.75">
      <c r="D715" s="136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61"/>
      <c r="V715" s="61"/>
      <c r="W715" s="61"/>
    </row>
    <row r="716" spans="4:23" ht="12.75">
      <c r="D716" s="136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61"/>
      <c r="V716" s="61"/>
      <c r="W716" s="61"/>
    </row>
    <row r="717" spans="4:23" ht="12.75">
      <c r="D717" s="136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61"/>
      <c r="V717" s="61"/>
      <c r="W717" s="61"/>
    </row>
    <row r="718" spans="4:23" ht="12.75">
      <c r="D718" s="136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61"/>
      <c r="V718" s="61"/>
      <c r="W718" s="61"/>
    </row>
    <row r="719" spans="4:23" ht="12.75">
      <c r="D719" s="136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61"/>
      <c r="V719" s="61"/>
      <c r="W719" s="61"/>
    </row>
    <row r="720" spans="4:23" ht="12.75">
      <c r="D720" s="136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61"/>
      <c r="V720" s="61"/>
      <c r="W720" s="61"/>
    </row>
    <row r="721" spans="4:23" ht="12.75">
      <c r="D721" s="136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61"/>
      <c r="V721" s="61"/>
      <c r="W721" s="61"/>
    </row>
    <row r="722" spans="4:23" ht="12.75">
      <c r="D722" s="136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61"/>
      <c r="V722" s="61"/>
      <c r="W722" s="61"/>
    </row>
    <row r="723" spans="4:23" ht="12.75">
      <c r="D723" s="136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61"/>
      <c r="V723" s="61"/>
      <c r="W723" s="61"/>
    </row>
    <row r="724" spans="4:23" ht="12.75">
      <c r="D724" s="136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61"/>
      <c r="V724" s="61"/>
      <c r="W724" s="61"/>
    </row>
    <row r="725" spans="4:23" ht="12.75">
      <c r="D725" s="136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61"/>
      <c r="V725" s="61"/>
      <c r="W725" s="61"/>
    </row>
    <row r="726" spans="4:23" ht="12.75">
      <c r="D726" s="136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61"/>
      <c r="V726" s="61"/>
      <c r="W726" s="61"/>
    </row>
    <row r="727" spans="4:23" ht="12.75">
      <c r="D727" s="136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61"/>
      <c r="V727" s="61"/>
      <c r="W727" s="61"/>
    </row>
    <row r="728" spans="4:23" ht="12.75">
      <c r="D728" s="136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61"/>
      <c r="V728" s="61"/>
      <c r="W728" s="61"/>
    </row>
    <row r="729" spans="4:23" ht="12.75">
      <c r="D729" s="136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61"/>
      <c r="V729" s="61"/>
      <c r="W729" s="61"/>
    </row>
    <row r="730" spans="4:23" ht="12.75">
      <c r="D730" s="136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61"/>
      <c r="V730" s="61"/>
      <c r="W730" s="61"/>
    </row>
    <row r="731" spans="4:23" ht="12.75">
      <c r="D731" s="136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61"/>
      <c r="V731" s="61"/>
      <c r="W731" s="61"/>
    </row>
    <row r="732" spans="4:23" ht="12.75">
      <c r="D732" s="136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61"/>
      <c r="V732" s="61"/>
      <c r="W732" s="61"/>
    </row>
    <row r="733" spans="4:23" ht="12.75">
      <c r="D733" s="136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61"/>
      <c r="V733" s="61"/>
      <c r="W733" s="61"/>
    </row>
    <row r="734" spans="4:23" ht="12.75">
      <c r="D734" s="136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61"/>
      <c r="V734" s="61"/>
      <c r="W734" s="61"/>
    </row>
    <row r="735" spans="4:23" ht="12.75">
      <c r="D735" s="136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61"/>
      <c r="V735" s="61"/>
      <c r="W735" s="61"/>
    </row>
    <row r="736" spans="4:23" ht="12.75">
      <c r="D736" s="136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61"/>
      <c r="V736" s="61"/>
      <c r="W736" s="61"/>
    </row>
    <row r="737" spans="4:23" ht="12.75">
      <c r="D737" s="136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61"/>
      <c r="V737" s="61"/>
      <c r="W737" s="61"/>
    </row>
    <row r="738" spans="4:23" ht="12.75">
      <c r="D738" s="136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61"/>
      <c r="V738" s="61"/>
      <c r="W738" s="61"/>
    </row>
    <row r="739" spans="4:23" ht="12.75">
      <c r="D739" s="136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61"/>
      <c r="V739" s="61"/>
      <c r="W739" s="61"/>
    </row>
    <row r="740" spans="4:23" ht="12.75">
      <c r="D740" s="136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61"/>
      <c r="V740" s="61"/>
      <c r="W740" s="61"/>
    </row>
    <row r="741" spans="4:23" ht="12.75">
      <c r="D741" s="136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61"/>
      <c r="V741" s="61"/>
      <c r="W741" s="61"/>
    </row>
    <row r="742" spans="4:23" ht="12.75">
      <c r="D742" s="136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61"/>
      <c r="V742" s="61"/>
      <c r="W742" s="61"/>
    </row>
    <row r="743" spans="4:23" ht="12.75">
      <c r="D743" s="136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61"/>
      <c r="V743" s="61"/>
      <c r="W743" s="61"/>
    </row>
    <row r="744" spans="4:23" ht="12.75">
      <c r="D744" s="136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61"/>
      <c r="V744" s="61"/>
      <c r="W744" s="61"/>
    </row>
    <row r="745" spans="4:23" ht="12.75">
      <c r="D745" s="136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61"/>
      <c r="V745" s="61"/>
      <c r="W745" s="61"/>
    </row>
    <row r="746" spans="4:23" ht="12.75">
      <c r="D746" s="136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61"/>
      <c r="V746" s="61"/>
      <c r="W746" s="61"/>
    </row>
    <row r="747" spans="4:23" ht="12.75">
      <c r="D747" s="136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61"/>
      <c r="V747" s="61"/>
      <c r="W747" s="61"/>
    </row>
    <row r="748" spans="4:23" ht="12.75">
      <c r="D748" s="136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61"/>
      <c r="V748" s="61"/>
      <c r="W748" s="61"/>
    </row>
    <row r="749" spans="4:23" ht="12.75">
      <c r="D749" s="136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61"/>
      <c r="V749" s="61"/>
      <c r="W749" s="61"/>
    </row>
    <row r="750" spans="4:23" ht="12.75">
      <c r="D750" s="136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61"/>
      <c r="V750" s="61"/>
      <c r="W750" s="61"/>
    </row>
    <row r="751" spans="4:23" ht="12.75">
      <c r="D751" s="136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61"/>
      <c r="V751" s="61"/>
      <c r="W751" s="61"/>
    </row>
    <row r="752" spans="4:23" ht="12.75">
      <c r="D752" s="136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61"/>
      <c r="V752" s="61"/>
      <c r="W752" s="61"/>
    </row>
    <row r="753" spans="4:23" ht="12.75">
      <c r="D753" s="136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61"/>
      <c r="V753" s="61"/>
      <c r="W753" s="61"/>
    </row>
    <row r="754" spans="4:23" ht="12.75">
      <c r="D754" s="136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61"/>
      <c r="V754" s="61"/>
      <c r="W754" s="61"/>
    </row>
    <row r="755" spans="4:23" ht="12.75">
      <c r="D755" s="136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61"/>
      <c r="V755" s="61"/>
      <c r="W755" s="61"/>
    </row>
    <row r="756" spans="4:23" ht="12.75">
      <c r="D756" s="136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61"/>
      <c r="V756" s="61"/>
      <c r="W756" s="61"/>
    </row>
    <row r="757" spans="4:23" ht="12.75">
      <c r="D757" s="136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61"/>
      <c r="V757" s="61"/>
      <c r="W757" s="61"/>
    </row>
    <row r="758" spans="4:23" ht="12.75">
      <c r="D758" s="136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61"/>
      <c r="V758" s="61"/>
      <c r="W758" s="61"/>
    </row>
    <row r="759" spans="4:23" ht="12.75">
      <c r="D759" s="136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61"/>
      <c r="V759" s="61"/>
      <c r="W759" s="61"/>
    </row>
    <row r="760" spans="4:23" ht="12.75">
      <c r="D760" s="136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61"/>
      <c r="V760" s="61"/>
      <c r="W760" s="61"/>
    </row>
    <row r="761" spans="4:23" ht="12.75">
      <c r="D761" s="136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61"/>
      <c r="V761" s="61"/>
      <c r="W761" s="61"/>
    </row>
    <row r="762" spans="4:23" ht="12.75">
      <c r="D762" s="136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61"/>
      <c r="V762" s="61"/>
      <c r="W762" s="61"/>
    </row>
    <row r="763" spans="4:23" ht="12.75">
      <c r="D763" s="136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61"/>
      <c r="V763" s="61"/>
      <c r="W763" s="61"/>
    </row>
    <row r="764" spans="4:23" ht="12.75">
      <c r="D764" s="136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61"/>
      <c r="V764" s="61"/>
      <c r="W764" s="61"/>
    </row>
    <row r="765" spans="4:23" ht="12.75">
      <c r="D765" s="136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61"/>
      <c r="V765" s="61"/>
      <c r="W765" s="61"/>
    </row>
    <row r="766" spans="4:23" ht="12.75">
      <c r="D766" s="136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61"/>
      <c r="V766" s="61"/>
      <c r="W766" s="61"/>
    </row>
    <row r="767" spans="4:23" ht="12.75">
      <c r="D767" s="136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61"/>
      <c r="V767" s="61"/>
      <c r="W767" s="61"/>
    </row>
    <row r="768" spans="4:23" ht="12.75">
      <c r="D768" s="136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61"/>
      <c r="V768" s="61"/>
      <c r="W768" s="61"/>
    </row>
    <row r="769" spans="4:23" ht="12.75">
      <c r="D769" s="136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61"/>
      <c r="V769" s="61"/>
      <c r="W769" s="61"/>
    </row>
    <row r="770" spans="4:23" ht="12.75">
      <c r="D770" s="136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61"/>
      <c r="V770" s="61"/>
      <c r="W770" s="61"/>
    </row>
    <row r="771" spans="4:23" ht="12.75">
      <c r="D771" s="136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61"/>
      <c r="V771" s="61"/>
      <c r="W771" s="61"/>
    </row>
    <row r="772" spans="4:23" ht="12.75">
      <c r="D772" s="136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61"/>
      <c r="V772" s="61"/>
      <c r="W772" s="61"/>
    </row>
    <row r="773" spans="4:23" ht="12.75">
      <c r="D773" s="136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61"/>
      <c r="V773" s="61"/>
      <c r="W773" s="61"/>
    </row>
    <row r="774" spans="4:23" ht="12.75">
      <c r="D774" s="136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61"/>
      <c r="V774" s="61"/>
      <c r="W774" s="61"/>
    </row>
    <row r="775" spans="4:23" ht="12.75">
      <c r="D775" s="136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61"/>
      <c r="V775" s="61"/>
      <c r="W775" s="61"/>
    </row>
    <row r="776" spans="4:23" ht="12.75">
      <c r="D776" s="136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61"/>
      <c r="V776" s="61"/>
      <c r="W776" s="61"/>
    </row>
    <row r="777" spans="4:23" ht="12.75">
      <c r="D777" s="136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61"/>
      <c r="V777" s="61"/>
      <c r="W777" s="61"/>
    </row>
    <row r="778" spans="4:23" ht="12.75">
      <c r="D778" s="136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61"/>
      <c r="V778" s="61"/>
      <c r="W778" s="61"/>
    </row>
    <row r="779" spans="4:23" ht="12.75">
      <c r="D779" s="136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61"/>
      <c r="V779" s="61"/>
      <c r="W779" s="61"/>
    </row>
    <row r="780" spans="4:23" ht="12.75">
      <c r="D780" s="136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61"/>
      <c r="V780" s="61"/>
      <c r="W780" s="61"/>
    </row>
    <row r="781" spans="4:23" ht="12.75">
      <c r="D781" s="136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61"/>
      <c r="V781" s="61"/>
      <c r="W781" s="61"/>
    </row>
    <row r="782" spans="4:23" ht="12.75">
      <c r="D782" s="136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61"/>
      <c r="V782" s="61"/>
      <c r="W782" s="61"/>
    </row>
    <row r="783" spans="4:23" ht="12.75">
      <c r="D783" s="136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61"/>
      <c r="V783" s="61"/>
      <c r="W783" s="61"/>
    </row>
    <row r="784" spans="4:23" ht="12.75">
      <c r="D784" s="136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61"/>
      <c r="V784" s="61"/>
      <c r="W784" s="61"/>
    </row>
    <row r="785" spans="4:23" ht="12.75">
      <c r="D785" s="136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61"/>
      <c r="V785" s="61"/>
      <c r="W785" s="61"/>
    </row>
    <row r="786" spans="4:23" ht="12.75">
      <c r="D786" s="136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61"/>
      <c r="V786" s="61"/>
      <c r="W786" s="61"/>
    </row>
    <row r="787" spans="4:23" ht="12.75">
      <c r="D787" s="136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61"/>
      <c r="V787" s="61"/>
      <c r="W787" s="61"/>
    </row>
    <row r="788" spans="4:23" ht="12.75">
      <c r="D788" s="136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61"/>
      <c r="V788" s="61"/>
      <c r="W788" s="61"/>
    </row>
    <row r="789" spans="4:23" ht="12.75">
      <c r="D789" s="136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61"/>
      <c r="V789" s="61"/>
      <c r="W789" s="61"/>
    </row>
    <row r="790" spans="4:23" ht="12.75">
      <c r="D790" s="136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61"/>
      <c r="V790" s="61"/>
      <c r="W790" s="61"/>
    </row>
    <row r="791" spans="4:23" ht="12.75">
      <c r="D791" s="136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61"/>
      <c r="V791" s="61"/>
      <c r="W791" s="61"/>
    </row>
    <row r="792" spans="4:23" ht="12.75">
      <c r="D792" s="136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61"/>
      <c r="V792" s="61"/>
      <c r="W792" s="61"/>
    </row>
    <row r="793" spans="4:23" ht="12.75">
      <c r="D793" s="136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61"/>
      <c r="V793" s="61"/>
      <c r="W793" s="61"/>
    </row>
    <row r="794" spans="4:23" ht="12.75">
      <c r="D794" s="136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61"/>
      <c r="V794" s="61"/>
      <c r="W794" s="61"/>
    </row>
    <row r="795" spans="4:23" ht="12.75">
      <c r="D795" s="136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61"/>
      <c r="V795" s="61"/>
      <c r="W795" s="61"/>
    </row>
    <row r="796" spans="4:23" ht="12.75">
      <c r="D796" s="136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61"/>
      <c r="V796" s="61"/>
      <c r="W796" s="61"/>
    </row>
    <row r="797" spans="4:23" ht="12.75">
      <c r="D797" s="136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61"/>
      <c r="V797" s="61"/>
      <c r="W797" s="61"/>
    </row>
    <row r="798" spans="4:23" ht="12.75">
      <c r="D798" s="136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61"/>
      <c r="V798" s="61"/>
      <c r="W798" s="61"/>
    </row>
    <row r="799" spans="4:23" ht="12.75">
      <c r="D799" s="136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61"/>
      <c r="V799" s="61"/>
      <c r="W799" s="61"/>
    </row>
    <row r="800" spans="4:23" ht="12.75">
      <c r="D800" s="136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61"/>
      <c r="V800" s="61"/>
      <c r="W800" s="61"/>
    </row>
    <row r="801" spans="4:23" ht="12.75">
      <c r="D801" s="136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61"/>
      <c r="V801" s="61"/>
      <c r="W801" s="61"/>
    </row>
    <row r="802" spans="4:23" ht="12.75">
      <c r="D802" s="136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61"/>
      <c r="V802" s="61"/>
      <c r="W802" s="61"/>
    </row>
    <row r="803" spans="4:23" ht="12.75">
      <c r="D803" s="136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61"/>
      <c r="V803" s="61"/>
      <c r="W803" s="61"/>
    </row>
    <row r="804" spans="4:23" ht="12.75">
      <c r="D804" s="136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61"/>
      <c r="V804" s="61"/>
      <c r="W804" s="61"/>
    </row>
    <row r="805" spans="4:23" ht="12.75">
      <c r="D805" s="136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61"/>
      <c r="V805" s="61"/>
      <c r="W805" s="61"/>
    </row>
    <row r="806" spans="4:23" ht="12.75">
      <c r="D806" s="136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61"/>
      <c r="V806" s="61"/>
      <c r="W806" s="61"/>
    </row>
    <row r="807" spans="4:23" ht="12.75">
      <c r="D807" s="136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61"/>
      <c r="V807" s="61"/>
      <c r="W807" s="61"/>
    </row>
    <row r="808" spans="4:23" ht="12.75">
      <c r="D808" s="136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61"/>
      <c r="V808" s="61"/>
      <c r="W808" s="61"/>
    </row>
    <row r="809" spans="4:23" ht="12.75">
      <c r="D809" s="136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61"/>
      <c r="V809" s="61"/>
      <c r="W809" s="61"/>
    </row>
    <row r="810" spans="4:23" ht="12.75">
      <c r="D810" s="136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61"/>
      <c r="V810" s="61"/>
      <c r="W810" s="61"/>
    </row>
    <row r="811" spans="4:23" ht="12.75">
      <c r="D811" s="136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61"/>
      <c r="V811" s="61"/>
      <c r="W811" s="61"/>
    </row>
    <row r="812" spans="4:23" ht="12.75">
      <c r="D812" s="136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61"/>
      <c r="V812" s="61"/>
      <c r="W812" s="61"/>
    </row>
    <row r="813" spans="4:23" ht="12.75">
      <c r="D813" s="136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61"/>
      <c r="V813" s="61"/>
      <c r="W813" s="61"/>
    </row>
    <row r="814" spans="4:23" ht="12.75">
      <c r="D814" s="136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61"/>
      <c r="V814" s="61"/>
      <c r="W814" s="61"/>
    </row>
    <row r="815" spans="4:23" ht="12.75">
      <c r="D815" s="136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61"/>
      <c r="V815" s="61"/>
      <c r="W815" s="61"/>
    </row>
    <row r="816" spans="4:23" ht="12.75">
      <c r="D816" s="136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61"/>
      <c r="V816" s="61"/>
      <c r="W816" s="61"/>
    </row>
    <row r="817" spans="4:23" ht="12.75">
      <c r="D817" s="136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61"/>
      <c r="V817" s="61"/>
      <c r="W817" s="61"/>
    </row>
    <row r="818" spans="4:23" ht="12.75">
      <c r="D818" s="136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61"/>
      <c r="V818" s="61"/>
      <c r="W818" s="61"/>
    </row>
    <row r="819" spans="4:23" ht="12.75">
      <c r="D819" s="136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61"/>
      <c r="V819" s="61"/>
      <c r="W819" s="61"/>
    </row>
    <row r="820" spans="4:23" ht="12.75">
      <c r="D820" s="136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61"/>
      <c r="V820" s="61"/>
      <c r="W820" s="61"/>
    </row>
    <row r="821" spans="4:23" ht="12.75">
      <c r="D821" s="136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61"/>
      <c r="V821" s="61"/>
      <c r="W821" s="61"/>
    </row>
    <row r="822" spans="4:23" ht="12.75">
      <c r="D822" s="136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61"/>
      <c r="V822" s="61"/>
      <c r="W822" s="61"/>
    </row>
    <row r="823" spans="4:23" ht="12.75">
      <c r="D823" s="136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61"/>
      <c r="V823" s="61"/>
      <c r="W823" s="61"/>
    </row>
    <row r="824" spans="4:23" ht="12.75">
      <c r="D824" s="136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61"/>
      <c r="V824" s="61"/>
      <c r="W824" s="61"/>
    </row>
    <row r="825" spans="4:23" ht="12.75">
      <c r="D825" s="136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61"/>
      <c r="V825" s="61"/>
      <c r="W825" s="61"/>
    </row>
    <row r="826" spans="4:23" ht="12.75">
      <c r="D826" s="136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61"/>
      <c r="V826" s="61"/>
      <c r="W826" s="61"/>
    </row>
    <row r="827" spans="4:23" ht="12.75">
      <c r="D827" s="136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61"/>
      <c r="V827" s="61"/>
      <c r="W827" s="61"/>
    </row>
    <row r="828" spans="4:23" ht="12.75">
      <c r="D828" s="136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61"/>
      <c r="V828" s="61"/>
      <c r="W828" s="61"/>
    </row>
    <row r="829" spans="4:23" ht="12.75">
      <c r="D829" s="136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61"/>
      <c r="V829" s="61"/>
      <c r="W829" s="61"/>
    </row>
    <row r="830" spans="4:23" ht="12.75">
      <c r="D830" s="136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61"/>
      <c r="V830" s="61"/>
      <c r="W830" s="61"/>
    </row>
    <row r="831" spans="4:23" ht="12.75">
      <c r="D831" s="136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61"/>
      <c r="V831" s="61"/>
      <c r="W831" s="61"/>
    </row>
    <row r="832" spans="4:23" ht="12.75">
      <c r="D832" s="136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61"/>
      <c r="V832" s="61"/>
      <c r="W832" s="61"/>
    </row>
    <row r="833" spans="4:23" ht="12.75">
      <c r="D833" s="136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61"/>
      <c r="V833" s="61"/>
      <c r="W833" s="61"/>
    </row>
    <row r="834" spans="4:23" ht="12.75">
      <c r="D834" s="136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61"/>
      <c r="V834" s="61"/>
      <c r="W834" s="61"/>
    </row>
    <row r="835" spans="4:23" ht="12.75">
      <c r="D835" s="136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61"/>
      <c r="V835" s="61"/>
      <c r="W835" s="61"/>
    </row>
    <row r="836" spans="4:23" ht="12.75">
      <c r="D836" s="136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61"/>
      <c r="V836" s="61"/>
      <c r="W836" s="61"/>
    </row>
    <row r="837" spans="4:23" ht="12.75">
      <c r="D837" s="136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61"/>
      <c r="V837" s="61"/>
      <c r="W837" s="61"/>
    </row>
    <row r="838" spans="4:23" ht="12.75">
      <c r="D838" s="136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61"/>
      <c r="V838" s="61"/>
      <c r="W838" s="61"/>
    </row>
    <row r="839" spans="4:23" ht="12.75">
      <c r="D839" s="136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61"/>
      <c r="V839" s="61"/>
      <c r="W839" s="61"/>
    </row>
    <row r="840" spans="4:23" ht="12.75">
      <c r="D840" s="136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61"/>
      <c r="V840" s="61"/>
      <c r="W840" s="61"/>
    </row>
    <row r="841" spans="4:23" ht="12.75">
      <c r="D841" s="136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61"/>
      <c r="V841" s="61"/>
      <c r="W841" s="61"/>
    </row>
    <row r="842" spans="4:23" ht="12.75">
      <c r="D842" s="136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61"/>
      <c r="V842" s="61"/>
      <c r="W842" s="61"/>
    </row>
    <row r="843" spans="4:23" ht="12.75">
      <c r="D843" s="136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61"/>
      <c r="V843" s="61"/>
      <c r="W843" s="61"/>
    </row>
    <row r="844" spans="4:23" ht="12.75">
      <c r="D844" s="136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61"/>
      <c r="V844" s="61"/>
      <c r="W844" s="61"/>
    </row>
    <row r="845" spans="4:23" ht="12.75">
      <c r="D845" s="136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61"/>
      <c r="V845" s="61"/>
      <c r="W845" s="61"/>
    </row>
    <row r="846" spans="4:23" ht="12.75">
      <c r="D846" s="136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61"/>
      <c r="V846" s="61"/>
      <c r="W846" s="61"/>
    </row>
    <row r="847" spans="4:23" ht="12.75">
      <c r="D847" s="136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61"/>
      <c r="V847" s="61"/>
      <c r="W847" s="61"/>
    </row>
    <row r="848" spans="4:23" ht="12.75">
      <c r="D848" s="136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61"/>
      <c r="V848" s="61"/>
      <c r="W848" s="61"/>
    </row>
    <row r="849" spans="4:23" ht="12.75">
      <c r="D849" s="136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61"/>
      <c r="V849" s="61"/>
      <c r="W849" s="61"/>
    </row>
    <row r="850" spans="4:23" ht="12.75">
      <c r="D850" s="136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61"/>
      <c r="V850" s="61"/>
      <c r="W850" s="61"/>
    </row>
    <row r="851" spans="4:23" ht="12.75">
      <c r="D851" s="136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61"/>
      <c r="V851" s="61"/>
      <c r="W851" s="61"/>
    </row>
    <row r="852" spans="4:23" ht="12.75">
      <c r="D852" s="136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61"/>
      <c r="V852" s="61"/>
      <c r="W852" s="61"/>
    </row>
    <row r="853" spans="4:23" ht="12.75">
      <c r="D853" s="136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61"/>
      <c r="V853" s="61"/>
      <c r="W853" s="61"/>
    </row>
    <row r="854" spans="4:23" ht="12.75">
      <c r="D854" s="136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61"/>
      <c r="V854" s="61"/>
      <c r="W854" s="61"/>
    </row>
    <row r="855" spans="4:23" ht="12.75">
      <c r="D855" s="136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61"/>
      <c r="V855" s="61"/>
      <c r="W855" s="61"/>
    </row>
    <row r="856" spans="4:23" ht="12.75">
      <c r="D856" s="136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61"/>
      <c r="V856" s="61"/>
      <c r="W856" s="61"/>
    </row>
    <row r="857" spans="4:23" ht="12.75">
      <c r="D857" s="136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61"/>
      <c r="V857" s="61"/>
      <c r="W857" s="61"/>
    </row>
    <row r="858" spans="4:23" ht="12.75">
      <c r="D858" s="136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61"/>
      <c r="V858" s="61"/>
      <c r="W858" s="61"/>
    </row>
    <row r="859" spans="4:23" ht="12.75">
      <c r="D859" s="136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61"/>
      <c r="V859" s="61"/>
      <c r="W859" s="61"/>
    </row>
    <row r="860" spans="4:23" ht="12.75">
      <c r="D860" s="136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61"/>
      <c r="V860" s="61"/>
      <c r="W860" s="61"/>
    </row>
    <row r="861" spans="4:23" ht="12.75">
      <c r="D861" s="136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61"/>
      <c r="V861" s="61"/>
      <c r="W861" s="61"/>
    </row>
    <row r="862" spans="4:23" ht="12.75">
      <c r="D862" s="136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61"/>
      <c r="V862" s="61"/>
      <c r="W862" s="61"/>
    </row>
    <row r="863" spans="4:23" ht="12.75">
      <c r="D863" s="136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61"/>
      <c r="V863" s="61"/>
      <c r="W863" s="61"/>
    </row>
    <row r="864" spans="4:23" ht="12.75">
      <c r="D864" s="136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61"/>
      <c r="V864" s="61"/>
      <c r="W864" s="61"/>
    </row>
    <row r="865" spans="4:23" ht="12.75">
      <c r="D865" s="136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61"/>
      <c r="V865" s="61"/>
      <c r="W865" s="61"/>
    </row>
    <row r="866" spans="4:23" ht="12.75">
      <c r="D866" s="136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61"/>
      <c r="V866" s="61"/>
      <c r="W866" s="61"/>
    </row>
    <row r="867" spans="4:23" ht="12.75">
      <c r="D867" s="136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61"/>
      <c r="V867" s="61"/>
      <c r="W867" s="61"/>
    </row>
    <row r="868" spans="4:23" ht="12.75">
      <c r="D868" s="136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61"/>
      <c r="V868" s="61"/>
      <c r="W868" s="61"/>
    </row>
    <row r="869" spans="4:23" ht="12.75">
      <c r="D869" s="136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61"/>
      <c r="V869" s="61"/>
      <c r="W869" s="61"/>
    </row>
    <row r="870" spans="4:23" ht="12.75">
      <c r="D870" s="136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61"/>
      <c r="V870" s="61"/>
      <c r="W870" s="61"/>
    </row>
    <row r="871" spans="4:23" ht="12.75">
      <c r="D871" s="136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61"/>
      <c r="V871" s="61"/>
      <c r="W871" s="61"/>
    </row>
    <row r="872" spans="4:23" ht="12.75">
      <c r="D872" s="136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61"/>
      <c r="V872" s="61"/>
      <c r="W872" s="61"/>
    </row>
    <row r="873" spans="4:23" ht="12.75">
      <c r="D873" s="136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61"/>
      <c r="V873" s="61"/>
      <c r="W873" s="61"/>
    </row>
    <row r="874" spans="4:23" ht="12.75">
      <c r="D874" s="136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61"/>
      <c r="V874" s="61"/>
      <c r="W874" s="61"/>
    </row>
    <row r="875" spans="4:23" ht="12.75">
      <c r="D875" s="136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61"/>
      <c r="V875" s="61"/>
      <c r="W875" s="61"/>
    </row>
    <row r="876" spans="4:23" ht="12.75">
      <c r="D876" s="136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61"/>
      <c r="V876" s="61"/>
      <c r="W876" s="61"/>
    </row>
    <row r="877" spans="4:23" ht="12.75">
      <c r="D877" s="136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61"/>
      <c r="V877" s="61"/>
      <c r="W877" s="61"/>
    </row>
    <row r="878" spans="4:23" ht="12.75">
      <c r="D878" s="136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61"/>
      <c r="V878" s="61"/>
      <c r="W878" s="61"/>
    </row>
    <row r="879" spans="4:23" ht="12.75">
      <c r="D879" s="136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61"/>
      <c r="V879" s="61"/>
      <c r="W879" s="61"/>
    </row>
    <row r="880" spans="4:23" ht="12.75">
      <c r="D880" s="136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61"/>
      <c r="V880" s="61"/>
      <c r="W880" s="61"/>
    </row>
    <row r="881" spans="4:23" ht="12.75">
      <c r="D881" s="136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61"/>
      <c r="V881" s="61"/>
      <c r="W881" s="61"/>
    </row>
    <row r="882" spans="4:23" ht="12.75">
      <c r="D882" s="136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61"/>
      <c r="V882" s="61"/>
      <c r="W882" s="61"/>
    </row>
    <row r="883" spans="4:23" ht="12.75">
      <c r="D883" s="136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61"/>
      <c r="V883" s="61"/>
      <c r="W883" s="61"/>
    </row>
    <row r="884" spans="4:23" ht="12.75">
      <c r="D884" s="136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61"/>
      <c r="V884" s="61"/>
      <c r="W884" s="61"/>
    </row>
    <row r="885" spans="4:23" ht="12.75">
      <c r="D885" s="136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61"/>
      <c r="V885" s="61"/>
      <c r="W885" s="61"/>
    </row>
    <row r="886" spans="4:23" ht="12.75">
      <c r="D886" s="136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61"/>
      <c r="V886" s="61"/>
      <c r="W886" s="61"/>
    </row>
    <row r="887" spans="4:23" ht="12.75">
      <c r="D887" s="136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61"/>
      <c r="V887" s="61"/>
      <c r="W887" s="61"/>
    </row>
    <row r="888" spans="4:23" ht="12.75">
      <c r="D888" s="136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61"/>
      <c r="V888" s="61"/>
      <c r="W888" s="61"/>
    </row>
    <row r="889" spans="4:23" ht="12.75">
      <c r="D889" s="136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61"/>
      <c r="V889" s="61"/>
      <c r="W889" s="61"/>
    </row>
    <row r="890" spans="4:23" ht="12.75">
      <c r="D890" s="136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61"/>
      <c r="V890" s="61"/>
      <c r="W890" s="61"/>
    </row>
    <row r="891" spans="4:23" ht="12.75">
      <c r="D891" s="136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61"/>
      <c r="V891" s="61"/>
      <c r="W891" s="61"/>
    </row>
    <row r="892" spans="4:23" ht="12.75">
      <c r="D892" s="136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61"/>
      <c r="V892" s="61"/>
      <c r="W892" s="61"/>
    </row>
    <row r="893" spans="4:23" ht="12.75">
      <c r="D893" s="136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61"/>
      <c r="V893" s="61"/>
      <c r="W893" s="61"/>
    </row>
    <row r="894" spans="4:23" ht="12.75">
      <c r="D894" s="136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61"/>
      <c r="V894" s="61"/>
      <c r="W894" s="61"/>
    </row>
    <row r="895" spans="4:23" ht="12.75">
      <c r="D895" s="136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61"/>
      <c r="V895" s="61"/>
      <c r="W895" s="61"/>
    </row>
    <row r="896" spans="4:23" ht="12.75">
      <c r="D896" s="136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61"/>
      <c r="V896" s="61"/>
      <c r="W896" s="61"/>
    </row>
    <row r="897" spans="4:23" ht="12.75">
      <c r="D897" s="136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61"/>
      <c r="V897" s="61"/>
      <c r="W897" s="61"/>
    </row>
    <row r="898" spans="4:23" ht="12.75">
      <c r="D898" s="136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61"/>
      <c r="V898" s="61"/>
      <c r="W898" s="61"/>
    </row>
    <row r="899" spans="4:23" ht="12.75">
      <c r="D899" s="136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61"/>
      <c r="V899" s="61"/>
      <c r="W899" s="61"/>
    </row>
    <row r="900" spans="4:23" ht="12.75">
      <c r="D900" s="136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61"/>
      <c r="V900" s="61"/>
      <c r="W900" s="61"/>
    </row>
    <row r="901" spans="4:23" ht="12.75">
      <c r="D901" s="136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61"/>
      <c r="V901" s="61"/>
      <c r="W901" s="61"/>
    </row>
    <row r="902" spans="4:23" ht="12.75">
      <c r="D902" s="136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61"/>
      <c r="V902" s="61"/>
      <c r="W902" s="61"/>
    </row>
    <row r="903" spans="4:23" ht="12.75">
      <c r="D903" s="136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61"/>
      <c r="V903" s="61"/>
      <c r="W903" s="61"/>
    </row>
    <row r="904" spans="4:23" ht="12.75">
      <c r="D904" s="136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61"/>
      <c r="V904" s="61"/>
      <c r="W904" s="61"/>
    </row>
    <row r="905" spans="4:23" ht="12.75">
      <c r="D905" s="136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61"/>
      <c r="V905" s="61"/>
      <c r="W905" s="61"/>
    </row>
    <row r="906" spans="4:23" ht="12.75">
      <c r="D906" s="136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61"/>
      <c r="V906" s="61"/>
      <c r="W906" s="61"/>
    </row>
    <row r="907" spans="4:23" ht="12.75">
      <c r="D907" s="136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61"/>
      <c r="V907" s="61"/>
      <c r="W907" s="61"/>
    </row>
    <row r="908" spans="4:23" ht="12.75">
      <c r="D908" s="136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61"/>
      <c r="V908" s="61"/>
      <c r="W908" s="61"/>
    </row>
    <row r="909" spans="4:23" ht="12.75">
      <c r="D909" s="136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61"/>
      <c r="V909" s="61"/>
      <c r="W909" s="61"/>
    </row>
    <row r="910" spans="4:23" ht="12.75">
      <c r="D910" s="136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61"/>
      <c r="V910" s="61"/>
      <c r="W910" s="61"/>
    </row>
    <row r="911" spans="4:23" ht="12.75">
      <c r="D911" s="136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61"/>
      <c r="V911" s="61"/>
      <c r="W911" s="61"/>
    </row>
    <row r="912" spans="4:23" ht="12.75">
      <c r="D912" s="136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61"/>
      <c r="V912" s="61"/>
      <c r="W912" s="61"/>
    </row>
    <row r="913" spans="4:23" ht="12.75">
      <c r="D913" s="136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61"/>
      <c r="V913" s="61"/>
      <c r="W913" s="61"/>
    </row>
  </sheetData>
  <autoFilter ref="A6:T413"/>
  <customSheetViews>
    <customSheetView guid="{CDEB8851-9ACA-4F4F-A6C6-C0C729B8AD4C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1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L503"/>
  <sheetViews>
    <sheetView showGridLines="0" tabSelected="1" workbookViewId="0">
      <selection activeCell="A7" sqref="A7:XFD7"/>
    </sheetView>
  </sheetViews>
  <sheetFormatPr defaultColWidth="12.5703125" defaultRowHeight="15.75" customHeight="1"/>
  <cols>
    <col min="1" max="1" width="13.140625" customWidth="1"/>
    <col min="2" max="2" width="22.7109375" customWidth="1"/>
    <col min="3" max="3" width="71.140625" customWidth="1"/>
    <col min="4" max="4" width="17.140625" style="354" customWidth="1"/>
    <col min="5" max="5" width="5.140625" style="354" customWidth="1"/>
    <col min="6" max="6" width="6" style="354" customWidth="1"/>
    <col min="7" max="7" width="8.7109375" customWidth="1"/>
    <col min="8" max="9" width="12" customWidth="1"/>
    <col min="10" max="10" width="13.42578125" customWidth="1"/>
  </cols>
  <sheetData>
    <row r="1" spans="1:12" ht="24" customHeight="1">
      <c r="A1" s="365"/>
      <c r="B1" s="356"/>
      <c r="C1" s="356"/>
      <c r="D1" s="366" t="s">
        <v>80</v>
      </c>
      <c r="E1" s="367"/>
      <c r="F1" s="367"/>
      <c r="G1" s="367"/>
      <c r="H1" s="367"/>
      <c r="I1" s="367"/>
      <c r="J1" s="368"/>
    </row>
    <row r="2" spans="1:12" ht="24" customHeight="1">
      <c r="A2" s="356"/>
      <c r="B2" s="356"/>
      <c r="C2" s="356"/>
      <c r="D2" s="369"/>
      <c r="E2" s="370"/>
      <c r="F2" s="370"/>
      <c r="G2" s="370"/>
      <c r="H2" s="370"/>
      <c r="I2" s="370"/>
      <c r="J2" s="371"/>
    </row>
    <row r="3" spans="1:12" ht="24" customHeight="1">
      <c r="A3" s="356"/>
      <c r="B3" s="356"/>
      <c r="C3" s="356"/>
      <c r="D3" s="372" t="s">
        <v>72</v>
      </c>
      <c r="E3" s="373"/>
      <c r="F3" s="373"/>
      <c r="G3" s="374"/>
      <c r="H3" s="226">
        <f>SUBTOTAL(9,H6:H23)</f>
        <v>37801.399999999994</v>
      </c>
      <c r="I3" s="226">
        <f>SUBTOTAL(9,I6:I23)</f>
        <v>3859.2</v>
      </c>
      <c r="J3" s="226">
        <f>SUBTOTAL(9,J6:J23)</f>
        <v>41660.6</v>
      </c>
    </row>
    <row r="4" spans="1:12" ht="56.25" customHeight="1">
      <c r="A4" s="227" t="s">
        <v>5</v>
      </c>
      <c r="B4" s="227" t="s">
        <v>6</v>
      </c>
      <c r="C4" s="227" t="str">
        <f>"UNIDADES EXECUTORAS = " &amp; COUNTA(C6:C1410)</f>
        <v>UNIDADES EXECUTORAS = 2</v>
      </c>
      <c r="D4" s="227" t="s">
        <v>9</v>
      </c>
      <c r="E4" s="242" t="s">
        <v>1</v>
      </c>
      <c r="F4" s="242" t="s">
        <v>2</v>
      </c>
      <c r="G4" s="243" t="s">
        <v>3</v>
      </c>
      <c r="H4" s="244" t="s">
        <v>81</v>
      </c>
      <c r="I4" s="245" t="s">
        <v>67</v>
      </c>
      <c r="J4" s="246" t="s">
        <v>79</v>
      </c>
    </row>
    <row r="5" spans="1:12" ht="12" customHeight="1">
      <c r="A5" s="247"/>
      <c r="B5" s="248"/>
      <c r="C5" s="248"/>
      <c r="D5" s="248"/>
      <c r="E5" s="249"/>
      <c r="F5" s="249"/>
      <c r="G5" s="249"/>
      <c r="H5" s="248"/>
      <c r="I5" s="248"/>
      <c r="J5" s="250"/>
      <c r="K5" s="233"/>
      <c r="L5" s="233"/>
    </row>
    <row r="6" spans="1:12" ht="17.25" customHeight="1">
      <c r="A6" s="162" t="s">
        <v>45</v>
      </c>
      <c r="B6" s="162" t="s">
        <v>47</v>
      </c>
      <c r="C6" s="163" t="s">
        <v>49</v>
      </c>
      <c r="D6" s="178" t="s">
        <v>50</v>
      </c>
      <c r="E6" s="178" t="s">
        <v>37</v>
      </c>
      <c r="F6" s="178" t="s">
        <v>48</v>
      </c>
      <c r="G6" s="234" t="s">
        <v>51</v>
      </c>
      <c r="H6" s="165">
        <v>23857.599999999999</v>
      </c>
      <c r="I6" s="165">
        <v>2412</v>
      </c>
      <c r="J6" s="165">
        <v>26269.599999999999</v>
      </c>
    </row>
    <row r="7" spans="1:12" s="382" customFormat="1" ht="17.25" customHeight="1">
      <c r="A7" s="377" t="s">
        <v>45</v>
      </c>
      <c r="B7" s="377" t="s">
        <v>52</v>
      </c>
      <c r="C7" s="378" t="s">
        <v>53</v>
      </c>
      <c r="D7" s="379" t="s">
        <v>54</v>
      </c>
      <c r="E7" s="379" t="s">
        <v>37</v>
      </c>
      <c r="F7" s="379" t="s">
        <v>46</v>
      </c>
      <c r="G7" s="380" t="s">
        <v>55</v>
      </c>
      <c r="H7" s="381">
        <v>13943.8</v>
      </c>
      <c r="I7" s="381">
        <v>1447.1999999999998</v>
      </c>
      <c r="J7" s="381">
        <v>15391</v>
      </c>
    </row>
    <row r="8" spans="1:12" ht="12.75">
      <c r="D8" s="142"/>
      <c r="E8" s="142"/>
      <c r="F8" s="142"/>
      <c r="G8" s="61"/>
      <c r="H8" s="7"/>
      <c r="I8" s="7"/>
    </row>
    <row r="9" spans="1:12" ht="12.75">
      <c r="D9" s="142"/>
      <c r="E9" s="142"/>
      <c r="F9" s="142"/>
      <c r="G9" s="61"/>
      <c r="H9" s="7"/>
      <c r="I9" s="7"/>
    </row>
    <row r="10" spans="1:12" ht="12.75">
      <c r="D10" s="142"/>
      <c r="E10" s="142"/>
      <c r="F10" s="142"/>
      <c r="G10" s="61"/>
      <c r="H10" s="7"/>
      <c r="I10" s="7"/>
    </row>
    <row r="11" spans="1:12" ht="12.75">
      <c r="D11" s="142"/>
      <c r="E11" s="142"/>
      <c r="F11" s="142"/>
      <c r="G11" s="61"/>
      <c r="H11" s="7"/>
      <c r="I11" s="7"/>
    </row>
    <row r="12" spans="1:12" ht="12.75">
      <c r="D12" s="142"/>
      <c r="E12" s="142"/>
      <c r="F12" s="142"/>
      <c r="G12" s="61"/>
      <c r="H12" s="7"/>
      <c r="I12" s="7"/>
    </row>
    <row r="13" spans="1:12" ht="12.75">
      <c r="D13" s="142"/>
      <c r="E13" s="142"/>
      <c r="F13" s="142"/>
      <c r="G13" s="61"/>
      <c r="H13" s="7"/>
      <c r="I13" s="7"/>
    </row>
    <row r="14" spans="1:12" ht="12.75">
      <c r="D14" s="142"/>
      <c r="E14" s="142"/>
      <c r="F14" s="142"/>
      <c r="G14" s="61"/>
      <c r="H14" s="7"/>
      <c r="I14" s="7"/>
    </row>
    <row r="15" spans="1:12" ht="12.75">
      <c r="D15" s="142"/>
      <c r="E15" s="142"/>
      <c r="F15" s="142"/>
      <c r="G15" s="61"/>
      <c r="H15" s="7"/>
      <c r="I15" s="7"/>
    </row>
    <row r="16" spans="1:12" ht="12.75">
      <c r="D16" s="142"/>
      <c r="E16" s="142"/>
      <c r="F16" s="142"/>
      <c r="G16" s="61"/>
      <c r="H16" s="7"/>
      <c r="I16" s="7"/>
    </row>
    <row r="17" spans="4:9" ht="12.75">
      <c r="D17" s="142"/>
      <c r="E17" s="142"/>
      <c r="F17" s="142"/>
      <c r="G17" s="61"/>
      <c r="H17" s="7"/>
      <c r="I17" s="7"/>
    </row>
    <row r="18" spans="4:9" ht="12.75">
      <c r="D18" s="142"/>
      <c r="E18" s="142"/>
      <c r="F18" s="142"/>
      <c r="G18" s="61"/>
      <c r="H18" s="7"/>
      <c r="I18" s="7"/>
    </row>
    <row r="19" spans="4:9" ht="12.75">
      <c r="D19" s="142"/>
      <c r="E19" s="142"/>
      <c r="F19" s="142"/>
      <c r="G19" s="61"/>
      <c r="H19" s="7"/>
      <c r="I19" s="7"/>
    </row>
    <row r="20" spans="4:9" ht="12.75">
      <c r="D20" s="142"/>
      <c r="E20" s="142"/>
      <c r="F20" s="142"/>
      <c r="G20" s="61"/>
      <c r="H20" s="7"/>
      <c r="I20" s="7"/>
    </row>
    <row r="21" spans="4:9" ht="12.75">
      <c r="D21" s="142"/>
      <c r="E21" s="142"/>
      <c r="F21" s="142"/>
      <c r="G21" s="61"/>
      <c r="H21" s="7"/>
      <c r="I21" s="7"/>
    </row>
    <row r="22" spans="4:9" ht="12.75">
      <c r="D22" s="142"/>
      <c r="E22" s="142"/>
      <c r="F22" s="142"/>
      <c r="G22" s="61"/>
      <c r="H22" s="7"/>
      <c r="I22" s="7"/>
    </row>
    <row r="23" spans="4:9" ht="12.75">
      <c r="D23" s="142"/>
      <c r="E23" s="142"/>
      <c r="F23" s="142"/>
      <c r="G23" s="61"/>
      <c r="H23" s="7"/>
      <c r="I23" s="7"/>
    </row>
    <row r="24" spans="4:9" ht="12.75">
      <c r="D24" s="142"/>
      <c r="E24" s="142"/>
      <c r="F24" s="142"/>
      <c r="G24" s="61"/>
      <c r="H24" s="7"/>
      <c r="I24" s="7"/>
    </row>
    <row r="25" spans="4:9" ht="12.75">
      <c r="D25" s="142"/>
      <c r="E25" s="142"/>
      <c r="F25" s="142"/>
      <c r="G25" s="61"/>
      <c r="H25" s="7"/>
      <c r="I25" s="7"/>
    </row>
    <row r="26" spans="4:9" ht="12.75">
      <c r="D26" s="142"/>
      <c r="E26" s="142"/>
      <c r="F26" s="142"/>
      <c r="G26" s="61"/>
      <c r="H26" s="7"/>
      <c r="I26" s="7"/>
    </row>
    <row r="27" spans="4:9" ht="12.75">
      <c r="D27" s="142"/>
      <c r="E27" s="142"/>
      <c r="F27" s="142"/>
      <c r="G27" s="61"/>
      <c r="H27" s="7"/>
      <c r="I27" s="7"/>
    </row>
    <row r="28" spans="4:9" ht="12.75">
      <c r="D28" s="142"/>
      <c r="E28" s="142"/>
      <c r="F28" s="142"/>
      <c r="G28" s="61"/>
      <c r="H28" s="7"/>
      <c r="I28" s="7"/>
    </row>
    <row r="29" spans="4:9" ht="12.75">
      <c r="D29" s="142"/>
      <c r="E29" s="142"/>
      <c r="F29" s="142"/>
      <c r="G29" s="61"/>
      <c r="H29" s="7"/>
      <c r="I29" s="7"/>
    </row>
    <row r="30" spans="4:9" ht="12.75">
      <c r="D30" s="142"/>
      <c r="E30" s="142"/>
      <c r="F30" s="142"/>
      <c r="G30" s="61"/>
      <c r="H30" s="7"/>
      <c r="I30" s="7"/>
    </row>
    <row r="31" spans="4:9" ht="12.75">
      <c r="D31" s="142"/>
      <c r="E31" s="142"/>
      <c r="F31" s="142"/>
      <c r="G31" s="61"/>
      <c r="H31" s="7"/>
      <c r="I31" s="7"/>
    </row>
    <row r="32" spans="4:9" ht="12.75">
      <c r="D32" s="142"/>
      <c r="E32" s="142"/>
      <c r="F32" s="142"/>
      <c r="G32" s="61"/>
      <c r="H32" s="7"/>
      <c r="I32" s="7"/>
    </row>
    <row r="33" spans="4:9" ht="12.75">
      <c r="D33" s="142"/>
      <c r="E33" s="142"/>
      <c r="F33" s="142"/>
      <c r="G33" s="61"/>
      <c r="H33" s="7"/>
      <c r="I33" s="7"/>
    </row>
    <row r="34" spans="4:9" ht="12.75">
      <c r="D34" s="142"/>
      <c r="E34" s="142"/>
      <c r="F34" s="142"/>
      <c r="G34" s="61"/>
      <c r="H34" s="7"/>
      <c r="I34" s="7"/>
    </row>
    <row r="35" spans="4:9" ht="12.75">
      <c r="D35" s="142"/>
      <c r="E35" s="142"/>
      <c r="F35" s="142"/>
      <c r="G35" s="61"/>
      <c r="H35" s="7"/>
      <c r="I35" s="7"/>
    </row>
    <row r="36" spans="4:9" ht="12.75">
      <c r="D36" s="142"/>
      <c r="E36" s="142"/>
      <c r="F36" s="142"/>
      <c r="G36" s="61"/>
      <c r="H36" s="7"/>
      <c r="I36" s="7"/>
    </row>
    <row r="37" spans="4:9" ht="12.75">
      <c r="D37" s="142"/>
      <c r="E37" s="142"/>
      <c r="F37" s="142"/>
      <c r="G37" s="61"/>
      <c r="H37" s="7"/>
      <c r="I37" s="7"/>
    </row>
    <row r="38" spans="4:9" ht="12.75">
      <c r="D38" s="142"/>
      <c r="E38" s="142"/>
      <c r="F38" s="142"/>
      <c r="G38" s="61"/>
      <c r="H38" s="7"/>
      <c r="I38" s="7"/>
    </row>
    <row r="39" spans="4:9" ht="12.75">
      <c r="D39" s="142"/>
      <c r="E39" s="142"/>
      <c r="F39" s="142"/>
      <c r="G39" s="61"/>
      <c r="H39" s="7"/>
      <c r="I39" s="7"/>
    </row>
    <row r="40" spans="4:9" ht="12.75">
      <c r="D40" s="142"/>
      <c r="E40" s="142"/>
      <c r="F40" s="142"/>
      <c r="G40" s="61"/>
      <c r="H40" s="7"/>
      <c r="I40" s="7"/>
    </row>
    <row r="41" spans="4:9" ht="12.75">
      <c r="D41" s="142"/>
      <c r="E41" s="142"/>
      <c r="F41" s="142"/>
      <c r="G41" s="61"/>
      <c r="H41" s="7"/>
      <c r="I41" s="7"/>
    </row>
    <row r="42" spans="4:9" ht="12.75">
      <c r="D42" s="142"/>
      <c r="E42" s="142"/>
      <c r="F42" s="142"/>
      <c r="G42" s="61"/>
      <c r="H42" s="7"/>
      <c r="I42" s="7"/>
    </row>
    <row r="43" spans="4:9" ht="12.75">
      <c r="D43" s="142"/>
      <c r="E43" s="142"/>
      <c r="F43" s="142"/>
      <c r="G43" s="61"/>
      <c r="H43" s="7"/>
      <c r="I43" s="7"/>
    </row>
    <row r="44" spans="4:9" ht="12.75">
      <c r="D44" s="142"/>
      <c r="E44" s="142"/>
      <c r="F44" s="142"/>
      <c r="G44" s="61"/>
      <c r="H44" s="7"/>
      <c r="I44" s="7"/>
    </row>
    <row r="45" spans="4:9" ht="12.75">
      <c r="D45" s="142"/>
      <c r="E45" s="142"/>
      <c r="F45" s="142"/>
      <c r="G45" s="61"/>
      <c r="H45" s="7"/>
      <c r="I45" s="7"/>
    </row>
    <row r="46" spans="4:9" ht="12.75">
      <c r="D46" s="142"/>
      <c r="E46" s="142"/>
      <c r="F46" s="142"/>
      <c r="G46" s="61"/>
      <c r="H46" s="7"/>
      <c r="I46" s="7"/>
    </row>
    <row r="47" spans="4:9" ht="12.75">
      <c r="D47" s="142"/>
      <c r="E47" s="142"/>
      <c r="F47" s="142"/>
      <c r="G47" s="61"/>
      <c r="H47" s="7"/>
      <c r="I47" s="7"/>
    </row>
    <row r="48" spans="4:9" ht="12.75">
      <c r="D48" s="142"/>
      <c r="E48" s="142"/>
      <c r="F48" s="142"/>
      <c r="G48" s="61"/>
      <c r="H48" s="7"/>
      <c r="I48" s="7"/>
    </row>
    <row r="49" spans="4:9" ht="12.75">
      <c r="D49" s="142"/>
      <c r="E49" s="142"/>
      <c r="F49" s="142"/>
      <c r="G49" s="61"/>
      <c r="H49" s="7"/>
      <c r="I49" s="7"/>
    </row>
    <row r="50" spans="4:9" ht="12.75">
      <c r="D50" s="142"/>
      <c r="E50" s="142"/>
      <c r="F50" s="142"/>
      <c r="G50" s="61"/>
      <c r="H50" s="7"/>
      <c r="I50" s="7"/>
    </row>
    <row r="51" spans="4:9" ht="12.75">
      <c r="D51" s="142"/>
      <c r="E51" s="142"/>
      <c r="F51" s="142"/>
      <c r="G51" s="61"/>
      <c r="H51" s="7"/>
      <c r="I51" s="7"/>
    </row>
    <row r="52" spans="4:9" ht="12.75">
      <c r="D52" s="142"/>
      <c r="E52" s="142"/>
      <c r="F52" s="142"/>
      <c r="G52" s="61"/>
      <c r="H52" s="7"/>
      <c r="I52" s="7"/>
    </row>
    <row r="53" spans="4:9" ht="12.75">
      <c r="D53" s="142"/>
      <c r="E53" s="142"/>
      <c r="F53" s="142"/>
      <c r="G53" s="61"/>
      <c r="H53" s="7"/>
      <c r="I53" s="7"/>
    </row>
    <row r="54" spans="4:9" ht="12.75">
      <c r="D54" s="142"/>
      <c r="E54" s="142"/>
      <c r="F54" s="142"/>
      <c r="G54" s="61"/>
      <c r="H54" s="7"/>
      <c r="I54" s="7"/>
    </row>
    <row r="55" spans="4:9" ht="12.75">
      <c r="D55" s="142"/>
      <c r="E55" s="142"/>
      <c r="F55" s="142"/>
      <c r="G55" s="61"/>
      <c r="H55" s="7"/>
      <c r="I55" s="7"/>
    </row>
    <row r="56" spans="4:9" ht="12.75">
      <c r="D56" s="142"/>
      <c r="E56" s="142"/>
      <c r="F56" s="142"/>
      <c r="G56" s="61"/>
      <c r="H56" s="7"/>
      <c r="I56" s="7"/>
    </row>
    <row r="57" spans="4:9" ht="12.75">
      <c r="D57" s="142"/>
      <c r="E57" s="142"/>
      <c r="F57" s="142"/>
      <c r="G57" s="61"/>
      <c r="H57" s="7"/>
      <c r="I57" s="7"/>
    </row>
    <row r="58" spans="4:9" ht="12.75">
      <c r="D58" s="142"/>
      <c r="E58" s="142"/>
      <c r="F58" s="142"/>
      <c r="G58" s="61"/>
      <c r="H58" s="7"/>
      <c r="I58" s="7"/>
    </row>
    <row r="59" spans="4:9" ht="12.75">
      <c r="D59" s="142"/>
      <c r="E59" s="142"/>
      <c r="F59" s="142"/>
      <c r="G59" s="61"/>
      <c r="H59" s="7"/>
      <c r="I59" s="7"/>
    </row>
    <row r="60" spans="4:9" ht="12.75">
      <c r="D60" s="142"/>
      <c r="E60" s="142"/>
      <c r="F60" s="142"/>
      <c r="G60" s="61"/>
      <c r="H60" s="7"/>
      <c r="I60" s="7"/>
    </row>
    <row r="61" spans="4:9" ht="12.75">
      <c r="D61" s="142"/>
      <c r="E61" s="142"/>
      <c r="F61" s="142"/>
      <c r="G61" s="61"/>
      <c r="H61" s="7"/>
      <c r="I61" s="7"/>
    </row>
    <row r="62" spans="4:9" ht="12.75">
      <c r="D62" s="142"/>
      <c r="E62" s="142"/>
      <c r="F62" s="142"/>
      <c r="G62" s="61"/>
      <c r="H62" s="7"/>
      <c r="I62" s="7"/>
    </row>
    <row r="63" spans="4:9" ht="12.75">
      <c r="D63" s="142"/>
      <c r="E63" s="142"/>
      <c r="F63" s="142"/>
      <c r="G63" s="61"/>
      <c r="H63" s="7"/>
      <c r="I63" s="7"/>
    </row>
    <row r="64" spans="4:9" ht="12.75">
      <c r="D64" s="142"/>
      <c r="E64" s="142"/>
      <c r="F64" s="142"/>
      <c r="G64" s="61"/>
      <c r="H64" s="7"/>
      <c r="I64" s="7"/>
    </row>
    <row r="65" spans="4:9" ht="12.75">
      <c r="D65" s="142"/>
      <c r="E65" s="142"/>
      <c r="F65" s="142"/>
      <c r="G65" s="61"/>
      <c r="H65" s="7"/>
      <c r="I65" s="7"/>
    </row>
    <row r="66" spans="4:9" ht="12.75">
      <c r="D66" s="142"/>
      <c r="E66" s="142"/>
      <c r="F66" s="142"/>
      <c r="G66" s="61"/>
      <c r="H66" s="7"/>
      <c r="I66" s="7"/>
    </row>
    <row r="67" spans="4:9" ht="12.75">
      <c r="D67" s="142"/>
      <c r="E67" s="142"/>
      <c r="F67" s="142"/>
      <c r="G67" s="61"/>
      <c r="H67" s="7"/>
      <c r="I67" s="7"/>
    </row>
    <row r="68" spans="4:9" ht="12.75">
      <c r="D68" s="142"/>
      <c r="E68" s="142"/>
      <c r="F68" s="142"/>
      <c r="G68" s="61"/>
      <c r="H68" s="7"/>
      <c r="I68" s="7"/>
    </row>
    <row r="69" spans="4:9" ht="12.75">
      <c r="D69" s="142"/>
      <c r="E69" s="142"/>
      <c r="F69" s="142"/>
      <c r="G69" s="61"/>
      <c r="H69" s="7"/>
      <c r="I69" s="7"/>
    </row>
    <row r="70" spans="4:9" ht="12.75">
      <c r="D70" s="142"/>
      <c r="E70" s="142"/>
      <c r="F70" s="142"/>
      <c r="G70" s="61"/>
      <c r="H70" s="7"/>
      <c r="I70" s="7"/>
    </row>
    <row r="71" spans="4:9" ht="12.75">
      <c r="D71" s="142"/>
      <c r="E71" s="142"/>
      <c r="F71" s="142"/>
      <c r="G71" s="61"/>
      <c r="H71" s="7"/>
      <c r="I71" s="7"/>
    </row>
    <row r="72" spans="4:9" ht="12.75">
      <c r="D72" s="142"/>
      <c r="E72" s="142"/>
      <c r="F72" s="142"/>
      <c r="G72" s="61"/>
      <c r="H72" s="7"/>
      <c r="I72" s="7"/>
    </row>
    <row r="73" spans="4:9" ht="12.75">
      <c r="D73" s="142"/>
      <c r="E73" s="142"/>
      <c r="F73" s="142"/>
      <c r="G73" s="61"/>
      <c r="H73" s="7"/>
      <c r="I73" s="7"/>
    </row>
    <row r="74" spans="4:9" ht="12.75">
      <c r="D74" s="142"/>
      <c r="E74" s="142"/>
      <c r="F74" s="142"/>
      <c r="G74" s="61"/>
      <c r="H74" s="7"/>
      <c r="I74" s="7"/>
    </row>
    <row r="75" spans="4:9" ht="12.75">
      <c r="D75" s="142"/>
      <c r="E75" s="142"/>
      <c r="F75" s="142"/>
      <c r="G75" s="61"/>
      <c r="H75" s="7"/>
      <c r="I75" s="7"/>
    </row>
    <row r="76" spans="4:9" ht="12.75">
      <c r="D76" s="142"/>
      <c r="E76" s="142"/>
      <c r="F76" s="142"/>
      <c r="G76" s="61"/>
      <c r="H76" s="7"/>
      <c r="I76" s="7"/>
    </row>
    <row r="77" spans="4:9" ht="12.75">
      <c r="D77" s="142"/>
      <c r="E77" s="142"/>
      <c r="F77" s="142"/>
      <c r="G77" s="61"/>
      <c r="H77" s="7"/>
      <c r="I77" s="7"/>
    </row>
    <row r="78" spans="4:9" ht="12.75">
      <c r="D78" s="142"/>
      <c r="E78" s="142"/>
      <c r="F78" s="142"/>
      <c r="G78" s="61"/>
      <c r="H78" s="7"/>
      <c r="I78" s="7"/>
    </row>
    <row r="79" spans="4:9" ht="12.75">
      <c r="D79" s="142"/>
      <c r="E79" s="142"/>
      <c r="F79" s="142"/>
      <c r="G79" s="61"/>
      <c r="H79" s="7"/>
      <c r="I79" s="7"/>
    </row>
    <row r="80" spans="4:9" ht="12.75">
      <c r="D80" s="142"/>
      <c r="E80" s="142"/>
      <c r="F80" s="142"/>
      <c r="G80" s="61"/>
      <c r="H80" s="7"/>
      <c r="I80" s="7"/>
    </row>
    <row r="81" spans="4:9" ht="12.75">
      <c r="D81" s="142"/>
      <c r="E81" s="142"/>
      <c r="F81" s="142"/>
      <c r="G81" s="61"/>
      <c r="H81" s="7"/>
      <c r="I81" s="7"/>
    </row>
    <row r="82" spans="4:9" ht="12.75">
      <c r="D82" s="142"/>
      <c r="E82" s="142"/>
      <c r="F82" s="142"/>
      <c r="G82" s="61"/>
      <c r="H82" s="7"/>
      <c r="I82" s="7"/>
    </row>
    <row r="83" spans="4:9" ht="12.75">
      <c r="D83" s="142"/>
      <c r="E83" s="142"/>
      <c r="F83" s="142"/>
      <c r="G83" s="61"/>
      <c r="H83" s="7"/>
      <c r="I83" s="7"/>
    </row>
    <row r="84" spans="4:9" ht="12.75">
      <c r="D84" s="142"/>
      <c r="E84" s="142"/>
      <c r="F84" s="142"/>
      <c r="G84" s="61"/>
      <c r="H84" s="7"/>
      <c r="I84" s="7"/>
    </row>
    <row r="85" spans="4:9" ht="12.75">
      <c r="D85" s="142"/>
      <c r="E85" s="142"/>
      <c r="F85" s="142"/>
      <c r="G85" s="61"/>
      <c r="H85" s="7"/>
      <c r="I85" s="7"/>
    </row>
    <row r="86" spans="4:9" ht="12.75">
      <c r="D86" s="142"/>
      <c r="E86" s="142"/>
      <c r="F86" s="142"/>
      <c r="G86" s="61"/>
      <c r="H86" s="7"/>
      <c r="I86" s="7"/>
    </row>
    <row r="87" spans="4:9" ht="12.75">
      <c r="D87" s="142"/>
      <c r="E87" s="142"/>
      <c r="F87" s="142"/>
      <c r="G87" s="61"/>
      <c r="H87" s="7"/>
      <c r="I87" s="7"/>
    </row>
    <row r="88" spans="4:9" ht="12.75">
      <c r="D88" s="142"/>
      <c r="E88" s="142"/>
      <c r="F88" s="142"/>
      <c r="G88" s="61"/>
      <c r="H88" s="7"/>
      <c r="I88" s="7"/>
    </row>
    <row r="89" spans="4:9" ht="12.75">
      <c r="D89" s="142"/>
      <c r="E89" s="142"/>
      <c r="F89" s="142"/>
      <c r="G89" s="61"/>
      <c r="H89" s="7"/>
      <c r="I89" s="7"/>
    </row>
    <row r="90" spans="4:9" ht="12.75">
      <c r="D90" s="142"/>
      <c r="E90" s="142"/>
      <c r="F90" s="142"/>
      <c r="G90" s="61"/>
      <c r="H90" s="7"/>
      <c r="I90" s="7"/>
    </row>
    <row r="91" spans="4:9" ht="12.75">
      <c r="D91" s="142"/>
      <c r="E91" s="142"/>
      <c r="F91" s="142"/>
      <c r="G91" s="61"/>
      <c r="H91" s="7"/>
      <c r="I91" s="7"/>
    </row>
    <row r="92" spans="4:9" ht="12.75">
      <c r="D92" s="142"/>
      <c r="E92" s="142"/>
      <c r="F92" s="142"/>
      <c r="G92" s="61"/>
      <c r="H92" s="7"/>
      <c r="I92" s="7"/>
    </row>
    <row r="93" spans="4:9" ht="12.75">
      <c r="D93" s="142"/>
      <c r="E93" s="142"/>
      <c r="F93" s="142"/>
      <c r="G93" s="61"/>
      <c r="H93" s="7"/>
      <c r="I93" s="7"/>
    </row>
    <row r="94" spans="4:9" ht="12.75">
      <c r="D94" s="142"/>
      <c r="E94" s="142"/>
      <c r="F94" s="142"/>
      <c r="G94" s="61"/>
      <c r="H94" s="7"/>
      <c r="I94" s="7"/>
    </row>
    <row r="95" spans="4:9" ht="12.75">
      <c r="D95" s="142"/>
      <c r="E95" s="142"/>
      <c r="F95" s="142"/>
      <c r="G95" s="61"/>
      <c r="H95" s="7"/>
      <c r="I95" s="7"/>
    </row>
    <row r="96" spans="4:9" ht="12.75">
      <c r="D96" s="142"/>
      <c r="E96" s="142"/>
      <c r="F96" s="142"/>
      <c r="G96" s="61"/>
      <c r="H96" s="7"/>
      <c r="I96" s="7"/>
    </row>
    <row r="97" spans="4:9" ht="12.75">
      <c r="D97" s="142"/>
      <c r="E97" s="142"/>
      <c r="F97" s="142"/>
      <c r="G97" s="61"/>
      <c r="H97" s="7"/>
      <c r="I97" s="7"/>
    </row>
    <row r="98" spans="4:9" ht="12.75">
      <c r="D98" s="142"/>
      <c r="E98" s="142"/>
      <c r="F98" s="142"/>
      <c r="G98" s="61"/>
      <c r="H98" s="7"/>
      <c r="I98" s="7"/>
    </row>
    <row r="99" spans="4:9" ht="12.75">
      <c r="D99" s="142"/>
      <c r="E99" s="142"/>
      <c r="F99" s="142"/>
      <c r="G99" s="61"/>
      <c r="H99" s="7"/>
      <c r="I99" s="7"/>
    </row>
    <row r="100" spans="4:9" ht="12.75">
      <c r="D100" s="142"/>
      <c r="E100" s="142"/>
      <c r="F100" s="142"/>
      <c r="G100" s="61"/>
      <c r="H100" s="7"/>
      <c r="I100" s="7"/>
    </row>
    <row r="101" spans="4:9" ht="12.75">
      <c r="D101" s="142"/>
      <c r="E101" s="142"/>
      <c r="F101" s="142"/>
      <c r="G101" s="61"/>
      <c r="H101" s="7"/>
      <c r="I101" s="7"/>
    </row>
    <row r="102" spans="4:9" ht="12.75">
      <c r="D102" s="142"/>
      <c r="E102" s="142"/>
      <c r="F102" s="142"/>
      <c r="G102" s="61"/>
      <c r="H102" s="7"/>
      <c r="I102" s="7"/>
    </row>
    <row r="103" spans="4:9" ht="12.75">
      <c r="D103" s="142"/>
      <c r="E103" s="142"/>
      <c r="F103" s="142"/>
      <c r="G103" s="61"/>
      <c r="H103" s="7"/>
      <c r="I103" s="7"/>
    </row>
    <row r="104" spans="4:9" ht="12.75">
      <c r="D104" s="142"/>
      <c r="E104" s="142"/>
      <c r="F104" s="142"/>
      <c r="G104" s="61"/>
      <c r="H104" s="7"/>
      <c r="I104" s="7"/>
    </row>
    <row r="105" spans="4:9" ht="12.75">
      <c r="D105" s="142"/>
      <c r="E105" s="142"/>
      <c r="F105" s="142"/>
      <c r="G105" s="61"/>
      <c r="H105" s="7"/>
      <c r="I105" s="7"/>
    </row>
    <row r="106" spans="4:9" ht="12.75">
      <c r="D106" s="142"/>
      <c r="E106" s="142"/>
      <c r="F106" s="142"/>
      <c r="G106" s="61"/>
      <c r="H106" s="7"/>
      <c r="I106" s="7"/>
    </row>
    <row r="107" spans="4:9" ht="12.75">
      <c r="D107" s="142"/>
      <c r="E107" s="142"/>
      <c r="F107" s="142"/>
      <c r="G107" s="61"/>
      <c r="H107" s="7"/>
      <c r="I107" s="7"/>
    </row>
    <row r="108" spans="4:9" ht="12.75">
      <c r="D108" s="142"/>
      <c r="E108" s="142"/>
      <c r="F108" s="142"/>
      <c r="G108" s="61"/>
      <c r="H108" s="7"/>
      <c r="I108" s="7"/>
    </row>
    <row r="109" spans="4:9" ht="12.75">
      <c r="D109" s="142"/>
      <c r="E109" s="142"/>
      <c r="F109" s="142"/>
      <c r="G109" s="61"/>
      <c r="H109" s="7"/>
      <c r="I109" s="7"/>
    </row>
    <row r="110" spans="4:9" ht="12.75">
      <c r="D110" s="142"/>
      <c r="E110" s="142"/>
      <c r="F110" s="142"/>
      <c r="G110" s="61"/>
      <c r="H110" s="7"/>
      <c r="I110" s="7"/>
    </row>
    <row r="111" spans="4:9" ht="12.75">
      <c r="D111" s="142"/>
      <c r="E111" s="142"/>
      <c r="F111" s="142"/>
      <c r="G111" s="61"/>
      <c r="H111" s="7"/>
      <c r="I111" s="7"/>
    </row>
    <row r="112" spans="4:9" ht="12.75">
      <c r="D112" s="142"/>
      <c r="E112" s="142"/>
      <c r="F112" s="142"/>
      <c r="G112" s="61"/>
      <c r="H112" s="7"/>
      <c r="I112" s="7"/>
    </row>
    <row r="113" spans="4:9" ht="12.75">
      <c r="D113" s="142"/>
      <c r="E113" s="142"/>
      <c r="F113" s="142"/>
      <c r="G113" s="61"/>
      <c r="H113" s="7"/>
      <c r="I113" s="7"/>
    </row>
    <row r="114" spans="4:9" ht="12.75">
      <c r="D114" s="142"/>
      <c r="E114" s="142"/>
      <c r="F114" s="142"/>
      <c r="G114" s="61"/>
      <c r="H114" s="7"/>
      <c r="I114" s="7"/>
    </row>
    <row r="115" spans="4:9" ht="12.75">
      <c r="D115" s="142"/>
      <c r="E115" s="142"/>
      <c r="F115" s="142"/>
      <c r="G115" s="61"/>
      <c r="H115" s="7"/>
      <c r="I115" s="7"/>
    </row>
    <row r="116" spans="4:9" ht="12.75">
      <c r="D116" s="142"/>
      <c r="E116" s="142"/>
      <c r="F116" s="142"/>
      <c r="G116" s="61"/>
      <c r="H116" s="7"/>
      <c r="I116" s="7"/>
    </row>
    <row r="117" spans="4:9" ht="12.75">
      <c r="D117" s="142"/>
      <c r="E117" s="142"/>
      <c r="F117" s="142"/>
      <c r="G117" s="61"/>
      <c r="H117" s="7"/>
      <c r="I117" s="7"/>
    </row>
    <row r="118" spans="4:9" ht="12.75">
      <c r="D118" s="142"/>
      <c r="E118" s="142"/>
      <c r="F118" s="142"/>
      <c r="G118" s="61"/>
      <c r="H118" s="7"/>
      <c r="I118" s="7"/>
    </row>
    <row r="119" spans="4:9" ht="12.75">
      <c r="D119" s="142"/>
      <c r="E119" s="142"/>
      <c r="F119" s="142"/>
      <c r="G119" s="61"/>
      <c r="H119" s="7"/>
      <c r="I119" s="7"/>
    </row>
    <row r="120" spans="4:9" ht="12.75">
      <c r="D120" s="142"/>
      <c r="E120" s="142"/>
      <c r="F120" s="142"/>
      <c r="G120" s="61"/>
      <c r="H120" s="7"/>
      <c r="I120" s="7"/>
    </row>
    <row r="121" spans="4:9" ht="12.75">
      <c r="D121" s="142"/>
      <c r="E121" s="142"/>
      <c r="F121" s="142"/>
      <c r="G121" s="61"/>
      <c r="H121" s="7"/>
      <c r="I121" s="7"/>
    </row>
    <row r="122" spans="4:9" ht="12.75">
      <c r="D122" s="142"/>
      <c r="E122" s="142"/>
      <c r="F122" s="142"/>
      <c r="G122" s="61"/>
      <c r="H122" s="7"/>
      <c r="I122" s="7"/>
    </row>
    <row r="123" spans="4:9" ht="12.75">
      <c r="D123" s="142"/>
      <c r="E123" s="142"/>
      <c r="F123" s="142"/>
      <c r="G123" s="61"/>
      <c r="H123" s="7"/>
      <c r="I123" s="7"/>
    </row>
    <row r="124" spans="4:9" ht="12.75">
      <c r="D124" s="142"/>
      <c r="E124" s="142"/>
      <c r="F124" s="142"/>
      <c r="G124" s="61"/>
      <c r="H124" s="7"/>
      <c r="I124" s="7"/>
    </row>
    <row r="125" spans="4:9" ht="12.75">
      <c r="D125" s="142"/>
      <c r="E125" s="142"/>
      <c r="F125" s="142"/>
      <c r="G125" s="61"/>
      <c r="H125" s="7"/>
      <c r="I125" s="7"/>
    </row>
    <row r="126" spans="4:9" ht="12.75">
      <c r="D126" s="142"/>
      <c r="E126" s="142"/>
      <c r="F126" s="142"/>
      <c r="G126" s="61"/>
      <c r="H126" s="7"/>
      <c r="I126" s="7"/>
    </row>
    <row r="127" spans="4:9" ht="12.75">
      <c r="D127" s="142"/>
      <c r="E127" s="142"/>
      <c r="F127" s="142"/>
      <c r="G127" s="61"/>
      <c r="H127" s="7"/>
      <c r="I127" s="7"/>
    </row>
    <row r="128" spans="4:9" ht="12.75">
      <c r="D128" s="142"/>
      <c r="E128" s="142"/>
      <c r="F128" s="142"/>
      <c r="G128" s="61"/>
      <c r="H128" s="7"/>
      <c r="I128" s="7"/>
    </row>
    <row r="129" spans="4:9" ht="12.75">
      <c r="D129" s="142"/>
      <c r="E129" s="142"/>
      <c r="F129" s="142"/>
      <c r="G129" s="61"/>
      <c r="H129" s="7"/>
      <c r="I129" s="7"/>
    </row>
    <row r="130" spans="4:9" ht="12.75">
      <c r="D130" s="142"/>
      <c r="E130" s="142"/>
      <c r="F130" s="142"/>
      <c r="G130" s="61"/>
      <c r="H130" s="7"/>
      <c r="I130" s="7"/>
    </row>
    <row r="131" spans="4:9" ht="12.75">
      <c r="D131" s="142"/>
      <c r="E131" s="142"/>
      <c r="F131" s="142"/>
      <c r="G131" s="61"/>
      <c r="H131" s="7"/>
      <c r="I131" s="7"/>
    </row>
    <row r="132" spans="4:9" ht="12.75">
      <c r="D132" s="142"/>
      <c r="E132" s="142"/>
      <c r="F132" s="142"/>
      <c r="G132" s="61"/>
      <c r="H132" s="7"/>
      <c r="I132" s="7"/>
    </row>
    <row r="133" spans="4:9" ht="12.75">
      <c r="D133" s="142"/>
      <c r="E133" s="142"/>
      <c r="F133" s="142"/>
      <c r="G133" s="61"/>
      <c r="H133" s="7"/>
      <c r="I133" s="7"/>
    </row>
    <row r="134" spans="4:9" ht="12.75">
      <c r="D134" s="142"/>
      <c r="E134" s="142"/>
      <c r="F134" s="142"/>
      <c r="G134" s="61"/>
      <c r="H134" s="7"/>
      <c r="I134" s="7"/>
    </row>
    <row r="135" spans="4:9" ht="12.75">
      <c r="D135" s="142"/>
      <c r="E135" s="142"/>
      <c r="F135" s="142"/>
      <c r="G135" s="61"/>
      <c r="H135" s="7"/>
      <c r="I135" s="7"/>
    </row>
    <row r="136" spans="4:9" ht="12.75">
      <c r="D136" s="142"/>
      <c r="E136" s="142"/>
      <c r="F136" s="142"/>
      <c r="G136" s="61"/>
      <c r="H136" s="7"/>
      <c r="I136" s="7"/>
    </row>
    <row r="137" spans="4:9" ht="12.75">
      <c r="D137" s="142"/>
      <c r="E137" s="142"/>
      <c r="F137" s="142"/>
      <c r="G137" s="61"/>
      <c r="H137" s="7"/>
      <c r="I137" s="7"/>
    </row>
    <row r="138" spans="4:9" ht="12.75">
      <c r="D138" s="142"/>
      <c r="E138" s="142"/>
      <c r="F138" s="142"/>
      <c r="G138" s="61"/>
      <c r="H138" s="7"/>
      <c r="I138" s="7"/>
    </row>
    <row r="139" spans="4:9" ht="12.75">
      <c r="D139" s="142"/>
      <c r="E139" s="142"/>
      <c r="F139" s="142"/>
      <c r="G139" s="61"/>
      <c r="H139" s="7"/>
      <c r="I139" s="7"/>
    </row>
    <row r="140" spans="4:9" ht="12.75">
      <c r="D140" s="142"/>
      <c r="E140" s="142"/>
      <c r="F140" s="142"/>
      <c r="G140" s="61"/>
      <c r="H140" s="7"/>
      <c r="I140" s="7"/>
    </row>
    <row r="141" spans="4:9" ht="12.75">
      <c r="D141" s="142"/>
      <c r="E141" s="142"/>
      <c r="F141" s="142"/>
      <c r="G141" s="61"/>
      <c r="H141" s="7"/>
      <c r="I141" s="7"/>
    </row>
    <row r="142" spans="4:9" ht="12.75">
      <c r="D142" s="142"/>
      <c r="E142" s="142"/>
      <c r="F142" s="142"/>
      <c r="G142" s="61"/>
      <c r="H142" s="7"/>
      <c r="I142" s="7"/>
    </row>
    <row r="143" spans="4:9" ht="12.75">
      <c r="D143" s="142"/>
      <c r="E143" s="142"/>
      <c r="F143" s="142"/>
      <c r="G143" s="61"/>
      <c r="H143" s="7"/>
      <c r="I143" s="7"/>
    </row>
    <row r="144" spans="4:9" ht="12.75">
      <c r="D144" s="142"/>
      <c r="E144" s="142"/>
      <c r="F144" s="142"/>
      <c r="G144" s="61"/>
      <c r="H144" s="7"/>
      <c r="I144" s="7"/>
    </row>
    <row r="145" spans="4:9" ht="12.75">
      <c r="D145" s="142"/>
      <c r="E145" s="142"/>
      <c r="F145" s="142"/>
      <c r="G145" s="61"/>
      <c r="H145" s="7"/>
      <c r="I145" s="7"/>
    </row>
    <row r="146" spans="4:9" ht="12.75">
      <c r="D146" s="142"/>
      <c r="E146" s="142"/>
      <c r="F146" s="142"/>
      <c r="G146" s="61"/>
      <c r="H146" s="7"/>
      <c r="I146" s="7"/>
    </row>
    <row r="147" spans="4:9" ht="12.75">
      <c r="D147" s="142"/>
      <c r="E147" s="142"/>
      <c r="F147" s="142"/>
      <c r="G147" s="61"/>
      <c r="H147" s="7"/>
      <c r="I147" s="7"/>
    </row>
    <row r="148" spans="4:9" ht="12.75">
      <c r="D148" s="142"/>
      <c r="E148" s="142"/>
      <c r="F148" s="142"/>
      <c r="G148" s="61"/>
      <c r="H148" s="7"/>
      <c r="I148" s="7"/>
    </row>
    <row r="149" spans="4:9" ht="12.75">
      <c r="D149" s="142"/>
      <c r="E149" s="142"/>
      <c r="F149" s="142"/>
      <c r="G149" s="61"/>
      <c r="H149" s="7"/>
      <c r="I149" s="7"/>
    </row>
    <row r="150" spans="4:9" ht="12.75">
      <c r="D150" s="142"/>
      <c r="E150" s="142"/>
      <c r="F150" s="142"/>
      <c r="G150" s="61"/>
      <c r="H150" s="7"/>
      <c r="I150" s="7"/>
    </row>
    <row r="151" spans="4:9" ht="12.75">
      <c r="D151" s="142"/>
      <c r="E151" s="142"/>
      <c r="F151" s="142"/>
      <c r="G151" s="61"/>
      <c r="H151" s="7"/>
      <c r="I151" s="7"/>
    </row>
    <row r="152" spans="4:9" ht="12.75">
      <c r="D152" s="142"/>
      <c r="E152" s="142"/>
      <c r="F152" s="142"/>
      <c r="G152" s="61"/>
      <c r="H152" s="7"/>
      <c r="I152" s="7"/>
    </row>
    <row r="153" spans="4:9" ht="12.75">
      <c r="D153" s="142"/>
      <c r="E153" s="142"/>
      <c r="F153" s="142"/>
      <c r="G153" s="61"/>
      <c r="H153" s="7"/>
      <c r="I153" s="7"/>
    </row>
    <row r="154" spans="4:9" ht="12.75">
      <c r="D154" s="142"/>
      <c r="E154" s="142"/>
      <c r="F154" s="142"/>
      <c r="G154" s="61"/>
      <c r="H154" s="7"/>
      <c r="I154" s="7"/>
    </row>
    <row r="155" spans="4:9" ht="12.75">
      <c r="D155" s="142"/>
      <c r="E155" s="142"/>
      <c r="F155" s="142"/>
      <c r="G155" s="61"/>
      <c r="H155" s="7"/>
      <c r="I155" s="7"/>
    </row>
    <row r="156" spans="4:9" ht="12.75">
      <c r="D156" s="142"/>
      <c r="E156" s="142"/>
      <c r="F156" s="142"/>
      <c r="G156" s="61"/>
      <c r="H156" s="7"/>
      <c r="I156" s="7"/>
    </row>
    <row r="157" spans="4:9" ht="12.75">
      <c r="D157" s="142"/>
      <c r="E157" s="142"/>
      <c r="F157" s="142"/>
      <c r="G157" s="61"/>
      <c r="H157" s="7"/>
      <c r="I157" s="7"/>
    </row>
    <row r="158" spans="4:9" ht="12.75">
      <c r="D158" s="142"/>
      <c r="E158" s="142"/>
      <c r="F158" s="142"/>
      <c r="G158" s="61"/>
      <c r="H158" s="7"/>
      <c r="I158" s="7"/>
    </row>
    <row r="159" spans="4:9" ht="12.75">
      <c r="D159" s="142"/>
      <c r="E159" s="142"/>
      <c r="F159" s="142"/>
      <c r="G159" s="61"/>
      <c r="H159" s="7"/>
      <c r="I159" s="7"/>
    </row>
    <row r="160" spans="4:9" ht="12.75">
      <c r="D160" s="142"/>
      <c r="E160" s="142"/>
      <c r="F160" s="142"/>
      <c r="G160" s="61"/>
      <c r="H160" s="7"/>
      <c r="I160" s="7"/>
    </row>
    <row r="161" spans="4:9" ht="12.75">
      <c r="D161" s="142"/>
      <c r="E161" s="142"/>
      <c r="F161" s="142"/>
      <c r="G161" s="61"/>
      <c r="H161" s="7"/>
      <c r="I161" s="7"/>
    </row>
    <row r="162" spans="4:9" ht="12.75">
      <c r="D162" s="142"/>
      <c r="E162" s="142"/>
      <c r="F162" s="142"/>
      <c r="G162" s="61"/>
      <c r="H162" s="7"/>
      <c r="I162" s="7"/>
    </row>
    <row r="163" spans="4:9" ht="12.75">
      <c r="D163" s="142"/>
      <c r="E163" s="142"/>
      <c r="F163" s="142"/>
      <c r="G163" s="61"/>
      <c r="H163" s="7"/>
      <c r="I163" s="7"/>
    </row>
    <row r="164" spans="4:9" ht="12.75">
      <c r="D164" s="142"/>
      <c r="E164" s="142"/>
      <c r="F164" s="142"/>
      <c r="G164" s="61"/>
      <c r="H164" s="7"/>
      <c r="I164" s="7"/>
    </row>
    <row r="165" spans="4:9" ht="12.75">
      <c r="D165" s="142"/>
      <c r="E165" s="142"/>
      <c r="F165" s="142"/>
      <c r="G165" s="61"/>
      <c r="H165" s="7"/>
      <c r="I165" s="7"/>
    </row>
    <row r="166" spans="4:9" ht="12.75">
      <c r="D166" s="142"/>
      <c r="E166" s="142"/>
      <c r="F166" s="142"/>
      <c r="G166" s="61"/>
      <c r="H166" s="7"/>
      <c r="I166" s="7"/>
    </row>
    <row r="167" spans="4:9" ht="12.75">
      <c r="D167" s="142"/>
      <c r="E167" s="142"/>
      <c r="F167" s="142"/>
      <c r="G167" s="61"/>
      <c r="H167" s="7"/>
      <c r="I167" s="7"/>
    </row>
    <row r="168" spans="4:9" ht="12.75">
      <c r="D168" s="142"/>
      <c r="E168" s="142"/>
      <c r="F168" s="142"/>
      <c r="G168" s="61"/>
      <c r="H168" s="7"/>
      <c r="I168" s="7"/>
    </row>
    <row r="169" spans="4:9" ht="12.75">
      <c r="D169" s="142"/>
      <c r="E169" s="142"/>
      <c r="F169" s="142"/>
      <c r="G169" s="61"/>
      <c r="H169" s="7"/>
      <c r="I169" s="7"/>
    </row>
    <row r="170" spans="4:9" ht="12.75">
      <c r="D170" s="142"/>
      <c r="E170" s="142"/>
      <c r="F170" s="142"/>
      <c r="G170" s="61"/>
      <c r="H170" s="7"/>
      <c r="I170" s="7"/>
    </row>
    <row r="171" spans="4:9" ht="12.75">
      <c r="D171" s="142"/>
      <c r="E171" s="142"/>
      <c r="F171" s="142"/>
      <c r="G171" s="61"/>
      <c r="H171" s="7"/>
      <c r="I171" s="7"/>
    </row>
    <row r="172" spans="4:9" ht="12.75">
      <c r="D172" s="142"/>
      <c r="E172" s="142"/>
      <c r="F172" s="142"/>
      <c r="G172" s="61"/>
      <c r="H172" s="7"/>
      <c r="I172" s="7"/>
    </row>
    <row r="173" spans="4:9" ht="12.75">
      <c r="D173" s="142"/>
      <c r="E173" s="142"/>
      <c r="F173" s="142"/>
      <c r="G173" s="61"/>
      <c r="H173" s="7"/>
      <c r="I173" s="7"/>
    </row>
    <row r="174" spans="4:9" ht="12.75">
      <c r="D174" s="142"/>
      <c r="E174" s="142"/>
      <c r="F174" s="142"/>
      <c r="G174" s="61"/>
      <c r="H174" s="7"/>
      <c r="I174" s="7"/>
    </row>
    <row r="175" spans="4:9" ht="12.75">
      <c r="D175" s="142"/>
      <c r="E175" s="142"/>
      <c r="F175" s="142"/>
      <c r="G175" s="61"/>
      <c r="H175" s="7"/>
      <c r="I175" s="7"/>
    </row>
    <row r="176" spans="4:9" ht="12.75">
      <c r="D176" s="142"/>
      <c r="E176" s="142"/>
      <c r="F176" s="142"/>
      <c r="G176" s="61"/>
      <c r="H176" s="7"/>
      <c r="I176" s="7"/>
    </row>
    <row r="177" spans="4:9" ht="12.75">
      <c r="D177" s="142"/>
      <c r="E177" s="142"/>
      <c r="F177" s="142"/>
      <c r="G177" s="61"/>
      <c r="H177" s="7"/>
      <c r="I177" s="7"/>
    </row>
    <row r="178" spans="4:9" ht="12.75">
      <c r="D178" s="142"/>
      <c r="E178" s="142"/>
      <c r="F178" s="142"/>
      <c r="G178" s="61"/>
      <c r="H178" s="7"/>
      <c r="I178" s="7"/>
    </row>
    <row r="179" spans="4:9" ht="12.75">
      <c r="D179" s="142"/>
      <c r="E179" s="142"/>
      <c r="F179" s="142"/>
      <c r="G179" s="61"/>
      <c r="H179" s="7"/>
      <c r="I179" s="7"/>
    </row>
    <row r="180" spans="4:9" ht="12.75">
      <c r="D180" s="142"/>
      <c r="E180" s="142"/>
      <c r="F180" s="142"/>
      <c r="G180" s="61"/>
      <c r="H180" s="7"/>
      <c r="I180" s="7"/>
    </row>
    <row r="181" spans="4:9" ht="12.75">
      <c r="D181" s="142"/>
      <c r="E181" s="142"/>
      <c r="F181" s="142"/>
      <c r="G181" s="61"/>
      <c r="H181" s="7"/>
      <c r="I181" s="7"/>
    </row>
    <row r="182" spans="4:9" ht="12.75">
      <c r="D182" s="142"/>
      <c r="E182" s="142"/>
      <c r="F182" s="142"/>
      <c r="G182" s="61"/>
      <c r="H182" s="7"/>
      <c r="I182" s="7"/>
    </row>
    <row r="183" spans="4:9" ht="12.75">
      <c r="D183" s="142"/>
      <c r="E183" s="142"/>
      <c r="F183" s="142"/>
      <c r="G183" s="61"/>
      <c r="H183" s="7"/>
      <c r="I183" s="7"/>
    </row>
    <row r="184" spans="4:9" ht="12.75">
      <c r="D184" s="142"/>
      <c r="E184" s="142"/>
      <c r="F184" s="142"/>
      <c r="G184" s="61"/>
      <c r="H184" s="7"/>
      <c r="I184" s="7"/>
    </row>
    <row r="185" spans="4:9" ht="12.75">
      <c r="D185" s="142"/>
      <c r="E185" s="142"/>
      <c r="F185" s="142"/>
      <c r="G185" s="61"/>
      <c r="H185" s="7"/>
      <c r="I185" s="7"/>
    </row>
    <row r="186" spans="4:9" ht="12.75">
      <c r="D186" s="142"/>
      <c r="E186" s="142"/>
      <c r="F186" s="142"/>
      <c r="G186" s="61"/>
      <c r="H186" s="7"/>
      <c r="I186" s="7"/>
    </row>
    <row r="187" spans="4:9" ht="12.75">
      <c r="D187" s="142"/>
      <c r="E187" s="142"/>
      <c r="F187" s="142"/>
      <c r="G187" s="61"/>
      <c r="H187" s="7"/>
      <c r="I187" s="7"/>
    </row>
    <row r="188" spans="4:9" ht="12.75">
      <c r="D188" s="142"/>
      <c r="E188" s="142"/>
      <c r="F188" s="142"/>
      <c r="G188" s="61"/>
      <c r="H188" s="7"/>
      <c r="I188" s="7"/>
    </row>
    <row r="189" spans="4:9" ht="12.75">
      <c r="D189" s="142"/>
      <c r="E189" s="142"/>
      <c r="F189" s="142"/>
      <c r="G189" s="61"/>
      <c r="H189" s="7"/>
      <c r="I189" s="7"/>
    </row>
    <row r="190" spans="4:9" ht="12.75">
      <c r="D190" s="142"/>
      <c r="E190" s="142"/>
      <c r="F190" s="142"/>
      <c r="G190" s="61"/>
      <c r="H190" s="7"/>
      <c r="I190" s="7"/>
    </row>
    <row r="191" spans="4:9" ht="12.75">
      <c r="D191" s="142"/>
      <c r="E191" s="142"/>
      <c r="F191" s="142"/>
      <c r="G191" s="61"/>
      <c r="H191" s="7"/>
      <c r="I191" s="7"/>
    </row>
    <row r="192" spans="4:9" ht="12.75">
      <c r="D192" s="142"/>
      <c r="E192" s="142"/>
      <c r="F192" s="142"/>
      <c r="G192" s="61"/>
      <c r="H192" s="7"/>
      <c r="I192" s="7"/>
    </row>
    <row r="193" spans="4:9" ht="12.75">
      <c r="D193" s="142"/>
      <c r="E193" s="142"/>
      <c r="F193" s="142"/>
      <c r="G193" s="61"/>
      <c r="H193" s="7"/>
      <c r="I193" s="7"/>
    </row>
    <row r="194" spans="4:9" ht="12.75">
      <c r="D194" s="142"/>
      <c r="E194" s="142"/>
      <c r="F194" s="142"/>
      <c r="G194" s="61"/>
      <c r="H194" s="7"/>
      <c r="I194" s="7"/>
    </row>
    <row r="195" spans="4:9" ht="12.75">
      <c r="D195" s="142"/>
      <c r="E195" s="142"/>
      <c r="F195" s="142"/>
      <c r="G195" s="61"/>
      <c r="H195" s="7"/>
      <c r="I195" s="7"/>
    </row>
    <row r="196" spans="4:9" ht="12.75">
      <c r="D196" s="142"/>
      <c r="E196" s="142"/>
      <c r="F196" s="142"/>
      <c r="G196" s="61"/>
      <c r="H196" s="7"/>
      <c r="I196" s="7"/>
    </row>
    <row r="197" spans="4:9" ht="12.75">
      <c r="D197" s="142"/>
      <c r="E197" s="142"/>
      <c r="F197" s="142"/>
      <c r="G197" s="61"/>
      <c r="H197" s="7"/>
      <c r="I197" s="7"/>
    </row>
    <row r="198" spans="4:9" ht="12.75">
      <c r="D198" s="142"/>
      <c r="E198" s="142"/>
      <c r="F198" s="142"/>
      <c r="G198" s="61"/>
      <c r="H198" s="7"/>
      <c r="I198" s="7"/>
    </row>
    <row r="199" spans="4:9" ht="12.75">
      <c r="D199" s="142"/>
      <c r="E199" s="142"/>
      <c r="F199" s="142"/>
      <c r="G199" s="61"/>
      <c r="H199" s="7"/>
      <c r="I199" s="7"/>
    </row>
    <row r="200" spans="4:9" ht="12.75">
      <c r="D200" s="142"/>
      <c r="E200" s="142"/>
      <c r="F200" s="142"/>
      <c r="G200" s="61"/>
      <c r="H200" s="7"/>
      <c r="I200" s="7"/>
    </row>
    <row r="201" spans="4:9" ht="12.75">
      <c r="D201" s="142"/>
      <c r="E201" s="142"/>
      <c r="F201" s="142"/>
      <c r="G201" s="61"/>
      <c r="H201" s="7"/>
      <c r="I201" s="7"/>
    </row>
    <row r="202" spans="4:9" ht="12.75">
      <c r="D202" s="142"/>
      <c r="E202" s="142"/>
      <c r="F202" s="142"/>
      <c r="G202" s="61"/>
      <c r="H202" s="7"/>
      <c r="I202" s="7"/>
    </row>
    <row r="203" spans="4:9" ht="12.75">
      <c r="D203" s="142"/>
      <c r="E203" s="142"/>
      <c r="F203" s="142"/>
      <c r="G203" s="61"/>
      <c r="H203" s="7"/>
      <c r="I203" s="7"/>
    </row>
    <row r="204" spans="4:9" ht="12.75">
      <c r="D204" s="142"/>
      <c r="E204" s="142"/>
      <c r="F204" s="142"/>
      <c r="G204" s="61"/>
      <c r="H204" s="7"/>
      <c r="I204" s="7"/>
    </row>
    <row r="205" spans="4:9" ht="12.75">
      <c r="D205" s="142"/>
      <c r="E205" s="142"/>
      <c r="F205" s="142"/>
      <c r="G205" s="61"/>
      <c r="H205" s="7"/>
      <c r="I205" s="7"/>
    </row>
    <row r="206" spans="4:9" ht="12.75">
      <c r="D206" s="142"/>
      <c r="E206" s="142"/>
      <c r="F206" s="142"/>
      <c r="G206" s="61"/>
      <c r="H206" s="7"/>
      <c r="I206" s="7"/>
    </row>
    <row r="207" spans="4:9" ht="12.75">
      <c r="D207" s="142"/>
      <c r="E207" s="142"/>
      <c r="F207" s="142"/>
      <c r="G207" s="61"/>
      <c r="H207" s="7"/>
      <c r="I207" s="7"/>
    </row>
    <row r="208" spans="4:9" ht="12.75">
      <c r="D208" s="142"/>
      <c r="E208" s="142"/>
      <c r="F208" s="142"/>
      <c r="G208" s="61"/>
      <c r="H208" s="7"/>
      <c r="I208" s="7"/>
    </row>
    <row r="209" spans="4:9" ht="12.75">
      <c r="D209" s="142"/>
      <c r="E209" s="142"/>
      <c r="F209" s="142"/>
      <c r="G209" s="61"/>
      <c r="H209" s="7"/>
      <c r="I209" s="7"/>
    </row>
    <row r="210" spans="4:9" ht="12.75">
      <c r="D210" s="142"/>
      <c r="E210" s="142"/>
      <c r="F210" s="142"/>
      <c r="G210" s="61"/>
      <c r="H210" s="7"/>
      <c r="I210" s="7"/>
    </row>
    <row r="211" spans="4:9" ht="12.75">
      <c r="D211" s="142"/>
      <c r="E211" s="142"/>
      <c r="F211" s="142"/>
      <c r="G211" s="61"/>
      <c r="H211" s="7"/>
      <c r="I211" s="7"/>
    </row>
    <row r="212" spans="4:9" ht="12.75">
      <c r="D212" s="142"/>
      <c r="E212" s="142"/>
      <c r="F212" s="142"/>
      <c r="G212" s="61"/>
      <c r="H212" s="7"/>
      <c r="I212" s="7"/>
    </row>
    <row r="213" spans="4:9" ht="12.75">
      <c r="D213" s="142"/>
      <c r="E213" s="142"/>
      <c r="F213" s="142"/>
      <c r="G213" s="61"/>
      <c r="H213" s="7"/>
      <c r="I213" s="7"/>
    </row>
    <row r="214" spans="4:9" ht="12.75">
      <c r="D214" s="142"/>
      <c r="E214" s="142"/>
      <c r="F214" s="142"/>
      <c r="G214" s="61"/>
      <c r="H214" s="7"/>
      <c r="I214" s="7"/>
    </row>
    <row r="215" spans="4:9" ht="12.75">
      <c r="D215" s="142"/>
      <c r="E215" s="142"/>
      <c r="F215" s="142"/>
      <c r="G215" s="61"/>
      <c r="H215" s="7"/>
      <c r="I215" s="7"/>
    </row>
    <row r="216" spans="4:9" ht="12.75">
      <c r="D216" s="142"/>
      <c r="E216" s="142"/>
      <c r="F216" s="142"/>
      <c r="G216" s="61"/>
      <c r="H216" s="7"/>
      <c r="I216" s="7"/>
    </row>
    <row r="217" spans="4:9" ht="12.75">
      <c r="D217" s="142"/>
      <c r="E217" s="142"/>
      <c r="F217" s="142"/>
      <c r="G217" s="61"/>
      <c r="H217" s="7"/>
      <c r="I217" s="7"/>
    </row>
    <row r="218" spans="4:9" ht="12.75">
      <c r="D218" s="142"/>
      <c r="E218" s="142"/>
      <c r="F218" s="142"/>
      <c r="G218" s="61"/>
      <c r="H218" s="7"/>
      <c r="I218" s="7"/>
    </row>
    <row r="219" spans="4:9" ht="12.75">
      <c r="D219" s="142"/>
      <c r="E219" s="142"/>
      <c r="F219" s="142"/>
      <c r="G219" s="61"/>
      <c r="H219" s="7"/>
      <c r="I219" s="7"/>
    </row>
    <row r="220" spans="4:9" ht="12.75">
      <c r="D220" s="142"/>
      <c r="E220" s="142"/>
      <c r="F220" s="142"/>
      <c r="G220" s="61"/>
      <c r="H220" s="7"/>
      <c r="I220" s="7"/>
    </row>
    <row r="221" spans="4:9" ht="12.75">
      <c r="D221" s="142"/>
      <c r="E221" s="142"/>
      <c r="F221" s="142"/>
      <c r="G221" s="61"/>
      <c r="H221" s="7"/>
      <c r="I221" s="7"/>
    </row>
    <row r="222" spans="4:9" ht="12.75">
      <c r="D222" s="142"/>
      <c r="E222" s="142"/>
      <c r="F222" s="142"/>
      <c r="G222" s="61"/>
      <c r="H222" s="7"/>
      <c r="I222" s="7"/>
    </row>
    <row r="223" spans="4:9" ht="12.75">
      <c r="D223" s="142"/>
      <c r="E223" s="142"/>
      <c r="F223" s="142"/>
      <c r="G223" s="61"/>
      <c r="H223" s="7"/>
      <c r="I223" s="7"/>
    </row>
    <row r="224" spans="4:9" ht="12.75">
      <c r="D224" s="142"/>
      <c r="E224" s="142"/>
      <c r="F224" s="142"/>
      <c r="G224" s="61"/>
      <c r="H224" s="7"/>
      <c r="I224" s="7"/>
    </row>
    <row r="225" spans="4:9" ht="12.75">
      <c r="D225" s="142"/>
      <c r="E225" s="142"/>
      <c r="F225" s="142"/>
      <c r="G225" s="61"/>
      <c r="H225" s="7"/>
      <c r="I225" s="7"/>
    </row>
    <row r="226" spans="4:9" ht="12.75">
      <c r="D226" s="142"/>
      <c r="E226" s="142"/>
      <c r="F226" s="142"/>
      <c r="G226" s="61"/>
      <c r="H226" s="7"/>
      <c r="I226" s="7"/>
    </row>
    <row r="227" spans="4:9" ht="12.75">
      <c r="D227" s="142"/>
      <c r="E227" s="142"/>
      <c r="F227" s="142"/>
      <c r="G227" s="61"/>
      <c r="H227" s="7"/>
      <c r="I227" s="7"/>
    </row>
    <row r="228" spans="4:9" ht="12.75">
      <c r="D228" s="142"/>
      <c r="E228" s="142"/>
      <c r="F228" s="142"/>
      <c r="G228" s="61"/>
      <c r="H228" s="7"/>
      <c r="I228" s="7"/>
    </row>
    <row r="229" spans="4:9" ht="12.75">
      <c r="D229" s="142"/>
      <c r="E229" s="142"/>
      <c r="F229" s="142"/>
      <c r="G229" s="61"/>
      <c r="H229" s="7"/>
      <c r="I229" s="7"/>
    </row>
    <row r="230" spans="4:9" ht="12.75">
      <c r="D230" s="142"/>
      <c r="E230" s="142"/>
      <c r="F230" s="142"/>
      <c r="G230" s="61"/>
      <c r="H230" s="7"/>
      <c r="I230" s="7"/>
    </row>
    <row r="231" spans="4:9" ht="12.75">
      <c r="D231" s="142"/>
      <c r="E231" s="142"/>
      <c r="F231" s="142"/>
      <c r="G231" s="61"/>
      <c r="H231" s="7"/>
      <c r="I231" s="7"/>
    </row>
    <row r="232" spans="4:9" ht="12.75">
      <c r="D232" s="142"/>
      <c r="E232" s="142"/>
      <c r="F232" s="142"/>
      <c r="G232" s="61"/>
      <c r="H232" s="7"/>
      <c r="I232" s="7"/>
    </row>
    <row r="233" spans="4:9" ht="12.75">
      <c r="D233" s="142"/>
      <c r="E233" s="142"/>
      <c r="F233" s="142"/>
      <c r="G233" s="61"/>
      <c r="H233" s="7"/>
      <c r="I233" s="7"/>
    </row>
    <row r="234" spans="4:9" ht="12.75">
      <c r="D234" s="142"/>
      <c r="E234" s="142"/>
      <c r="F234" s="142"/>
      <c r="G234" s="61"/>
      <c r="H234" s="7"/>
      <c r="I234" s="7"/>
    </row>
    <row r="235" spans="4:9" ht="12.75">
      <c r="D235" s="142"/>
      <c r="E235" s="142"/>
      <c r="F235" s="142"/>
      <c r="G235" s="61"/>
      <c r="H235" s="7"/>
      <c r="I235" s="7"/>
    </row>
    <row r="236" spans="4:9" ht="12.75">
      <c r="D236" s="142"/>
      <c r="E236" s="142"/>
      <c r="F236" s="142"/>
      <c r="G236" s="61"/>
      <c r="H236" s="7"/>
      <c r="I236" s="7"/>
    </row>
    <row r="237" spans="4:9" ht="12.75">
      <c r="D237" s="142"/>
      <c r="E237" s="142"/>
      <c r="F237" s="142"/>
      <c r="G237" s="61"/>
      <c r="H237" s="7"/>
      <c r="I237" s="7"/>
    </row>
    <row r="238" spans="4:9" ht="12.75">
      <c r="D238" s="142"/>
      <c r="E238" s="142"/>
      <c r="F238" s="142"/>
      <c r="G238" s="61"/>
      <c r="H238" s="7"/>
      <c r="I238" s="7"/>
    </row>
    <row r="239" spans="4:9" ht="12.75">
      <c r="D239" s="142"/>
      <c r="E239" s="142"/>
      <c r="F239" s="142"/>
      <c r="G239" s="61"/>
      <c r="H239" s="7"/>
      <c r="I239" s="7"/>
    </row>
    <row r="240" spans="4:9" ht="12.75">
      <c r="D240" s="142"/>
      <c r="E240" s="142"/>
      <c r="F240" s="142"/>
      <c r="G240" s="61"/>
      <c r="H240" s="7"/>
      <c r="I240" s="7"/>
    </row>
    <row r="241" spans="4:9" ht="12.75">
      <c r="D241" s="142"/>
      <c r="E241" s="142"/>
      <c r="F241" s="142"/>
      <c r="G241" s="61"/>
      <c r="H241" s="7"/>
      <c r="I241" s="7"/>
    </row>
    <row r="242" spans="4:9" ht="12.75">
      <c r="D242" s="142"/>
      <c r="E242" s="142"/>
      <c r="F242" s="142"/>
      <c r="G242" s="61"/>
      <c r="H242" s="7"/>
      <c r="I242" s="7"/>
    </row>
    <row r="243" spans="4:9" ht="12.75">
      <c r="D243" s="142"/>
      <c r="E243" s="142"/>
      <c r="F243" s="142"/>
      <c r="G243" s="61"/>
      <c r="H243" s="7"/>
      <c r="I243" s="7"/>
    </row>
    <row r="244" spans="4:9" ht="12.75">
      <c r="D244" s="142"/>
      <c r="E244" s="142"/>
      <c r="F244" s="142"/>
      <c r="G244" s="61"/>
      <c r="H244" s="7"/>
      <c r="I244" s="7"/>
    </row>
    <row r="245" spans="4:9" ht="12.75">
      <c r="D245" s="142"/>
      <c r="E245" s="142"/>
      <c r="F245" s="142"/>
      <c r="G245" s="61"/>
      <c r="H245" s="7"/>
      <c r="I245" s="7"/>
    </row>
    <row r="246" spans="4:9" ht="12.75">
      <c r="D246" s="142"/>
      <c r="E246" s="142"/>
      <c r="F246" s="142"/>
      <c r="G246" s="61"/>
      <c r="H246" s="7"/>
      <c r="I246" s="7"/>
    </row>
    <row r="247" spans="4:9" ht="12.75">
      <c r="D247" s="142"/>
      <c r="E247" s="142"/>
      <c r="F247" s="142"/>
      <c r="G247" s="61"/>
      <c r="H247" s="7"/>
      <c r="I247" s="7"/>
    </row>
    <row r="248" spans="4:9" ht="12.75">
      <c r="D248" s="142"/>
      <c r="E248" s="142"/>
      <c r="F248" s="142"/>
      <c r="G248" s="61"/>
      <c r="H248" s="7"/>
      <c r="I248" s="7"/>
    </row>
    <row r="249" spans="4:9" ht="12.75">
      <c r="D249" s="142"/>
      <c r="E249" s="142"/>
      <c r="F249" s="142"/>
      <c r="G249" s="61"/>
      <c r="H249" s="7"/>
      <c r="I249" s="7"/>
    </row>
    <row r="250" spans="4:9" ht="12.75">
      <c r="D250" s="142"/>
      <c r="E250" s="142"/>
      <c r="F250" s="142"/>
      <c r="G250" s="61"/>
      <c r="H250" s="7"/>
      <c r="I250" s="7"/>
    </row>
    <row r="251" spans="4:9" ht="12.75">
      <c r="D251" s="142"/>
      <c r="E251" s="142"/>
      <c r="F251" s="142"/>
      <c r="G251" s="61"/>
      <c r="H251" s="7"/>
      <c r="I251" s="7"/>
    </row>
    <row r="252" spans="4:9" ht="12.75">
      <c r="D252" s="142"/>
      <c r="E252" s="142"/>
      <c r="F252" s="142"/>
      <c r="G252" s="61"/>
      <c r="H252" s="7"/>
      <c r="I252" s="7"/>
    </row>
    <row r="253" spans="4:9" ht="12.75">
      <c r="D253" s="142"/>
      <c r="E253" s="142"/>
      <c r="F253" s="142"/>
      <c r="G253" s="61"/>
      <c r="H253" s="7"/>
      <c r="I253" s="7"/>
    </row>
    <row r="254" spans="4:9" ht="12.75">
      <c r="D254" s="142"/>
      <c r="E254" s="142"/>
      <c r="F254" s="142"/>
      <c r="G254" s="61"/>
      <c r="H254" s="7"/>
      <c r="I254" s="7"/>
    </row>
    <row r="255" spans="4:9" ht="12.75">
      <c r="D255" s="142"/>
      <c r="E255" s="142"/>
      <c r="F255" s="142"/>
      <c r="G255" s="61"/>
      <c r="H255" s="7"/>
      <c r="I255" s="7"/>
    </row>
    <row r="256" spans="4:9" ht="12.75">
      <c r="D256" s="142"/>
      <c r="E256" s="142"/>
      <c r="F256" s="142"/>
      <c r="G256" s="61"/>
      <c r="H256" s="7"/>
      <c r="I256" s="7"/>
    </row>
    <row r="257" spans="4:9" ht="12.75">
      <c r="D257" s="142"/>
      <c r="E257" s="142"/>
      <c r="F257" s="142"/>
      <c r="G257" s="61"/>
      <c r="H257" s="7"/>
      <c r="I257" s="7"/>
    </row>
    <row r="258" spans="4:9" ht="12.75">
      <c r="D258" s="142"/>
      <c r="E258" s="142"/>
      <c r="F258" s="142"/>
      <c r="G258" s="61"/>
      <c r="H258" s="7"/>
      <c r="I258" s="7"/>
    </row>
    <row r="259" spans="4:9" ht="12.75">
      <c r="D259" s="142"/>
      <c r="E259" s="142"/>
      <c r="F259" s="142"/>
      <c r="G259" s="61"/>
      <c r="H259" s="7"/>
      <c r="I259" s="7"/>
    </row>
    <row r="260" spans="4:9" ht="12.75">
      <c r="D260" s="142"/>
      <c r="E260" s="142"/>
      <c r="F260" s="142"/>
      <c r="G260" s="61"/>
      <c r="H260" s="7"/>
      <c r="I260" s="7"/>
    </row>
    <row r="261" spans="4:9" ht="12.75">
      <c r="D261" s="142"/>
      <c r="E261" s="142"/>
      <c r="F261" s="142"/>
      <c r="G261" s="61"/>
      <c r="H261" s="7"/>
      <c r="I261" s="7"/>
    </row>
    <row r="262" spans="4:9" ht="12.75">
      <c r="D262" s="142"/>
      <c r="E262" s="142"/>
      <c r="F262" s="142"/>
      <c r="G262" s="61"/>
      <c r="H262" s="7"/>
      <c r="I262" s="7"/>
    </row>
    <row r="263" spans="4:9" ht="12.75">
      <c r="D263" s="142"/>
      <c r="E263" s="142"/>
      <c r="F263" s="142"/>
      <c r="G263" s="61"/>
      <c r="H263" s="7"/>
      <c r="I263" s="7"/>
    </row>
    <row r="264" spans="4:9" ht="12.75">
      <c r="D264" s="142"/>
      <c r="E264" s="142"/>
      <c r="F264" s="142"/>
      <c r="G264" s="61"/>
      <c r="H264" s="7"/>
      <c r="I264" s="7"/>
    </row>
    <row r="265" spans="4:9" ht="12.75">
      <c r="D265" s="142"/>
      <c r="E265" s="142"/>
      <c r="F265" s="142"/>
      <c r="G265" s="61"/>
      <c r="H265" s="7"/>
      <c r="I265" s="7"/>
    </row>
    <row r="266" spans="4:9" ht="12.75">
      <c r="D266" s="142"/>
      <c r="E266" s="142"/>
      <c r="F266" s="142"/>
      <c r="G266" s="61"/>
      <c r="H266" s="7"/>
      <c r="I266" s="7"/>
    </row>
    <row r="267" spans="4:9" ht="12.75">
      <c r="D267" s="142"/>
      <c r="E267" s="142"/>
      <c r="F267" s="142"/>
      <c r="G267" s="61"/>
      <c r="H267" s="7"/>
      <c r="I267" s="7"/>
    </row>
    <row r="268" spans="4:9" ht="12.75">
      <c r="D268" s="142"/>
      <c r="E268" s="142"/>
      <c r="F268" s="142"/>
      <c r="G268" s="61"/>
      <c r="H268" s="7"/>
      <c r="I268" s="7"/>
    </row>
    <row r="269" spans="4:9" ht="12.75">
      <c r="D269" s="142"/>
      <c r="E269" s="142"/>
      <c r="F269" s="142"/>
      <c r="G269" s="61"/>
      <c r="H269" s="7"/>
      <c r="I269" s="7"/>
    </row>
    <row r="270" spans="4:9" ht="12.75">
      <c r="D270" s="142"/>
      <c r="E270" s="142"/>
      <c r="F270" s="142"/>
      <c r="G270" s="61"/>
      <c r="H270" s="7"/>
      <c r="I270" s="7"/>
    </row>
    <row r="271" spans="4:9" ht="12.75">
      <c r="D271" s="142"/>
      <c r="E271" s="142"/>
      <c r="F271" s="142"/>
      <c r="G271" s="61"/>
      <c r="H271" s="7"/>
      <c r="I271" s="7"/>
    </row>
    <row r="272" spans="4:9" ht="12.75">
      <c r="D272" s="142"/>
      <c r="E272" s="142"/>
      <c r="F272" s="142"/>
      <c r="G272" s="61"/>
      <c r="H272" s="7"/>
      <c r="I272" s="7"/>
    </row>
    <row r="273" spans="4:9" ht="12.75">
      <c r="D273" s="142"/>
      <c r="E273" s="142"/>
      <c r="F273" s="142"/>
      <c r="G273" s="61"/>
      <c r="H273" s="7"/>
      <c r="I273" s="7"/>
    </row>
    <row r="274" spans="4:9" ht="12.75">
      <c r="D274" s="142"/>
      <c r="E274" s="142"/>
      <c r="F274" s="142"/>
      <c r="G274" s="61"/>
      <c r="H274" s="7"/>
      <c r="I274" s="7"/>
    </row>
    <row r="275" spans="4:9" ht="12.75">
      <c r="D275" s="142"/>
      <c r="E275" s="142"/>
      <c r="F275" s="142"/>
      <c r="G275" s="61"/>
      <c r="H275" s="7"/>
      <c r="I275" s="7"/>
    </row>
    <row r="276" spans="4:9" ht="12.75">
      <c r="D276" s="142"/>
      <c r="E276" s="142"/>
      <c r="F276" s="142"/>
      <c r="G276" s="61"/>
      <c r="H276" s="7"/>
      <c r="I276" s="7"/>
    </row>
    <row r="277" spans="4:9" ht="12.75">
      <c r="D277" s="142"/>
      <c r="E277" s="142"/>
      <c r="F277" s="142"/>
      <c r="G277" s="61"/>
      <c r="H277" s="7"/>
      <c r="I277" s="7"/>
    </row>
    <row r="278" spans="4:9" ht="12.75">
      <c r="D278" s="142"/>
      <c r="E278" s="142"/>
      <c r="F278" s="142"/>
      <c r="G278" s="61"/>
      <c r="H278" s="7"/>
      <c r="I278" s="7"/>
    </row>
    <row r="279" spans="4:9" ht="12.75">
      <c r="D279" s="142"/>
      <c r="E279" s="142"/>
      <c r="F279" s="142"/>
      <c r="G279" s="61"/>
      <c r="H279" s="7"/>
      <c r="I279" s="7"/>
    </row>
    <row r="280" spans="4:9" ht="12.75">
      <c r="D280" s="142"/>
      <c r="E280" s="142"/>
      <c r="F280" s="142"/>
      <c r="G280" s="61"/>
      <c r="H280" s="7"/>
      <c r="I280" s="7"/>
    </row>
    <row r="281" spans="4:9" ht="12.75">
      <c r="D281" s="142"/>
      <c r="E281" s="142"/>
      <c r="F281" s="142"/>
      <c r="G281" s="61"/>
      <c r="H281" s="7"/>
      <c r="I281" s="7"/>
    </row>
    <row r="282" spans="4:9" ht="12.75">
      <c r="D282" s="142"/>
      <c r="E282" s="142"/>
      <c r="F282" s="142"/>
      <c r="G282" s="61"/>
      <c r="H282" s="7"/>
      <c r="I282" s="7"/>
    </row>
    <row r="283" spans="4:9" ht="12.75">
      <c r="D283" s="142"/>
      <c r="E283" s="142"/>
      <c r="F283" s="142"/>
      <c r="G283" s="61"/>
      <c r="H283" s="7"/>
      <c r="I283" s="7"/>
    </row>
    <row r="284" spans="4:9" ht="12.75">
      <c r="D284" s="142"/>
      <c r="E284" s="142"/>
      <c r="F284" s="142"/>
      <c r="G284" s="61"/>
      <c r="H284" s="7"/>
      <c r="I284" s="7"/>
    </row>
    <row r="285" spans="4:9" ht="12.75">
      <c r="D285" s="142"/>
      <c r="E285" s="142"/>
      <c r="F285" s="142"/>
      <c r="G285" s="61"/>
      <c r="H285" s="7"/>
      <c r="I285" s="7"/>
    </row>
    <row r="286" spans="4:9" ht="12.75">
      <c r="D286" s="142"/>
      <c r="E286" s="142"/>
      <c r="F286" s="142"/>
      <c r="G286" s="61"/>
      <c r="H286" s="7"/>
      <c r="I286" s="7"/>
    </row>
    <row r="287" spans="4:9" ht="12.75">
      <c r="D287" s="142"/>
      <c r="E287" s="142"/>
      <c r="F287" s="142"/>
      <c r="G287" s="61"/>
      <c r="H287" s="7"/>
      <c r="I287" s="7"/>
    </row>
    <row r="288" spans="4:9" ht="12.75">
      <c r="D288" s="142"/>
      <c r="E288" s="142"/>
      <c r="F288" s="142"/>
      <c r="G288" s="61"/>
      <c r="H288" s="7"/>
      <c r="I288" s="7"/>
    </row>
    <row r="289" spans="4:9" ht="12.75">
      <c r="D289" s="142"/>
      <c r="E289" s="142"/>
      <c r="F289" s="142"/>
      <c r="G289" s="61"/>
      <c r="H289" s="7"/>
      <c r="I289" s="7"/>
    </row>
    <row r="290" spans="4:9" ht="12.75">
      <c r="D290" s="142"/>
      <c r="E290" s="142"/>
      <c r="F290" s="142"/>
      <c r="G290" s="61"/>
      <c r="H290" s="7"/>
      <c r="I290" s="7"/>
    </row>
    <row r="291" spans="4:9" ht="12.75">
      <c r="D291" s="142"/>
      <c r="E291" s="142"/>
      <c r="F291" s="142"/>
      <c r="G291" s="61"/>
      <c r="H291" s="7"/>
      <c r="I291" s="7"/>
    </row>
    <row r="292" spans="4:9" ht="12.75">
      <c r="D292" s="142"/>
      <c r="E292" s="142"/>
      <c r="F292" s="142"/>
      <c r="G292" s="61"/>
      <c r="H292" s="7"/>
      <c r="I292" s="7"/>
    </row>
    <row r="293" spans="4:9" ht="12.75">
      <c r="D293" s="142"/>
      <c r="E293" s="142"/>
      <c r="F293" s="142"/>
      <c r="G293" s="61"/>
      <c r="H293" s="7"/>
      <c r="I293" s="7"/>
    </row>
    <row r="294" spans="4:9" ht="12.75">
      <c r="D294" s="142"/>
      <c r="E294" s="142"/>
      <c r="F294" s="142"/>
      <c r="G294" s="61"/>
      <c r="H294" s="7"/>
      <c r="I294" s="7"/>
    </row>
    <row r="295" spans="4:9" ht="12.75">
      <c r="D295" s="142"/>
      <c r="E295" s="142"/>
      <c r="F295" s="142"/>
      <c r="G295" s="61"/>
      <c r="H295" s="7"/>
      <c r="I295" s="7"/>
    </row>
    <row r="296" spans="4:9" ht="12.75">
      <c r="D296" s="142"/>
      <c r="E296" s="142"/>
      <c r="F296" s="142"/>
      <c r="G296" s="61"/>
      <c r="H296" s="7"/>
      <c r="I296" s="7"/>
    </row>
    <row r="297" spans="4:9" ht="12.75">
      <c r="D297" s="142"/>
      <c r="E297" s="142"/>
      <c r="F297" s="142"/>
      <c r="G297" s="61"/>
      <c r="H297" s="7"/>
      <c r="I297" s="7"/>
    </row>
    <row r="298" spans="4:9" ht="12.75">
      <c r="D298" s="142"/>
      <c r="E298" s="142"/>
      <c r="F298" s="142"/>
      <c r="G298" s="61"/>
      <c r="H298" s="7"/>
      <c r="I298" s="7"/>
    </row>
    <row r="299" spans="4:9" ht="12.75">
      <c r="D299" s="142"/>
      <c r="E299" s="142"/>
      <c r="F299" s="142"/>
      <c r="G299" s="61"/>
      <c r="H299" s="7"/>
      <c r="I299" s="7"/>
    </row>
    <row r="300" spans="4:9" ht="12.75">
      <c r="D300" s="142"/>
      <c r="E300" s="142"/>
      <c r="F300" s="142"/>
      <c r="G300" s="61"/>
      <c r="H300" s="7"/>
      <c r="I300" s="7"/>
    </row>
    <row r="301" spans="4:9" ht="12.75">
      <c r="D301" s="142"/>
      <c r="E301" s="142"/>
      <c r="F301" s="142"/>
      <c r="G301" s="61"/>
      <c r="H301" s="7"/>
      <c r="I301" s="7"/>
    </row>
    <row r="302" spans="4:9" ht="12.75">
      <c r="D302" s="142"/>
      <c r="E302" s="142"/>
      <c r="F302" s="142"/>
      <c r="G302" s="61"/>
      <c r="H302" s="7"/>
      <c r="I302" s="7"/>
    </row>
    <row r="303" spans="4:9" ht="12.75">
      <c r="D303" s="142"/>
      <c r="E303" s="142"/>
      <c r="F303" s="142"/>
      <c r="G303" s="61"/>
      <c r="H303" s="7"/>
      <c r="I303" s="7"/>
    </row>
    <row r="304" spans="4:9" ht="12.75">
      <c r="D304" s="142"/>
      <c r="E304" s="142"/>
      <c r="F304" s="142"/>
      <c r="G304" s="61"/>
      <c r="H304" s="7"/>
      <c r="I304" s="7"/>
    </row>
    <row r="305" spans="4:9" ht="12.75">
      <c r="D305" s="142"/>
      <c r="E305" s="142"/>
      <c r="F305" s="142"/>
      <c r="G305" s="61"/>
      <c r="H305" s="7"/>
      <c r="I305" s="7"/>
    </row>
    <row r="306" spans="4:9" ht="12.75">
      <c r="D306" s="142"/>
      <c r="E306" s="142"/>
      <c r="F306" s="142"/>
      <c r="G306" s="61"/>
      <c r="H306" s="7"/>
      <c r="I306" s="7"/>
    </row>
    <row r="307" spans="4:9" ht="12.75">
      <c r="D307" s="142"/>
      <c r="E307" s="142"/>
      <c r="F307" s="142"/>
      <c r="G307" s="61"/>
      <c r="H307" s="7"/>
      <c r="I307" s="7"/>
    </row>
    <row r="308" spans="4:9" ht="12.75">
      <c r="D308" s="142"/>
      <c r="E308" s="142"/>
      <c r="F308" s="142"/>
      <c r="G308" s="61"/>
      <c r="H308" s="7"/>
      <c r="I308" s="7"/>
    </row>
    <row r="309" spans="4:9" ht="12.75">
      <c r="D309" s="142"/>
      <c r="E309" s="142"/>
      <c r="F309" s="142"/>
      <c r="G309" s="61"/>
      <c r="H309" s="7"/>
      <c r="I309" s="7"/>
    </row>
    <row r="310" spans="4:9" ht="12.75">
      <c r="D310" s="142"/>
      <c r="E310" s="142"/>
      <c r="F310" s="142"/>
      <c r="G310" s="61"/>
      <c r="H310" s="7"/>
      <c r="I310" s="7"/>
    </row>
    <row r="311" spans="4:9" ht="12.75">
      <c r="D311" s="142"/>
      <c r="E311" s="142"/>
      <c r="F311" s="142"/>
      <c r="G311" s="61"/>
      <c r="H311" s="7"/>
      <c r="I311" s="7"/>
    </row>
    <row r="312" spans="4:9" ht="12.75">
      <c r="D312" s="142"/>
      <c r="E312" s="142"/>
      <c r="F312" s="142"/>
      <c r="G312" s="61"/>
      <c r="H312" s="7"/>
      <c r="I312" s="7"/>
    </row>
    <row r="313" spans="4:9" ht="12.75">
      <c r="D313" s="142"/>
      <c r="E313" s="142"/>
      <c r="F313" s="142"/>
      <c r="G313" s="61"/>
      <c r="H313" s="7"/>
      <c r="I313" s="7"/>
    </row>
    <row r="314" spans="4:9" ht="12.75">
      <c r="D314" s="142"/>
      <c r="E314" s="142"/>
      <c r="F314" s="142"/>
      <c r="G314" s="61"/>
      <c r="H314" s="7"/>
      <c r="I314" s="7"/>
    </row>
    <row r="315" spans="4:9" ht="12.75">
      <c r="D315" s="142"/>
      <c r="E315" s="142"/>
      <c r="F315" s="142"/>
      <c r="G315" s="61"/>
      <c r="H315" s="7"/>
      <c r="I315" s="7"/>
    </row>
    <row r="316" spans="4:9" ht="12.75">
      <c r="D316" s="142"/>
      <c r="E316" s="142"/>
      <c r="F316" s="142"/>
      <c r="G316" s="61"/>
      <c r="H316" s="7"/>
      <c r="I316" s="7"/>
    </row>
    <row r="317" spans="4:9" ht="12.75">
      <c r="D317" s="142"/>
      <c r="E317" s="142"/>
      <c r="F317" s="142"/>
      <c r="G317" s="61"/>
      <c r="H317" s="7"/>
      <c r="I317" s="7"/>
    </row>
    <row r="318" spans="4:9" ht="12.75">
      <c r="D318" s="142"/>
      <c r="E318" s="142"/>
      <c r="F318" s="142"/>
      <c r="G318" s="61"/>
      <c r="H318" s="7"/>
      <c r="I318" s="7"/>
    </row>
    <row r="319" spans="4:9" ht="12.75">
      <c r="D319" s="142"/>
      <c r="E319" s="142"/>
      <c r="F319" s="142"/>
      <c r="G319" s="61"/>
      <c r="H319" s="7"/>
      <c r="I319" s="7"/>
    </row>
    <row r="320" spans="4:9" ht="12.75">
      <c r="D320" s="142"/>
      <c r="E320" s="142"/>
      <c r="F320" s="142"/>
      <c r="G320" s="61"/>
      <c r="H320" s="7"/>
      <c r="I320" s="7"/>
    </row>
    <row r="321" spans="4:9" ht="12.75">
      <c r="D321" s="142"/>
      <c r="E321" s="142"/>
      <c r="F321" s="142"/>
      <c r="G321" s="61"/>
      <c r="H321" s="7"/>
      <c r="I321" s="7"/>
    </row>
    <row r="322" spans="4:9" ht="12.75">
      <c r="D322" s="142"/>
      <c r="E322" s="142"/>
      <c r="F322" s="142"/>
      <c r="G322" s="61"/>
      <c r="H322" s="7"/>
      <c r="I322" s="7"/>
    </row>
    <row r="323" spans="4:9" ht="12.75">
      <c r="D323" s="142"/>
      <c r="E323" s="142"/>
      <c r="F323" s="142"/>
      <c r="G323" s="61"/>
      <c r="H323" s="7"/>
      <c r="I323" s="7"/>
    </row>
    <row r="324" spans="4:9" ht="12.75">
      <c r="D324" s="142"/>
      <c r="E324" s="142"/>
      <c r="F324" s="142"/>
      <c r="G324" s="61"/>
      <c r="H324" s="7"/>
      <c r="I324" s="7"/>
    </row>
    <row r="325" spans="4:9" ht="12.75">
      <c r="D325" s="142"/>
      <c r="E325" s="142"/>
      <c r="F325" s="142"/>
      <c r="G325" s="61"/>
      <c r="H325" s="7"/>
      <c r="I325" s="7"/>
    </row>
    <row r="326" spans="4:9" ht="12.75">
      <c r="D326" s="142"/>
      <c r="E326" s="142"/>
      <c r="F326" s="142"/>
      <c r="G326" s="61"/>
      <c r="H326" s="7"/>
      <c r="I326" s="7"/>
    </row>
    <row r="327" spans="4:9" ht="12.75">
      <c r="D327" s="142"/>
      <c r="E327" s="142"/>
      <c r="F327" s="142"/>
      <c r="G327" s="61"/>
      <c r="H327" s="7"/>
      <c r="I327" s="7"/>
    </row>
    <row r="328" spans="4:9" ht="12.75">
      <c r="D328" s="142"/>
      <c r="E328" s="142"/>
      <c r="F328" s="142"/>
      <c r="G328" s="61"/>
      <c r="H328" s="7"/>
      <c r="I328" s="7"/>
    </row>
    <row r="329" spans="4:9" ht="12.75">
      <c r="D329" s="142"/>
      <c r="E329" s="142"/>
      <c r="F329" s="142"/>
      <c r="G329" s="61"/>
      <c r="H329" s="7"/>
      <c r="I329" s="7"/>
    </row>
    <row r="330" spans="4:9" ht="12.75">
      <c r="D330" s="142"/>
      <c r="E330" s="142"/>
      <c r="F330" s="142"/>
      <c r="G330" s="61"/>
      <c r="H330" s="7"/>
      <c r="I330" s="7"/>
    </row>
    <row r="331" spans="4:9" ht="12.75">
      <c r="D331" s="142"/>
      <c r="E331" s="142"/>
      <c r="F331" s="142"/>
      <c r="G331" s="61"/>
      <c r="H331" s="7"/>
      <c r="I331" s="7"/>
    </row>
    <row r="332" spans="4:9" ht="12.75">
      <c r="D332" s="142"/>
      <c r="E332" s="142"/>
      <c r="F332" s="142"/>
      <c r="G332" s="61"/>
      <c r="H332" s="7"/>
      <c r="I332" s="7"/>
    </row>
    <row r="333" spans="4:9" ht="12.75">
      <c r="D333" s="142"/>
      <c r="E333" s="142"/>
      <c r="F333" s="142"/>
      <c r="G333" s="61"/>
      <c r="H333" s="7"/>
      <c r="I333" s="7"/>
    </row>
    <row r="334" spans="4:9" ht="12.75">
      <c r="D334" s="142"/>
      <c r="E334" s="142"/>
      <c r="F334" s="142"/>
      <c r="G334" s="61"/>
      <c r="H334" s="7"/>
      <c r="I334" s="7"/>
    </row>
    <row r="335" spans="4:9" ht="12.75">
      <c r="D335" s="142"/>
      <c r="E335" s="142"/>
      <c r="F335" s="142"/>
      <c r="G335" s="61"/>
      <c r="H335" s="7"/>
      <c r="I335" s="7"/>
    </row>
    <row r="336" spans="4:9" ht="12.75">
      <c r="D336" s="142"/>
      <c r="E336" s="142"/>
      <c r="F336" s="142"/>
      <c r="G336" s="61"/>
      <c r="H336" s="7"/>
      <c r="I336" s="7"/>
    </row>
    <row r="337" spans="4:9" ht="12.75">
      <c r="D337" s="142"/>
      <c r="E337" s="142"/>
      <c r="F337" s="142"/>
      <c r="G337" s="61"/>
      <c r="H337" s="7"/>
      <c r="I337" s="7"/>
    </row>
    <row r="338" spans="4:9" ht="12.75">
      <c r="D338" s="142"/>
      <c r="E338" s="142"/>
      <c r="F338" s="142"/>
      <c r="G338" s="61"/>
      <c r="H338" s="7"/>
      <c r="I338" s="7"/>
    </row>
    <row r="339" spans="4:9" ht="12.75">
      <c r="D339" s="142"/>
      <c r="E339" s="142"/>
      <c r="F339" s="142"/>
      <c r="G339" s="61"/>
      <c r="H339" s="7"/>
      <c r="I339" s="7"/>
    </row>
    <row r="340" spans="4:9" ht="12.75">
      <c r="D340" s="142"/>
      <c r="E340" s="142"/>
      <c r="F340" s="142"/>
      <c r="G340" s="61"/>
      <c r="H340" s="7"/>
      <c r="I340" s="7"/>
    </row>
    <row r="341" spans="4:9" ht="12.75">
      <c r="D341" s="142"/>
      <c r="E341" s="142"/>
      <c r="F341" s="142"/>
      <c r="G341" s="61"/>
      <c r="H341" s="7"/>
      <c r="I341" s="7"/>
    </row>
    <row r="342" spans="4:9" ht="12.75">
      <c r="D342" s="142"/>
      <c r="E342" s="142"/>
      <c r="F342" s="142"/>
      <c r="G342" s="61"/>
      <c r="H342" s="7"/>
      <c r="I342" s="7"/>
    </row>
    <row r="343" spans="4:9" ht="12.75">
      <c r="D343" s="142"/>
      <c r="E343" s="142"/>
      <c r="F343" s="142"/>
      <c r="G343" s="61"/>
      <c r="H343" s="7"/>
      <c r="I343" s="7"/>
    </row>
    <row r="344" spans="4:9" ht="12.75">
      <c r="D344" s="142"/>
      <c r="E344" s="142"/>
      <c r="F344" s="142"/>
      <c r="G344" s="61"/>
      <c r="H344" s="7"/>
      <c r="I344" s="7"/>
    </row>
    <row r="345" spans="4:9" ht="12.75">
      <c r="D345" s="142"/>
      <c r="E345" s="142"/>
      <c r="F345" s="142"/>
      <c r="G345" s="61"/>
      <c r="H345" s="7"/>
      <c r="I345" s="7"/>
    </row>
    <row r="346" spans="4:9" ht="12.75">
      <c r="D346" s="142"/>
      <c r="E346" s="142"/>
      <c r="F346" s="142"/>
      <c r="G346" s="61"/>
      <c r="H346" s="7"/>
      <c r="I346" s="7"/>
    </row>
    <row r="347" spans="4:9" ht="12.75">
      <c r="D347" s="142"/>
      <c r="E347" s="142"/>
      <c r="F347" s="142"/>
      <c r="G347" s="61"/>
      <c r="H347" s="7"/>
      <c r="I347" s="7"/>
    </row>
    <row r="348" spans="4:9" ht="12.75">
      <c r="D348" s="142"/>
      <c r="E348" s="142"/>
      <c r="F348" s="142"/>
      <c r="G348" s="61"/>
      <c r="H348" s="7"/>
      <c r="I348" s="7"/>
    </row>
    <row r="349" spans="4:9" ht="12.75">
      <c r="D349" s="142"/>
      <c r="E349" s="142"/>
      <c r="F349" s="142"/>
      <c r="G349" s="61"/>
      <c r="H349" s="7"/>
      <c r="I349" s="7"/>
    </row>
    <row r="350" spans="4:9" ht="12.75">
      <c r="D350" s="142"/>
      <c r="E350" s="142"/>
      <c r="F350" s="142"/>
      <c r="G350" s="61"/>
      <c r="H350" s="7"/>
      <c r="I350" s="7"/>
    </row>
    <row r="351" spans="4:9" ht="12.75">
      <c r="D351" s="142"/>
      <c r="E351" s="142"/>
      <c r="F351" s="142"/>
      <c r="G351" s="61"/>
      <c r="H351" s="7"/>
      <c r="I351" s="7"/>
    </row>
    <row r="352" spans="4:9" ht="12.75">
      <c r="D352" s="142"/>
      <c r="E352" s="142"/>
      <c r="F352" s="142"/>
      <c r="G352" s="61"/>
      <c r="H352" s="7"/>
      <c r="I352" s="7"/>
    </row>
    <row r="353" spans="4:9" ht="12.75">
      <c r="D353" s="142"/>
      <c r="E353" s="142"/>
      <c r="F353" s="142"/>
      <c r="G353" s="61"/>
      <c r="H353" s="7"/>
      <c r="I353" s="7"/>
    </row>
    <row r="354" spans="4:9" ht="12.75">
      <c r="D354" s="142"/>
      <c r="E354" s="142"/>
      <c r="F354" s="142"/>
      <c r="G354" s="61"/>
      <c r="H354" s="7"/>
      <c r="I354" s="7"/>
    </row>
    <row r="355" spans="4:9" ht="12.75">
      <c r="D355" s="142"/>
      <c r="E355" s="142"/>
      <c r="F355" s="142"/>
      <c r="G355" s="61"/>
      <c r="H355" s="7"/>
      <c r="I355" s="7"/>
    </row>
    <row r="356" spans="4:9" ht="12.75">
      <c r="D356" s="142"/>
      <c r="E356" s="142"/>
      <c r="F356" s="142"/>
      <c r="G356" s="61"/>
      <c r="H356" s="7"/>
      <c r="I356" s="7"/>
    </row>
    <row r="357" spans="4:9" ht="12.75">
      <c r="D357" s="142"/>
      <c r="E357" s="142"/>
      <c r="F357" s="142"/>
      <c r="G357" s="61"/>
      <c r="H357" s="7"/>
      <c r="I357" s="7"/>
    </row>
    <row r="358" spans="4:9" ht="12.75">
      <c r="D358" s="142"/>
      <c r="E358" s="142"/>
      <c r="F358" s="142"/>
      <c r="G358" s="61"/>
      <c r="H358" s="7"/>
      <c r="I358" s="7"/>
    </row>
    <row r="359" spans="4:9" ht="12.75">
      <c r="D359" s="142"/>
      <c r="E359" s="142"/>
      <c r="F359" s="142"/>
      <c r="G359" s="61"/>
      <c r="H359" s="7"/>
      <c r="I359" s="7"/>
    </row>
    <row r="360" spans="4:9" ht="12.75">
      <c r="D360" s="142"/>
      <c r="E360" s="142"/>
      <c r="F360" s="142"/>
      <c r="G360" s="61"/>
      <c r="H360" s="7"/>
      <c r="I360" s="7"/>
    </row>
    <row r="361" spans="4:9" ht="12.75">
      <c r="D361" s="142"/>
      <c r="E361" s="142"/>
      <c r="F361" s="142"/>
      <c r="G361" s="61"/>
      <c r="H361" s="7"/>
      <c r="I361" s="7"/>
    </row>
    <row r="362" spans="4:9" ht="12.75">
      <c r="D362" s="142"/>
      <c r="E362" s="142"/>
      <c r="F362" s="142"/>
      <c r="G362" s="61"/>
      <c r="H362" s="7"/>
      <c r="I362" s="7"/>
    </row>
    <row r="363" spans="4:9" ht="12.75">
      <c r="D363" s="142"/>
      <c r="E363" s="142"/>
      <c r="F363" s="142"/>
      <c r="G363" s="61"/>
      <c r="H363" s="7"/>
      <c r="I363" s="7"/>
    </row>
    <row r="364" spans="4:9" ht="12.75">
      <c r="D364" s="142"/>
      <c r="E364" s="142"/>
      <c r="F364" s="142"/>
      <c r="G364" s="61"/>
      <c r="H364" s="7"/>
      <c r="I364" s="7"/>
    </row>
    <row r="365" spans="4:9" ht="12.75">
      <c r="D365" s="142"/>
      <c r="E365" s="142"/>
      <c r="F365" s="142"/>
      <c r="G365" s="61"/>
      <c r="H365" s="7"/>
      <c r="I365" s="7"/>
    </row>
    <row r="366" spans="4:9" ht="12.75">
      <c r="D366" s="142"/>
      <c r="E366" s="142"/>
      <c r="F366" s="142"/>
      <c r="G366" s="61"/>
      <c r="H366" s="7"/>
      <c r="I366" s="7"/>
    </row>
    <row r="367" spans="4:9" ht="12.75">
      <c r="D367" s="142"/>
      <c r="E367" s="142"/>
      <c r="F367" s="142"/>
      <c r="G367" s="61"/>
      <c r="H367" s="7"/>
      <c r="I367" s="7"/>
    </row>
    <row r="368" spans="4:9" ht="12.75">
      <c r="D368" s="142"/>
      <c r="E368" s="142"/>
      <c r="F368" s="142"/>
      <c r="G368" s="61"/>
      <c r="H368" s="7"/>
      <c r="I368" s="7"/>
    </row>
    <row r="369" spans="4:9" ht="12.75">
      <c r="D369" s="142"/>
      <c r="E369" s="142"/>
      <c r="F369" s="142"/>
      <c r="G369" s="61"/>
      <c r="H369" s="7"/>
      <c r="I369" s="7"/>
    </row>
    <row r="370" spans="4:9" ht="12.75">
      <c r="D370" s="142"/>
      <c r="E370" s="142"/>
      <c r="F370" s="142"/>
      <c r="G370" s="61"/>
      <c r="H370" s="7"/>
      <c r="I370" s="7"/>
    </row>
    <row r="371" spans="4:9" ht="12.75">
      <c r="D371" s="142"/>
      <c r="E371" s="142"/>
      <c r="F371" s="142"/>
      <c r="G371" s="61"/>
      <c r="H371" s="7"/>
      <c r="I371" s="7"/>
    </row>
    <row r="372" spans="4:9" ht="12.75">
      <c r="D372" s="142"/>
      <c r="E372" s="142"/>
      <c r="F372" s="142"/>
      <c r="G372" s="61"/>
      <c r="H372" s="7"/>
      <c r="I372" s="7"/>
    </row>
    <row r="373" spans="4:9" ht="12.75">
      <c r="D373" s="142"/>
      <c r="E373" s="142"/>
      <c r="F373" s="142"/>
      <c r="G373" s="61"/>
      <c r="H373" s="7"/>
      <c r="I373" s="7"/>
    </row>
    <row r="374" spans="4:9" ht="12.75">
      <c r="D374" s="142"/>
      <c r="E374" s="142"/>
      <c r="F374" s="142"/>
      <c r="G374" s="61"/>
      <c r="H374" s="7"/>
      <c r="I374" s="7"/>
    </row>
    <row r="375" spans="4:9" ht="12.75">
      <c r="D375" s="142"/>
      <c r="E375" s="142"/>
      <c r="F375" s="142"/>
      <c r="G375" s="61"/>
      <c r="H375" s="7"/>
      <c r="I375" s="7"/>
    </row>
    <row r="376" spans="4:9" ht="12.75">
      <c r="D376" s="142"/>
      <c r="E376" s="142"/>
      <c r="F376" s="142"/>
      <c r="G376" s="61"/>
      <c r="H376" s="7"/>
      <c r="I376" s="7"/>
    </row>
    <row r="377" spans="4:9" ht="12.75">
      <c r="D377" s="142"/>
      <c r="E377" s="142"/>
      <c r="F377" s="142"/>
      <c r="G377" s="61"/>
      <c r="H377" s="7"/>
      <c r="I377" s="7"/>
    </row>
    <row r="378" spans="4:9" ht="12.75">
      <c r="D378" s="142"/>
      <c r="E378" s="142"/>
      <c r="F378" s="142"/>
      <c r="G378" s="61"/>
      <c r="H378" s="7"/>
      <c r="I378" s="7"/>
    </row>
    <row r="379" spans="4:9" ht="12.75">
      <c r="D379" s="142"/>
      <c r="E379" s="142"/>
      <c r="F379" s="142"/>
      <c r="G379" s="61"/>
      <c r="H379" s="7"/>
      <c r="I379" s="7"/>
    </row>
    <row r="380" spans="4:9" ht="12.75">
      <c r="D380" s="142"/>
      <c r="E380" s="142"/>
      <c r="F380" s="142"/>
      <c r="G380" s="61"/>
      <c r="H380" s="7"/>
      <c r="I380" s="7"/>
    </row>
    <row r="381" spans="4:9" ht="12.75">
      <c r="D381" s="142"/>
      <c r="E381" s="142"/>
      <c r="F381" s="142"/>
      <c r="G381" s="61"/>
      <c r="H381" s="7"/>
      <c r="I381" s="7"/>
    </row>
    <row r="382" spans="4:9" ht="12.75">
      <c r="D382" s="142"/>
      <c r="E382" s="142"/>
      <c r="F382" s="142"/>
      <c r="G382" s="61"/>
      <c r="H382" s="7"/>
      <c r="I382" s="7"/>
    </row>
    <row r="383" spans="4:9" ht="12.75">
      <c r="D383" s="142"/>
      <c r="E383" s="142"/>
      <c r="F383" s="142"/>
      <c r="G383" s="61"/>
      <c r="H383" s="7"/>
      <c r="I383" s="7"/>
    </row>
    <row r="384" spans="4:9" ht="12.75">
      <c r="D384" s="142"/>
      <c r="E384" s="142"/>
      <c r="F384" s="142"/>
      <c r="G384" s="61"/>
      <c r="H384" s="7"/>
      <c r="I384" s="7"/>
    </row>
    <row r="385" spans="4:9" ht="12.75">
      <c r="D385" s="142"/>
      <c r="E385" s="142"/>
      <c r="F385" s="142"/>
      <c r="G385" s="61"/>
      <c r="H385" s="7"/>
      <c r="I385" s="7"/>
    </row>
    <row r="386" spans="4:9" ht="12.75">
      <c r="D386" s="142"/>
      <c r="E386" s="142"/>
      <c r="F386" s="142"/>
      <c r="G386" s="61"/>
      <c r="H386" s="7"/>
      <c r="I386" s="7"/>
    </row>
    <row r="387" spans="4:9" ht="12.75">
      <c r="D387" s="142"/>
      <c r="E387" s="142"/>
      <c r="F387" s="142"/>
      <c r="G387" s="61"/>
      <c r="H387" s="7"/>
      <c r="I387" s="7"/>
    </row>
    <row r="388" spans="4:9" ht="12.75">
      <c r="D388" s="142"/>
      <c r="E388" s="142"/>
      <c r="F388" s="142"/>
      <c r="G388" s="61"/>
      <c r="H388" s="7"/>
      <c r="I388" s="7"/>
    </row>
    <row r="389" spans="4:9" ht="12.75">
      <c r="D389" s="142"/>
      <c r="E389" s="142"/>
      <c r="F389" s="142"/>
      <c r="G389" s="61"/>
      <c r="H389" s="7"/>
      <c r="I389" s="7"/>
    </row>
    <row r="390" spans="4:9" ht="12.75">
      <c r="D390" s="142"/>
      <c r="E390" s="142"/>
      <c r="F390" s="142"/>
      <c r="G390" s="61"/>
      <c r="H390" s="7"/>
      <c r="I390" s="7"/>
    </row>
    <row r="391" spans="4:9" ht="12.75">
      <c r="D391" s="142"/>
      <c r="E391" s="142"/>
      <c r="F391" s="142"/>
      <c r="G391" s="61"/>
      <c r="H391" s="7"/>
      <c r="I391" s="7"/>
    </row>
    <row r="392" spans="4:9" ht="12.75">
      <c r="D392" s="142"/>
      <c r="E392" s="142"/>
      <c r="F392" s="142"/>
      <c r="G392" s="61"/>
      <c r="H392" s="7"/>
      <c r="I392" s="7"/>
    </row>
    <row r="393" spans="4:9" ht="12.75">
      <c r="D393" s="142"/>
      <c r="E393" s="142"/>
      <c r="F393" s="142"/>
      <c r="G393" s="61"/>
      <c r="H393" s="7"/>
      <c r="I393" s="7"/>
    </row>
    <row r="394" spans="4:9" ht="12.75">
      <c r="D394" s="142"/>
      <c r="E394" s="142"/>
      <c r="F394" s="142"/>
      <c r="G394" s="61"/>
      <c r="H394" s="7"/>
      <c r="I394" s="7"/>
    </row>
    <row r="395" spans="4:9" ht="12.75">
      <c r="D395" s="142"/>
      <c r="E395" s="142"/>
      <c r="F395" s="142"/>
      <c r="G395" s="61"/>
      <c r="H395" s="7"/>
      <c r="I395" s="7"/>
    </row>
    <row r="396" spans="4:9" ht="12.75">
      <c r="D396" s="142"/>
      <c r="E396" s="142"/>
      <c r="F396" s="142"/>
      <c r="G396" s="61"/>
      <c r="H396" s="7"/>
      <c r="I396" s="7"/>
    </row>
    <row r="397" spans="4:9" ht="12.75">
      <c r="D397" s="142"/>
      <c r="E397" s="142"/>
      <c r="F397" s="142"/>
      <c r="G397" s="61"/>
      <c r="H397" s="7"/>
      <c r="I397" s="7"/>
    </row>
    <row r="398" spans="4:9" ht="12.75">
      <c r="D398" s="142"/>
      <c r="E398" s="142"/>
      <c r="F398" s="142"/>
      <c r="G398" s="61"/>
      <c r="H398" s="7"/>
      <c r="I398" s="7"/>
    </row>
    <row r="399" spans="4:9" ht="12.75">
      <c r="D399" s="142"/>
      <c r="E399" s="142"/>
      <c r="F399" s="142"/>
      <c r="G399" s="61"/>
      <c r="H399" s="7"/>
      <c r="I399" s="7"/>
    </row>
    <row r="400" spans="4:9" ht="12.75">
      <c r="D400" s="142"/>
      <c r="E400" s="142"/>
      <c r="F400" s="142"/>
      <c r="G400" s="61"/>
      <c r="H400" s="7"/>
      <c r="I400" s="7"/>
    </row>
    <row r="401" spans="4:9" ht="12.75">
      <c r="D401" s="142"/>
      <c r="E401" s="142"/>
      <c r="F401" s="142"/>
      <c r="G401" s="61"/>
      <c r="H401" s="7"/>
      <c r="I401" s="7"/>
    </row>
    <row r="402" spans="4:9" ht="12.75">
      <c r="D402" s="142"/>
      <c r="E402" s="142"/>
      <c r="F402" s="142"/>
      <c r="G402" s="61"/>
      <c r="H402" s="7"/>
      <c r="I402" s="7"/>
    </row>
    <row r="403" spans="4:9" ht="12.75">
      <c r="D403" s="142"/>
      <c r="E403" s="142"/>
      <c r="F403" s="142"/>
      <c r="G403" s="61"/>
      <c r="H403" s="7"/>
      <c r="I403" s="7"/>
    </row>
    <row r="404" spans="4:9" ht="12.75">
      <c r="D404" s="142"/>
      <c r="E404" s="142"/>
      <c r="F404" s="142"/>
      <c r="G404" s="61"/>
      <c r="H404" s="7"/>
      <c r="I404" s="7"/>
    </row>
    <row r="405" spans="4:9" ht="12.75">
      <c r="D405" s="142"/>
      <c r="E405" s="142"/>
      <c r="F405" s="142"/>
      <c r="G405" s="61"/>
      <c r="H405" s="7"/>
      <c r="I405" s="7"/>
    </row>
    <row r="406" spans="4:9" ht="12.75">
      <c r="D406" s="142"/>
      <c r="E406" s="142"/>
      <c r="F406" s="142"/>
      <c r="G406" s="61"/>
      <c r="H406" s="7"/>
      <c r="I406" s="7"/>
    </row>
    <row r="407" spans="4:9" ht="12.75">
      <c r="D407" s="142"/>
      <c r="E407" s="142"/>
      <c r="F407" s="142"/>
      <c r="G407" s="61"/>
      <c r="H407" s="7"/>
      <c r="I407" s="7"/>
    </row>
    <row r="408" spans="4:9" ht="12.75">
      <c r="D408" s="142"/>
      <c r="E408" s="142"/>
      <c r="F408" s="142"/>
      <c r="G408" s="61"/>
      <c r="H408" s="7"/>
      <c r="I408" s="7"/>
    </row>
    <row r="409" spans="4:9" ht="12.75">
      <c r="D409" s="142"/>
      <c r="E409" s="142"/>
      <c r="F409" s="142"/>
      <c r="G409" s="61"/>
      <c r="H409" s="7"/>
      <c r="I409" s="7"/>
    </row>
    <row r="410" spans="4:9" ht="12.75">
      <c r="D410" s="142"/>
      <c r="E410" s="142"/>
      <c r="F410" s="142"/>
      <c r="G410" s="61"/>
      <c r="H410" s="7"/>
      <c r="I410" s="7"/>
    </row>
    <row r="411" spans="4:9" ht="12.75">
      <c r="D411" s="142"/>
      <c r="E411" s="142"/>
      <c r="F411" s="142"/>
      <c r="G411" s="61"/>
      <c r="H411" s="7"/>
      <c r="I411" s="7"/>
    </row>
    <row r="412" spans="4:9" ht="12.75">
      <c r="D412" s="142"/>
      <c r="E412" s="142"/>
      <c r="F412" s="142"/>
      <c r="G412" s="61"/>
      <c r="H412" s="7"/>
      <c r="I412" s="7"/>
    </row>
    <row r="413" spans="4:9" ht="12.75">
      <c r="D413" s="142"/>
      <c r="E413" s="142"/>
      <c r="F413" s="142"/>
      <c r="G413" s="61"/>
      <c r="H413" s="7"/>
      <c r="I413" s="7"/>
    </row>
    <row r="414" spans="4:9" ht="12.75">
      <c r="D414" s="142"/>
      <c r="E414" s="142"/>
      <c r="F414" s="142"/>
      <c r="G414" s="61"/>
      <c r="H414" s="7"/>
      <c r="I414" s="7"/>
    </row>
    <row r="415" spans="4:9" ht="12.75">
      <c r="D415" s="142"/>
      <c r="E415" s="142"/>
      <c r="F415" s="142"/>
      <c r="G415" s="61"/>
      <c r="H415" s="7"/>
      <c r="I415" s="7"/>
    </row>
    <row r="416" spans="4:9" ht="12.75">
      <c r="D416" s="142"/>
      <c r="E416" s="142"/>
      <c r="F416" s="142"/>
      <c r="G416" s="61"/>
      <c r="H416" s="7"/>
      <c r="I416" s="7"/>
    </row>
    <row r="417" spans="4:9" ht="12.75">
      <c r="D417" s="142"/>
      <c r="E417" s="142"/>
      <c r="F417" s="142"/>
      <c r="G417" s="61"/>
      <c r="H417" s="7"/>
      <c r="I417" s="7"/>
    </row>
    <row r="418" spans="4:9" ht="12.75">
      <c r="D418" s="142"/>
      <c r="E418" s="142"/>
      <c r="F418" s="142"/>
      <c r="G418" s="61"/>
      <c r="H418" s="7"/>
      <c r="I418" s="7"/>
    </row>
    <row r="419" spans="4:9" ht="12.75">
      <c r="D419" s="142"/>
      <c r="E419" s="142"/>
      <c r="F419" s="142"/>
      <c r="G419" s="61"/>
      <c r="H419" s="7"/>
      <c r="I419" s="7"/>
    </row>
    <row r="420" spans="4:9" ht="12.75">
      <c r="D420" s="142"/>
      <c r="E420" s="142"/>
      <c r="F420" s="142"/>
      <c r="G420" s="61"/>
      <c r="H420" s="7"/>
      <c r="I420" s="7"/>
    </row>
    <row r="421" spans="4:9" ht="12.75">
      <c r="D421" s="142"/>
      <c r="E421" s="142"/>
      <c r="F421" s="142"/>
      <c r="G421" s="61"/>
      <c r="H421" s="7"/>
      <c r="I421" s="7"/>
    </row>
    <row r="422" spans="4:9" ht="12.75">
      <c r="D422" s="142"/>
      <c r="E422" s="142"/>
      <c r="F422" s="142"/>
      <c r="G422" s="61"/>
      <c r="H422" s="7"/>
      <c r="I422" s="7"/>
    </row>
    <row r="423" spans="4:9" ht="12.75">
      <c r="D423" s="142"/>
      <c r="E423" s="142"/>
      <c r="F423" s="142"/>
      <c r="G423" s="61"/>
      <c r="H423" s="7"/>
      <c r="I423" s="7"/>
    </row>
    <row r="424" spans="4:9" ht="12.75">
      <c r="D424" s="142"/>
      <c r="E424" s="142"/>
      <c r="F424" s="142"/>
      <c r="G424" s="61"/>
      <c r="H424" s="7"/>
      <c r="I424" s="7"/>
    </row>
    <row r="425" spans="4:9" ht="12.75">
      <c r="D425" s="142"/>
      <c r="E425" s="142"/>
      <c r="F425" s="142"/>
      <c r="G425" s="61"/>
      <c r="H425" s="7"/>
      <c r="I425" s="7"/>
    </row>
    <row r="426" spans="4:9" ht="12.75">
      <c r="D426" s="142"/>
      <c r="E426" s="142"/>
      <c r="F426" s="142"/>
      <c r="G426" s="61"/>
      <c r="H426" s="7"/>
      <c r="I426" s="7"/>
    </row>
    <row r="427" spans="4:9" ht="12.75">
      <c r="D427" s="142"/>
      <c r="E427" s="142"/>
      <c r="F427" s="142"/>
      <c r="G427" s="61"/>
      <c r="H427" s="7"/>
      <c r="I427" s="7"/>
    </row>
    <row r="428" spans="4:9" ht="12.75">
      <c r="D428" s="142"/>
      <c r="E428" s="142"/>
      <c r="F428" s="142"/>
      <c r="G428" s="61"/>
      <c r="H428" s="7"/>
      <c r="I428" s="7"/>
    </row>
    <row r="429" spans="4:9" ht="12.75">
      <c r="D429" s="142"/>
      <c r="E429" s="142"/>
      <c r="F429" s="142"/>
      <c r="G429" s="61"/>
      <c r="H429" s="7"/>
      <c r="I429" s="7"/>
    </row>
    <row r="430" spans="4:9" ht="12.75">
      <c r="D430" s="142"/>
      <c r="E430" s="142"/>
      <c r="F430" s="142"/>
      <c r="G430" s="61"/>
      <c r="H430" s="7"/>
      <c r="I430" s="7"/>
    </row>
    <row r="431" spans="4:9" ht="12.75">
      <c r="D431" s="142"/>
      <c r="E431" s="142"/>
      <c r="F431" s="142"/>
      <c r="G431" s="61"/>
      <c r="H431" s="7"/>
      <c r="I431" s="7"/>
    </row>
    <row r="432" spans="4:9" ht="12.75">
      <c r="D432" s="142"/>
      <c r="E432" s="142"/>
      <c r="F432" s="142"/>
      <c r="G432" s="61"/>
      <c r="H432" s="7"/>
      <c r="I432" s="7"/>
    </row>
    <row r="433" spans="4:9" ht="12.75">
      <c r="D433" s="142"/>
      <c r="E433" s="142"/>
      <c r="F433" s="142"/>
      <c r="G433" s="61"/>
      <c r="H433" s="7"/>
      <c r="I433" s="7"/>
    </row>
    <row r="434" spans="4:9" ht="12.75">
      <c r="D434" s="142"/>
      <c r="E434" s="142"/>
      <c r="F434" s="142"/>
      <c r="G434" s="61"/>
      <c r="H434" s="7"/>
      <c r="I434" s="7"/>
    </row>
    <row r="435" spans="4:9" ht="12.75">
      <c r="D435" s="142"/>
      <c r="E435" s="142"/>
      <c r="F435" s="142"/>
      <c r="G435" s="61"/>
      <c r="H435" s="7"/>
      <c r="I435" s="7"/>
    </row>
    <row r="436" spans="4:9" ht="12.75">
      <c r="D436" s="142"/>
      <c r="E436" s="142"/>
      <c r="F436" s="142"/>
      <c r="G436" s="61"/>
      <c r="H436" s="7"/>
      <c r="I436" s="7"/>
    </row>
    <row r="437" spans="4:9" ht="12.75">
      <c r="D437" s="142"/>
      <c r="E437" s="142"/>
      <c r="F437" s="142"/>
      <c r="G437" s="61"/>
      <c r="H437" s="7"/>
      <c r="I437" s="7"/>
    </row>
    <row r="438" spans="4:9" ht="12.75">
      <c r="D438" s="142"/>
      <c r="E438" s="142"/>
      <c r="F438" s="142"/>
      <c r="G438" s="61"/>
      <c r="H438" s="7"/>
      <c r="I438" s="7"/>
    </row>
    <row r="439" spans="4:9" ht="12.75">
      <c r="D439" s="142"/>
      <c r="E439" s="142"/>
      <c r="F439" s="142"/>
      <c r="G439" s="61"/>
      <c r="H439" s="7"/>
      <c r="I439" s="7"/>
    </row>
    <row r="440" spans="4:9" ht="12.75">
      <c r="D440" s="142"/>
      <c r="E440" s="142"/>
      <c r="F440" s="142"/>
      <c r="G440" s="61"/>
      <c r="H440" s="7"/>
      <c r="I440" s="7"/>
    </row>
    <row r="441" spans="4:9" ht="12.75">
      <c r="D441" s="142"/>
      <c r="E441" s="142"/>
      <c r="F441" s="142"/>
      <c r="G441" s="61"/>
      <c r="H441" s="7"/>
      <c r="I441" s="7"/>
    </row>
    <row r="442" spans="4:9" ht="12.75">
      <c r="D442" s="142"/>
      <c r="E442" s="142"/>
      <c r="F442" s="142"/>
      <c r="G442" s="61"/>
      <c r="H442" s="7"/>
      <c r="I442" s="7"/>
    </row>
    <row r="443" spans="4:9" ht="12.75">
      <c r="D443" s="142"/>
      <c r="E443" s="142"/>
      <c r="F443" s="142"/>
      <c r="G443" s="61"/>
      <c r="H443" s="7"/>
      <c r="I443" s="7"/>
    </row>
    <row r="444" spans="4:9" ht="12.75">
      <c r="D444" s="142"/>
      <c r="E444" s="142"/>
      <c r="F444" s="142"/>
      <c r="G444" s="61"/>
      <c r="H444" s="7"/>
      <c r="I444" s="7"/>
    </row>
    <row r="445" spans="4:9" ht="12.75">
      <c r="D445" s="142"/>
      <c r="E445" s="142"/>
      <c r="F445" s="142"/>
      <c r="G445" s="61"/>
      <c r="H445" s="7"/>
      <c r="I445" s="7"/>
    </row>
    <row r="446" spans="4:9" ht="12.75">
      <c r="D446" s="142"/>
      <c r="E446" s="142"/>
      <c r="F446" s="142"/>
      <c r="G446" s="61"/>
      <c r="H446" s="7"/>
      <c r="I446" s="7"/>
    </row>
    <row r="447" spans="4:9" ht="12.75">
      <c r="D447" s="142"/>
      <c r="E447" s="142"/>
      <c r="F447" s="142"/>
      <c r="G447" s="61"/>
      <c r="H447" s="7"/>
      <c r="I447" s="7"/>
    </row>
    <row r="448" spans="4:9" ht="12.75">
      <c r="D448" s="142"/>
      <c r="E448" s="142"/>
      <c r="F448" s="142"/>
      <c r="G448" s="61"/>
      <c r="H448" s="7"/>
      <c r="I448" s="7"/>
    </row>
    <row r="449" spans="4:9" ht="12.75">
      <c r="D449" s="142"/>
      <c r="E449" s="142"/>
      <c r="F449" s="142"/>
      <c r="G449" s="61"/>
      <c r="H449" s="7"/>
      <c r="I449" s="7"/>
    </row>
    <row r="450" spans="4:9" ht="12.75">
      <c r="D450" s="142"/>
      <c r="E450" s="142"/>
      <c r="F450" s="142"/>
      <c r="G450" s="61"/>
      <c r="H450" s="7"/>
      <c r="I450" s="7"/>
    </row>
    <row r="451" spans="4:9" ht="12.75">
      <c r="D451" s="142"/>
      <c r="E451" s="142"/>
      <c r="F451" s="142"/>
      <c r="G451" s="61"/>
      <c r="H451" s="7"/>
      <c r="I451" s="7"/>
    </row>
    <row r="452" spans="4:9" ht="12.75">
      <c r="D452" s="142"/>
      <c r="E452" s="142"/>
      <c r="F452" s="142"/>
      <c r="G452" s="61"/>
      <c r="H452" s="7"/>
      <c r="I452" s="7"/>
    </row>
    <row r="453" spans="4:9" ht="12.75">
      <c r="D453" s="142"/>
      <c r="E453" s="142"/>
      <c r="F453" s="142"/>
      <c r="G453" s="61"/>
      <c r="H453" s="7"/>
      <c r="I453" s="7"/>
    </row>
    <row r="454" spans="4:9" ht="12.75">
      <c r="D454" s="142"/>
      <c r="E454" s="142"/>
      <c r="F454" s="142"/>
      <c r="G454" s="61"/>
      <c r="H454" s="7"/>
      <c r="I454" s="7"/>
    </row>
    <row r="455" spans="4:9" ht="12.75">
      <c r="D455" s="142"/>
      <c r="E455" s="142"/>
      <c r="F455" s="142"/>
      <c r="G455" s="61"/>
      <c r="H455" s="7"/>
      <c r="I455" s="7"/>
    </row>
    <row r="456" spans="4:9" ht="12.75">
      <c r="D456" s="142"/>
      <c r="E456" s="142"/>
      <c r="F456" s="142"/>
      <c r="G456" s="61"/>
      <c r="H456" s="7"/>
      <c r="I456" s="7"/>
    </row>
    <row r="457" spans="4:9" ht="12.75">
      <c r="D457" s="142"/>
      <c r="E457" s="142"/>
      <c r="F457" s="142"/>
      <c r="G457" s="61"/>
      <c r="H457" s="7"/>
      <c r="I457" s="7"/>
    </row>
    <row r="458" spans="4:9" ht="12.75">
      <c r="D458" s="142"/>
      <c r="E458" s="142"/>
      <c r="F458" s="142"/>
      <c r="G458" s="61"/>
      <c r="H458" s="7"/>
      <c r="I458" s="7"/>
    </row>
    <row r="459" spans="4:9" ht="12.75">
      <c r="D459" s="142"/>
      <c r="E459" s="142"/>
      <c r="F459" s="142"/>
      <c r="G459" s="61"/>
      <c r="H459" s="7"/>
      <c r="I459" s="7"/>
    </row>
    <row r="460" spans="4:9" ht="12.75">
      <c r="D460" s="142"/>
      <c r="E460" s="142"/>
      <c r="F460" s="142"/>
      <c r="G460" s="61"/>
      <c r="H460" s="7"/>
      <c r="I460" s="7"/>
    </row>
    <row r="461" spans="4:9" ht="12.75">
      <c r="D461" s="142"/>
      <c r="E461" s="142"/>
      <c r="F461" s="142"/>
      <c r="G461" s="61"/>
      <c r="H461" s="7"/>
      <c r="I461" s="7"/>
    </row>
    <row r="462" spans="4:9" ht="12.75">
      <c r="D462" s="142"/>
      <c r="E462" s="142"/>
      <c r="F462" s="142"/>
      <c r="G462" s="61"/>
      <c r="H462" s="7"/>
      <c r="I462" s="7"/>
    </row>
    <row r="463" spans="4:9" ht="12.75">
      <c r="D463" s="142"/>
      <c r="E463" s="142"/>
      <c r="F463" s="142"/>
      <c r="G463" s="61"/>
      <c r="H463" s="7"/>
      <c r="I463" s="7"/>
    </row>
    <row r="464" spans="4:9" ht="12.75">
      <c r="D464" s="142"/>
      <c r="E464" s="142"/>
      <c r="F464" s="142"/>
      <c r="G464" s="61"/>
      <c r="H464" s="7"/>
      <c r="I464" s="7"/>
    </row>
    <row r="465" spans="4:9" ht="12.75">
      <c r="D465" s="142"/>
      <c r="E465" s="142"/>
      <c r="F465" s="142"/>
      <c r="G465" s="61"/>
      <c r="H465" s="7"/>
      <c r="I465" s="7"/>
    </row>
    <row r="466" spans="4:9" ht="12.75">
      <c r="D466" s="142"/>
      <c r="E466" s="142"/>
      <c r="F466" s="142"/>
      <c r="G466" s="61"/>
      <c r="H466" s="7"/>
      <c r="I466" s="7"/>
    </row>
    <row r="467" spans="4:9" ht="12.75">
      <c r="D467" s="142"/>
      <c r="E467" s="142"/>
      <c r="F467" s="142"/>
      <c r="G467" s="61"/>
      <c r="H467" s="7"/>
      <c r="I467" s="7"/>
    </row>
    <row r="468" spans="4:9" ht="12.75">
      <c r="D468" s="142"/>
      <c r="E468" s="142"/>
      <c r="F468" s="142"/>
      <c r="G468" s="61"/>
      <c r="H468" s="7"/>
      <c r="I468" s="7"/>
    </row>
    <row r="469" spans="4:9" ht="12.75">
      <c r="D469" s="142"/>
      <c r="E469" s="142"/>
      <c r="F469" s="142"/>
      <c r="G469" s="61"/>
      <c r="H469" s="7"/>
      <c r="I469" s="7"/>
    </row>
    <row r="470" spans="4:9" ht="12.75">
      <c r="D470" s="142"/>
      <c r="E470" s="142"/>
      <c r="F470" s="142"/>
      <c r="G470" s="61"/>
      <c r="H470" s="7"/>
      <c r="I470" s="7"/>
    </row>
    <row r="471" spans="4:9" ht="12.75">
      <c r="D471" s="142"/>
      <c r="E471" s="142"/>
      <c r="F471" s="142"/>
      <c r="G471" s="61"/>
      <c r="H471" s="7"/>
      <c r="I471" s="7"/>
    </row>
    <row r="472" spans="4:9" ht="12.75">
      <c r="D472" s="142"/>
      <c r="E472" s="142"/>
      <c r="F472" s="142"/>
      <c r="G472" s="61"/>
      <c r="H472" s="7"/>
      <c r="I472" s="7"/>
    </row>
    <row r="473" spans="4:9" ht="12.75">
      <c r="D473" s="142"/>
      <c r="E473" s="142"/>
      <c r="F473" s="142"/>
      <c r="G473" s="61"/>
      <c r="H473" s="7"/>
      <c r="I473" s="7"/>
    </row>
    <row r="474" spans="4:9" ht="12.75">
      <c r="D474" s="142"/>
      <c r="E474" s="142"/>
      <c r="F474" s="142"/>
      <c r="G474" s="61"/>
      <c r="H474" s="7"/>
      <c r="I474" s="7"/>
    </row>
    <row r="475" spans="4:9" ht="12.75">
      <c r="D475" s="142"/>
      <c r="E475" s="142"/>
      <c r="F475" s="142"/>
      <c r="G475" s="61"/>
      <c r="H475" s="7"/>
      <c r="I475" s="7"/>
    </row>
    <row r="476" spans="4:9" ht="12.75">
      <c r="D476" s="142"/>
      <c r="E476" s="142"/>
      <c r="F476" s="142"/>
      <c r="G476" s="61"/>
      <c r="H476" s="7"/>
      <c r="I476" s="7"/>
    </row>
    <row r="477" spans="4:9" ht="12.75">
      <c r="D477" s="142"/>
      <c r="E477" s="142"/>
      <c r="F477" s="142"/>
      <c r="G477" s="61"/>
      <c r="H477" s="7"/>
      <c r="I477" s="7"/>
    </row>
    <row r="478" spans="4:9" ht="12.75">
      <c r="D478" s="142"/>
      <c r="E478" s="142"/>
      <c r="F478" s="142"/>
      <c r="G478" s="61"/>
      <c r="H478" s="7"/>
      <c r="I478" s="7"/>
    </row>
    <row r="479" spans="4:9" ht="12.75">
      <c r="D479" s="142"/>
      <c r="E479" s="142"/>
      <c r="F479" s="142"/>
      <c r="G479" s="61"/>
      <c r="H479" s="7"/>
      <c r="I479" s="7"/>
    </row>
    <row r="480" spans="4:9" ht="12.75">
      <c r="D480" s="142"/>
      <c r="E480" s="142"/>
      <c r="F480" s="142"/>
      <c r="G480" s="61"/>
      <c r="H480" s="7"/>
      <c r="I480" s="7"/>
    </row>
    <row r="481" spans="4:9" ht="12.75">
      <c r="D481" s="142"/>
      <c r="E481" s="142"/>
      <c r="F481" s="142"/>
      <c r="G481" s="61"/>
      <c r="H481" s="7"/>
      <c r="I481" s="7"/>
    </row>
    <row r="482" spans="4:9" ht="12.75">
      <c r="D482" s="142"/>
      <c r="E482" s="142"/>
      <c r="F482" s="142"/>
      <c r="G482" s="61"/>
      <c r="H482" s="7"/>
      <c r="I482" s="7"/>
    </row>
    <row r="483" spans="4:9" ht="12.75">
      <c r="D483" s="142"/>
      <c r="E483" s="142"/>
      <c r="F483" s="142"/>
      <c r="G483" s="61"/>
      <c r="H483" s="7"/>
      <c r="I483" s="7"/>
    </row>
    <row r="484" spans="4:9" ht="12.75">
      <c r="D484" s="142"/>
      <c r="E484" s="142"/>
      <c r="F484" s="142"/>
      <c r="G484" s="61"/>
      <c r="H484" s="7"/>
      <c r="I484" s="7"/>
    </row>
    <row r="485" spans="4:9" ht="12.75">
      <c r="D485" s="142"/>
      <c r="E485" s="142"/>
      <c r="F485" s="142"/>
      <c r="G485" s="61"/>
      <c r="H485" s="7"/>
      <c r="I485" s="7"/>
    </row>
    <row r="486" spans="4:9" ht="12.75">
      <c r="D486" s="142"/>
      <c r="E486" s="142"/>
      <c r="F486" s="142"/>
      <c r="G486" s="61"/>
      <c r="H486" s="7"/>
      <c r="I486" s="7"/>
    </row>
    <row r="487" spans="4:9" ht="12.75">
      <c r="D487" s="142"/>
      <c r="E487" s="142"/>
      <c r="F487" s="142"/>
      <c r="G487" s="61"/>
      <c r="H487" s="7"/>
      <c r="I487" s="7"/>
    </row>
    <row r="488" spans="4:9" ht="12.75">
      <c r="D488" s="142"/>
      <c r="E488" s="142"/>
      <c r="F488" s="142"/>
      <c r="G488" s="61"/>
      <c r="H488" s="7"/>
      <c r="I488" s="7"/>
    </row>
    <row r="489" spans="4:9" ht="12.75">
      <c r="D489" s="142"/>
      <c r="E489" s="142"/>
      <c r="F489" s="142"/>
      <c r="G489" s="61"/>
      <c r="H489" s="7"/>
      <c r="I489" s="7"/>
    </row>
    <row r="490" spans="4:9" ht="12.75">
      <c r="D490" s="142"/>
      <c r="E490" s="142"/>
      <c r="F490" s="142"/>
      <c r="G490" s="61"/>
      <c r="H490" s="7"/>
      <c r="I490" s="7"/>
    </row>
    <row r="491" spans="4:9" ht="12.75">
      <c r="D491" s="142"/>
      <c r="E491" s="142"/>
      <c r="F491" s="142"/>
      <c r="G491" s="61"/>
      <c r="H491" s="7"/>
      <c r="I491" s="7"/>
    </row>
    <row r="492" spans="4:9" ht="12.75">
      <c r="D492" s="142"/>
      <c r="E492" s="142"/>
      <c r="F492" s="142"/>
      <c r="G492" s="61"/>
      <c r="H492" s="7"/>
      <c r="I492" s="7"/>
    </row>
    <row r="493" spans="4:9" ht="12.75">
      <c r="D493" s="142"/>
      <c r="E493" s="142"/>
      <c r="F493" s="142"/>
      <c r="G493" s="61"/>
      <c r="H493" s="7"/>
      <c r="I493" s="7"/>
    </row>
    <row r="494" spans="4:9" ht="12.75">
      <c r="D494" s="142"/>
      <c r="E494" s="142"/>
      <c r="F494" s="142"/>
      <c r="G494" s="61"/>
      <c r="H494" s="7"/>
      <c r="I494" s="7"/>
    </row>
    <row r="495" spans="4:9" ht="12.75">
      <c r="D495" s="142"/>
      <c r="E495" s="142"/>
      <c r="F495" s="142"/>
      <c r="G495" s="61"/>
      <c r="H495" s="7"/>
      <c r="I495" s="7"/>
    </row>
    <row r="496" spans="4:9" ht="12.75">
      <c r="D496" s="142"/>
      <c r="E496" s="142"/>
      <c r="F496" s="142"/>
      <c r="G496" s="61"/>
      <c r="H496" s="7"/>
      <c r="I496" s="7"/>
    </row>
    <row r="497" spans="4:9" ht="12.75">
      <c r="D497" s="142"/>
      <c r="E497" s="142"/>
      <c r="F497" s="142"/>
      <c r="G497" s="61"/>
      <c r="H497" s="7"/>
      <c r="I497" s="7"/>
    </row>
    <row r="498" spans="4:9" ht="12.75">
      <c r="D498" s="142"/>
      <c r="E498" s="142"/>
      <c r="F498" s="142"/>
      <c r="G498" s="61"/>
      <c r="H498" s="7"/>
      <c r="I498" s="7"/>
    </row>
    <row r="499" spans="4:9" ht="12.75">
      <c r="D499" s="142"/>
      <c r="E499" s="142"/>
      <c r="F499" s="142"/>
      <c r="G499" s="61"/>
      <c r="H499" s="7"/>
      <c r="I499" s="7"/>
    </row>
    <row r="500" spans="4:9" ht="12.75">
      <c r="D500" s="142"/>
      <c r="E500" s="142"/>
      <c r="F500" s="142"/>
      <c r="G500" s="61"/>
      <c r="H500" s="7"/>
      <c r="I500" s="7"/>
    </row>
    <row r="501" spans="4:9" ht="12.75">
      <c r="D501" s="142"/>
      <c r="E501" s="142"/>
      <c r="F501" s="142"/>
      <c r="G501" s="61"/>
      <c r="H501" s="7"/>
      <c r="I501" s="7"/>
    </row>
    <row r="502" spans="4:9" ht="12.75">
      <c r="D502" s="142"/>
      <c r="E502" s="142"/>
      <c r="F502" s="142"/>
      <c r="G502" s="61"/>
      <c r="H502" s="7"/>
      <c r="I502" s="7"/>
    </row>
    <row r="503" spans="4:9" ht="12.75">
      <c r="D503" s="142"/>
      <c r="E503" s="142"/>
      <c r="F503" s="142"/>
      <c r="G503" s="61"/>
      <c r="H503" s="7"/>
      <c r="I503" s="7"/>
    </row>
  </sheetData>
  <autoFilter ref="A5:J7"/>
  <customSheetViews>
    <customSheetView guid="{CDEB8851-9ACA-4F4F-A6C6-C0C729B8AD4C}" filter="1" showAutoFilter="1">
      <pageMargins left="0.511811024" right="0.511811024" top="0.78740157499999996" bottom="0.78740157499999996" header="0.31496062000000002" footer="0.31496062000000002"/>
      <autoFilter ref="C5:J18"/>
    </customSheetView>
  </customSheetViews>
  <mergeCells count="3">
    <mergeCell ref="A1:C3"/>
    <mergeCell ref="D1:J2"/>
    <mergeCell ref="D3:G3"/>
  </mergeCells>
  <pageMargins left="0.511811024" right="0.511811024" top="0.78740157499999996" bottom="0.78740157499999996" header="0.31496062000000002" footer="0.3149606200000000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39" t="str">
        <f ca="1">IFERROR(__xludf.DUMMYFUNCTION("QUERY(REP_EST_PJA!A5:Z1000,""SELECT A,B,C,D,E,F,G,H WHERE H&gt;0 label H 'ENS MEDIO JOVEM AÇÃO'"")"),"")</f>
        <v/>
      </c>
      <c r="B1" s="240" t="str">
        <f ca="1">IFERROR(__xludf.DUMMYFUNCTION("""COMPUTED_VALUE"""),"")</f>
        <v/>
      </c>
      <c r="C1" s="240" t="str">
        <f ca="1">IFERROR(__xludf.DUMMYFUNCTION("""COMPUTED_VALUE"""),"")</f>
        <v/>
      </c>
      <c r="D1" s="240" t="str">
        <f ca="1">IFERROR(__xludf.DUMMYFUNCTION("""COMPUTED_VALUE"""),"")</f>
        <v/>
      </c>
      <c r="E1" s="240" t="str">
        <f ca="1">IFERROR(__xludf.DUMMYFUNCTION("""COMPUTED_VALUE"""),"")</f>
        <v/>
      </c>
      <c r="F1" s="240" t="str">
        <f ca="1">IFERROR(__xludf.DUMMYFUNCTION("""COMPUTED_VALUE"""),"")</f>
        <v/>
      </c>
      <c r="G1" s="240" t="str">
        <f ca="1">IFERROR(__xludf.DUMMYFUNCTION("""COMPUTED_VALUE"""),"")</f>
        <v/>
      </c>
      <c r="H1" s="240" t="str">
        <f ca="1">IFERROR(__xludf.DUMMYFUNCTION("""COMPUTED_VALUE"""),"ENS MEDIO JOVEM AÇÃO")</f>
        <v>ENS MEDIO JOVEM AÇÃO</v>
      </c>
      <c r="I1" s="237" t="str">
        <f t="array" ref="I1:I1000">IF(ROW(A1:A1000)=1,"ETAPA",IF(A1:A1000&lt;&gt;"","ENS MEDIO JOVEM AÇÃO",""))</f>
        <v>ETAPA</v>
      </c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IFERROR(__xludf.DUMMYFUNCTION("""COMPUTED_VALUE"""),18215.6)</f>
        <v>18215.599999999999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IFERROR(__xludf.DUMMYFUNCTION("""COMPUTED_VALUE"""),11122.8)</f>
        <v>11122.8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IFERROR(__xludf.DUMMYFUNCTION("""COMPUTED_VALUE"""),16764.8)</f>
        <v>16764.8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IFERROR(__xludf.DUMMYFUNCTION("""COMPUTED_VALUE"""),11042.1999999999)</f>
        <v>11042.199999999901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IFERROR(__xludf.DUMMYFUNCTION("""COMPUTED_VALUE"""),23857.6)</f>
        <v>23857.599999999999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IFERROR(__xludf.DUMMYFUNCTION("""COMPUTED_VALUE"""),13943.8)</f>
        <v>13943.8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IFERROR(__xludf.DUMMYFUNCTION("""COMPUTED_VALUE"""),4029.99999999999)</f>
        <v>4029.99999999999</v>
      </c>
      <c r="I8" t="str">
        <v>ENS MEDIO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IFERROR(__xludf.DUMMYFUNCTION("""COMPUTED_VALUE"""),15555.8)</f>
        <v>15555.8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IFERROR(__xludf.DUMMYFUNCTION("""COMPUTED_VALUE"""),3224)</f>
        <v>3224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IFERROR(__xludf.DUMMYFUNCTION("""COMPUTED_VALUE"""),7012.2)</f>
        <v>7012.2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IFERROR(__xludf.DUMMYFUNCTION("""COMPUTED_VALUE"""),9994.4)</f>
        <v>9994.4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IFERROR(__xludf.DUMMYFUNCTION("""COMPUTED_VALUE"""),10639.1999999999)</f>
        <v>10639.199999999901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IFERROR(__xludf.DUMMYFUNCTION("""COMPUTED_VALUE"""),18457.3999999999)</f>
        <v>18457.3999999999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IFERROR(__xludf.DUMMYFUNCTION("""COMPUTED_VALUE"""),23535.1999999999)</f>
        <v>23535.199999999899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IFERROR(__xludf.DUMMYFUNCTION("""COMPUTED_VALUE"""),8785.4)</f>
        <v>8785.4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IFERROR(__xludf.DUMMYFUNCTION("""COMPUTED_VALUE"""),12090)</f>
        <v>12090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IFERROR(__xludf.DUMMYFUNCTION("""COMPUTED_VALUE"""),17570.8)</f>
        <v>17570.8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IFERROR(__xludf.DUMMYFUNCTION("""COMPUTED_VALUE"""),56178.2)</f>
        <v>56178.2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IFERROR(__xludf.DUMMYFUNCTION("""COMPUTED_VALUE"""),14910.9999999999)</f>
        <v>14910.9999999999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IFERROR(__xludf.DUMMYFUNCTION("""COMPUTED_VALUE"""),60288.7999999999)</f>
        <v>60288.799999999901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IFERROR(__xludf.DUMMYFUNCTION("""COMPUTED_VALUE"""),8382.4)</f>
        <v>8382.4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IFERROR(__xludf.DUMMYFUNCTION("""COMPUTED_VALUE"""),14104.9999999999)</f>
        <v>14104.9999999999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IFERROR(__xludf.DUMMYFUNCTION("""COMPUTED_VALUE"""),13379.5999999999)</f>
        <v>13379.5999999999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IFERROR(__xludf.DUMMYFUNCTION("""COMPUTED_VALUE"""),21923.1999999999)</f>
        <v>21923.199999999899</v>
      </c>
      <c r="I26" t="str">
        <v>ENS MEDIO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IFERROR(__xludf.DUMMYFUNCTION("""COMPUTED_VALUE"""),15475.1999999999)</f>
        <v>15475.199999999901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IFERROR(__xludf.DUMMYFUNCTION("""COMPUTED_VALUE"""),14346.8)</f>
        <v>14346.8</v>
      </c>
      <c r="I28" t="str">
        <v>ENS MEDIO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39" t="str">
        <f ca="1">IFERROR(__xludf.DUMMYFUNCTION("QUERY(REP_EST_PJA!A5:Z1000,""SELECT A,B,C,D,E,F,G,I WHERE I&gt;0 label I 'SERVIDORES JOVEM AÇÃO'"")"),"")</f>
        <v/>
      </c>
      <c r="B1" s="240" t="str">
        <f ca="1">IFERROR(__xludf.DUMMYFUNCTION("""COMPUTED_VALUE"""),"")</f>
        <v/>
      </c>
      <c r="C1" s="240" t="str">
        <f ca="1">IFERROR(__xludf.DUMMYFUNCTION("""COMPUTED_VALUE"""),"")</f>
        <v/>
      </c>
      <c r="D1" s="240" t="str">
        <f ca="1">IFERROR(__xludf.DUMMYFUNCTION("""COMPUTED_VALUE"""),"")</f>
        <v/>
      </c>
      <c r="E1" s="240" t="str">
        <f ca="1">IFERROR(__xludf.DUMMYFUNCTION("""COMPUTED_VALUE"""),"")</f>
        <v/>
      </c>
      <c r="F1" s="240" t="str">
        <f ca="1">IFERROR(__xludf.DUMMYFUNCTION("""COMPUTED_VALUE"""),"")</f>
        <v/>
      </c>
      <c r="G1" s="240" t="str">
        <f ca="1">IFERROR(__xludf.DUMMYFUNCTION("""COMPUTED_VALUE"""),"")</f>
        <v/>
      </c>
      <c r="H1" s="240" t="str">
        <f ca="1">IFERROR(__xludf.DUMMYFUNCTION("""COMPUTED_VALUE"""),"SERVIDORES JOVEM AÇÃO")</f>
        <v>SERVIDORES JOVEM AÇÃO</v>
      </c>
      <c r="I1" s="237" t="str">
        <f t="array" ref="I1:I1000">IF(ROW(A1:A1000)=1,"ETAPA",IF(A1:A1000&lt;&gt;"","SERVIDORES JOVEM AÇÃO",""))</f>
        <v>ETAPA</v>
      </c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IFERROR(__xludf.DUMMYFUNCTION("""COMPUTED_VALUE"""),1809)</f>
        <v>1809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IFERROR(__xludf.DUMMYFUNCTION("""COMPUTED_VALUE"""),1085.39999999999)</f>
        <v>1085.3999999999901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IFERROR(__xludf.DUMMYFUNCTION("""COMPUTED_VALUE"""),1688.39999999999)</f>
        <v>1688.3999999999901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IFERROR(__xludf.DUMMYFUNCTION("""COMPUTED_VALUE"""),1085.39999999999)</f>
        <v>1085.3999999999901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IFERROR(__xludf.DUMMYFUNCTION("""COMPUTED_VALUE"""),2412)</f>
        <v>2412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IFERROR(__xludf.DUMMYFUNCTION("""COMPUTED_VALUE"""),361.799999999999)</f>
        <v>361.79999999999899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IFERROR(__xludf.DUMMYFUNCTION("""COMPUTED_VALUE"""),361.799999999999)</f>
        <v>361.79999999999899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IFERROR(__xludf.DUMMYFUNCTION("""COMPUTED_VALUE"""),723.599999999999)</f>
        <v>723.599999999999</v>
      </c>
      <c r="I11" t="str">
        <v>SERVIDORES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IFERROR(__xludf.DUMMYFUNCTION("""COMPUTED_VALUE"""),964.8)</f>
        <v>964.8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IFERROR(__xludf.DUMMYFUNCTION("""COMPUTED_VALUE"""),1085.39999999999)</f>
        <v>1085.3999999999901</v>
      </c>
      <c r="I13" t="str">
        <v>SERVIDORES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IFERROR(__xludf.DUMMYFUNCTION("""COMPUTED_VALUE"""),1809)</f>
        <v>1809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IFERROR(__xludf.DUMMYFUNCTION("""COMPUTED_VALUE"""),2291.4)</f>
        <v>2291.4</v>
      </c>
      <c r="I15" t="str">
        <v>SERVIDORES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IFERROR(__xludf.DUMMYFUNCTION("""COMPUTED_VALUE"""),723.599999999999)</f>
        <v>723.599999999999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IFERROR(__xludf.DUMMYFUNCTION("""COMPUTED_VALUE"""),844.199999999999)</f>
        <v>844.19999999999902</v>
      </c>
      <c r="I17" t="str">
        <v>SERVIDORES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IFERROR(__xludf.DUMMYFUNCTION("""COMPUTED_VALUE"""),1206)</f>
        <v>1206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IFERROR(__xludf.DUMMYFUNCTION("""COMPUTED_VALUE"""),1809)</f>
        <v>1809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IFERROR(__xludf.DUMMYFUNCTION("""COMPUTED_VALUE"""),5547.59999999999)</f>
        <v>5547.5999999999904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IFERROR(__xludf.DUMMYFUNCTION("""COMPUTED_VALUE"""),1447.19999999999)</f>
        <v>1447.19999999999</v>
      </c>
      <c r="I21" t="str">
        <v>SERVIDORES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IFERROR(__xludf.DUMMYFUNCTION("""COMPUTED_VALUE"""),6030)</f>
        <v>6030</v>
      </c>
      <c r="I22" t="str">
        <v>SERVIDORES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IFERROR(__xludf.DUMMYFUNCTION("""COMPUTED_VALUE"""),844.199999999999)</f>
        <v>844.19999999999902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IFERROR(__xludf.DUMMYFUNCTION("""COMPUTED_VALUE"""),1326.6)</f>
        <v>1326.6</v>
      </c>
      <c r="I25" t="str">
        <v>SERVIDORES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IFERROR(__xludf.DUMMYFUNCTION("""COMPUTED_VALUE"""),2170.79999999999)</f>
        <v>2170.7999999999902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IFERROR(__xludf.DUMMYFUNCTION("""COMPUTED_VALUE"""),1567.8)</f>
        <v>1567.8</v>
      </c>
      <c r="I27" t="str">
        <v>SERVIDORES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IFERROR(__xludf.DUMMYFUNCTION("""COMPUTED_VALUE"""),1447.19999999999)</f>
        <v>1447.19999999999</v>
      </c>
      <c r="I28" t="str">
        <v>SERVIDORES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FF00FF"/>
    <outlinePr summaryBelow="0" summaryRight="0"/>
  </sheetPr>
  <dimension ref="A1:Y33"/>
  <sheetViews>
    <sheetView showGridLines="0" workbookViewId="0">
      <pane ySplit="4" topLeftCell="A5" activePane="bottomLeft" state="frozen"/>
      <selection pane="bottomLeft" activeCell="B6" sqref="B6"/>
    </sheetView>
  </sheetViews>
  <sheetFormatPr defaultColWidth="12.5703125" defaultRowHeight="15.75" customHeight="1"/>
  <cols>
    <col min="1" max="1" width="43.140625" customWidth="1"/>
    <col min="4" max="4" width="8.5703125" customWidth="1"/>
    <col min="6" max="6" width="10.42578125" customWidth="1"/>
    <col min="7" max="7" width="10.28515625" customWidth="1"/>
    <col min="8" max="8" width="10.42578125" customWidth="1"/>
    <col min="9" max="9" width="10.28515625" customWidth="1"/>
  </cols>
  <sheetData>
    <row r="1" spans="1:16" ht="23.25">
      <c r="A1" s="253" t="s">
        <v>82</v>
      </c>
      <c r="C1" s="254" t="s">
        <v>83</v>
      </c>
    </row>
    <row r="2" spans="1:16" ht="12.75">
      <c r="A2" s="255">
        <v>1</v>
      </c>
      <c r="B2" s="255">
        <v>2</v>
      </c>
      <c r="C2" s="255">
        <v>3</v>
      </c>
      <c r="D2" s="255">
        <v>4</v>
      </c>
      <c r="E2" s="255">
        <v>5</v>
      </c>
      <c r="F2" s="255">
        <v>6</v>
      </c>
      <c r="G2" s="255">
        <v>7</v>
      </c>
      <c r="H2" s="255">
        <v>8</v>
      </c>
      <c r="I2" s="255">
        <v>9</v>
      </c>
      <c r="M2" s="256" t="s">
        <v>84</v>
      </c>
      <c r="N2" s="256" t="s">
        <v>85</v>
      </c>
      <c r="O2" s="257" t="str">
        <f>M2&amp; " " &amp;N2 &amp; " " &amp;M4</f>
        <v>casa teste Aprovado</v>
      </c>
      <c r="P2" s="257"/>
    </row>
    <row r="3" spans="1:16" ht="24" customHeight="1">
      <c r="F3" s="375" t="s">
        <v>86</v>
      </c>
      <c r="G3" s="356"/>
      <c r="H3" s="356"/>
      <c r="I3" s="356"/>
      <c r="J3" s="258" t="s">
        <v>87</v>
      </c>
      <c r="K3" s="258" t="s">
        <v>88</v>
      </c>
      <c r="M3" t="str">
        <f>H4 &amp; " " &amp; I4</f>
        <v>VALOR PERCAPITA FNDE VALOR PERCAPITA ESTADO</v>
      </c>
    </row>
    <row r="4" spans="1:16" ht="51">
      <c r="A4" s="259" t="s">
        <v>89</v>
      </c>
      <c r="B4" s="260" t="s">
        <v>90</v>
      </c>
      <c r="C4" s="261" t="s">
        <v>91</v>
      </c>
      <c r="D4" s="262" t="s">
        <v>92</v>
      </c>
      <c r="E4" s="263" t="s">
        <v>93</v>
      </c>
      <c r="F4" s="264" t="s">
        <v>90</v>
      </c>
      <c r="G4" s="261" t="s">
        <v>91</v>
      </c>
      <c r="H4" s="264" t="s">
        <v>90</v>
      </c>
      <c r="I4" s="265" t="s">
        <v>91</v>
      </c>
      <c r="J4" s="258">
        <v>71</v>
      </c>
      <c r="K4" s="258">
        <v>70</v>
      </c>
      <c r="M4" t="str">
        <f>IF(J4&gt;=K4,"Aprovado","Recuperação")</f>
        <v>Aprovado</v>
      </c>
      <c r="N4">
        <f>SUM(G5:G23)</f>
        <v>1564</v>
      </c>
    </row>
    <row r="5" spans="1:16" ht="12.75">
      <c r="A5" s="266" t="s">
        <v>10</v>
      </c>
      <c r="B5" s="267">
        <v>1.37</v>
      </c>
      <c r="C5" s="267">
        <v>1.05</v>
      </c>
      <c r="D5" s="267">
        <v>20</v>
      </c>
      <c r="E5" s="267">
        <v>20</v>
      </c>
      <c r="F5" s="267">
        <f t="shared" ref="F5:G5" si="0">B5*D5</f>
        <v>27.400000000000002</v>
      </c>
      <c r="G5" s="267">
        <f t="shared" si="0"/>
        <v>21</v>
      </c>
      <c r="H5" s="267" t="str">
        <f t="shared" ref="H5:I5" si="1">SUBSTITUTE(TEXT(F5,"@"),",",".")</f>
        <v>27.4</v>
      </c>
      <c r="I5" s="268" t="str">
        <f t="shared" si="1"/>
        <v>21</v>
      </c>
      <c r="J5" s="269">
        <f t="shared" ref="J5:J23" si="2">(G5-F5)/G5</f>
        <v>-0.30476190476190484</v>
      </c>
      <c r="K5" s="270">
        <f t="shared" ref="K5:K14" si="3">G5*(1-J5)</f>
        <v>27.400000000000002</v>
      </c>
    </row>
    <row r="6" spans="1:16" ht="12.75">
      <c r="A6" s="266" t="s">
        <v>11</v>
      </c>
      <c r="B6" s="267">
        <v>0.72</v>
      </c>
      <c r="C6" s="267">
        <v>1.05</v>
      </c>
      <c r="D6" s="267">
        <v>20</v>
      </c>
      <c r="E6" s="267">
        <v>20</v>
      </c>
      <c r="F6" s="267">
        <f t="shared" ref="F6:G6" si="4">B6*D6</f>
        <v>14.399999999999999</v>
      </c>
      <c r="G6" s="267">
        <f t="shared" si="4"/>
        <v>21</v>
      </c>
      <c r="H6" s="267" t="str">
        <f t="shared" ref="H6:I6" si="5">SUBSTITUTE(TEXT(F6,"@"),",",".")</f>
        <v>14.4</v>
      </c>
      <c r="I6" s="268" t="str">
        <f t="shared" si="5"/>
        <v>21</v>
      </c>
      <c r="J6" s="269">
        <f t="shared" si="2"/>
        <v>0.31428571428571433</v>
      </c>
      <c r="K6" s="270">
        <f t="shared" si="3"/>
        <v>14.4</v>
      </c>
    </row>
    <row r="7" spans="1:16" ht="12.75">
      <c r="A7" s="271" t="s">
        <v>12</v>
      </c>
      <c r="B7" s="272">
        <v>0.5</v>
      </c>
      <c r="C7" s="273">
        <v>1.05</v>
      </c>
      <c r="D7" s="273">
        <v>20</v>
      </c>
      <c r="E7" s="273">
        <v>20</v>
      </c>
      <c r="F7" s="273">
        <f t="shared" ref="F7:G7" si="6">B7*D7</f>
        <v>10</v>
      </c>
      <c r="G7" s="273">
        <f t="shared" si="6"/>
        <v>21</v>
      </c>
      <c r="H7" s="273" t="str">
        <f t="shared" ref="H7:I7" si="7">SUBSTITUTE(TEXT(F7,"@"),",",".")</f>
        <v>10</v>
      </c>
      <c r="I7" s="274" t="str">
        <f t="shared" si="7"/>
        <v>21</v>
      </c>
      <c r="J7" s="269">
        <f t="shared" si="2"/>
        <v>0.52380952380952384</v>
      </c>
      <c r="K7" s="270">
        <f t="shared" si="3"/>
        <v>10</v>
      </c>
    </row>
    <row r="8" spans="1:16" ht="12.75">
      <c r="A8" s="271" t="s">
        <v>13</v>
      </c>
      <c r="B8" s="272">
        <v>1.37</v>
      </c>
      <c r="C8" s="273">
        <v>3.92</v>
      </c>
      <c r="D8" s="273">
        <v>20</v>
      </c>
      <c r="E8" s="273">
        <v>20</v>
      </c>
      <c r="F8" s="273">
        <f t="shared" ref="F8:G8" si="8">B8*D8</f>
        <v>27.400000000000002</v>
      </c>
      <c r="G8" s="273">
        <f t="shared" si="8"/>
        <v>78.400000000000006</v>
      </c>
      <c r="H8" s="273" t="str">
        <f t="shared" ref="H8:I8" si="9">SUBSTITUTE(TEXT(F8,"@"),",",".")</f>
        <v>27.4</v>
      </c>
      <c r="I8" s="274" t="str">
        <f t="shared" si="9"/>
        <v>78.4</v>
      </c>
      <c r="J8" s="269">
        <f t="shared" si="2"/>
        <v>0.65051020408163263</v>
      </c>
      <c r="K8" s="270">
        <f t="shared" si="3"/>
        <v>27.400000000000006</v>
      </c>
      <c r="L8" s="266" t="s">
        <v>17</v>
      </c>
    </row>
    <row r="9" spans="1:16" ht="37.5" customHeight="1">
      <c r="A9" s="275" t="s">
        <v>34</v>
      </c>
      <c r="B9" s="276">
        <v>0.86</v>
      </c>
      <c r="C9" s="276">
        <v>1.05</v>
      </c>
      <c r="D9" s="276">
        <v>20</v>
      </c>
      <c r="E9" s="276">
        <v>20</v>
      </c>
      <c r="F9" s="276">
        <f t="shared" ref="F9:G9" si="10">B9*D9</f>
        <v>17.2</v>
      </c>
      <c r="G9" s="276">
        <f t="shared" si="10"/>
        <v>21</v>
      </c>
      <c r="H9" s="276" t="str">
        <f t="shared" ref="H9:I9" si="11">SUBSTITUTE(TEXT(F9,"@"),",",".")</f>
        <v>17.2</v>
      </c>
      <c r="I9" s="277" t="str">
        <f t="shared" si="11"/>
        <v>21</v>
      </c>
      <c r="J9" s="269">
        <f t="shared" si="2"/>
        <v>0.18095238095238098</v>
      </c>
      <c r="K9" s="270">
        <f t="shared" si="3"/>
        <v>17.2</v>
      </c>
    </row>
    <row r="10" spans="1:16" ht="24">
      <c r="A10" s="278" t="s">
        <v>14</v>
      </c>
      <c r="B10" s="279">
        <v>1.37</v>
      </c>
      <c r="C10" s="279">
        <v>3.92</v>
      </c>
      <c r="D10" s="279">
        <v>20</v>
      </c>
      <c r="E10" s="279">
        <v>20</v>
      </c>
      <c r="F10" s="279">
        <f t="shared" ref="F10:G10" si="12">B10*D10</f>
        <v>27.400000000000002</v>
      </c>
      <c r="G10" s="279">
        <f t="shared" si="12"/>
        <v>78.400000000000006</v>
      </c>
      <c r="H10" s="279" t="str">
        <f t="shared" ref="H10:I10" si="13">SUBSTITUTE(TEXT(F10,"@"),",",".")</f>
        <v>27.4</v>
      </c>
      <c r="I10" s="280" t="str">
        <f t="shared" si="13"/>
        <v>78.4</v>
      </c>
      <c r="J10" s="269">
        <f t="shared" si="2"/>
        <v>0.65051020408163263</v>
      </c>
      <c r="K10" s="270">
        <f t="shared" si="3"/>
        <v>27.400000000000006</v>
      </c>
      <c r="L10" t="str">
        <f>VLOOKUP(L8,A5:I23,8,0)</f>
        <v>13.6</v>
      </c>
    </row>
    <row r="11" spans="1:16" ht="24">
      <c r="A11" s="278" t="s">
        <v>15</v>
      </c>
      <c r="B11" s="279">
        <v>1.37</v>
      </c>
      <c r="C11" s="279">
        <v>3.92</v>
      </c>
      <c r="D11" s="279">
        <v>20</v>
      </c>
      <c r="E11" s="279">
        <v>20</v>
      </c>
      <c r="F11" s="279">
        <f t="shared" ref="F11:G11" si="14">B11*D11</f>
        <v>27.400000000000002</v>
      </c>
      <c r="G11" s="279">
        <f t="shared" si="14"/>
        <v>78.400000000000006</v>
      </c>
      <c r="H11" s="279" t="str">
        <f t="shared" ref="H11:I11" si="15">SUBSTITUTE(TEXT(F11,"@"),",",".")</f>
        <v>27.4</v>
      </c>
      <c r="I11" s="280" t="str">
        <f t="shared" si="15"/>
        <v>78.4</v>
      </c>
      <c r="J11" s="269">
        <f t="shared" si="2"/>
        <v>0.65051020408163263</v>
      </c>
      <c r="K11" s="270">
        <f t="shared" si="3"/>
        <v>27.400000000000006</v>
      </c>
    </row>
    <row r="12" spans="1:16" ht="24">
      <c r="A12" s="281" t="s">
        <v>16</v>
      </c>
      <c r="B12" s="282">
        <v>0.86</v>
      </c>
      <c r="C12" s="282">
        <v>1.05</v>
      </c>
      <c r="D12" s="282">
        <v>20</v>
      </c>
      <c r="E12" s="282">
        <v>20</v>
      </c>
      <c r="F12" s="282">
        <f t="shared" ref="F12:G12" si="16">B12*D12</f>
        <v>17.2</v>
      </c>
      <c r="G12" s="282">
        <f t="shared" si="16"/>
        <v>21</v>
      </c>
      <c r="H12" s="282" t="str">
        <f t="shared" ref="H12:I12" si="17">SUBSTITUTE(TEXT(F12,"@"),",",".")</f>
        <v>17.2</v>
      </c>
      <c r="I12" s="283" t="str">
        <f t="shared" si="17"/>
        <v>21</v>
      </c>
      <c r="J12" s="269">
        <f t="shared" si="2"/>
        <v>0.18095238095238098</v>
      </c>
      <c r="K12" s="270">
        <f t="shared" si="3"/>
        <v>17.2</v>
      </c>
    </row>
    <row r="13" spans="1:16" ht="12.75">
      <c r="A13" s="284" t="s">
        <v>17</v>
      </c>
      <c r="B13" s="285">
        <v>0.68</v>
      </c>
      <c r="C13" s="285">
        <v>1.05</v>
      </c>
      <c r="D13" s="285">
        <v>20</v>
      </c>
      <c r="E13" s="285">
        <v>20</v>
      </c>
      <c r="F13" s="285">
        <f t="shared" ref="F13:G13" si="18">B13*D13</f>
        <v>13.600000000000001</v>
      </c>
      <c r="G13" s="285">
        <f t="shared" si="18"/>
        <v>21</v>
      </c>
      <c r="H13" s="285" t="str">
        <f t="shared" ref="H13:I13" si="19">SUBSTITUTE(TEXT(F13,"@"),",",".")</f>
        <v>13.6</v>
      </c>
      <c r="I13" s="286" t="str">
        <f t="shared" si="19"/>
        <v>21</v>
      </c>
      <c r="J13" s="269">
        <f t="shared" si="2"/>
        <v>0.35238095238095229</v>
      </c>
      <c r="K13" s="270">
        <f t="shared" si="3"/>
        <v>13.600000000000003</v>
      </c>
    </row>
    <row r="14" spans="1:16" ht="12.75">
      <c r="A14" s="281" t="s">
        <v>18</v>
      </c>
      <c r="B14" s="287">
        <v>0.5</v>
      </c>
      <c r="C14" s="282">
        <v>1.05</v>
      </c>
      <c r="D14" s="282">
        <v>20</v>
      </c>
      <c r="E14" s="282">
        <v>20</v>
      </c>
      <c r="F14" s="282">
        <f t="shared" ref="F14:G14" si="20">B14*D14</f>
        <v>10</v>
      </c>
      <c r="G14" s="282">
        <f t="shared" si="20"/>
        <v>21</v>
      </c>
      <c r="H14" s="282" t="str">
        <f t="shared" ref="H14:I14" si="21">SUBSTITUTE(TEXT(F14,"@"),",",".")</f>
        <v>10</v>
      </c>
      <c r="I14" s="283" t="str">
        <f t="shared" si="21"/>
        <v>21</v>
      </c>
      <c r="J14" s="269">
        <f t="shared" si="2"/>
        <v>0.52380952380952384</v>
      </c>
      <c r="K14" s="270">
        <f t="shared" si="3"/>
        <v>10</v>
      </c>
    </row>
    <row r="15" spans="1:16" ht="12.75">
      <c r="A15" s="281" t="s">
        <v>19</v>
      </c>
      <c r="B15" s="282">
        <v>1.37</v>
      </c>
      <c r="C15" s="282">
        <v>3.92</v>
      </c>
      <c r="D15" s="282">
        <v>20</v>
      </c>
      <c r="E15" s="282">
        <v>20</v>
      </c>
      <c r="F15" s="282">
        <f t="shared" ref="F15:G15" si="22">B15*D15</f>
        <v>27.400000000000002</v>
      </c>
      <c r="G15" s="282">
        <f t="shared" si="22"/>
        <v>78.400000000000006</v>
      </c>
      <c r="H15" s="282" t="str">
        <f t="shared" ref="H15:I15" si="23">SUBSTITUTE(TEXT(F15,"@"),",",".")</f>
        <v>27.4</v>
      </c>
      <c r="I15" s="283" t="str">
        <f t="shared" si="23"/>
        <v>78.4</v>
      </c>
      <c r="J15" s="269">
        <f t="shared" si="2"/>
        <v>0.65051020408163263</v>
      </c>
    </row>
    <row r="16" spans="1:16" ht="12.75">
      <c r="A16" s="288" t="s">
        <v>20</v>
      </c>
      <c r="B16" s="289">
        <v>2.56</v>
      </c>
      <c r="C16" s="290">
        <v>4.03</v>
      </c>
      <c r="D16" s="290">
        <v>20</v>
      </c>
      <c r="E16" s="290">
        <v>20</v>
      </c>
      <c r="F16" s="290">
        <f t="shared" ref="F16:G16" si="24">B16*D16</f>
        <v>51.2</v>
      </c>
      <c r="G16" s="290">
        <f t="shared" si="24"/>
        <v>80.600000000000009</v>
      </c>
      <c r="H16" s="290" t="str">
        <f t="shared" ref="H16:I16" si="25">SUBSTITUTE(TEXT(F16,"@"),",",".")</f>
        <v>51.2</v>
      </c>
      <c r="I16" s="291" t="str">
        <f t="shared" si="25"/>
        <v>80.6</v>
      </c>
      <c r="J16" s="269">
        <f t="shared" si="2"/>
        <v>0.3647642679900745</v>
      </c>
    </row>
    <row r="17" spans="1:25" ht="12.75">
      <c r="A17" s="292" t="s">
        <v>21</v>
      </c>
      <c r="B17" s="293">
        <v>0.41</v>
      </c>
      <c r="C17" s="293">
        <v>1.05</v>
      </c>
      <c r="D17" s="293">
        <v>20</v>
      </c>
      <c r="E17" s="293">
        <v>20</v>
      </c>
      <c r="F17" s="293">
        <f t="shared" ref="F17:G17" si="26">B17*D17</f>
        <v>8.1999999999999993</v>
      </c>
      <c r="G17" s="293">
        <f t="shared" si="26"/>
        <v>21</v>
      </c>
      <c r="H17" s="293" t="str">
        <f t="shared" ref="H17:I17" si="27">SUBSTITUTE(TEXT(F17,"@"),",",".")</f>
        <v>8.2</v>
      </c>
      <c r="I17" s="294" t="str">
        <f t="shared" si="27"/>
        <v>21</v>
      </c>
      <c r="J17" s="269">
        <f t="shared" si="2"/>
        <v>0.60952380952380958</v>
      </c>
    </row>
    <row r="18" spans="1:25" ht="12.75">
      <c r="A18" s="295" t="s">
        <v>22</v>
      </c>
      <c r="B18" s="296">
        <v>1.37</v>
      </c>
      <c r="C18" s="296">
        <v>8.82</v>
      </c>
      <c r="D18" s="296">
        <v>20</v>
      </c>
      <c r="E18" s="296">
        <v>30</v>
      </c>
      <c r="F18" s="296">
        <f t="shared" ref="F18:G18" si="28">B18*D18</f>
        <v>27.400000000000002</v>
      </c>
      <c r="G18" s="296">
        <f t="shared" si="28"/>
        <v>264.60000000000002</v>
      </c>
      <c r="H18" s="296" t="str">
        <f t="shared" ref="H18:I18" si="29">SUBSTITUTE(TEXT(F18,"@"),",",".")</f>
        <v>27.4</v>
      </c>
      <c r="I18" s="297" t="str">
        <f t="shared" si="29"/>
        <v>264.6</v>
      </c>
      <c r="J18" s="269">
        <f t="shared" si="2"/>
        <v>0.89644746787603924</v>
      </c>
      <c r="K18" s="258" t="s">
        <v>94</v>
      </c>
    </row>
    <row r="19" spans="1:25" ht="12.75">
      <c r="A19" s="298" t="s">
        <v>23</v>
      </c>
      <c r="B19" s="299">
        <v>1.37</v>
      </c>
      <c r="C19" s="299">
        <v>7.44</v>
      </c>
      <c r="D19" s="299">
        <v>20</v>
      </c>
      <c r="E19" s="299">
        <v>20</v>
      </c>
      <c r="F19" s="299">
        <f t="shared" ref="F19:G19" si="30">B19*D19</f>
        <v>27.400000000000002</v>
      </c>
      <c r="G19" s="299">
        <f t="shared" si="30"/>
        <v>148.80000000000001</v>
      </c>
      <c r="H19" s="299" t="str">
        <f t="shared" ref="H19:I19" si="31">SUBSTITUTE(TEXT(F19,"@"),",",".")</f>
        <v>27.4</v>
      </c>
      <c r="I19" s="300" t="str">
        <f t="shared" si="31"/>
        <v>148.8</v>
      </c>
      <c r="J19" s="269">
        <f t="shared" si="2"/>
        <v>0.81586021505376338</v>
      </c>
      <c r="K19" s="258" t="s">
        <v>95</v>
      </c>
    </row>
    <row r="20" spans="1:25" ht="12.75">
      <c r="A20" s="301" t="s">
        <v>67</v>
      </c>
      <c r="B20" s="302">
        <v>0</v>
      </c>
      <c r="C20" s="303">
        <v>6.03</v>
      </c>
      <c r="D20" s="303">
        <v>20</v>
      </c>
      <c r="E20" s="303">
        <v>20</v>
      </c>
      <c r="F20" s="304">
        <f t="shared" ref="F20:G20" si="32">B20*D20</f>
        <v>0</v>
      </c>
      <c r="G20" s="304">
        <f t="shared" si="32"/>
        <v>120.60000000000001</v>
      </c>
      <c r="H20" s="305" t="str">
        <f t="shared" ref="H20:I20" si="33">SUBSTITUTE(TEXT(F20,"@"),",",".")</f>
        <v>0</v>
      </c>
      <c r="I20" s="305" t="str">
        <f t="shared" si="33"/>
        <v>120.6</v>
      </c>
      <c r="J20" s="269">
        <f t="shared" si="2"/>
        <v>1</v>
      </c>
    </row>
    <row r="21" spans="1:25" ht="12.75">
      <c r="A21" s="306" t="s">
        <v>29</v>
      </c>
      <c r="B21" s="302">
        <v>0</v>
      </c>
      <c r="C21" s="303">
        <v>9.89</v>
      </c>
      <c r="D21" s="303">
        <v>20</v>
      </c>
      <c r="E21" s="303">
        <v>20</v>
      </c>
      <c r="F21" s="304">
        <f t="shared" ref="F21:G21" si="34">B21*D21</f>
        <v>0</v>
      </c>
      <c r="G21" s="304">
        <f t="shared" si="34"/>
        <v>197.8</v>
      </c>
      <c r="H21" s="305" t="str">
        <f t="shared" ref="H21:I21" si="35">SUBSTITUTE(TEXT(F21,"@"),",",".")</f>
        <v>0</v>
      </c>
      <c r="I21" s="305" t="str">
        <f t="shared" si="35"/>
        <v>197.8</v>
      </c>
      <c r="J21" s="269">
        <f t="shared" si="2"/>
        <v>1</v>
      </c>
    </row>
    <row r="22" spans="1:25" ht="12.75">
      <c r="A22" s="307" t="s">
        <v>30</v>
      </c>
      <c r="B22" s="308">
        <v>0</v>
      </c>
      <c r="C22" s="309">
        <v>8.51</v>
      </c>
      <c r="D22" s="310">
        <v>20</v>
      </c>
      <c r="E22" s="310">
        <v>20</v>
      </c>
      <c r="F22" s="311">
        <f t="shared" ref="F22:G22" si="36">B22*D22</f>
        <v>0</v>
      </c>
      <c r="G22" s="311">
        <f t="shared" si="36"/>
        <v>170.2</v>
      </c>
      <c r="H22" s="310" t="str">
        <f t="shared" ref="H22:I22" si="37">SUBSTITUTE(TEXT(F22,"@"),",",".")</f>
        <v>0</v>
      </c>
      <c r="I22" s="310" t="str">
        <f t="shared" si="37"/>
        <v>170.2</v>
      </c>
      <c r="J22" s="269">
        <f t="shared" si="2"/>
        <v>1</v>
      </c>
      <c r="K22" s="312"/>
      <c r="L22" s="312"/>
      <c r="M22" s="312"/>
      <c r="N22" s="312"/>
      <c r="O22" s="312"/>
      <c r="P22" s="312"/>
      <c r="Q22" s="312"/>
      <c r="R22" s="312"/>
      <c r="S22" s="312"/>
      <c r="T22" s="312"/>
      <c r="U22" s="312"/>
      <c r="V22" s="312"/>
      <c r="W22" s="312"/>
      <c r="X22" s="312"/>
      <c r="Y22" s="312"/>
    </row>
    <row r="23" spans="1:25" ht="12.75">
      <c r="A23" s="306" t="s">
        <v>31</v>
      </c>
      <c r="B23" s="302">
        <v>0</v>
      </c>
      <c r="C23" s="303">
        <v>4.99</v>
      </c>
      <c r="D23" s="303">
        <v>20</v>
      </c>
      <c r="E23" s="303">
        <v>20</v>
      </c>
      <c r="F23" s="304">
        <f t="shared" ref="F23:G23" si="38">B23*D23</f>
        <v>0</v>
      </c>
      <c r="G23" s="304">
        <f t="shared" si="38"/>
        <v>99.800000000000011</v>
      </c>
      <c r="H23" s="305" t="str">
        <f t="shared" ref="H23:I23" si="39">SUBSTITUTE(TEXT(F23,"@"),",",".")</f>
        <v>0</v>
      </c>
      <c r="I23" s="305" t="str">
        <f t="shared" si="39"/>
        <v>99.8</v>
      </c>
      <c r="J23" s="269">
        <f t="shared" si="2"/>
        <v>1</v>
      </c>
    </row>
    <row r="24" spans="1:25" ht="12.75">
      <c r="B24" s="225"/>
      <c r="C24" s="225"/>
      <c r="D24" s="225"/>
      <c r="E24" s="225"/>
      <c r="F24" s="225"/>
      <c r="G24" s="225"/>
      <c r="H24" s="225"/>
      <c r="I24" s="225"/>
    </row>
    <row r="26" spans="1:25" ht="12.75">
      <c r="A26" s="313"/>
    </row>
    <row r="27" spans="1:25" ht="12.75">
      <c r="A27" s="313"/>
    </row>
    <row r="28" spans="1:25" ht="12.75">
      <c r="A28" s="313"/>
    </row>
    <row r="29" spans="1:25" ht="12.75">
      <c r="A29" s="313"/>
    </row>
    <row r="30" spans="1:25" ht="12.75">
      <c r="A30" s="313"/>
    </row>
    <row r="31" spans="1:25" ht="12.75">
      <c r="A31" s="313"/>
    </row>
    <row r="32" spans="1:25" ht="12.75">
      <c r="A32" s="313"/>
    </row>
    <row r="33" spans="1:1" ht="12.75">
      <c r="A33" s="313"/>
    </row>
  </sheetData>
  <mergeCells count="1">
    <mergeCell ref="F3:I3"/>
  </mergeCells>
  <printOptions horizontalCentered="1" gridLines="1"/>
  <pageMargins left="0.7" right="0.7" top="0.75" bottom="0.75" header="0" footer="0"/>
  <pageSetup paperSize="9" pageOrder="overThenDown" orientation="landscape" cellComments="atEnd"/>
  <colBreaks count="2" manualBreakCount="2">
    <brk man="1"/>
    <brk id="9" man="1"/>
  </colBreaks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314" t="str">
        <f ca="1">IFERROR(__xludf.DUMMYFUNCTION("QUERY(BDADOS!A5:AE1000,""select B,C,D,M,AE,M * "" &amp; K1 &amp; "" where B='Arraias' order by B,C"",1)"),"REGIONAL ")</f>
        <v xml:space="preserve">REGIONAL </v>
      </c>
      <c r="B1" s="314" t="str">
        <f ca="1">IFERROR(__xludf.DUMMYFUNCTION("""COMPUTED_VALUE"""),"MUNICÍPIO")</f>
        <v>MUNICÍPIO</v>
      </c>
      <c r="C1" s="314" t="str">
        <f ca="1">IFERROR(__xludf.DUMMYFUNCTION("""COMPUTED_VALUE"""),"")</f>
        <v/>
      </c>
      <c r="D1" s="314" t="str">
        <f ca="1">IFERROR(__xludf.DUMMYFUNCTION("""COMPUTED_VALUE"""),"E. F.  PARCIAL")</f>
        <v>E. F.  PARCIAL</v>
      </c>
      <c r="E1" s="314" t="str">
        <f ca="1">IFERROR(__xludf.DUMMYFUNCTION("""COMPUTED_VALUE"""),"TEMPO")</f>
        <v>TEMPO</v>
      </c>
      <c r="F1" s="314" t="str">
        <f ca="1">IFERROR(__xludf.DUMMYFUNCTION("""COMPUTED_VALUE"""),"product(E. F.  PARCIAL0.5())")</f>
        <v>product(E. F.  PARCIAL0.5())</v>
      </c>
      <c r="G1" s="314"/>
      <c r="J1" s="315" t="s">
        <v>96</v>
      </c>
      <c r="K1" s="315" t="str">
        <f>REPLACE(L1,2,1,".")</f>
        <v>0.5</v>
      </c>
      <c r="L1" s="258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316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56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316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56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316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56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316">
        <f ca="1">IFERROR(__xludf.DUMMYFUNCTION("""COMPUTED_VALUE"""),195)</f>
        <v>195</v>
      </c>
      <c r="E5" t="str">
        <f ca="1">IFERROR(__xludf.DUMMYFUNCTION("""COMPUTED_VALUE"""),"Parcial")</f>
        <v>Parcial</v>
      </c>
      <c r="F5">
        <f ca="1">IFERROR(__xludf.DUMMYFUNCTION("""COMPUTED_VALUE"""),97.5)</f>
        <v>97.5</v>
      </c>
      <c r="H5" t="s">
        <v>56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316">
        <f ca="1">IFERROR(__xludf.DUMMYFUNCTION("""COMPUTED_VALUE"""),106)</f>
        <v>106</v>
      </c>
      <c r="E6" t="str">
        <f ca="1">IFERROR(__xludf.DUMMYFUNCTION("""COMPUTED_VALUE"""),"Parcial")</f>
        <v>Parcial</v>
      </c>
      <c r="F6">
        <f ca="1">IFERROR(__xludf.DUMMYFUNCTION("""COMPUTED_VALUE"""),53)</f>
        <v>53</v>
      </c>
      <c r="H6" t="s">
        <v>56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37" t="str">
        <f ca="1">IFERROR(__xludf.DUMMYFUNCTION("""COMPUTED_VALUE"""),"Arraias")</f>
        <v>Arraias</v>
      </c>
      <c r="C7" s="137" t="str">
        <f ca="1">IFERROR(__xludf.DUMMYFUNCTION("""COMPUTED_VALUE"""),"A.A. ESCOLAR DA ESC. EST. SILVA DOURADO")</f>
        <v>A.A. ESCOLAR DA ESC. EST. SILVA DOURADO</v>
      </c>
      <c r="D7" s="316">
        <f ca="1">IFERROR(__xludf.DUMMYFUNCTION("""COMPUTED_VALUE"""),182)</f>
        <v>182</v>
      </c>
      <c r="E7" t="str">
        <f ca="1">IFERROR(__xludf.DUMMYFUNCTION("""COMPUTED_VALUE"""),"Parcial")</f>
        <v>Parcial</v>
      </c>
      <c r="F7">
        <f ca="1">IFERROR(__xludf.DUMMYFUNCTION("""COMPUTED_VALUE"""),91)</f>
        <v>91</v>
      </c>
      <c r="H7" s="137" t="s">
        <v>56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37" t="str">
        <f ca="1">IFERROR(__xludf.DUMMYFUNCTION("""COMPUTED_VALUE"""),"Aurora do Tocantins")</f>
        <v>Aurora do Tocantins</v>
      </c>
      <c r="C8" s="137" t="str">
        <f ca="1">IFERROR(__xludf.DUMMYFUNCTION("""COMPUTED_VALUE"""),"A.A. A ESCOLA/COL. EST.PROF. RANULFA")</f>
        <v>A.A. A ESCOLA/COL. EST.PROF. RANULFA</v>
      </c>
      <c r="D8" s="316">
        <f ca="1">IFERROR(__xludf.DUMMYFUNCTION("""COMPUTED_VALUE"""),31)</f>
        <v>31</v>
      </c>
      <c r="E8" t="str">
        <f ca="1">IFERROR(__xludf.DUMMYFUNCTION("""COMPUTED_VALUE"""),"Parcial")</f>
        <v>Parcial</v>
      </c>
      <c r="F8">
        <f ca="1">IFERROR(__xludf.DUMMYFUNCTION("""COMPUTED_VALUE"""),15.5)</f>
        <v>15.5</v>
      </c>
      <c r="H8" s="137" t="s">
        <v>58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37" t="str">
        <f ca="1">IFERROR(__xludf.DUMMYFUNCTION("""COMPUTED_VALUE"""),"Aurora do Tocantins")</f>
        <v>Aurora do Tocantins</v>
      </c>
      <c r="C9" s="137" t="str">
        <f ca="1">IFERROR(__xludf.DUMMYFUNCTION("""COMPUTED_VALUE"""),"ASS. APOIO ESCOLA ESTADUAL DONA INES")</f>
        <v>ASS. APOIO ESCOLA ESTADUAL DONA INES</v>
      </c>
      <c r="D9" s="316">
        <f ca="1">IFERROR(__xludf.DUMMYFUNCTION("""COMPUTED_VALUE"""),115)</f>
        <v>115</v>
      </c>
      <c r="E9" t="str">
        <f ca="1">IFERROR(__xludf.DUMMYFUNCTION("""COMPUTED_VALUE"""),"Parcial")</f>
        <v>Parcial</v>
      </c>
      <c r="F9">
        <f ca="1">IFERROR(__xludf.DUMMYFUNCTION("""COMPUTED_VALUE"""),57.5)</f>
        <v>57.5</v>
      </c>
      <c r="H9" s="137" t="s">
        <v>58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37" t="str">
        <f ca="1">IFERROR(__xludf.DUMMYFUNCTION("""COMPUTED_VALUE"""),"Combinado")</f>
        <v>Combinado</v>
      </c>
      <c r="C10" s="137" t="str">
        <f ca="1">IFERROR(__xludf.DUMMYFUNCTION("""COMPUTED_VALUE"""),"A.A. DO COL. E.JOAQUIM DE SENA E SILVA")</f>
        <v>A.A. DO COL. E.JOAQUIM DE SENA E SILVA</v>
      </c>
      <c r="D10" s="316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37" t="s">
        <v>59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316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59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316">
        <f ca="1">IFERROR(__xludf.DUMMYFUNCTION("""COMPUTED_VALUE"""),143)</f>
        <v>143</v>
      </c>
      <c r="E12" t="str">
        <f ca="1">IFERROR(__xludf.DUMMYFUNCTION("""COMPUTED_VALUE"""),"Parcial")</f>
        <v>Parcial</v>
      </c>
      <c r="F12">
        <f ca="1">IFERROR(__xludf.DUMMYFUNCTION("""COMPUTED_VALUE"""),71.5)</f>
        <v>71.5</v>
      </c>
      <c r="H12" t="s">
        <v>59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316">
        <f ca="1">IFERROR(__xludf.DUMMYFUNCTION("""COMPUTED_VALUE"""),108)</f>
        <v>108</v>
      </c>
      <c r="E13" t="str">
        <f ca="1">IFERROR(__xludf.DUMMYFUNCTION("""COMPUTED_VALUE"""),"Parcial")</f>
        <v>Parcial</v>
      </c>
      <c r="F13">
        <f ca="1">IFERROR(__xludf.DUMMYFUNCTION("""COMPUTED_VALUE"""),54)</f>
        <v>54</v>
      </c>
      <c r="H13" t="s">
        <v>60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316">
        <f ca="1">IFERROR(__xludf.DUMMYFUNCTION("""COMPUTED_VALUE"""),199)</f>
        <v>199</v>
      </c>
      <c r="E14" t="str">
        <f ca="1">IFERROR(__xludf.DUMMYFUNCTION("""COMPUTED_VALUE"""),"Parcial")</f>
        <v>Parcial</v>
      </c>
      <c r="F14">
        <f ca="1">IFERROR(__xludf.DUMMYFUNCTION("""COMPUTED_VALUE"""),99.5)</f>
        <v>99.5</v>
      </c>
      <c r="H14" t="s">
        <v>61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316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258" t="s">
        <v>97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316">
        <f ca="1">IFERROR(__xludf.DUMMYFUNCTION("""COMPUTED_VALUE"""),424)</f>
        <v>424</v>
      </c>
      <c r="E16" t="str">
        <f ca="1">IFERROR(__xludf.DUMMYFUNCTION("""COMPUTED_VALUE"""),"Parcial")</f>
        <v>Parcial</v>
      </c>
      <c r="F16">
        <f ca="1">IFERROR(__xludf.DUMMYFUNCTION("""COMPUTED_VALUE"""),212)</f>
        <v>212</v>
      </c>
      <c r="H16" t="s">
        <v>62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316">
        <f ca="1">IFERROR(__xludf.DUMMYFUNCTION("""COMPUTED_VALUE"""),53)</f>
        <v>53</v>
      </c>
      <c r="E17" t="str">
        <f ca="1">IFERROR(__xludf.DUMMYFUNCTION("""COMPUTED_VALUE"""),"Parcial")</f>
        <v>Parcial</v>
      </c>
      <c r="F17">
        <f ca="1">IFERROR(__xludf.DUMMYFUNCTION("""COMPUTED_VALUE"""),26.5)</f>
        <v>26.5</v>
      </c>
      <c r="H17" t="s">
        <v>62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316">
        <f ca="1">IFERROR(__xludf.DUMMYFUNCTION("""COMPUTED_VALUE"""),65)</f>
        <v>65</v>
      </c>
      <c r="E18" t="str">
        <f ca="1">IFERROR(__xludf.DUMMYFUNCTION("""COMPUTED_VALUE"""),"Parcial")</f>
        <v>Parcial</v>
      </c>
      <c r="F18">
        <f ca="1">IFERROR(__xludf.DUMMYFUNCTION("""COMPUTED_VALUE"""),32.5)</f>
        <v>32.5</v>
      </c>
      <c r="H18" s="258" t="s">
        <v>97</v>
      </c>
      <c r="I18" t="str">
        <f t="shared" ca="1" si="0"/>
        <v>É diferente</v>
      </c>
    </row>
    <row r="19" spans="1:10" ht="15.75" customHeight="1">
      <c r="C19" s="258" t="s">
        <v>98</v>
      </c>
      <c r="D19" s="258">
        <v>100</v>
      </c>
      <c r="F19" s="258">
        <v>0</v>
      </c>
    </row>
    <row r="22" spans="1:10" ht="15.75" customHeight="1">
      <c r="C22" s="258" t="s">
        <v>99</v>
      </c>
    </row>
    <row r="23" spans="1:10" ht="15.75" customHeight="1">
      <c r="A23" t="e">
        <f>#REF!</f>
        <v>#REF!</v>
      </c>
      <c r="B23" s="258" t="s">
        <v>100</v>
      </c>
      <c r="C23" s="258" t="s">
        <v>101</v>
      </c>
    </row>
    <row r="24" spans="1:10" ht="15.75" customHeight="1">
      <c r="B24" s="258" t="s">
        <v>102</v>
      </c>
      <c r="C24" s="258" t="s">
        <v>103</v>
      </c>
      <c r="D24" s="258">
        <v>5</v>
      </c>
      <c r="F24" s="316">
        <f t="shared" ref="F24:J24" ca="1" si="1">$D$4</f>
        <v>108</v>
      </c>
      <c r="G24" s="316">
        <f t="shared" ca="1" si="1"/>
        <v>108</v>
      </c>
      <c r="H24" s="316">
        <f t="shared" ca="1" si="1"/>
        <v>108</v>
      </c>
      <c r="I24" s="316">
        <f t="shared" ca="1" si="1"/>
        <v>108</v>
      </c>
      <c r="J24" s="316">
        <f t="shared" ca="1" si="1"/>
        <v>108</v>
      </c>
    </row>
    <row r="25" spans="1:10" ht="15.75" customHeight="1">
      <c r="A25" s="316">
        <f t="shared" ref="A25:A28" ca="1" si="2">D$4</f>
        <v>108</v>
      </c>
      <c r="B25" t="str">
        <f ca="1">E4</f>
        <v>Parcial</v>
      </c>
      <c r="C25" s="258" t="s">
        <v>104</v>
      </c>
      <c r="D25" s="258">
        <v>5</v>
      </c>
      <c r="H25" s="316">
        <f t="shared" ref="H25:H29" ca="1" si="3">D$4</f>
        <v>108</v>
      </c>
    </row>
    <row r="26" spans="1:10" ht="15.75" customHeight="1">
      <c r="A26" s="316">
        <f t="shared" ca="1" si="2"/>
        <v>108</v>
      </c>
      <c r="C26" s="258" t="s">
        <v>105</v>
      </c>
      <c r="D26" s="258">
        <v>5</v>
      </c>
      <c r="H26" s="316">
        <f t="shared" ca="1" si="3"/>
        <v>108</v>
      </c>
    </row>
    <row r="27" spans="1:10" ht="15.75" customHeight="1">
      <c r="A27" s="316">
        <f t="shared" ca="1" si="2"/>
        <v>108</v>
      </c>
      <c r="C27" s="258" t="s">
        <v>106</v>
      </c>
      <c r="D27" s="258">
        <v>5</v>
      </c>
      <c r="H27" s="316">
        <f t="shared" ca="1" si="3"/>
        <v>108</v>
      </c>
    </row>
    <row r="28" spans="1:10" ht="15.75" customHeight="1">
      <c r="A28" s="316">
        <f t="shared" ca="1" si="2"/>
        <v>108</v>
      </c>
      <c r="C28" s="258" t="s">
        <v>107</v>
      </c>
      <c r="D28" s="258">
        <v>5</v>
      </c>
      <c r="H28" s="316">
        <f t="shared" ca="1" si="3"/>
        <v>108</v>
      </c>
    </row>
    <row r="29" spans="1:10" ht="15.75" customHeight="1">
      <c r="A29">
        <f ca="1">RAND()</f>
        <v>0.91844474831588885</v>
      </c>
      <c r="B29">
        <f ca="1">INT(A29*60)</f>
        <v>55</v>
      </c>
      <c r="C29" s="258" t="s">
        <v>108</v>
      </c>
      <c r="H29" s="316">
        <f t="shared" ca="1" si="3"/>
        <v>108</v>
      </c>
    </row>
    <row r="30" spans="1:10" ht="15.75" customHeight="1">
      <c r="C30" s="258" t="s">
        <v>109</v>
      </c>
    </row>
    <row r="31" spans="1:10">
      <c r="A31" s="317" t="s">
        <v>110</v>
      </c>
      <c r="C31" s="258" t="s">
        <v>111</v>
      </c>
    </row>
    <row r="33" spans="1:6" ht="18">
      <c r="A33" s="318" t="s">
        <v>112</v>
      </c>
      <c r="B33" t="b">
        <f>1=1</f>
        <v>1</v>
      </c>
      <c r="C33" s="258">
        <v>13</v>
      </c>
    </row>
    <row r="34" spans="1:6" ht="18">
      <c r="A34" s="319" t="s">
        <v>113</v>
      </c>
      <c r="B34" t="b">
        <f>1&gt;2</f>
        <v>0</v>
      </c>
    </row>
    <row r="35" spans="1:6" ht="18">
      <c r="A35" s="319" t="s">
        <v>114</v>
      </c>
      <c r="B35" t="b">
        <f>1&lt;2</f>
        <v>1</v>
      </c>
      <c r="C35" s="251" t="str">
        <f ca="1">IFERROR(__xludf.DUMMYFUNCTION("QUERY(C1:F19,""SELECT * WHERE D&gt;100 AND F&gt;0"",1) "),"")</f>
        <v/>
      </c>
      <c r="D35" s="251" t="str">
        <f ca="1">IFERROR(__xludf.DUMMYFUNCTION("""COMPUTED_VALUE"""),"E. F.  PARCIAL")</f>
        <v>E. F.  PARCIAL</v>
      </c>
      <c r="E35" s="251" t="str">
        <f ca="1">IFERROR(__xludf.DUMMYFUNCTION("""COMPUTED_VALUE"""),"TEMPO")</f>
        <v>TEMPO</v>
      </c>
      <c r="F35" s="251" t="str">
        <f ca="1">IFERROR(__xludf.DUMMYFUNCTION("""COMPUTED_VALUE"""),"product(E. F.  PARCIAL0.5())")</f>
        <v>product(E. F.  PARCIAL0.5())</v>
      </c>
    </row>
    <row r="36" spans="1:6" ht="18">
      <c r="A36" s="319" t="s">
        <v>115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316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319" t="s">
        <v>116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316">
        <f ca="1">IFERROR(__xludf.DUMMYFUNCTION("""COMPUTED_VALUE"""),195)</f>
        <v>195</v>
      </c>
      <c r="E37" t="str">
        <f ca="1">IFERROR(__xludf.DUMMYFUNCTION("""COMPUTED_VALUE"""),"Parcial")</f>
        <v>Parcial</v>
      </c>
      <c r="F37">
        <f ca="1">IFERROR(__xludf.DUMMYFUNCTION("""COMPUTED_VALUE"""),97.5)</f>
        <v>97.5</v>
      </c>
    </row>
    <row r="38" spans="1:6" ht="18">
      <c r="A38" s="319" t="s">
        <v>117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316">
        <f ca="1">IFERROR(__xludf.DUMMYFUNCTION("""COMPUTED_VALUE"""),106)</f>
        <v>106</v>
      </c>
      <c r="E38" t="str">
        <f ca="1">IFERROR(__xludf.DUMMYFUNCTION("""COMPUTED_VALUE"""),"Parcial")</f>
        <v>Parcial</v>
      </c>
      <c r="F38">
        <f ca="1">IFERROR(__xludf.DUMMYFUNCTION("""COMPUTED_VALUE"""),53)</f>
        <v>53</v>
      </c>
    </row>
    <row r="39" spans="1:6" ht="15.75" customHeight="1">
      <c r="A39" s="258" t="s">
        <v>118</v>
      </c>
      <c r="C39" t="str">
        <f ca="1">IFERROR(__xludf.DUMMYFUNCTION("""COMPUTED_VALUE"""),"A.A. ESCOLAR DA ESC. EST. SILVA DOURADO")</f>
        <v>A.A. ESCOLAR DA ESC. EST. SILVA DOURADO</v>
      </c>
      <c r="D39" s="316">
        <f ca="1">IFERROR(__xludf.DUMMYFUNCTION("""COMPUTED_VALUE"""),182)</f>
        <v>182</v>
      </c>
      <c r="E39" t="str">
        <f ca="1">IFERROR(__xludf.DUMMYFUNCTION("""COMPUTED_VALUE"""),"Parcial")</f>
        <v>Parcial</v>
      </c>
      <c r="F39">
        <f ca="1">IFERROR(__xludf.DUMMYFUNCTION("""COMPUTED_VALUE"""),91)</f>
        <v>91</v>
      </c>
    </row>
    <row r="40" spans="1:6" ht="15.75" customHeight="1">
      <c r="A40" s="258" t="s">
        <v>119</v>
      </c>
      <c r="C40" t="str">
        <f ca="1">IFERROR(__xludf.DUMMYFUNCTION("""COMPUTED_VALUE"""),"ASS. APOIO ESCOLA ESTADUAL DONA INES")</f>
        <v>ASS. APOIO ESCOLA ESTADUAL DONA INES</v>
      </c>
      <c r="D40" s="316">
        <f ca="1">IFERROR(__xludf.DUMMYFUNCTION("""COMPUTED_VALUE"""),115)</f>
        <v>115</v>
      </c>
      <c r="E40" t="str">
        <f ca="1">IFERROR(__xludf.DUMMYFUNCTION("""COMPUTED_VALUE"""),"Parcial")</f>
        <v>Parcial</v>
      </c>
      <c r="F40">
        <f ca="1">IFERROR(__xludf.DUMMYFUNCTION("""COMPUTED_VALUE"""),57.5)</f>
        <v>57.5</v>
      </c>
    </row>
    <row r="41" spans="1:6" ht="15.75" customHeight="1">
      <c r="A41" s="258" t="s">
        <v>120</v>
      </c>
      <c r="C41" t="str">
        <f ca="1">IFERROR(__xludf.DUMMYFUNCTION("""COMPUTED_VALUE"""),"A.A. ESC. EST. AUGUSTA VAZ DOS S.TEIXEIRA")</f>
        <v>A.A. ESC. EST. AUGUSTA VAZ DOS S.TEIXEIRA</v>
      </c>
      <c r="D41" s="316">
        <f ca="1">IFERROR(__xludf.DUMMYFUNCTION("""COMPUTED_VALUE"""),143)</f>
        <v>143</v>
      </c>
      <c r="E41" t="str">
        <f ca="1">IFERROR(__xludf.DUMMYFUNCTION("""COMPUTED_VALUE"""),"Parcial")</f>
        <v>Parcial</v>
      </c>
      <c r="F41">
        <f ca="1">IFERROR(__xludf.DUMMYFUNCTION("""COMPUTED_VALUE"""),71.5)</f>
        <v>71.5</v>
      </c>
    </row>
    <row r="42" spans="1:6" ht="15.75" customHeight="1">
      <c r="C42" t="str">
        <f ca="1">IFERROR(__xludf.DUMMYFUNCTION("""COMPUTED_VALUE"""),"ASSOC. DE APOIO ESC. EST. LAVANDEIRA")</f>
        <v>ASSOC. DE APOIO ESC. EST. LAVANDEIRA</v>
      </c>
      <c r="D42" s="316">
        <f ca="1">IFERROR(__xludf.DUMMYFUNCTION("""COMPUTED_VALUE"""),108)</f>
        <v>108</v>
      </c>
      <c r="E42" t="str">
        <f ca="1">IFERROR(__xludf.DUMMYFUNCTION("""COMPUTED_VALUE"""),"Parcial")</f>
        <v>Parcial</v>
      </c>
      <c r="F42">
        <f ca="1">IFERROR(__xludf.DUMMYFUNCTION("""COMPUTED_VALUE"""),54)</f>
        <v>54</v>
      </c>
    </row>
    <row r="43" spans="1:6" ht="15.75" customHeight="1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316">
        <f ca="1">IFERROR(__xludf.DUMMYFUNCTION("""COMPUTED_VALUE"""),199)</f>
        <v>199</v>
      </c>
      <c r="E43" t="str">
        <f ca="1">IFERROR(__xludf.DUMMYFUNCTION("""COMPUTED_VALUE"""),"Parcial")</f>
        <v>Parcial</v>
      </c>
      <c r="F43">
        <f ca="1">IFERROR(__xludf.DUMMYFUNCTION("""COMPUTED_VALUE"""),99.5)</f>
        <v>99.5</v>
      </c>
    </row>
    <row r="44" spans="1:6" ht="15.75" customHeight="1">
      <c r="C44" t="str">
        <f ca="1">IFERROR(__xludf.DUMMYFUNCTION("""COMPUTED_VALUE"""),"A.A. DA ESC. EST.EUCLIDES BEZERRA GERAIS")</f>
        <v>A.A. DA ESC. EST.EUCLIDES BEZERRA GERAIS</v>
      </c>
      <c r="D44" s="316">
        <f ca="1">IFERROR(__xludf.DUMMYFUNCTION("""COMPUTED_VALUE"""),424)</f>
        <v>424</v>
      </c>
      <c r="E44" t="str">
        <f ca="1">IFERROR(__xludf.DUMMYFUNCTION("""COMPUTED_VALUE"""),"Parcial")</f>
        <v>Parcial</v>
      </c>
      <c r="F44">
        <f ca="1">IFERROR(__xludf.DUMMYFUNCTION("""COMPUTED_VALUE"""),212)</f>
        <v>212</v>
      </c>
    </row>
    <row r="48" spans="1:6" ht="15.75" customHeight="1">
      <c r="A48" t="b">
        <f>AND(1=1,2=2,C25="ABRI")</f>
        <v>0</v>
      </c>
    </row>
    <row r="57" spans="1:1" ht="15.75" customHeight="1">
      <c r="A57" s="320" t="s">
        <v>121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321" t="s">
        <v>122</v>
      </c>
      <c r="C1" s="322" t="s">
        <v>123</v>
      </c>
      <c r="D1" s="323"/>
      <c r="E1" s="323"/>
      <c r="F1" s="323"/>
      <c r="G1" s="323"/>
      <c r="H1" s="323"/>
      <c r="I1" s="324"/>
    </row>
    <row r="3" spans="2:14" ht="12.75">
      <c r="B3" s="325" t="s">
        <v>124</v>
      </c>
      <c r="C3" s="258" t="s">
        <v>125</v>
      </c>
      <c r="D3" s="326" t="s">
        <v>126</v>
      </c>
      <c r="E3" s="326" t="s">
        <v>127</v>
      </c>
      <c r="F3" s="326" t="s">
        <v>128</v>
      </c>
      <c r="G3" s="326" t="s">
        <v>129</v>
      </c>
      <c r="H3" s="327" t="s">
        <v>130</v>
      </c>
      <c r="K3" s="328" t="s">
        <v>26</v>
      </c>
      <c r="M3" s="329" t="s">
        <v>27</v>
      </c>
      <c r="N3" s="329" t="s">
        <v>131</v>
      </c>
    </row>
    <row r="4" spans="2:14" ht="12.75">
      <c r="B4" s="330" t="s">
        <v>44</v>
      </c>
      <c r="C4" s="258">
        <v>123</v>
      </c>
      <c r="D4" s="331" t="s">
        <v>132</v>
      </c>
      <c r="E4" s="332" t="s">
        <v>133</v>
      </c>
      <c r="F4" s="332" t="s">
        <v>134</v>
      </c>
      <c r="G4" s="332" t="s">
        <v>135</v>
      </c>
      <c r="H4" s="332" t="s">
        <v>136</v>
      </c>
      <c r="K4" s="333" t="s">
        <v>38</v>
      </c>
      <c r="M4" s="331" t="s">
        <v>0</v>
      </c>
      <c r="N4" s="331" t="s">
        <v>137</v>
      </c>
    </row>
    <row r="5" spans="2:14" ht="12.75">
      <c r="B5" s="330" t="s">
        <v>138</v>
      </c>
      <c r="C5" s="258">
        <v>55</v>
      </c>
      <c r="D5" s="331" t="s">
        <v>139</v>
      </c>
      <c r="E5" s="332" t="s">
        <v>140</v>
      </c>
      <c r="F5" s="332" t="s">
        <v>141</v>
      </c>
      <c r="G5" s="332" t="s">
        <v>142</v>
      </c>
      <c r="H5" s="334"/>
      <c r="K5" s="333" t="s">
        <v>40</v>
      </c>
      <c r="M5" s="331" t="s">
        <v>120</v>
      </c>
      <c r="N5" s="331" t="s">
        <v>64</v>
      </c>
    </row>
    <row r="6" spans="2:14" ht="12.75">
      <c r="B6" s="330" t="s">
        <v>42</v>
      </c>
      <c r="C6" s="258">
        <v>44</v>
      </c>
      <c r="D6" s="331" t="s">
        <v>143</v>
      </c>
      <c r="E6" s="332" t="s">
        <v>140</v>
      </c>
      <c r="F6" s="332" t="s">
        <v>144</v>
      </c>
      <c r="G6" s="332" t="s">
        <v>145</v>
      </c>
      <c r="H6" s="334"/>
      <c r="K6" s="333" t="s">
        <v>41</v>
      </c>
      <c r="M6" s="331" t="s">
        <v>39</v>
      </c>
      <c r="N6" s="331" t="s">
        <v>146</v>
      </c>
    </row>
    <row r="7" spans="2:14" ht="12.75">
      <c r="B7" s="330" t="s">
        <v>63</v>
      </c>
      <c r="C7" s="258">
        <v>234</v>
      </c>
      <c r="D7" s="331" t="s">
        <v>147</v>
      </c>
      <c r="E7" s="332" t="s">
        <v>140</v>
      </c>
      <c r="F7" s="332" t="s">
        <v>148</v>
      </c>
      <c r="G7" s="332" t="s">
        <v>149</v>
      </c>
      <c r="H7" s="334"/>
      <c r="M7" s="331" t="s">
        <v>150</v>
      </c>
      <c r="N7" s="331" t="s">
        <v>151</v>
      </c>
    </row>
    <row r="8" spans="2:14" ht="12.75">
      <c r="B8" s="330" t="s">
        <v>17</v>
      </c>
      <c r="C8" s="258">
        <v>234</v>
      </c>
      <c r="D8" s="331" t="s">
        <v>152</v>
      </c>
      <c r="E8" s="332" t="s">
        <v>140</v>
      </c>
      <c r="F8" s="332" t="s">
        <v>153</v>
      </c>
      <c r="G8" s="334"/>
      <c r="H8" s="332" t="s">
        <v>154</v>
      </c>
      <c r="M8" s="334"/>
      <c r="N8" s="334"/>
    </row>
    <row r="9" spans="2:14" ht="12.75">
      <c r="B9" s="330" t="s">
        <v>20</v>
      </c>
      <c r="C9" s="258">
        <v>23</v>
      </c>
      <c r="D9" s="331" t="s">
        <v>155</v>
      </c>
      <c r="E9" s="332" t="s">
        <v>156</v>
      </c>
      <c r="F9" s="331" t="s">
        <v>157</v>
      </c>
      <c r="G9" s="331" t="s">
        <v>158</v>
      </c>
      <c r="H9" s="332" t="s">
        <v>159</v>
      </c>
      <c r="M9" s="334"/>
      <c r="N9" s="334"/>
    </row>
    <row r="10" spans="2:14" ht="12.75">
      <c r="B10" s="330" t="s">
        <v>22</v>
      </c>
      <c r="C10" s="258">
        <v>4234</v>
      </c>
      <c r="D10" s="331" t="s">
        <v>160</v>
      </c>
      <c r="E10" s="332" t="s">
        <v>156</v>
      </c>
      <c r="F10" s="332" t="s">
        <v>161</v>
      </c>
      <c r="G10" s="331" t="s">
        <v>162</v>
      </c>
      <c r="H10" s="332" t="s">
        <v>159</v>
      </c>
    </row>
    <row r="11" spans="2:14" ht="12.75">
      <c r="B11" s="330" t="s">
        <v>23</v>
      </c>
      <c r="C11" s="258">
        <v>4</v>
      </c>
      <c r="D11" s="331" t="s">
        <v>163</v>
      </c>
      <c r="E11" s="335"/>
      <c r="F11" s="334"/>
      <c r="G11" s="331"/>
      <c r="H11" s="332" t="s">
        <v>164</v>
      </c>
    </row>
    <row r="12" spans="2:14" ht="12.75">
      <c r="B12" s="330" t="s">
        <v>43</v>
      </c>
      <c r="C12" s="258">
        <v>323444</v>
      </c>
      <c r="D12" s="331" t="s">
        <v>165</v>
      </c>
      <c r="E12" s="335"/>
      <c r="F12" s="334"/>
      <c r="G12" s="331"/>
      <c r="H12" s="332" t="s">
        <v>166</v>
      </c>
    </row>
    <row r="13" spans="2:14" ht="12.75">
      <c r="B13" s="330" t="s">
        <v>64</v>
      </c>
      <c r="C13" s="258">
        <v>44</v>
      </c>
      <c r="D13" s="331" t="s">
        <v>167</v>
      </c>
      <c r="E13" s="334"/>
      <c r="F13" s="332" t="s">
        <v>168</v>
      </c>
      <c r="G13" s="331" t="s">
        <v>169</v>
      </c>
      <c r="H13" s="332" t="s">
        <v>170</v>
      </c>
    </row>
    <row r="14" spans="2:14" ht="12.75">
      <c r="B14" s="330" t="s">
        <v>57</v>
      </c>
      <c r="C14" s="258"/>
      <c r="D14" s="331" t="s">
        <v>171</v>
      </c>
      <c r="E14" s="334"/>
      <c r="F14" s="332" t="s">
        <v>172</v>
      </c>
      <c r="G14" s="331"/>
      <c r="H14" s="334"/>
    </row>
    <row r="16" spans="2:14" ht="12.75">
      <c r="G16" s="312"/>
    </row>
    <row r="17" spans="1:10" ht="18">
      <c r="F17" s="336"/>
      <c r="G17" s="337"/>
    </row>
    <row r="18" spans="1:10" ht="18">
      <c r="F18" s="338"/>
      <c r="G18" s="337"/>
      <c r="I18" s="258" t="s">
        <v>173</v>
      </c>
    </row>
    <row r="19" spans="1:10" ht="30">
      <c r="A19" s="339"/>
      <c r="B19" s="340" t="s">
        <v>174</v>
      </c>
      <c r="C19" s="341"/>
      <c r="D19" s="341"/>
      <c r="E19" s="342"/>
      <c r="F19" s="376"/>
      <c r="G19" s="356"/>
      <c r="H19" s="356"/>
      <c r="I19" s="343" t="s">
        <v>63</v>
      </c>
      <c r="J19" s="344">
        <f>VLOOKUP(I19,B4:C13,2,0)</f>
        <v>234</v>
      </c>
    </row>
    <row r="20" spans="1:10" ht="12.75">
      <c r="A20" s="345"/>
      <c r="E20" s="346"/>
      <c r="F20" s="356"/>
      <c r="G20" s="356"/>
      <c r="H20" s="356"/>
    </row>
    <row r="21" spans="1:10" ht="23.25">
      <c r="A21" s="347"/>
      <c r="B21" s="348" t="s">
        <v>175</v>
      </c>
      <c r="C21" s="349"/>
      <c r="D21" s="349"/>
      <c r="E21" s="350"/>
      <c r="F21" s="356"/>
      <c r="G21" s="356"/>
      <c r="H21" s="356"/>
    </row>
    <row r="22" spans="1:10" ht="15.75" customHeight="1">
      <c r="F22" s="356"/>
      <c r="G22" s="356"/>
      <c r="H22" s="356"/>
    </row>
    <row r="23" spans="1:10" ht="15.75" customHeight="1">
      <c r="F23" s="356"/>
      <c r="G23" s="356"/>
      <c r="H23" s="356"/>
    </row>
    <row r="24" spans="1:10" ht="15.75" customHeight="1">
      <c r="F24" s="356"/>
      <c r="G24" s="356"/>
      <c r="H24" s="356"/>
    </row>
    <row r="25" spans="1:10" ht="15.75" customHeight="1">
      <c r="F25" s="356"/>
      <c r="G25" s="356"/>
      <c r="H25" s="356"/>
    </row>
    <row r="26" spans="1:10" ht="15.75" customHeight="1">
      <c r="F26" s="356"/>
      <c r="G26" s="356"/>
      <c r="H26" s="356"/>
    </row>
    <row r="27" spans="1:10" ht="12.75">
      <c r="D27" s="258" t="s">
        <v>70</v>
      </c>
      <c r="F27" s="356"/>
      <c r="G27" s="356"/>
      <c r="H27" s="356"/>
    </row>
    <row r="28" spans="1:10" ht="15.75" customHeight="1">
      <c r="F28" s="356"/>
      <c r="G28" s="356"/>
      <c r="H28" s="356"/>
    </row>
    <row r="29" spans="1:10" ht="15.75" customHeight="1">
      <c r="F29" s="356"/>
      <c r="G29" s="356"/>
      <c r="H29" s="356"/>
    </row>
    <row r="30" spans="1:10" ht="15.75" customHeight="1">
      <c r="F30" s="356"/>
      <c r="G30" s="356"/>
      <c r="H30" s="356"/>
    </row>
    <row r="31" spans="1:10" ht="15.75" customHeight="1">
      <c r="F31" s="356"/>
      <c r="G31" s="356"/>
      <c r="H31" s="356"/>
    </row>
    <row r="32" spans="1:10" ht="15.75" customHeight="1">
      <c r="F32" s="356"/>
      <c r="G32" s="356"/>
      <c r="H32" s="356"/>
    </row>
    <row r="33" spans="6:8" ht="15.75" customHeight="1">
      <c r="F33" s="356"/>
      <c r="G33" s="356"/>
      <c r="H33" s="356"/>
    </row>
    <row r="34" spans="6:8" ht="15.75" customHeight="1">
      <c r="F34" s="356"/>
      <c r="G34" s="356"/>
      <c r="H34" s="356"/>
    </row>
    <row r="35" spans="6:8" ht="15.75" customHeight="1">
      <c r="F35" s="356"/>
      <c r="G35" s="356"/>
      <c r="H35" s="356"/>
    </row>
    <row r="36" spans="6:8" ht="15.75" customHeight="1">
      <c r="F36" s="356"/>
      <c r="G36" s="356"/>
      <c r="H36" s="356"/>
    </row>
    <row r="37" spans="6:8" ht="15.75" customHeight="1">
      <c r="F37" s="356"/>
      <c r="G37" s="356"/>
      <c r="H37" s="356"/>
    </row>
    <row r="38" spans="6:8" ht="15.75" customHeight="1">
      <c r="F38" s="356"/>
      <c r="G38" s="356"/>
      <c r="H38" s="356"/>
    </row>
    <row r="39" spans="6:8" ht="15.75" customHeight="1">
      <c r="F39" s="356"/>
      <c r="G39" s="356"/>
      <c r="H39" s="356"/>
    </row>
    <row r="40" spans="6:8" ht="15.75" customHeight="1">
      <c r="F40" s="356"/>
      <c r="G40" s="356"/>
      <c r="H40" s="356"/>
    </row>
    <row r="41" spans="6:8" ht="15.75" customHeight="1">
      <c r="F41" s="356"/>
      <c r="G41" s="356"/>
      <c r="H41" s="356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3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914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"",1)"),"REGIONAL ")</f>
        <v xml:space="preserve">REGIONAL </v>
      </c>
      <c r="B2" t="str">
        <f ca="1">IFERROR(__xludf.DUMMYFUNCTION("""COMPUTED_VALUE"""),"MUNICÍPIO")</f>
        <v>MUNICÍPIO</v>
      </c>
      <c r="C2" t="str">
        <f ca="1">IFERROR(__xludf.DUMMYFUNCTION("""COMPUTED_VALUE"""),"")</f>
        <v/>
      </c>
      <c r="D2" t="str">
        <f ca="1">IFERROR(__xludf.DUMMYFUNCTION("""COMPUTED_VALUE"""),"CNPJ")</f>
        <v>CNPJ</v>
      </c>
      <c r="E2" t="str">
        <f ca="1">IFERROR(__xludf.DUMMYFUNCTION("""COMPUTED_VALUE"""),"product(ED. INF. CRECHE27.4())")</f>
        <v>product(ED. INF. CRECHE27.4())</v>
      </c>
      <c r="F2" t="str">
        <f ca="1">IFERROR(__xludf.DUMMYFUNCTION("""COMPUTED_VALUE"""),"product(ED. INF. PRÉ ESCOLA14.4())")</f>
        <v>product(ED. INF. PRÉ ESCOLA14.4())</v>
      </c>
      <c r="G2" t="str">
        <f ca="1">IFERROR(__xludf.DUMMYFUNCTION("""COMPUTED_VALUE"""),"BANCO")</f>
        <v>BANCO</v>
      </c>
      <c r="H2" t="str">
        <f ca="1">IFERROR(__xludf.DUMMYFUNCTION("""COMPUTED_VALUE"""),"AGENCIA")</f>
        <v>AGENCIA</v>
      </c>
      <c r="I2" t="str">
        <f ca="1">IFERROR(__xludf.DUMMYFUNCTION("""COMPUTED_VALUE"""),"C. CORRENTE")</f>
        <v>C. CORRENTE</v>
      </c>
      <c r="L2" s="351" t="s">
        <v>10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IFERROR(__xludf.DUMMYFUNCTION("""COMPUTED_VALUE"""),"ASSOC. DE APOIO DO CENTRO DE ENSINO MÉDIO CABO APARICIO ARAÚJO PAZ")</f>
        <v>ASSOC. DE APOIO DO CENTRO DE ENSINO MÉDIO CABO APARICIO ARAÚJO PAZ</v>
      </c>
      <c r="D3" t="str">
        <f ca="1">IFERROR(__xludf.DUMMYFUNCTION("""COMPUTED_VALUE"""),"05537116000188")</f>
        <v>05537116000188</v>
      </c>
      <c r="E3" s="7">
        <f ca="1">IFERROR(__xludf.DUMMYFUNCTION("""COMPUTED_VALUE"""),0)</f>
        <v>0</v>
      </c>
      <c r="F3" s="7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IFERROR(__xludf.DUMMYFUNCTION("""COMPUTED_VALUE"""),"114510")</f>
        <v>114510</v>
      </c>
      <c r="L3" s="351" t="s">
        <v>11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IFERROR(__xludf.DUMMYFUNCTION("""COMPUTED_VALUE"""),"ASS. APOIO COL. EST. GETULIO VARGAS")</f>
        <v>ASS. APOIO COL. EST. GETULIO VARGAS</v>
      </c>
      <c r="D4" t="str">
        <f ca="1">IFERROR(__xludf.DUMMYFUNCTION("""COMPUTED_VALUE"""),"01296368000101")</f>
        <v>01296368000101</v>
      </c>
      <c r="E4" s="7">
        <f ca="1">IFERROR(__xludf.DUMMYFUNCTION("""COMPUTED_VALUE"""),0)</f>
        <v>0</v>
      </c>
      <c r="F4" s="7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IFERROR(__xludf.DUMMYFUNCTION("""COMPUTED_VALUE"""),"55778")</f>
        <v>55778</v>
      </c>
      <c r="L4" s="351" t="s">
        <v>12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ESC. EST. PRES. COSTA E SILVA")</f>
        <v>A.A. ESC. EST. PRES. COSTA E SILVA</v>
      </c>
      <c r="D5" t="str">
        <f ca="1">IFERROR(__xludf.DUMMYFUNCTION("""COMPUTED_VALUE"""),"02026325000179")</f>
        <v>02026325000179</v>
      </c>
      <c r="E5" s="7">
        <f ca="1">IFERROR(__xludf.DUMMYFUNCTION("""COMPUTED_VALUE"""),0)</f>
        <v>0</v>
      </c>
      <c r="F5" s="7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IFERROR(__xludf.DUMMYFUNCTION("""COMPUTED_VALUE"""),"55786")</f>
        <v>55786</v>
      </c>
      <c r="L5" s="351" t="s">
        <v>13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IFERROR(__xludf.DUMMYFUNCTION("""COMPUTED_VALUE"""),"Ananas")</f>
        <v>Ananas</v>
      </c>
      <c r="C6" t="str">
        <f ca="1">IFERROR(__xludf.DUMMYFUNCTION("""COMPUTED_VALUE"""),"A.A. DA ESC.PAR.SAO PEDRO/CONVENIADA")</f>
        <v>A.A. DA ESC.PAR.SAO PEDRO/CONVENIADA</v>
      </c>
      <c r="D6" t="str">
        <f ca="1">IFERROR(__xludf.DUMMYFUNCTION("""COMPUTED_VALUE"""),"01911081000144")</f>
        <v>01911081000144</v>
      </c>
      <c r="E6" s="7">
        <f ca="1">IFERROR(__xludf.DUMMYFUNCTION("""COMPUTED_VALUE"""),0)</f>
        <v>0</v>
      </c>
      <c r="F6" s="7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IFERROR(__xludf.DUMMYFUNCTION("""COMPUTED_VALUE"""),"3973")</f>
        <v>3973</v>
      </c>
      <c r="I6" t="str">
        <f ca="1">IFERROR(__xludf.DUMMYFUNCTION("""COMPUTED_VALUE"""),"67350")</f>
        <v>67350</v>
      </c>
      <c r="L6" s="351" t="s">
        <v>34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IFERROR(__xludf.DUMMYFUNCTION("""COMPUTED_VALUE"""),"Aragominas")</f>
        <v>Aragominas</v>
      </c>
      <c r="C7" t="str">
        <f ca="1">IFERROR(__xludf.DUMMYFUNCTION("""COMPUTED_VALUE"""),"ASSOCIAÇÃO DE APOIO DO COL. EST.GETULIO VARGAS")</f>
        <v>ASSOCIAÇÃO DE APOIO DO COL. EST.GETULIO VARGAS</v>
      </c>
      <c r="D7" t="str">
        <f ca="1">IFERROR(__xludf.DUMMYFUNCTION("""COMPUTED_VALUE"""),"01918914000107")</f>
        <v>01918914000107</v>
      </c>
      <c r="E7" s="7">
        <f ca="1">IFERROR(__xludf.DUMMYFUNCTION("""COMPUTED_VALUE"""),0)</f>
        <v>0</v>
      </c>
      <c r="F7" s="7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IFERROR(__xludf.DUMMYFUNCTION("""COMPUTED_VALUE"""),"0638")</f>
        <v>0638</v>
      </c>
      <c r="I7" t="str">
        <f ca="1">IFERROR(__xludf.DUMMYFUNCTION("""COMPUTED_VALUE"""),"83224")</f>
        <v>83224</v>
      </c>
      <c r="L7" s="351" t="s">
        <v>14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IFERROR(__xludf.DUMMYFUNCTION("""COMPUTED_VALUE"""),"Aragominas")</f>
        <v>Aragominas</v>
      </c>
      <c r="C8" t="str">
        <f ca="1">IFERROR(__xludf.DUMMYFUNCTION("""COMPUTED_VALUE"""),"A.A.DA ESCOLA EST. JOSÉ DOMINGOS CARVALHO BARBOSA")</f>
        <v>A.A.DA ESCOLA EST. JOSÉ DOMINGOS CARVALHO BARBOSA</v>
      </c>
      <c r="D8" t="str">
        <f ca="1">IFERROR(__xludf.DUMMYFUNCTION("""COMPUTED_VALUE"""),"43927472000105")</f>
        <v>43927472000105</v>
      </c>
      <c r="E8" s="7">
        <f ca="1">IFERROR(__xludf.DUMMYFUNCTION("""COMPUTED_VALUE"""),0)</f>
        <v>0</v>
      </c>
      <c r="F8" s="7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IFERROR(__xludf.DUMMYFUNCTION("""COMPUTED_VALUE"""),"1098985")</f>
        <v>1098985</v>
      </c>
      <c r="L8" s="351" t="s">
        <v>15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DAS ESCOLAS ISOLADAS E REUNIDAS DA DRE ARAGUAINA")</f>
        <v>A.A. DAS ESCOLAS ISOLADAS E REUNIDAS DA DRE ARAGUAINA</v>
      </c>
      <c r="D9" t="str">
        <f ca="1">IFERROR(__xludf.DUMMYFUNCTION("""COMPUTED_VALUE"""),"02629601000193")</f>
        <v>02629601000193</v>
      </c>
      <c r="E9" s="7">
        <f ca="1">IFERROR(__xludf.DUMMYFUNCTION("""COMPUTED_VALUE"""),0)</f>
        <v>0</v>
      </c>
      <c r="F9" s="7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IFERROR(__xludf.DUMMYFUNCTION("""COMPUTED_VALUE"""),"352403")</f>
        <v>352403</v>
      </c>
      <c r="L9" s="351" t="s">
        <v>16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DO CAIC JORGE HUMBERTO CAMARGO")</f>
        <v>A.A. DO CAIC JORGE HUMBERTO CAMARGO</v>
      </c>
      <c r="D10" t="str">
        <f ca="1">IFERROR(__xludf.DUMMYFUNCTION("""COMPUTED_VALUE"""),"01071395000186")</f>
        <v>01071395000186</v>
      </c>
      <c r="E10" s="7">
        <f ca="1">IFERROR(__xludf.DUMMYFUNCTION("""COMPUTED_VALUE"""),0)</f>
        <v>0</v>
      </c>
      <c r="F10" s="7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IFERROR(__xludf.DUMMYFUNCTION("""COMPUTED_VALUE"""),"55099X")</f>
        <v>55099X</v>
      </c>
      <c r="L10" s="351" t="s">
        <v>17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IFERROR(__xludf.DUMMYFUNCTION("""COMPUTED_VALUE"""),"ASSOC. A. COL. EST. BENJAMIM JOSÉ DE ALMEIDA")</f>
        <v>ASSOC. A. COL. EST. BENJAMIM JOSÉ DE ALMEIDA</v>
      </c>
      <c r="D11" t="str">
        <f ca="1">IFERROR(__xludf.DUMMYFUNCTION("""COMPUTED_VALUE"""),"01136023000190")</f>
        <v>01136023000190</v>
      </c>
      <c r="E11" s="7">
        <f ca="1">IFERROR(__xludf.DUMMYFUNCTION("""COMPUTED_VALUE"""),0)</f>
        <v>0</v>
      </c>
      <c r="F11" s="7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IFERROR(__xludf.DUMMYFUNCTION("""COMPUTED_VALUE"""),"55149X")</f>
        <v>55149X</v>
      </c>
      <c r="L11" s="351" t="s">
        <v>18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DE PAIS, ALUNOS E MESTRES COL. EST. POLIVALENTE CASTELO BRANCO")</f>
        <v>ASSOC. DE PAIS, ALUNOS E MESTRES COL. EST. POLIVALENTE CASTELO BRANCO</v>
      </c>
      <c r="D12" t="str">
        <f ca="1">IFERROR(__xludf.DUMMYFUNCTION("""COMPUTED_VALUE"""),"00918900000112")</f>
        <v>00918900000112</v>
      </c>
      <c r="E12" s="7">
        <f ca="1">IFERROR(__xludf.DUMMYFUNCTION("""COMPUTED_VALUE"""),0)</f>
        <v>0</v>
      </c>
      <c r="F12" s="7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IFERROR(__xludf.DUMMYFUNCTION("""COMPUTED_VALUE"""),"12599")</f>
        <v>12599</v>
      </c>
      <c r="L12" s="351" t="s">
        <v>19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A.  DO COLÉGIO DA POLICIA MILITAR - UNIDADE III")</f>
        <v>ASSOC. A.  DO COLÉGIO DA POLICIA MILITAR - UNIDADE III</v>
      </c>
      <c r="D13" t="str">
        <f ca="1">IFERROR(__xludf.DUMMYFUNCTION("""COMPUTED_VALUE"""),"02480178000102")</f>
        <v>02480178000102</v>
      </c>
      <c r="E13" s="7">
        <f ca="1">IFERROR(__xludf.DUMMYFUNCTION("""COMPUTED_VALUE"""),0)</f>
        <v>0</v>
      </c>
      <c r="F13" s="7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IFERROR(__xludf.DUMMYFUNCTION("""COMPUTED_VALUE"""),"552291")</f>
        <v>552291</v>
      </c>
      <c r="L13" s="351" t="s">
        <v>20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IFERROR(__xludf.DUMMYFUNCTION("""COMPUTED_VALUE"""),"ASSOC. APOIO COL. EST. CEM PAULO FREIRE")</f>
        <v>ASSOC. APOIO COL. EST. CEM PAULO FREIRE</v>
      </c>
      <c r="D14" t="str">
        <f ca="1">IFERROR(__xludf.DUMMYFUNCTION("""COMPUTED_VALUE"""),"01738420000132")</f>
        <v>01738420000132</v>
      </c>
      <c r="E14" s="7">
        <f ca="1">IFERROR(__xludf.DUMMYFUNCTION("""COMPUTED_VALUE"""),0)</f>
        <v>0</v>
      </c>
      <c r="F14" s="7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IFERROR(__xludf.DUMMYFUNCTION("""COMPUTED_VALUE"""),"551589")</f>
        <v>551589</v>
      </c>
      <c r="L14" s="351" t="s">
        <v>21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 APOIO DO COLEGIO DE APLICACAO")</f>
        <v>A. APOIO DO COLEGIO DE APLICACAO</v>
      </c>
      <c r="D15" t="str">
        <f ca="1">IFERROR(__xludf.DUMMYFUNCTION("""COMPUTED_VALUE"""),"01086986000127")</f>
        <v>01086986000127</v>
      </c>
      <c r="E15" s="7">
        <f ca="1">IFERROR(__xludf.DUMMYFUNCTION("""COMPUTED_VALUE"""),0)</f>
        <v>0</v>
      </c>
      <c r="F15" s="7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IFERROR(__xludf.DUMMYFUNCTION("""COMPUTED_VALUE"""),"0465275")</f>
        <v>0465275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ADEMAR V. FERREIRA SOBRINHO")</f>
        <v>A.A. C.E. ADEMAR V. FERREIRA SOBRINHO</v>
      </c>
      <c r="D16" t="str">
        <f ca="1">IFERROR(__xludf.DUMMYFUNCTION("""COMPUTED_VALUE"""),"01143808000190")</f>
        <v>01143808000190</v>
      </c>
      <c r="E16" s="7">
        <f ca="1">IFERROR(__xludf.DUMMYFUNCTION("""COMPUTED_VALUE"""),0)</f>
        <v>0</v>
      </c>
      <c r="F16" s="7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IFERROR(__xludf.DUMMYFUNCTION("""COMPUTED_VALUE"""),"0464244")</f>
        <v>0464244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C.E.  ADOLFO BEZERRA DE MENEZES")</f>
        <v>A.A. C.E.  ADOLFO BEZERRA DE MENEZES</v>
      </c>
      <c r="D17" t="str">
        <f ca="1">IFERROR(__xludf.DUMMYFUNCTION("""COMPUTED_VALUE"""),"01071435000190")</f>
        <v>01071435000190</v>
      </c>
      <c r="E17" s="7">
        <f ca="1">IFERROR(__xludf.DUMMYFUNCTION("""COMPUTED_VALUE"""),0)</f>
        <v>0</v>
      </c>
      <c r="F17" s="7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IFERROR(__xludf.DUMMYFUNCTION("""COMPUTED_VALUE"""),"463426")</f>
        <v>463426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 APOIO ESCOLA EST. CAMPOS BRASIL")</f>
        <v>A. APOIO ESCOLA EST. CAMPOS BRASIL</v>
      </c>
      <c r="D18" t="str">
        <f ca="1">IFERROR(__xludf.DUMMYFUNCTION("""COMPUTED_VALUE"""),"01291177000157")</f>
        <v>01291177000157</v>
      </c>
      <c r="E18" s="7">
        <f ca="1">IFERROR(__xludf.DUMMYFUNCTION("""COMPUTED_VALUE"""),0)</f>
        <v>0</v>
      </c>
      <c r="F18" s="7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IFERROR(__xludf.DUMMYFUNCTION("""COMPUTED_VALUE"""),"466093")</f>
        <v>466093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COL. ESTADUAL GUILHERME DOURADO")</f>
        <v>A.A. COL. ESTADUAL GUILHERME DOURADO</v>
      </c>
      <c r="D19" t="str">
        <f ca="1">IFERROR(__xludf.DUMMYFUNCTION("""COMPUTED_VALUE"""),"01257074000170")</f>
        <v>01257074000170</v>
      </c>
      <c r="E19" s="7">
        <f ca="1">IFERROR(__xludf.DUMMYFUNCTION("""COMPUTED_VALUE"""),0)</f>
        <v>0</v>
      </c>
      <c r="F19" s="7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IFERROR(__xludf.DUMMYFUNCTION("""COMPUTED_VALUE"""),"0068659")</f>
        <v>0068659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IFERROR(__xludf.DUMMYFUNCTION("""COMPUTED_VALUE"""),"ASS. APOIO COL. EST. JARDIM PAULISTA")</f>
        <v>ASS. APOIO COL. EST. JARDIM PAULISTA</v>
      </c>
      <c r="D20" t="str">
        <f ca="1">IFERROR(__xludf.DUMMYFUNCTION("""COMPUTED_VALUE"""),"05502542000186")</f>
        <v>05502542000186</v>
      </c>
      <c r="E20" s="7">
        <f ca="1">IFERROR(__xludf.DUMMYFUNCTION("""COMPUTED_VALUE"""),0)</f>
        <v>0</v>
      </c>
      <c r="F20" s="7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IFERROR(__xludf.DUMMYFUNCTION("""COMPUTED_VALUE"""),"243876")</f>
        <v>243876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IFERROR(__xludf.DUMMYFUNCTION("""COMPUTED_VALUE"""),"A.APOIO COL. ESTADUAL JORGE AMADO")</f>
        <v>A.APOIO COL. ESTADUAL JORGE AMADO</v>
      </c>
      <c r="D21" t="str">
        <f ca="1">IFERROR(__xludf.DUMMYFUNCTION("""COMPUTED_VALUE"""),"01291218000105")</f>
        <v>01291218000105</v>
      </c>
      <c r="E21" s="7">
        <f ca="1">IFERROR(__xludf.DUMMYFUNCTION("""COMPUTED_VALUE"""),0)</f>
        <v>0</v>
      </c>
      <c r="F21" s="7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IFERROR(__xludf.DUMMYFUNCTION("""COMPUTED_VALUE"""),"0467006")</f>
        <v>0467006</v>
      </c>
      <c r="K21" s="352" t="s">
        <v>35</v>
      </c>
      <c r="L21" s="353" t="s">
        <v>36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C.E.  PROF. SILVANDIRA SOUSA LIMA")</f>
        <v>A.A. C.E.  PROF. SILVANDIRA SOUSA LIMA</v>
      </c>
      <c r="D22" t="str">
        <f ca="1">IFERROR(__xludf.DUMMYFUNCTION("""COMPUTED_VALUE"""),"01071403000194")</f>
        <v>01071403000194</v>
      </c>
      <c r="E22" s="7">
        <f ca="1">IFERROR(__xludf.DUMMYFUNCTION("""COMPUTED_VALUE"""),0)</f>
        <v>0</v>
      </c>
      <c r="F22" s="7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IFERROR(__xludf.DUMMYFUNCTION("""COMPUTED_VALUE"""),"0463922")</f>
        <v>0463922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COLEGIO ESTADUAL RUI BARBOSA")</f>
        <v>A.A. COLEGIO ESTADUAL RUI BARBOSA</v>
      </c>
      <c r="D23" t="str">
        <f ca="1">IFERROR(__xludf.DUMMYFUNCTION("""COMPUTED_VALUE"""),"01071440000100")</f>
        <v>01071440000100</v>
      </c>
      <c r="E23" s="7">
        <f ca="1">IFERROR(__xludf.DUMMYFUNCTION("""COMPUTED_VALUE"""),0)</f>
        <v>0</v>
      </c>
      <c r="F23" s="7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IFERROR(__xludf.DUMMYFUNCTION("""COMPUTED_VALUE"""),"0638")</f>
        <v>0638</v>
      </c>
      <c r="I23" t="str">
        <f ca="1">IFERROR(__xludf.DUMMYFUNCTION("""COMPUTED_VALUE"""),"0463787")</f>
        <v>0463787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IFERROR(__xludf.DUMMYFUNCTION("""COMPUTED_VALUE"""),"A.A.ESCOLA TEMPO INTEGRAL JARDENIR JORGE FREDERICO")</f>
        <v>A.A.ESCOLA TEMPO INTEGRAL JARDENIR JORGE FREDERICO</v>
      </c>
      <c r="D24" t="str">
        <f ca="1">IFERROR(__xludf.DUMMYFUNCTION("""COMPUTED_VALUE"""),"43361835000180")</f>
        <v>43361835000180</v>
      </c>
      <c r="E24" s="7">
        <f ca="1">IFERROR(__xludf.DUMMYFUNCTION("""COMPUTED_VALUE"""),0)</f>
        <v>0</v>
      </c>
      <c r="F24" s="7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IFERROR(__xludf.DUMMYFUNCTION("""COMPUTED_VALUE"""),"4348")</f>
        <v>4348</v>
      </c>
      <c r="I24" t="str">
        <f ca="1">IFERROR(__xludf.DUMMYFUNCTION("""COMPUTED_VALUE"""),"434795")</f>
        <v>434795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TEMPO INTEGRAL DOMINGOS DA CRUZ MACHADO")</f>
        <v>A.A. ESCOLA TEMPO INTEGRAL DOMINGOS DA CRUZ MACHADO</v>
      </c>
      <c r="D25" t="str">
        <f ca="1">IFERROR(__xludf.DUMMYFUNCTION("""COMPUTED_VALUE"""),"49868761000159")</f>
        <v>49868761000159</v>
      </c>
      <c r="E25" s="7">
        <f ca="1">IFERROR(__xludf.DUMMYFUNCTION("""COMPUTED_VALUE"""),0)</f>
        <v>0</v>
      </c>
      <c r="F25" s="7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IFERROR(__xludf.DUMMYFUNCTION("""COMPUTED_VALUE"""),"4348")</f>
        <v>4348</v>
      </c>
      <c r="I25" t="str">
        <f ca="1">IFERROR(__xludf.DUMMYFUNCTION("""COMPUTED_VALUE"""),"460192")</f>
        <v>460192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DEP.FED.JOSE A. DE ASSIS")</f>
        <v>A.A. ESC. EST. DEP.FED.JOSE A. DE ASSIS</v>
      </c>
      <c r="D26" t="str">
        <f ca="1">IFERROR(__xludf.DUMMYFUNCTION("""COMPUTED_VALUE"""),"01186464000105")</f>
        <v>01186464000105</v>
      </c>
      <c r="E26" s="7">
        <f ca="1">IFERROR(__xludf.DUMMYFUNCTION("""COMPUTED_VALUE"""),0)</f>
        <v>0</v>
      </c>
      <c r="F26" s="7">
        <f ca="1">IFERROR(__xludf.DUMMYFUNCTION("""COMPUTED_VALUE"""),0)</f>
        <v>0</v>
      </c>
      <c r="G26" t="str">
        <f ca="1">IFERROR(__xludf.DUMMYFUNCTION("""COMPUTED_VALUE"""),"001")</f>
        <v>001</v>
      </c>
      <c r="H26" t="str">
        <f ca="1">IFERROR(__xludf.DUMMYFUNCTION("""COMPUTED_VALUE"""),"0638")</f>
        <v>0638</v>
      </c>
      <c r="I26" t="str">
        <f ca="1">IFERROR(__xludf.DUMMYFUNCTION("""COMPUTED_VALUE"""),"465089")</f>
        <v>465089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IFERROR(__xludf.DUMMYFUNCTION("""COMPUTED_VALUE"""),"ASSOCIAÇÃO DE APOIO DA ESCOLA ESPECIAL RAIO DE LUZ APAE ARAGUAÍNA")</f>
        <v>ASSOCIAÇÃO DE APOIO DA ESCOLA ESPECIAL RAIO DE LUZ APAE ARAGUAÍNA</v>
      </c>
      <c r="D27" t="str">
        <f ca="1">IFERROR(__xludf.DUMMYFUNCTION("""COMPUTED_VALUE"""),"07953043000130")</f>
        <v>07953043000130</v>
      </c>
      <c r="E27" s="7">
        <f ca="1">IFERROR(__xludf.DUMMYFUNCTION("""COMPUTED_VALUE"""),0)</f>
        <v>0</v>
      </c>
      <c r="F27" s="7">
        <f ca="1">IFERROR(__xludf.DUMMYFUNCTION("""COMPUTED_VALUE"""),288)</f>
        <v>288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IFERROR(__xludf.DUMMYFUNCTION("""COMPUTED_VALUE"""),"379921")</f>
        <v>379921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 ESCOLA ESPIRITA ANDRE LUIZ")</f>
        <v>A.A.  ESCOLA ESPIRITA ANDRE LUIZ</v>
      </c>
      <c r="D28" t="str">
        <f ca="1">IFERROR(__xludf.DUMMYFUNCTION("""COMPUTED_VALUE"""),"01066416000175")</f>
        <v>01066416000175</v>
      </c>
      <c r="E28" s="7">
        <f ca="1">IFERROR(__xludf.DUMMYFUNCTION("""COMPUTED_VALUE"""),0)</f>
        <v>0</v>
      </c>
      <c r="F28" s="7">
        <f ca="1">IFERROR(__xludf.DUMMYFUNCTION("""COMPUTED_VALUE"""),0)</f>
        <v>0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IFERROR(__xludf.DUMMYFUNCTION("""COMPUTED_VALUE"""),"463582")</f>
        <v>463582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E.FRANCISCO MAXIMO DE SOUZA")</f>
        <v>A.A. ESC. E.FRANCISCO MAXIMO DE SOUZA</v>
      </c>
      <c r="D29" t="str">
        <f ca="1">IFERROR(__xludf.DUMMYFUNCTION("""COMPUTED_VALUE"""),"01345127000105")</f>
        <v>01345127000105</v>
      </c>
      <c r="E29" s="7">
        <f ca="1">IFERROR(__xludf.DUMMYFUNCTION("""COMPUTED_VALUE"""),0)</f>
        <v>0</v>
      </c>
      <c r="F29" s="7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IFERROR(__xludf.DUMMYFUNCTION("""COMPUTED_VALUE"""),"0463167")</f>
        <v>0463167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IFERROR(__xludf.DUMMYFUNCTION("""COMPUTED_VALUE"""),"ASS. COM. COL EST. SANCHA FERREIRA")</f>
        <v>ASS. COM. COL EST. SANCHA FERREIRA</v>
      </c>
      <c r="D30" t="str">
        <f ca="1">IFERROR(__xludf.DUMMYFUNCTION("""COMPUTED_VALUE"""),"01338702000142")</f>
        <v>01338702000142</v>
      </c>
      <c r="E30" s="7">
        <f ca="1">IFERROR(__xludf.DUMMYFUNCTION("""COMPUTED_VALUE"""),0)</f>
        <v>0</v>
      </c>
      <c r="F30" s="7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IFERROR(__xludf.DUMMYFUNCTION("""COMPUTED_VALUE"""),"0466913")</f>
        <v>0466913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HENRIQUE CIRQUEIRA AMORIM")</f>
        <v>A.A. ESC. HENRIQUE CIRQUEIRA AMORIM</v>
      </c>
      <c r="D31" t="str">
        <f ca="1">IFERROR(__xludf.DUMMYFUNCTION("""COMPUTED_VALUE"""),"01088234000103")</f>
        <v>01088234000103</v>
      </c>
      <c r="E31" s="7">
        <f ca="1">IFERROR(__xludf.DUMMYFUNCTION("""COMPUTED_VALUE"""),0)</f>
        <v>0</v>
      </c>
      <c r="F31" s="7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IFERROR(__xludf.DUMMYFUNCTION("""COMPUTED_VALUE"""),"0465194")</f>
        <v>0465194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EST. JOAO GUILHERME L. KUNZE")</f>
        <v>A.A. ESC. EST. JOAO GUILHERME L. KUNZE</v>
      </c>
      <c r="D32" t="str">
        <f ca="1">IFERROR(__xludf.DUMMYFUNCTION("""COMPUTED_VALUE"""),"01071400000150")</f>
        <v>01071400000150</v>
      </c>
      <c r="E32" s="7">
        <f ca="1">IFERROR(__xludf.DUMMYFUNCTION("""COMPUTED_VALUE"""),0)</f>
        <v>0</v>
      </c>
      <c r="F32" s="7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IFERROR(__xludf.DUMMYFUNCTION("""COMPUTED_VALUE"""),"0463639")</f>
        <v>0463639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ESC. EST. MANOEL GOMES DA CUNHA")</f>
        <v>A.A. ESC. EST. MANOEL GOMES DA CUNHA</v>
      </c>
      <c r="D33" t="str">
        <f ca="1">IFERROR(__xludf.DUMMYFUNCTION("""COMPUTED_VALUE"""),"01443216000194")</f>
        <v>01443216000194</v>
      </c>
      <c r="E33" s="7">
        <f ca="1">IFERROR(__xludf.DUMMYFUNCTION("""COMPUTED_VALUE"""),0)</f>
        <v>0</v>
      </c>
      <c r="F33" s="7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IFERROR(__xludf.DUMMYFUNCTION("""COMPUTED_VALUE"""),"0468355")</f>
        <v>0468355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IFERROR(__xludf.DUMMYFUNCTION("""COMPUTED_VALUE"""),"A.A. ESCOLA ESTADUAL MAL. RONDON")</f>
        <v>A.A. ESCOLA ESTADUAL MAL. RONDON</v>
      </c>
      <c r="D34" t="str">
        <f ca="1">IFERROR(__xludf.DUMMYFUNCTION("""COMPUTED_VALUE"""),"01068349000128")</f>
        <v>01068349000128</v>
      </c>
      <c r="E34" s="7">
        <f ca="1">IFERROR(__xludf.DUMMYFUNCTION("""COMPUTED_VALUE"""),0)</f>
        <v>0</v>
      </c>
      <c r="F34" s="7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IFERROR(__xludf.DUMMYFUNCTION("""COMPUTED_VALUE"""),"046368X")</f>
        <v>046368X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 DE A.DA ESCOLA ESTADUAL MODELO")</f>
        <v>A. DE A.DA ESCOLA ESTADUAL MODELO</v>
      </c>
      <c r="D35" t="str">
        <f ca="1">IFERROR(__xludf.DUMMYFUNCTION("""COMPUTED_VALUE"""),"01133696000197")</f>
        <v>01133696000197</v>
      </c>
      <c r="E35" s="7">
        <f ca="1">IFERROR(__xludf.DUMMYFUNCTION("""COMPUTED_VALUE"""),0)</f>
        <v>0</v>
      </c>
      <c r="F35" s="7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IFERROR(__xludf.DUMMYFUNCTION("""COMPUTED_VALUE"""),"484520")</f>
        <v>484520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IFERROR(__xludf.DUMMYFUNCTION("""COMPUTED_VALUE"""),"A.A. ESC. E.NORTE GOIANO DE ARAGUAINA")</f>
        <v>A.A. ESC. E.NORTE GOIANO DE ARAGUAINA</v>
      </c>
      <c r="D36" t="str">
        <f ca="1">IFERROR(__xludf.DUMMYFUNCTION("""COMPUTED_VALUE"""),"01195483000190")</f>
        <v>01195483000190</v>
      </c>
      <c r="E36" s="7">
        <f ca="1">IFERROR(__xludf.DUMMYFUNCTION("""COMPUTED_VALUE"""),0)</f>
        <v>0</v>
      </c>
      <c r="F36" s="7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IFERROR(__xludf.DUMMYFUNCTION("""COMPUTED_VALUE"""),"0464724")</f>
        <v>0464724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ESCOLA EST.PROF.ALFREDO NASSER")</f>
        <v>A.A. ESCOLA EST.PROF.ALFREDO NASSER</v>
      </c>
      <c r="D37" t="str">
        <f ca="1">IFERROR(__xludf.DUMMYFUNCTION("""COMPUTED_VALUE"""),"01223632000187")</f>
        <v>01223632000187</v>
      </c>
      <c r="E37" s="7">
        <f ca="1">IFERROR(__xludf.DUMMYFUNCTION("""COMPUTED_VALUE"""),0)</f>
        <v>0</v>
      </c>
      <c r="F37" s="7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IFERROR(__xludf.DUMMYFUNCTION("""COMPUTED_VALUE"""),"0465135")</f>
        <v>0465135</v>
      </c>
    </row>
    <row r="38" spans="1:9" ht="15.75" customHeight="1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ESC. EST. DE ARAGUAINA / PROF. JOÃO ALVES BATISTA")</f>
        <v>A.A. ESC. EST. DE ARAGUAINA / PROF. JOÃO ALVES BATISTA</v>
      </c>
      <c r="D38" t="str">
        <f ca="1">IFERROR(__xludf.DUMMYFUNCTION("""COMPUTED_VALUE"""),"25062332000121")</f>
        <v>25062332000121</v>
      </c>
      <c r="E38" s="7">
        <f ca="1">IFERROR(__xludf.DUMMYFUNCTION("""COMPUTED_VALUE"""),0)</f>
        <v>0</v>
      </c>
      <c r="F38" s="7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IFERROR(__xludf.DUMMYFUNCTION("""COMPUTED_VALUE"""),"463116")</f>
        <v>463116</v>
      </c>
    </row>
    <row r="39" spans="1:9" ht="15.75" customHeight="1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ESCOLA ESTADUAL VILA NOVA")</f>
        <v>A.A. ESCOLA ESTADUAL VILA NOVA</v>
      </c>
      <c r="D39" t="str">
        <f ca="1">IFERROR(__xludf.DUMMYFUNCTION("""COMPUTED_VALUE"""),"01071404000139")</f>
        <v>01071404000139</v>
      </c>
      <c r="E39" s="7">
        <f ca="1">IFERROR(__xludf.DUMMYFUNCTION("""COMPUTED_VALUE"""),0)</f>
        <v>0</v>
      </c>
      <c r="F39" s="7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IFERROR(__xludf.DUMMYFUNCTION("""COMPUTED_VALUE"""),"0463744")</f>
        <v>0463744</v>
      </c>
    </row>
    <row r="40" spans="1:9" ht="15.75" customHeight="1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IFERROR(__xludf.DUMMYFUNCTION("""COMPUTED_VALUE"""),"A.A. ESC. EST.WELDER M.ABREU SALES")</f>
        <v>A.A. ESC. EST.WELDER M.ABREU SALES</v>
      </c>
      <c r="D40" t="str">
        <f ca="1">IFERROR(__xludf.DUMMYFUNCTION("""COMPUTED_VALUE"""),"01190182000173")</f>
        <v>01190182000173</v>
      </c>
      <c r="E40" s="7">
        <f ca="1">IFERROR(__xludf.DUMMYFUNCTION("""COMPUTED_VALUE"""),0)</f>
        <v>0</v>
      </c>
      <c r="F40" s="7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IFERROR(__xludf.DUMMYFUNCTION("""COMPUTED_VALUE"""),"0465054")</f>
        <v>0465054</v>
      </c>
    </row>
    <row r="41" spans="1:9" ht="15.75" customHeight="1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t="str">
        <f ca="1">IFERROR(__xludf.DUMMYFUNCTION("""COMPUTED_VALUE"""),"A. DE AP. DA E.PAROQUIAL LUIZ AUGUSTO")</f>
        <v>A. DE AP. DA E.PAROQUIAL LUIZ AUGUSTO</v>
      </c>
      <c r="D41" t="str">
        <f ca="1">IFERROR(__xludf.DUMMYFUNCTION("""COMPUTED_VALUE"""),"01912262000195")</f>
        <v>01912262000195</v>
      </c>
      <c r="E41" s="7">
        <f ca="1">IFERROR(__xludf.DUMMYFUNCTION("""COMPUTED_VALUE"""),0)</f>
        <v>0</v>
      </c>
      <c r="F41" s="7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IFERROR(__xludf.DUMMYFUNCTION("""COMPUTED_VALUE"""),"0638")</f>
        <v>0638</v>
      </c>
      <c r="I41" t="str">
        <f ca="1">IFERROR(__xludf.DUMMYFUNCTION("""COMPUTED_VALUE"""),"486000")</f>
        <v>486000</v>
      </c>
    </row>
    <row r="42" spans="1:9" ht="15.75" customHeight="1">
      <c r="A42" t="str">
        <f ca="1">IFERROR(__xludf.DUMMYFUNCTION("""COMPUTED_VALUE"""),"Araguaina")</f>
        <v>Araguaina</v>
      </c>
      <c r="B42" t="str">
        <f ca="1">IFERROR(__xludf.DUMMYFUNCTION("""COMPUTED_VALUE"""),"Araguana")</f>
        <v>Araguana</v>
      </c>
      <c r="C42" t="str">
        <f ca="1">IFERROR(__xludf.DUMMYFUNCTION("""COMPUTED_VALUE"""),"ASS. APOIO ESC. EST. MACHADO DE ASSIS")</f>
        <v>ASS. APOIO ESC. EST. MACHADO DE ASSIS</v>
      </c>
      <c r="D42" t="str">
        <f ca="1">IFERROR(__xludf.DUMMYFUNCTION("""COMPUTED_VALUE"""),"01243663000108")</f>
        <v>01243663000108</v>
      </c>
      <c r="E42" s="7">
        <f ca="1">IFERROR(__xludf.DUMMYFUNCTION("""COMPUTED_VALUE"""),0)</f>
        <v>0</v>
      </c>
      <c r="F42" s="7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IFERROR(__xludf.DUMMYFUNCTION("""COMPUTED_VALUE"""),"3773")</f>
        <v>3773</v>
      </c>
      <c r="I42" t="str">
        <f ca="1">IFERROR(__xludf.DUMMYFUNCTION("""COMPUTED_VALUE"""),"322091")</f>
        <v>322091</v>
      </c>
    </row>
    <row r="43" spans="1:9" ht="15.75" customHeight="1">
      <c r="A43" t="str">
        <f ca="1">IFERROR(__xludf.DUMMYFUNCTION("""COMPUTED_VALUE"""),"Araguaina")</f>
        <v>Araguaina</v>
      </c>
      <c r="B43" t="str">
        <f ca="1">IFERROR(__xludf.DUMMYFUNCTION("""COMPUTED_VALUE"""),"Araguana")</f>
        <v>Araguana</v>
      </c>
      <c r="C43" t="str">
        <f ca="1">IFERROR(__xludf.DUMMYFUNCTION("""COMPUTED_VALUE"""),"A.A. ESC. EST. SAO PEDRO")</f>
        <v>A.A. ESC. EST. SAO PEDRO</v>
      </c>
      <c r="D43" t="str">
        <f ca="1">IFERROR(__xludf.DUMMYFUNCTION("""COMPUTED_VALUE"""),"01230353000140")</f>
        <v>01230353000140</v>
      </c>
      <c r="E43" s="7">
        <f ca="1">IFERROR(__xludf.DUMMYFUNCTION("""COMPUTED_VALUE"""),0)</f>
        <v>0</v>
      </c>
      <c r="F43" s="7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IFERROR(__xludf.DUMMYFUNCTION("""COMPUTED_VALUE"""),"0638")</f>
        <v>0638</v>
      </c>
      <c r="I43" t="str">
        <f ca="1">IFERROR(__xludf.DUMMYFUNCTION("""COMPUTED_VALUE"""),"73903")</f>
        <v>73903</v>
      </c>
    </row>
    <row r="44" spans="1:9" ht="15.75" customHeight="1">
      <c r="A44" t="str">
        <f ca="1">IFERROR(__xludf.DUMMYFUNCTION("""COMPUTED_VALUE"""),"Araguaina")</f>
        <v>Araguaina</v>
      </c>
      <c r="B44" t="str">
        <f ca="1">IFERROR(__xludf.DUMMYFUNCTION("""COMPUTED_VALUE"""),"Babaculandia")</f>
        <v>Babaculandia</v>
      </c>
      <c r="C44" t="str">
        <f ca="1">IFERROR(__xludf.DUMMYFUNCTION("""COMPUTED_VALUE"""),"A.PAIS E M.C.E.LEOPOLDO DE BULHOES")</f>
        <v>A.PAIS E M.C.E.LEOPOLDO DE BULHOES</v>
      </c>
      <c r="D44" t="str">
        <f ca="1">IFERROR(__xludf.DUMMYFUNCTION("""COMPUTED_VALUE"""),"01146116000104")</f>
        <v>01146116000104</v>
      </c>
      <c r="E44" s="7">
        <f ca="1">IFERROR(__xludf.DUMMYFUNCTION("""COMPUTED_VALUE"""),0)</f>
        <v>0</v>
      </c>
      <c r="F44" s="7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IFERROR(__xludf.DUMMYFUNCTION("""COMPUTED_VALUE"""),"465232")</f>
        <v>465232</v>
      </c>
    </row>
    <row r="45" spans="1:9" ht="15.75" customHeight="1">
      <c r="A45" t="str">
        <f ca="1">IFERROR(__xludf.DUMMYFUNCTION("""COMPUTED_VALUE"""),"Araguaina")</f>
        <v>Araguaina</v>
      </c>
      <c r="B45" t="str">
        <f ca="1">IFERROR(__xludf.DUMMYFUNCTION("""COMPUTED_VALUE"""),"Babaculandia")</f>
        <v>Babaculandia</v>
      </c>
      <c r="C45" t="str">
        <f ca="1">IFERROR(__xludf.DUMMYFUNCTION("""COMPUTED_VALUE"""),"A.A. ESCOLA ESTADUAL RUI BARBOSA")</f>
        <v>A.A. ESCOLA ESTADUAL RUI BARBOSA</v>
      </c>
      <c r="D45" t="str">
        <f ca="1">IFERROR(__xludf.DUMMYFUNCTION("""COMPUTED_VALUE"""),"01181184000104")</f>
        <v>01181184000104</v>
      </c>
      <c r="E45" s="7">
        <f ca="1">IFERROR(__xludf.DUMMYFUNCTION("""COMPUTED_VALUE"""),0)</f>
        <v>0</v>
      </c>
      <c r="F45" s="7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IFERROR(__xludf.DUMMYFUNCTION("""COMPUTED_VALUE"""),"477117")</f>
        <v>477117</v>
      </c>
    </row>
    <row r="46" spans="1:9" ht="15.75" customHeight="1">
      <c r="A46" t="str">
        <f ca="1">IFERROR(__xludf.DUMMYFUNCTION("""COMPUTED_VALUE"""),"Araguaina")</f>
        <v>Araguaina</v>
      </c>
      <c r="B46" t="str">
        <f ca="1">IFERROR(__xludf.DUMMYFUNCTION("""COMPUTED_VALUE"""),"Barra do Ouro")</f>
        <v>Barra do Ouro</v>
      </c>
      <c r="C46" t="str">
        <f ca="1">IFERROR(__xludf.DUMMYFUNCTION("""COMPUTED_VALUE"""),"A.A. A ESCOLA ESTADUAL BREJAO")</f>
        <v>A.A. A ESCOLA ESTADUAL BREJAO</v>
      </c>
      <c r="D46" t="str">
        <f ca="1">IFERROR(__xludf.DUMMYFUNCTION("""COMPUTED_VALUE"""),"02392799000134")</f>
        <v>02392799000134</v>
      </c>
      <c r="E46" s="7">
        <f ca="1">IFERROR(__xludf.DUMMYFUNCTION("""COMPUTED_VALUE"""),0)</f>
        <v>0</v>
      </c>
      <c r="F46" s="7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IFERROR(__xludf.DUMMYFUNCTION("""COMPUTED_VALUE"""),"83615")</f>
        <v>83615</v>
      </c>
    </row>
    <row r="47" spans="1:9" ht="15.75" customHeight="1">
      <c r="A47" t="str">
        <f ca="1">IFERROR(__xludf.DUMMYFUNCTION("""COMPUTED_VALUE"""),"Araguaina")</f>
        <v>Araguaina</v>
      </c>
      <c r="B47" t="str">
        <f ca="1">IFERROR(__xludf.DUMMYFUNCTION("""COMPUTED_VALUE"""),"Barra do Ouro")</f>
        <v>Barra do Ouro</v>
      </c>
      <c r="C47" t="str">
        <f ca="1">IFERROR(__xludf.DUMMYFUNCTION("""COMPUTED_VALUE"""),"A.COM. ESC. EST. BARRA DO OURO/PROF. VICENTE JOSÉ VIEIRA")</f>
        <v>A.COM. ESC. EST. BARRA DO OURO/PROF. VICENTE JOSÉ VIEIRA</v>
      </c>
      <c r="D47" t="str">
        <f ca="1">IFERROR(__xludf.DUMMYFUNCTION("""COMPUTED_VALUE"""),"01341481000161")</f>
        <v>01341481000161</v>
      </c>
      <c r="E47" s="7">
        <f ca="1">IFERROR(__xludf.DUMMYFUNCTION("""COMPUTED_VALUE"""),0)</f>
        <v>0</v>
      </c>
      <c r="F47" s="7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IFERROR(__xludf.DUMMYFUNCTION("""COMPUTED_VALUE"""),"0638")</f>
        <v>0638</v>
      </c>
      <c r="I47" t="str">
        <f ca="1">IFERROR(__xludf.DUMMYFUNCTION("""COMPUTED_VALUE"""),"0069973")</f>
        <v>0069973</v>
      </c>
    </row>
    <row r="48" spans="1:9" ht="15.75" customHeight="1">
      <c r="A48" t="str">
        <f ca="1">IFERROR(__xludf.DUMMYFUNCTION("""COMPUTED_VALUE"""),"Araguaina")</f>
        <v>Araguaina</v>
      </c>
      <c r="B48" t="str">
        <f ca="1">IFERROR(__xludf.DUMMYFUNCTION("""COMPUTED_VALUE"""),"Campos Lindos")</f>
        <v>Campos Lindos</v>
      </c>
      <c r="C48" t="str">
        <f ca="1">IFERROR(__xludf.DUMMYFUNCTION("""COMPUTED_VALUE"""),"A.A. DA ESC. EST. MANOEL ALVES GRANDE")</f>
        <v>A.A. DA ESC. EST. MANOEL ALVES GRANDE</v>
      </c>
      <c r="D48" t="str">
        <f ca="1">IFERROR(__xludf.DUMMYFUNCTION("""COMPUTED_VALUE"""),"02199744000102")</f>
        <v>02199744000102</v>
      </c>
      <c r="E48" s="7">
        <f ca="1">IFERROR(__xludf.DUMMYFUNCTION("""COMPUTED_VALUE"""),0)</f>
        <v>0</v>
      </c>
      <c r="F48" s="7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IFERROR(__xludf.DUMMYFUNCTION("""COMPUTED_VALUE"""),"2064")</f>
        <v>2064</v>
      </c>
      <c r="I48" t="str">
        <f ca="1">IFERROR(__xludf.DUMMYFUNCTION("""COMPUTED_VALUE"""),"0130117")</f>
        <v>0130117</v>
      </c>
    </row>
    <row r="49" spans="1:9" ht="15.75" customHeight="1">
      <c r="A49" t="str">
        <f ca="1">IFERROR(__xludf.DUMMYFUNCTION("""COMPUTED_VALUE"""),"Araguaina")</f>
        <v>Araguaina</v>
      </c>
      <c r="B49" t="str">
        <f ca="1">IFERROR(__xludf.DUMMYFUNCTION("""COMPUTED_VALUE"""),"Carmolandia")</f>
        <v>Carmolandia</v>
      </c>
      <c r="C49" t="str">
        <f ca="1">IFERROR(__xludf.DUMMYFUNCTION("""COMPUTED_VALUE"""),"A.A. E. EST. BARTOLOMEU BUENO DA SILVA")</f>
        <v>A.A. E. EST. BARTOLOMEU BUENO DA SILVA</v>
      </c>
      <c r="D49" t="str">
        <f ca="1">IFERROR(__xludf.DUMMYFUNCTION("""COMPUTED_VALUE"""),"01181172000171")</f>
        <v>01181172000171</v>
      </c>
      <c r="E49" s="7">
        <f ca="1">IFERROR(__xludf.DUMMYFUNCTION("""COMPUTED_VALUE"""),0)</f>
        <v>0</v>
      </c>
      <c r="F49" s="7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IFERROR(__xludf.DUMMYFUNCTION("""COMPUTED_VALUE"""),"0638")</f>
        <v>0638</v>
      </c>
      <c r="I49" t="str">
        <f ca="1">IFERROR(__xludf.DUMMYFUNCTION("""COMPUTED_VALUE"""),"0465038")</f>
        <v>0465038</v>
      </c>
    </row>
    <row r="50" spans="1:9" ht="15.75" customHeight="1">
      <c r="A50" t="str">
        <f ca="1">IFERROR(__xludf.DUMMYFUNCTION("""COMPUTED_VALUE"""),"Araguaina")</f>
        <v>Araguaina</v>
      </c>
      <c r="B50" t="str">
        <f ca="1">IFERROR(__xludf.DUMMYFUNCTION("""COMPUTED_VALUE"""),"Filadelfia")</f>
        <v>Filadelfia</v>
      </c>
      <c r="C50" t="str">
        <f ca="1">IFERROR(__xludf.DUMMYFUNCTION("""COMPUTED_VALUE"""),"A.A. DO COL.MUNICIPAL DE FILADELFIA")</f>
        <v>A.A. DO COL.MUNICIPAL DE FILADELFIA</v>
      </c>
      <c r="D50" t="str">
        <f ca="1">IFERROR(__xludf.DUMMYFUNCTION("""COMPUTED_VALUE"""),"02189621000190")</f>
        <v>02189621000190</v>
      </c>
      <c r="E50" s="7">
        <f ca="1">IFERROR(__xludf.DUMMYFUNCTION("""COMPUTED_VALUE"""),0)</f>
        <v>0</v>
      </c>
      <c r="F50" s="7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IFERROR(__xludf.DUMMYFUNCTION("""COMPUTED_VALUE"""),"2064")</f>
        <v>2064</v>
      </c>
      <c r="I50" t="str">
        <f ca="1">IFERROR(__xludf.DUMMYFUNCTION("""COMPUTED_VALUE"""),"54127")</f>
        <v>54127</v>
      </c>
    </row>
    <row r="51" spans="1:9" ht="15.75" customHeight="1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IFERROR(__xludf.DUMMYFUNCTION("""COMPUTED_VALUE"""),"A.P. E M. ESC. EST. ADEUVALDO O.MORAES")</f>
        <v>A.P. E M. ESC. EST. ADEUVALDO O.MORAES</v>
      </c>
      <c r="D51" t="str">
        <f ca="1">IFERROR(__xludf.DUMMYFUNCTION("""COMPUTED_VALUE"""),"01912087000136")</f>
        <v>01912087000136</v>
      </c>
      <c r="E51" s="7">
        <f ca="1">IFERROR(__xludf.DUMMYFUNCTION("""COMPUTED_VALUE"""),0)</f>
        <v>0</v>
      </c>
      <c r="F51" s="7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IFERROR(__xludf.DUMMYFUNCTION("""COMPUTED_VALUE"""),"127434")</f>
        <v>127434</v>
      </c>
    </row>
    <row r="52" spans="1:9" ht="15.75" customHeight="1">
      <c r="A52" t="str">
        <f ca="1">IFERROR(__xludf.DUMMYFUNCTION("""COMPUTED_VALUE"""),"Araguaina")</f>
        <v>Araguaina</v>
      </c>
      <c r="B52" t="str">
        <f ca="1">IFERROR(__xludf.DUMMYFUNCTION("""COMPUTED_VALUE"""),"Filadelfia")</f>
        <v>Filadelfia</v>
      </c>
      <c r="C52" t="str">
        <f ca="1">IFERROR(__xludf.DUMMYFUNCTION("""COMPUTED_VALUE"""),"A.A. ESC EST PROFESSOR JOSÉ FRANCISCO DOS MONTES")</f>
        <v>A.A. ESC EST PROFESSOR JOSÉ FRANCISCO DOS MONTES</v>
      </c>
      <c r="D52" t="str">
        <f ca="1">IFERROR(__xludf.DUMMYFUNCTION("""COMPUTED_VALUE"""),"27853677000129")</f>
        <v>27853677000129</v>
      </c>
      <c r="E52" s="7">
        <f ca="1">IFERROR(__xludf.DUMMYFUNCTION("""COMPUTED_VALUE"""),0)</f>
        <v>0</v>
      </c>
      <c r="F52" s="7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IFERROR(__xludf.DUMMYFUNCTION("""COMPUTED_VALUE"""),"198315")</f>
        <v>198315</v>
      </c>
    </row>
    <row r="53" spans="1:9" ht="15.75" customHeight="1">
      <c r="A53" t="str">
        <f ca="1">IFERROR(__xludf.DUMMYFUNCTION("""COMPUTED_VALUE"""),"Araguaina")</f>
        <v>Araguaina</v>
      </c>
      <c r="B53" t="str">
        <f ca="1">IFERROR(__xludf.DUMMYFUNCTION("""COMPUTED_VALUE"""),"Goiatins")</f>
        <v>Goiatins</v>
      </c>
      <c r="C53" t="str">
        <f ca="1">IFERROR(__xludf.DUMMYFUNCTION("""COMPUTED_VALUE"""),"ASS. COM.COL. EST. ADA ASSIS TEIXEIRA")</f>
        <v>ASS. COM.COL. EST. ADA ASSIS TEIXEIRA</v>
      </c>
      <c r="D53" t="str">
        <f ca="1">IFERROR(__xludf.DUMMYFUNCTION("""COMPUTED_VALUE"""),"01440731000110")</f>
        <v>01440731000110</v>
      </c>
      <c r="E53" s="7">
        <f ca="1">IFERROR(__xludf.DUMMYFUNCTION("""COMPUTED_VALUE"""),0)</f>
        <v>0</v>
      </c>
      <c r="F53" s="7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IFERROR(__xludf.DUMMYFUNCTION("""COMPUTED_VALUE"""),"2064")</f>
        <v>2064</v>
      </c>
      <c r="I53" t="str">
        <f ca="1">IFERROR(__xludf.DUMMYFUNCTION("""COMPUTED_VALUE"""),"0013323")</f>
        <v>0013323</v>
      </c>
    </row>
    <row r="54" spans="1:9" ht="15.75" customHeight="1">
      <c r="A54" t="str">
        <f ca="1">IFERROR(__xludf.DUMMYFUNCTION("""COMPUTED_VALUE"""),"Araguaina")</f>
        <v>Araguaina</v>
      </c>
      <c r="B54" t="str">
        <f ca="1">IFERROR(__xludf.DUMMYFUNCTION("""COMPUTED_VALUE"""),"Muricilandia")</f>
        <v>Muricilandia</v>
      </c>
      <c r="C54" t="str">
        <f ca="1">IFERROR(__xludf.DUMMYFUNCTION("""COMPUTED_VALUE"""),"A.A. DA ESC. EST. MAL. COSTA E SILVA")</f>
        <v>A.A. DA ESC. EST. MAL. COSTA E SILVA</v>
      </c>
      <c r="D54" t="str">
        <f ca="1">IFERROR(__xludf.DUMMYFUNCTION("""COMPUTED_VALUE"""),"02032269000185")</f>
        <v>02032269000185</v>
      </c>
      <c r="E54" s="7">
        <f ca="1">IFERROR(__xludf.DUMMYFUNCTION("""COMPUTED_VALUE"""),0)</f>
        <v>0</v>
      </c>
      <c r="F54" s="7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IFERROR(__xludf.DUMMYFUNCTION("""COMPUTED_VALUE"""),"0638")</f>
        <v>0638</v>
      </c>
      <c r="I54" t="str">
        <f ca="1">IFERROR(__xludf.DUMMYFUNCTION("""COMPUTED_VALUE"""),"83550")</f>
        <v>83550</v>
      </c>
    </row>
    <row r="55" spans="1:9" ht="15.75" customHeight="1">
      <c r="A55" t="str">
        <f ca="1">IFERROR(__xludf.DUMMYFUNCTION("""COMPUTED_VALUE"""),"Araguaina")</f>
        <v>Araguaina</v>
      </c>
      <c r="B55" t="str">
        <f ca="1">IFERROR(__xludf.DUMMYFUNCTION("""COMPUTED_VALUE"""),"Muricilandia")</f>
        <v>Muricilandia</v>
      </c>
      <c r="C55" t="str">
        <f ca="1">IFERROR(__xludf.DUMMYFUNCTION("""COMPUTED_VALUE"""),"A.COM. DE AP. COL. EST. DE MURICILANDIA")</f>
        <v>A.COM. DE AP. COL. EST. DE MURICILANDIA</v>
      </c>
      <c r="D55" t="str">
        <f ca="1">IFERROR(__xludf.DUMMYFUNCTION("""COMPUTED_VALUE"""),"01911084000188")</f>
        <v>01911084000188</v>
      </c>
      <c r="E55" s="7">
        <f ca="1">IFERROR(__xludf.DUMMYFUNCTION("""COMPUTED_VALUE"""),0)</f>
        <v>0</v>
      </c>
      <c r="F55" s="7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IFERROR(__xludf.DUMMYFUNCTION("""COMPUTED_VALUE"""),"8350X")</f>
        <v>8350X</v>
      </c>
    </row>
    <row r="56" spans="1:9" ht="15.75" customHeight="1">
      <c r="A56" t="str">
        <f ca="1">IFERROR(__xludf.DUMMYFUNCTION("""COMPUTED_VALUE"""),"Araguaina")</f>
        <v>Araguaina</v>
      </c>
      <c r="B56" t="str">
        <f ca="1">IFERROR(__xludf.DUMMYFUNCTION("""COMPUTED_VALUE"""),"Nova Olinda")</f>
        <v>Nova Olinda</v>
      </c>
      <c r="C56" t="str">
        <f ca="1">IFERROR(__xludf.DUMMYFUNCTION("""COMPUTED_VALUE"""),"A.A. ESC. COL. E. HELIO DE SOUZA BUENO")</f>
        <v>A.A. ESC. COL. E. HELIO DE SOUZA BUENO</v>
      </c>
      <c r="D56" t="str">
        <f ca="1">IFERROR(__xludf.DUMMYFUNCTION("""COMPUTED_VALUE"""),"01186466000196")</f>
        <v>01186466000196</v>
      </c>
      <c r="E56" s="7">
        <f ca="1">IFERROR(__xludf.DUMMYFUNCTION("""COMPUTED_VALUE"""),0)</f>
        <v>0</v>
      </c>
      <c r="F56" s="7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IFERROR(__xludf.DUMMYFUNCTION("""COMPUTED_VALUE"""),"0462985")</f>
        <v>0462985</v>
      </c>
    </row>
    <row r="57" spans="1:9" ht="15.75" customHeight="1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IFERROR(__xludf.DUMMYFUNCTION("""COMPUTED_VALUE"""),"ASSOCIAÇÃO DE APOIO A ESCOLA ESPECIAL RENASCER")</f>
        <v>ASSOCIAÇÃO DE APOIO A ESCOLA ESPECIAL RENASCER</v>
      </c>
      <c r="D57" t="str">
        <f ca="1">IFERROR(__xludf.DUMMYFUNCTION("""COMPUTED_VALUE"""),"07951646000101")</f>
        <v>07951646000101</v>
      </c>
      <c r="E57" s="7">
        <f ca="1">IFERROR(__xludf.DUMMYFUNCTION("""COMPUTED_VALUE"""),0)</f>
        <v>0</v>
      </c>
      <c r="F57" s="7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IFERROR(__xludf.DUMMYFUNCTION("""COMPUTED_VALUE"""),"541028")</f>
        <v>541028</v>
      </c>
    </row>
    <row r="58" spans="1:9" ht="15.75" customHeight="1">
      <c r="A58" t="str">
        <f ca="1">IFERROR(__xludf.DUMMYFUNCTION("""COMPUTED_VALUE"""),"Araguaina")</f>
        <v>Araguaina</v>
      </c>
      <c r="B58" t="str">
        <f ca="1">IFERROR(__xludf.DUMMYFUNCTION("""COMPUTED_VALUE"""),"Nova Olinda")</f>
        <v>Nova Olinda</v>
      </c>
      <c r="C58" t="str">
        <f ca="1">IFERROR(__xludf.DUMMYFUNCTION("""COMPUTED_VALUE"""),"A.A. E. E. PROFA. HAMEDY CURY QUEIROZ")</f>
        <v>A.A. E. E. PROFA. HAMEDY CURY QUEIROZ</v>
      </c>
      <c r="D58" t="str">
        <f ca="1">IFERROR(__xludf.DUMMYFUNCTION("""COMPUTED_VALUE"""),"01431375000179")</f>
        <v>01431375000179</v>
      </c>
      <c r="E58" s="7">
        <f ca="1">IFERROR(__xludf.DUMMYFUNCTION("""COMPUTED_VALUE"""),0)</f>
        <v>0</v>
      </c>
      <c r="F58" s="7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IFERROR(__xludf.DUMMYFUNCTION("""COMPUTED_VALUE"""),"0468010")</f>
        <v>0468010</v>
      </c>
    </row>
    <row r="59" spans="1:9" ht="15.75" customHeight="1">
      <c r="A59" t="str">
        <f ca="1">IFERROR(__xludf.DUMMYFUNCTION("""COMPUTED_VALUE"""),"Araguaina")</f>
        <v>Araguaina</v>
      </c>
      <c r="B59" t="str">
        <f ca="1">IFERROR(__xludf.DUMMYFUNCTION("""COMPUTED_VALUE"""),"Piraque")</f>
        <v>Piraque</v>
      </c>
      <c r="C59" t="str">
        <f ca="1">IFERROR(__xludf.DUMMYFUNCTION("""COMPUTED_VALUE"""),"A.A.  ESCOLA ESTADUAL SAO JOSE")</f>
        <v>A.A.  ESCOLA ESTADUAL SAO JOSE</v>
      </c>
      <c r="D59" t="str">
        <f ca="1">IFERROR(__xludf.DUMMYFUNCTION("""COMPUTED_VALUE"""),"01243654000109")</f>
        <v>01243654000109</v>
      </c>
      <c r="E59" s="7">
        <f ca="1">IFERROR(__xludf.DUMMYFUNCTION("""COMPUTED_VALUE"""),0)</f>
        <v>0</v>
      </c>
      <c r="F59" s="7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IFERROR(__xludf.DUMMYFUNCTION("""COMPUTED_VALUE"""),"0638")</f>
        <v>0638</v>
      </c>
      <c r="I59" t="str">
        <f ca="1">IFERROR(__xludf.DUMMYFUNCTION("""COMPUTED_VALUE"""),"465283")</f>
        <v>465283</v>
      </c>
    </row>
    <row r="60" spans="1:9" ht="15.75" customHeight="1">
      <c r="A60" t="str">
        <f ca="1">IFERROR(__xludf.DUMMYFUNCTION("""COMPUTED_VALUE"""),"Araguaina")</f>
        <v>Araguaina</v>
      </c>
      <c r="B60" t="str">
        <f ca="1">IFERROR(__xludf.DUMMYFUNCTION("""COMPUTED_VALUE"""),"Riachinho")</f>
        <v>Riachinho</v>
      </c>
      <c r="C60" t="str">
        <f ca="1">IFERROR(__xludf.DUMMYFUNCTION("""COMPUTED_VALUE"""),"ASSOC. DE APOIO ESC. EST. JOAO XXIII")</f>
        <v>ASSOC. DE APOIO ESC. EST. JOAO XXIII</v>
      </c>
      <c r="D60" t="str">
        <f ca="1">IFERROR(__xludf.DUMMYFUNCTION("""COMPUTED_VALUE"""),"01136006000153")</f>
        <v>01136006000153</v>
      </c>
      <c r="E60" s="7">
        <f ca="1">IFERROR(__xludf.DUMMYFUNCTION("""COMPUTED_VALUE"""),0)</f>
        <v>0</v>
      </c>
      <c r="F60" s="7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IFERROR(__xludf.DUMMYFUNCTION("""COMPUTED_VALUE"""),"3973")</f>
        <v>3973</v>
      </c>
      <c r="I60" t="str">
        <f ca="1">IFERROR(__xludf.DUMMYFUNCTION("""COMPUTED_VALUE"""),"51969")</f>
        <v>51969</v>
      </c>
    </row>
    <row r="61" spans="1:9" ht="15.75" customHeight="1">
      <c r="A61" t="str">
        <f ca="1">IFERROR(__xludf.DUMMYFUNCTION("""COMPUTED_VALUE"""),"Araguaina")</f>
        <v>Araguaina</v>
      </c>
      <c r="B61" t="str">
        <f ca="1">IFERROR(__xludf.DUMMYFUNCTION("""COMPUTED_VALUE"""),"Santa Fe do Araguaia")</f>
        <v>Santa Fe do Araguaia</v>
      </c>
      <c r="C61" t="str">
        <f ca="1">IFERROR(__xludf.DUMMYFUNCTION("""COMPUTED_VALUE"""),"A.A. ESC. EST. ANAIDES BRITO MIRANDA")</f>
        <v>A.A. ESC. EST. ANAIDES BRITO MIRANDA</v>
      </c>
      <c r="D61" t="str">
        <f ca="1">IFERROR(__xludf.DUMMYFUNCTION("""COMPUTED_VALUE"""),"01919025000156")</f>
        <v>01919025000156</v>
      </c>
      <c r="E61" s="7">
        <f ca="1">IFERROR(__xludf.DUMMYFUNCTION("""COMPUTED_VALUE"""),0)</f>
        <v>0</v>
      </c>
      <c r="F61" s="7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IFERROR(__xludf.DUMMYFUNCTION("""COMPUTED_VALUE"""),"4791")</f>
        <v>4791</v>
      </c>
      <c r="I61" t="str">
        <f ca="1">IFERROR(__xludf.DUMMYFUNCTION("""COMPUTED_VALUE"""),"54682")</f>
        <v>54682</v>
      </c>
    </row>
    <row r="62" spans="1:9" ht="15.75" customHeight="1">
      <c r="A62" t="str">
        <f ca="1">IFERROR(__xludf.DUMMYFUNCTION("""COMPUTED_VALUE"""),"Araguaina")</f>
        <v>Araguaina</v>
      </c>
      <c r="B62" t="str">
        <f ca="1">IFERROR(__xludf.DUMMYFUNCTION("""COMPUTED_VALUE"""),"Santa Fe do Araguaia")</f>
        <v>Santa Fe do Araguaia</v>
      </c>
      <c r="C62" t="str">
        <f ca="1">IFERROR(__xludf.DUMMYFUNCTION("""COMPUTED_VALUE"""),"A. DE AP. DA ESCOLA EST. CASTRO ALVES")</f>
        <v>A. DE AP. DA ESCOLA EST. CASTRO ALVES</v>
      </c>
      <c r="D62" t="str">
        <f ca="1">IFERROR(__xludf.DUMMYFUNCTION("""COMPUTED_VALUE"""),"01673181000180")</f>
        <v>01673181000180</v>
      </c>
      <c r="E62" s="7">
        <f ca="1">IFERROR(__xludf.DUMMYFUNCTION("""COMPUTED_VALUE"""),0)</f>
        <v>0</v>
      </c>
      <c r="F62" s="7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IFERROR(__xludf.DUMMYFUNCTION("""COMPUTED_VALUE"""),"4791")</f>
        <v>4791</v>
      </c>
      <c r="I62" t="str">
        <f ca="1">IFERROR(__xludf.DUMMYFUNCTION("""COMPUTED_VALUE"""),"54739")</f>
        <v>54739</v>
      </c>
    </row>
    <row r="63" spans="1:9" ht="15.75" customHeight="1">
      <c r="A63" t="str">
        <f ca="1">IFERROR(__xludf.DUMMYFUNCTION("""COMPUTED_VALUE"""),"Araguaina")</f>
        <v>Araguaina</v>
      </c>
      <c r="B63" t="str">
        <f ca="1">IFERROR(__xludf.DUMMYFUNCTION("""COMPUTED_VALUE"""),"Wanderlandia")</f>
        <v>Wanderlandia</v>
      </c>
      <c r="C63" t="str">
        <f ca="1">IFERROR(__xludf.DUMMYFUNCTION("""COMPUTED_VALUE"""),"A.A. COL. ESTADUAL JOSE LUIZ SIQUEIRA")</f>
        <v>A.A. COL. ESTADUAL JOSE LUIZ SIQUEIRA</v>
      </c>
      <c r="D63" t="str">
        <f ca="1">IFERROR(__xludf.DUMMYFUNCTION("""COMPUTED_VALUE"""),"01257082000117")</f>
        <v>01257082000117</v>
      </c>
      <c r="E63" s="7">
        <f ca="1">IFERROR(__xludf.DUMMYFUNCTION("""COMPUTED_VALUE"""),0)</f>
        <v>0</v>
      </c>
      <c r="F63" s="7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IFERROR(__xludf.DUMMYFUNCTION("""COMPUTED_VALUE"""),"0638")</f>
        <v>0638</v>
      </c>
      <c r="I63" t="str">
        <f ca="1">IFERROR(__xludf.DUMMYFUNCTION("""COMPUTED_VALUE"""),"0465291")</f>
        <v>0465291</v>
      </c>
    </row>
    <row r="64" spans="1:9" ht="15.75" customHeight="1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IFERROR(__xludf.DUMMYFUNCTION("""COMPUTED_VALUE"""),"ASSOCIAÇÃO DE APOIO DA ESCOLA ESPECIAL MORADA DO SOL")</f>
        <v>ASSOCIAÇÃO DE APOIO DA ESCOLA ESPECIAL MORADA DO SOL</v>
      </c>
      <c r="D64" t="str">
        <f ca="1">IFERROR(__xludf.DUMMYFUNCTION("""COMPUTED_VALUE"""),"07941368000101")</f>
        <v>07941368000101</v>
      </c>
      <c r="E64" s="7">
        <f ca="1">IFERROR(__xludf.DUMMYFUNCTION("""COMPUTED_VALUE"""),0)</f>
        <v>0</v>
      </c>
      <c r="F64" s="7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IFERROR(__xludf.DUMMYFUNCTION("""COMPUTED_VALUE"""),"537349")</f>
        <v>537349</v>
      </c>
    </row>
    <row r="65" spans="1:9" ht="15.75" customHeight="1">
      <c r="A65" t="str">
        <f ca="1">IFERROR(__xludf.DUMMYFUNCTION("""COMPUTED_VALUE"""),"Araguaina")</f>
        <v>Araguaina</v>
      </c>
      <c r="B65" t="str">
        <f ca="1">IFERROR(__xludf.DUMMYFUNCTION("""COMPUTED_VALUE"""),"Wanderlandia")</f>
        <v>Wanderlandia</v>
      </c>
      <c r="C65" t="str">
        <f ca="1">IFERROR(__xludf.DUMMYFUNCTION("""COMPUTED_VALUE"""),"A.APOIO ESCOLA ESTADUAL D. PEDRO II")</f>
        <v>A.APOIO ESCOLA ESTADUAL D. PEDRO II</v>
      </c>
      <c r="D65" t="str">
        <f ca="1">IFERROR(__xludf.DUMMYFUNCTION("""COMPUTED_VALUE"""),"01186465000141")</f>
        <v>01186465000141</v>
      </c>
      <c r="E65" s="7">
        <f ca="1">IFERROR(__xludf.DUMMYFUNCTION("""COMPUTED_VALUE"""),0)</f>
        <v>0</v>
      </c>
      <c r="F65" s="7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IFERROR(__xludf.DUMMYFUNCTION("""COMPUTED_VALUE"""),"0638")</f>
        <v>0638</v>
      </c>
      <c r="I65" t="str">
        <f ca="1">IFERROR(__xludf.DUMMYFUNCTION("""COMPUTED_VALUE"""),"0463108")</f>
        <v>0463108</v>
      </c>
    </row>
    <row r="66" spans="1:9" ht="15.75" customHeight="1">
      <c r="A66" t="str">
        <f ca="1">IFERROR(__xludf.DUMMYFUNCTION("""COMPUTED_VALUE"""),"Araguaina")</f>
        <v>Araguaina</v>
      </c>
      <c r="B66" t="str">
        <f ca="1">IFERROR(__xludf.DUMMYFUNCTION("""COMPUTED_VALUE"""),"Xambioa")</f>
        <v>Xambioa</v>
      </c>
      <c r="C66" t="str">
        <f ca="1">IFERROR(__xludf.DUMMYFUNCTION("""COMPUTED_VALUE"""),"A.A. COL. MUL. PROFA. JULIANA BARROS")</f>
        <v>A.A. COL. MUL. PROFA. JULIANA BARROS</v>
      </c>
      <c r="D66" t="str">
        <f ca="1">IFERROR(__xludf.DUMMYFUNCTION("""COMPUTED_VALUE"""),"01136047000140")</f>
        <v>01136047000140</v>
      </c>
      <c r="E66" s="7">
        <f ca="1">IFERROR(__xludf.DUMMYFUNCTION("""COMPUTED_VALUE"""),0)</f>
        <v>0</v>
      </c>
      <c r="F66" s="7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IFERROR(__xludf.DUMMYFUNCTION("""COMPUTED_VALUE"""),"3773")</f>
        <v>3773</v>
      </c>
      <c r="I66" t="str">
        <f ca="1">IFERROR(__xludf.DUMMYFUNCTION("""COMPUTED_VALUE"""),"0330027")</f>
        <v>0330027</v>
      </c>
    </row>
    <row r="67" spans="1:9" ht="15.75" customHeight="1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IFERROR(__xludf.DUMMYFUNCTION("""COMPUTED_VALUE"""),"A. COM. DA ESC. EST. EURICO MOTA")</f>
        <v>A. COM. DA ESC. EST. EURICO MOTA</v>
      </c>
      <c r="D67" t="str">
        <f ca="1">IFERROR(__xludf.DUMMYFUNCTION("""COMPUTED_VALUE"""),"01718086000155")</f>
        <v>01718086000155</v>
      </c>
      <c r="E67" s="7">
        <f ca="1">IFERROR(__xludf.DUMMYFUNCTION("""COMPUTED_VALUE"""),0)</f>
        <v>0</v>
      </c>
      <c r="F67" s="7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IFERROR(__xludf.DUMMYFUNCTION("""COMPUTED_VALUE"""),"0324744")</f>
        <v>0324744</v>
      </c>
    </row>
    <row r="68" spans="1:9" ht="15.75" customHeight="1">
      <c r="A68" t="str">
        <f ca="1">IFERROR(__xludf.DUMMYFUNCTION("""COMPUTED_VALUE"""),"Araguaina")</f>
        <v>Araguaina</v>
      </c>
      <c r="B68" t="str">
        <f ca="1">IFERROR(__xludf.DUMMYFUNCTION("""COMPUTED_VALUE"""),"Xambioa")</f>
        <v>Xambioa</v>
      </c>
      <c r="C68" t="str">
        <f ca="1">IFERROR(__xludf.DUMMYFUNCTION("""COMPUTED_VALUE"""),"AS. DE A. A ESC.PAROQUIAL SAO MIGUEL")</f>
        <v>AS. DE A. A ESC.PAROQUIAL SAO MIGUEL</v>
      </c>
      <c r="D68" t="str">
        <f ca="1">IFERROR(__xludf.DUMMYFUNCTION("""COMPUTED_VALUE"""),"01133698000186")</f>
        <v>01133698000186</v>
      </c>
      <c r="E68" s="7">
        <f ca="1">IFERROR(__xludf.DUMMYFUNCTION("""COMPUTED_VALUE"""),0)</f>
        <v>0</v>
      </c>
      <c r="F68" s="7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IFERROR(__xludf.DUMMYFUNCTION("""COMPUTED_VALUE"""),"3773")</f>
        <v>3773</v>
      </c>
      <c r="I68" t="str">
        <f ca="1">IFERROR(__xludf.DUMMYFUNCTION("""COMPUTED_VALUE"""),"330035")</f>
        <v>330035</v>
      </c>
    </row>
    <row r="69" spans="1:9" ht="15.75" customHeight="1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IFERROR(__xludf.DUMMYFUNCTION("""COMPUTED_VALUE"""),"ASSOC. APOIO AO CEM PROFESSORA ANTONINA MILHOMEM")</f>
        <v>ASSOC. APOIO AO CEM PROFESSORA ANTONINA MILHOMEM</v>
      </c>
      <c r="D69" t="str">
        <f ca="1">IFERROR(__xludf.DUMMYFUNCTION("""COMPUTED_VALUE"""),"04675931000140")</f>
        <v>04675931000140</v>
      </c>
      <c r="E69" s="7">
        <f ca="1">IFERROR(__xludf.DUMMYFUNCTION("""COMPUTED_VALUE"""),0)</f>
        <v>0</v>
      </c>
      <c r="F69" s="7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IFERROR(__xludf.DUMMYFUNCTION("""COMPUTED_VALUE"""),"209082")</f>
        <v>209082</v>
      </c>
    </row>
    <row r="70" spans="1:9" ht="15.75" customHeight="1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E. EST. ATANAZIO DE MOURA SEIXAS")</f>
        <v>A.A. E. EST. ATANAZIO DE MOURA SEIXAS</v>
      </c>
      <c r="D70" t="str">
        <f ca="1">IFERROR(__xludf.DUMMYFUNCTION("""COMPUTED_VALUE"""),"01068353000196")</f>
        <v>01068353000196</v>
      </c>
      <c r="E70" s="7">
        <f ca="1">IFERROR(__xludf.DUMMYFUNCTION("""COMPUTED_VALUE"""),0)</f>
        <v>0</v>
      </c>
      <c r="F70" s="7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IFERROR(__xludf.DUMMYFUNCTION("""COMPUTED_VALUE"""),"109215")</f>
        <v>109215</v>
      </c>
    </row>
    <row r="71" spans="1:9" ht="15.75" customHeight="1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COL. EST. LEONIDAS G. DUARTE")</f>
        <v>A.A. COL. EST. LEONIDAS G. DUARTE</v>
      </c>
      <c r="D71" t="str">
        <f ca="1">IFERROR(__xludf.DUMMYFUNCTION("""COMPUTED_VALUE"""),"01190189000195")</f>
        <v>01190189000195</v>
      </c>
      <c r="E71" s="7">
        <f ca="1">IFERROR(__xludf.DUMMYFUNCTION("""COMPUTED_VALUE"""),0)</f>
        <v>0</v>
      </c>
      <c r="F71" s="7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IFERROR(__xludf.DUMMYFUNCTION("""COMPUTED_VALUE"""),"0019143")</f>
        <v>0019143</v>
      </c>
    </row>
    <row r="72" spans="1:9" ht="15.75" customHeight="1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A ESC. EST. OSVALDO FRANCO")</f>
        <v>A.A. A ESC. EST. OSVALDO FRANCO</v>
      </c>
      <c r="D72" t="str">
        <f ca="1">IFERROR(__xludf.DUMMYFUNCTION("""COMPUTED_VALUE"""),"01392733000181")</f>
        <v>01392733000181</v>
      </c>
      <c r="E72" s="7">
        <f ca="1">IFERROR(__xludf.DUMMYFUNCTION("""COMPUTED_VALUE"""),0)</f>
        <v>0</v>
      </c>
      <c r="F72" s="7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IFERROR(__xludf.DUMMYFUNCTION("""COMPUTED_VALUE"""),"109738")</f>
        <v>109738</v>
      </c>
    </row>
    <row r="73" spans="1:9" ht="15.75" customHeight="1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IFERROR(__xludf.DUMMYFUNCTION("""COMPUTED_VALUE"""),"A.A. ESC. ESTADUAL ALDINAR GONÇALVES DE CARVALHO")</f>
        <v>A.A. ESC. ESTADUAL ALDINAR GONÇALVES DE CARVALHO</v>
      </c>
      <c r="D73" t="str">
        <f ca="1">IFERROR(__xludf.DUMMYFUNCTION("""COMPUTED_VALUE"""),"09465471000140")</f>
        <v>09465471000140</v>
      </c>
      <c r="E73" s="7">
        <f ca="1">IFERROR(__xludf.DUMMYFUNCTION("""COMPUTED_VALUE"""),0)</f>
        <v>0</v>
      </c>
      <c r="F73" s="7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IFERROR(__xludf.DUMMYFUNCTION("""COMPUTED_VALUE"""),"196657")</f>
        <v>196657</v>
      </c>
    </row>
    <row r="74" spans="1:9" ht="15.75" customHeight="1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DE APOIO ESC. EST. FREI SAVINO")</f>
        <v>ASSOC. DE APOIO ESC. EST. FREI SAVINO</v>
      </c>
      <c r="D74" t="str">
        <f ca="1">IFERROR(__xludf.DUMMYFUNCTION("""COMPUTED_VALUE"""),"01181389000181")</f>
        <v>01181389000181</v>
      </c>
      <c r="E74" s="7">
        <f ca="1">IFERROR(__xludf.DUMMYFUNCTION("""COMPUTED_VALUE"""),0)</f>
        <v>0</v>
      </c>
      <c r="F74" s="7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IFERROR(__xludf.DUMMYFUNCTION("""COMPUTED_VALUE"""),"0019437")</f>
        <v>0019437</v>
      </c>
    </row>
    <row r="75" spans="1:9" ht="15.75" customHeight="1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IFERROR(__xludf.DUMMYFUNCTION("""COMPUTED_VALUE"""),"ASSOC. APOIO ESC. EST. DENISE GOMIDE AMUI")</f>
        <v>ASSOC. APOIO ESC. EST. DENISE GOMIDE AMUI</v>
      </c>
      <c r="D75" t="str">
        <f ca="1">IFERROR(__xludf.DUMMYFUNCTION("""COMPUTED_VALUE"""),"01136000000186")</f>
        <v>01136000000186</v>
      </c>
      <c r="E75" s="7">
        <f ca="1">IFERROR(__xludf.DUMMYFUNCTION("""COMPUTED_VALUE"""),0)</f>
        <v>0</v>
      </c>
      <c r="F75" s="7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IFERROR(__xludf.DUMMYFUNCTION("""COMPUTED_VALUE"""),"0109223")</f>
        <v>0109223</v>
      </c>
    </row>
    <row r="76" spans="1:9" ht="15.75" customHeight="1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ESC. EST. SANTA GERTRUDES")</f>
        <v>A.A.  A ESC. EST. SANTA GERTRUDES</v>
      </c>
      <c r="D76" t="str">
        <f ca="1">IFERROR(__xludf.DUMMYFUNCTION("""COMPUTED_VALUE"""),"03713455000142")</f>
        <v>03713455000142</v>
      </c>
      <c r="E76" s="7">
        <f ca="1">IFERROR(__xludf.DUMMYFUNCTION("""COMPUTED_VALUE"""),0)</f>
        <v>0</v>
      </c>
      <c r="F76" s="7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IFERROR(__xludf.DUMMYFUNCTION("""COMPUTED_VALUE"""),"78271")</f>
        <v>78271</v>
      </c>
    </row>
    <row r="77" spans="1:9" ht="15.75" customHeight="1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t="str">
        <f ca="1">IFERROR(__xludf.DUMMYFUNCTION("""COMPUTED_VALUE"""),"A.A.  A ESCOLA ISOLADA BOA SORTE")</f>
        <v>A.A.  A ESCOLA ISOLADA BOA SORTE</v>
      </c>
      <c r="D77" t="str">
        <f ca="1">IFERROR(__xludf.DUMMYFUNCTION("""COMPUTED_VALUE"""),"03765304000138")</f>
        <v>03765304000138</v>
      </c>
      <c r="E77" s="7">
        <f ca="1">IFERROR(__xludf.DUMMYFUNCTION("""COMPUTED_VALUE"""),0)</f>
        <v>0</v>
      </c>
      <c r="F77" s="7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IFERROR(__xludf.DUMMYFUNCTION("""COMPUTED_VALUE"""),"1305")</f>
        <v>1305</v>
      </c>
      <c r="I77" t="str">
        <f ca="1">IFERROR(__xludf.DUMMYFUNCTION("""COMPUTED_VALUE"""),"78964")</f>
        <v>78964</v>
      </c>
    </row>
    <row r="78" spans="1:9" ht="15.75" customHeight="1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IFERROR(__xludf.DUMMYFUNCTION("""COMPUTED_VALUE"""),"A.A. CENTRO EST. DE EDUCACAO LA SALLE")</f>
        <v>A.A. CENTRO EST. DE EDUCACAO LA SALLE</v>
      </c>
      <c r="D78" t="str">
        <f ca="1">IFERROR(__xludf.DUMMYFUNCTION("""COMPUTED_VALUE"""),"01223753000129")</f>
        <v>01223753000129</v>
      </c>
      <c r="E78" s="7">
        <f ca="1">IFERROR(__xludf.DUMMYFUNCTION("""COMPUTED_VALUE"""),0)</f>
        <v>0</v>
      </c>
      <c r="F78" s="7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IFERROR(__xludf.DUMMYFUNCTION("""COMPUTED_VALUE"""),"19216")</f>
        <v>19216</v>
      </c>
    </row>
    <row r="79" spans="1:9" ht="15.75" customHeight="1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IFERROR(__xludf.DUMMYFUNCTION("""COMPUTED_VALUE"""),"ASSOC. DE APOIO COL. EST. MANOEL VICENTE SOUZA")</f>
        <v>ASSOC. DE APOIO COL. EST. MANOEL VICENTE SOUZA</v>
      </c>
      <c r="D79" t="str">
        <f ca="1">IFERROR(__xludf.DUMMYFUNCTION("""COMPUTED_VALUE"""),"01223642000112")</f>
        <v>01223642000112</v>
      </c>
      <c r="E79" s="7">
        <f ca="1">IFERROR(__xludf.DUMMYFUNCTION("""COMPUTED_VALUE"""),0)</f>
        <v>0</v>
      </c>
      <c r="F79" s="7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IFERROR(__xludf.DUMMYFUNCTION("""COMPUTED_VALUE"""),"139297")</f>
        <v>139297</v>
      </c>
    </row>
    <row r="80" spans="1:9" ht="15.75" customHeight="1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IFERROR(__xludf.DUMMYFUNCTION("""COMPUTED_VALUE"""),"A.A. ESCOLA ESTADUAL AUGUSTINOPOLIS")</f>
        <v>A.A. ESCOLA ESTADUAL AUGUSTINOPOLIS</v>
      </c>
      <c r="D80" t="str">
        <f ca="1">IFERROR(__xludf.DUMMYFUNCTION("""COMPUTED_VALUE"""),"01133692000109")</f>
        <v>01133692000109</v>
      </c>
      <c r="E80" s="7">
        <f ca="1">IFERROR(__xludf.DUMMYFUNCTION("""COMPUTED_VALUE"""),0)</f>
        <v>0</v>
      </c>
      <c r="F80" s="7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IFERROR(__xludf.DUMMYFUNCTION("""COMPUTED_VALUE"""),"019151")</f>
        <v>019151</v>
      </c>
    </row>
    <row r="81" spans="1:9" ht="15.75" customHeight="1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IFERROR(__xludf.DUMMYFUNCTION("""COMPUTED_VALUE"""),"ASSOC. DE AP.ESC. EST. FAZ.DEZESSEIS")</f>
        <v>ASSOC. DE AP.ESC. EST. FAZ.DEZESSEIS</v>
      </c>
      <c r="D81" t="str">
        <f ca="1">IFERROR(__xludf.DUMMYFUNCTION("""COMPUTED_VALUE"""),"01133695000142")</f>
        <v>01133695000142</v>
      </c>
      <c r="E81" s="7">
        <f ca="1">IFERROR(__xludf.DUMMYFUNCTION("""COMPUTED_VALUE"""),0)</f>
        <v>0</v>
      </c>
      <c r="F81" s="7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IFERROR(__xludf.DUMMYFUNCTION("""COMPUTED_VALUE"""),"0019615")</f>
        <v>0019615</v>
      </c>
    </row>
    <row r="82" spans="1:9" ht="15.75" customHeight="1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t="str">
        <f ca="1">IFERROR(__xludf.DUMMYFUNCTION("""COMPUTED_VALUE"""),"A.A. DA ESCOLA EST. SANTA GENOVEVA")</f>
        <v>A.A. DA ESCOLA EST. SANTA GENOVEVA</v>
      </c>
      <c r="D82" t="str">
        <f ca="1">IFERROR(__xludf.DUMMYFUNCTION("""COMPUTED_VALUE"""),"01068357000174")</f>
        <v>01068357000174</v>
      </c>
      <c r="E82" s="7">
        <f ca="1">IFERROR(__xludf.DUMMYFUNCTION("""COMPUTED_VALUE"""),0)</f>
        <v>0</v>
      </c>
      <c r="F82" s="7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IFERROR(__xludf.DUMMYFUNCTION("""COMPUTED_VALUE"""),"3975")</f>
        <v>3975</v>
      </c>
      <c r="I82" t="str">
        <f ca="1">IFERROR(__xludf.DUMMYFUNCTION("""COMPUTED_VALUE"""),"0019461")</f>
        <v>0019461</v>
      </c>
    </row>
    <row r="83" spans="1:9" ht="15.75" customHeight="1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IFERROR(__xludf.DUMMYFUNCTION("""COMPUTED_VALUE"""),"ASSOC. DE APOIO COLÉGIO. EST. MAL. RIBAS JUNIOR")</f>
        <v>ASSOC. DE APOIO COLÉGIO. EST. MAL. RIBAS JUNIOR</v>
      </c>
      <c r="D83" t="str">
        <f ca="1">IFERROR(__xludf.DUMMYFUNCTION("""COMPUTED_VALUE"""),"01086979000125")</f>
        <v>01086979000125</v>
      </c>
      <c r="E83" s="7">
        <f ca="1">IFERROR(__xludf.DUMMYFUNCTION("""COMPUTED_VALUE"""),0)</f>
        <v>0</v>
      </c>
      <c r="F83" s="7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IFERROR(__xludf.DUMMYFUNCTION("""COMPUTED_VALUE"""),"209201")</f>
        <v>209201</v>
      </c>
    </row>
    <row r="84" spans="1:9" ht="15.75" customHeight="1">
      <c r="A84" t="str">
        <f ca="1">IFERROR(__xludf.DUMMYFUNCTION("""COMPUTED_VALUE"""),"Araguatins")</f>
        <v>Araguatins</v>
      </c>
      <c r="B84" t="str">
        <f ca="1">IFERROR(__xludf.DUMMYFUNCTION("""COMPUTED_VALUE"""),"Axixa do Tocantins")</f>
        <v>Axixa do Tocantins</v>
      </c>
      <c r="C84" t="str">
        <f ca="1">IFERROR(__xludf.DUMMYFUNCTION("""COMPUTED_VALUE"""),"A.A. ESC. EST. SAO FRANCISCO DE ASSIS")</f>
        <v>A.A. ESC. EST. SAO FRANCISCO DE ASSIS</v>
      </c>
      <c r="D84" t="str">
        <f ca="1">IFERROR(__xludf.DUMMYFUNCTION("""COMPUTED_VALUE"""),"01086980000150")</f>
        <v>01086980000150</v>
      </c>
      <c r="E84" s="7">
        <f ca="1">IFERROR(__xludf.DUMMYFUNCTION("""COMPUTED_VALUE"""),0)</f>
        <v>0</v>
      </c>
      <c r="F84" s="7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IFERROR(__xludf.DUMMYFUNCTION("""COMPUTED_VALUE"""),"19399")</f>
        <v>19399</v>
      </c>
    </row>
    <row r="85" spans="1:9" ht="15.75" customHeight="1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 DE APOIO DO COLEGIO EST. BURITI")</f>
        <v>A. DE APOIO DO COLEGIO EST. BURITI</v>
      </c>
      <c r="D85" t="str">
        <f ca="1">IFERROR(__xludf.DUMMYFUNCTION("""COMPUTED_VALUE"""),"01206217000115")</f>
        <v>01206217000115</v>
      </c>
      <c r="E85" s="7">
        <f ca="1">IFERROR(__xludf.DUMMYFUNCTION("""COMPUTED_VALUE"""),0)</f>
        <v>0</v>
      </c>
      <c r="F85" s="7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IFERROR(__xludf.DUMMYFUNCTION("""COMPUTED_VALUE"""),"1305")</f>
        <v>1305</v>
      </c>
      <c r="I85" t="str">
        <f ca="1">IFERROR(__xludf.DUMMYFUNCTION("""COMPUTED_VALUE"""),"209406")</f>
        <v>209406</v>
      </c>
    </row>
    <row r="86" spans="1:9" ht="15.75" customHeight="1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DA ESCOLA ESTADUAL DARCYNOPOLIS")</f>
        <v>A.A. DA ESCOLA ESTADUAL DARCYNOPOLIS</v>
      </c>
      <c r="D86" t="str">
        <f ca="1">IFERROR(__xludf.DUMMYFUNCTION("""COMPUTED_VALUE"""),"01190184000162")</f>
        <v>01190184000162</v>
      </c>
      <c r="E86" s="7">
        <f ca="1">IFERROR(__xludf.DUMMYFUNCTION("""COMPUTED_VALUE"""),0)</f>
        <v>0</v>
      </c>
      <c r="F86" s="7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IFERROR(__xludf.DUMMYFUNCTION("""COMPUTED_VALUE"""),"3975")</f>
        <v>3975</v>
      </c>
      <c r="I86" t="str">
        <f ca="1">IFERROR(__xludf.DUMMYFUNCTION("""COMPUTED_VALUE"""),"0019275")</f>
        <v>0019275</v>
      </c>
    </row>
    <row r="87" spans="1:9" ht="15.75" customHeight="1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ESTADUAL MINISTRO NEY BRAGA")</f>
        <v>A.A. ESC. ESTADUAL MINISTRO NEY BRAGA</v>
      </c>
      <c r="D87" t="str">
        <f ca="1">IFERROR(__xludf.DUMMYFUNCTION("""COMPUTED_VALUE"""),"01206220000139")</f>
        <v>01206220000139</v>
      </c>
      <c r="E87" s="7">
        <f ca="1">IFERROR(__xludf.DUMMYFUNCTION("""COMPUTED_VALUE"""),0)</f>
        <v>0</v>
      </c>
      <c r="F87" s="7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IFERROR(__xludf.DUMMYFUNCTION("""COMPUTED_VALUE"""),"10941X")</f>
        <v>10941X</v>
      </c>
    </row>
    <row r="88" spans="1:9" ht="15.75" customHeight="1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E.PRES.TANCREDO DE A.NEVES")</f>
        <v>A.A. ESC. E.PRES.TANCREDO DE A.NEVES</v>
      </c>
      <c r="D88" t="str">
        <f ca="1">IFERROR(__xludf.DUMMYFUNCTION("""COMPUTED_VALUE"""),"01112478000176")</f>
        <v>01112478000176</v>
      </c>
      <c r="E88" s="7">
        <f ca="1">IFERROR(__xludf.DUMMYFUNCTION("""COMPUTED_VALUE"""),0)</f>
        <v>0</v>
      </c>
      <c r="F88" s="7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IFERROR(__xludf.DUMMYFUNCTION("""COMPUTED_VALUE"""),"10924X")</f>
        <v>10924X</v>
      </c>
    </row>
    <row r="89" spans="1:9" ht="15.75" customHeight="1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t="str">
        <f ca="1">IFERROR(__xludf.DUMMYFUNCTION("""COMPUTED_VALUE"""),"A.A. ESC. EST. VICENTE CARLOS DE SOUSA")</f>
        <v>A.A. ESC. EST. VICENTE CARLOS DE SOUSA</v>
      </c>
      <c r="D89" t="str">
        <f ca="1">IFERROR(__xludf.DUMMYFUNCTION("""COMPUTED_VALUE"""),"01206288000118")</f>
        <v>01206288000118</v>
      </c>
      <c r="E89" s="7">
        <f ca="1">IFERROR(__xludf.DUMMYFUNCTION("""COMPUTED_VALUE"""),0)</f>
        <v>0</v>
      </c>
      <c r="F89" s="7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IFERROR(__xludf.DUMMYFUNCTION("""COMPUTED_VALUE"""),"1305")</f>
        <v>1305</v>
      </c>
      <c r="I89" t="str">
        <f ca="1">IFERROR(__xludf.DUMMYFUNCTION("""COMPUTED_VALUE"""),"0109614")</f>
        <v>0109614</v>
      </c>
    </row>
    <row r="90" spans="1:9" ht="15.75" customHeight="1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DA ESC. EST. CICERO GOMES")</f>
        <v>A.A. DA ESC. EST. CICERO GOMES</v>
      </c>
      <c r="D90" t="str">
        <f ca="1">IFERROR(__xludf.DUMMYFUNCTION("""COMPUTED_VALUE"""),"01068377000145")</f>
        <v>01068377000145</v>
      </c>
      <c r="E90" s="7">
        <f ca="1">IFERROR(__xludf.DUMMYFUNCTION("""COMPUTED_VALUE"""),0)</f>
        <v>0</v>
      </c>
      <c r="F90" s="7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IFERROR(__xludf.DUMMYFUNCTION("""COMPUTED_VALUE"""),"19291")</f>
        <v>19291</v>
      </c>
    </row>
    <row r="91" spans="1:9" ht="15.75" customHeight="1">
      <c r="A91" t="str">
        <f ca="1">IFERROR(__xludf.DUMMYFUNCTION("""COMPUTED_VALUE"""),"Araguatins")</f>
        <v>Araguatins</v>
      </c>
      <c r="B91" t="str">
        <f ca="1">IFERROR(__xludf.DUMMYFUNCTION("""COMPUTED_VALUE"""),"Carrasco Bonito")</f>
        <v>Carrasco Bonito</v>
      </c>
      <c r="C91" t="str">
        <f ca="1">IFERROR(__xludf.DUMMYFUNCTION("""COMPUTED_VALUE"""),"A.A.  DA ESCOLA ESTADUAL INES VIANA")</f>
        <v>A.A.  DA ESCOLA ESTADUAL INES VIANA</v>
      </c>
      <c r="D91" t="str">
        <f ca="1">IFERROR(__xludf.DUMMYFUNCTION("""COMPUTED_VALUE"""),"02508340000153")</f>
        <v>02508340000153</v>
      </c>
      <c r="E91" s="7">
        <f ca="1">IFERROR(__xludf.DUMMYFUNCTION("""COMPUTED_VALUE"""),0)</f>
        <v>0</v>
      </c>
      <c r="F91" s="7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IFERROR(__xludf.DUMMYFUNCTION("""COMPUTED_VALUE"""),"3975")</f>
        <v>3975</v>
      </c>
      <c r="I91" t="str">
        <f ca="1">IFERROR(__xludf.DUMMYFUNCTION("""COMPUTED_VALUE"""),"51713")</f>
        <v>51713</v>
      </c>
    </row>
    <row r="92" spans="1:9" ht="15.75" customHeight="1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EST. JOAQUINA MARIA DA SILVA")</f>
        <v>A.A. ESC. EST. JOAQUINA MARIA DA SILVA</v>
      </c>
      <c r="D92" t="str">
        <f ca="1">IFERROR(__xludf.DUMMYFUNCTION("""COMPUTED_VALUE"""),"01113183000114")</f>
        <v>01113183000114</v>
      </c>
      <c r="E92" s="7">
        <f ca="1">IFERROR(__xludf.DUMMYFUNCTION("""COMPUTED_VALUE"""),0)</f>
        <v>0</v>
      </c>
      <c r="F92" s="7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IFERROR(__xludf.DUMMYFUNCTION("""COMPUTED_VALUE"""),"109665")</f>
        <v>109665</v>
      </c>
    </row>
    <row r="93" spans="1:9" ht="15.75" customHeight="1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ESTADUAL ULISSES GUIMARAES")</f>
        <v>A.A. ESC. ESTADUAL ULISSES GUIMARAES</v>
      </c>
      <c r="D93" t="str">
        <f ca="1">IFERROR(__xludf.DUMMYFUNCTION("""COMPUTED_VALUE"""),"01190183000118")</f>
        <v>01190183000118</v>
      </c>
      <c r="E93" s="7">
        <f ca="1">IFERROR(__xludf.DUMMYFUNCTION("""COMPUTED_VALUE"""),0)</f>
        <v>0</v>
      </c>
      <c r="F93" s="7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IFERROR(__xludf.DUMMYFUNCTION("""COMPUTED_VALUE"""),"1305")</f>
        <v>1305</v>
      </c>
      <c r="I93" t="str">
        <f ca="1">IFERROR(__xludf.DUMMYFUNCTION("""COMPUTED_VALUE"""),"109363")</f>
        <v>109363</v>
      </c>
    </row>
    <row r="94" spans="1:9" ht="15.75" customHeight="1">
      <c r="A94" t="str">
        <f ca="1">IFERROR(__xludf.DUMMYFUNCTION("""COMPUTED_VALUE"""),"Araguatins")</f>
        <v>Araguatins</v>
      </c>
      <c r="B94" t="str">
        <f ca="1">IFERROR(__xludf.DUMMYFUNCTION("""COMPUTED_VALUE"""),"Esperantina")</f>
        <v>Esperantina</v>
      </c>
      <c r="C94" t="str">
        <f ca="1">IFERROR(__xludf.DUMMYFUNCTION("""COMPUTED_VALUE"""),"A.A. ESC. FAMÍLIA AGRÍCOLA DO BICO DO PAPAGAIO")</f>
        <v>A.A. ESC. FAMÍLIA AGRÍCOLA DO BICO DO PAPAGAIO</v>
      </c>
      <c r="D94" t="str">
        <f ca="1">IFERROR(__xludf.DUMMYFUNCTION("""COMPUTED_VALUE"""),"09500499000170")</f>
        <v>09500499000170</v>
      </c>
      <c r="E94" s="7">
        <f ca="1">IFERROR(__xludf.DUMMYFUNCTION("""COMPUTED_VALUE"""),0)</f>
        <v>0</v>
      </c>
      <c r="F94" s="7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IFERROR(__xludf.DUMMYFUNCTION("""COMPUTED_VALUE"""),"232653")</f>
        <v>232653</v>
      </c>
    </row>
    <row r="95" spans="1:9" ht="15.75" customHeight="1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DE AP.ESCOLA EST. Iº DE JUNHO")</f>
        <v>ASS. DE AP.ESCOLA EST. Iº DE JUNHO</v>
      </c>
      <c r="D95" t="str">
        <f ca="1">IFERROR(__xludf.DUMMYFUNCTION("""COMPUTED_VALUE"""),"01392734000126")</f>
        <v>01392734000126</v>
      </c>
      <c r="E95" s="7">
        <f ca="1">IFERROR(__xludf.DUMMYFUNCTION("""COMPUTED_VALUE"""),0)</f>
        <v>0</v>
      </c>
      <c r="F95" s="7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IFERROR(__xludf.DUMMYFUNCTION("""COMPUTED_VALUE"""),"19712")</f>
        <v>19712</v>
      </c>
    </row>
    <row r="96" spans="1:9" ht="15.75" customHeight="1">
      <c r="A96" t="str">
        <f ca="1">IFERROR(__xludf.DUMMYFUNCTION("""COMPUTED_VALUE"""),"Araguatins")</f>
        <v>Araguatins</v>
      </c>
      <c r="B96" t="str">
        <f ca="1">IFERROR(__xludf.DUMMYFUNCTION("""COMPUTED_VALUE"""),"Praia Norte")</f>
        <v>Praia Norte</v>
      </c>
      <c r="C96" t="str">
        <f ca="1">IFERROR(__xludf.DUMMYFUNCTION("""COMPUTED_VALUE"""),"ASS. AP.ESC. ESTADUAL GENESIO GOMES")</f>
        <v>ASS. AP.ESC. ESTADUAL GENESIO GOMES</v>
      </c>
      <c r="D96" t="str">
        <f ca="1">IFERROR(__xludf.DUMMYFUNCTION("""COMPUTED_VALUE"""),"01192607000183")</f>
        <v>01192607000183</v>
      </c>
      <c r="E96" s="7">
        <f ca="1">IFERROR(__xludf.DUMMYFUNCTION("""COMPUTED_VALUE"""),0)</f>
        <v>0</v>
      </c>
      <c r="F96" s="7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IFERROR(__xludf.DUMMYFUNCTION("""COMPUTED_VALUE"""),"3975")</f>
        <v>3975</v>
      </c>
      <c r="I96" t="str">
        <f ca="1">IFERROR(__xludf.DUMMYFUNCTION("""COMPUTED_VALUE"""),"19690")</f>
        <v>19690</v>
      </c>
    </row>
    <row r="97" spans="1:9" ht="15.75" customHeight="1">
      <c r="A97" t="str">
        <f ca="1">IFERROR(__xludf.DUMMYFUNCTION("""COMPUTED_VALUE"""),"Araguatins")</f>
        <v>Araguatins</v>
      </c>
      <c r="B97" t="str">
        <f ca="1">IFERROR(__xludf.DUMMYFUNCTION("""COMPUTED_VALUE"""),"Sampaio")</f>
        <v>Sampaio</v>
      </c>
      <c r="C97" t="str">
        <f ca="1">IFERROR(__xludf.DUMMYFUNCTION("""COMPUTED_VALUE"""),"A. DE AP. DA ESCOLA ESTADUAL SAMPAIO")</f>
        <v>A. DE AP. DA ESCOLA ESTADUAL SAMPAIO</v>
      </c>
      <c r="D97" t="str">
        <f ca="1">IFERROR(__xludf.DUMMYFUNCTION("""COMPUTED_VALUE"""),"01190179000150")</f>
        <v>01190179000150</v>
      </c>
      <c r="E97" s="7">
        <f ca="1">IFERROR(__xludf.DUMMYFUNCTION("""COMPUTED_VALUE"""),0)</f>
        <v>0</v>
      </c>
      <c r="F97" s="7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IFERROR(__xludf.DUMMYFUNCTION("""COMPUTED_VALUE"""),"0019178")</f>
        <v>0019178</v>
      </c>
    </row>
    <row r="98" spans="1:9" ht="15.75" customHeight="1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COLEGIO EST. IRMAOS FILGUEIRAS")</f>
        <v>A.A. COLEGIO EST. IRMAOS FILGUEIRAS</v>
      </c>
      <c r="D98" t="str">
        <f ca="1">IFERROR(__xludf.DUMMYFUNCTION("""COMPUTED_VALUE"""),"01068348000183")</f>
        <v>01068348000183</v>
      </c>
      <c r="E98" s="7">
        <f ca="1">IFERROR(__xludf.DUMMYFUNCTION("""COMPUTED_VALUE"""),0)</f>
        <v>0</v>
      </c>
      <c r="F98" s="7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IFERROR(__xludf.DUMMYFUNCTION("""COMPUTED_VALUE"""),"109134")</f>
        <v>109134</v>
      </c>
    </row>
    <row r="99" spans="1:9" ht="15.75" customHeight="1">
      <c r="A99" t="str">
        <f ca="1">IFERROR(__xludf.DUMMYFUNCTION("""COMPUTED_VALUE"""),"Araguatins")</f>
        <v>Araguatins</v>
      </c>
      <c r="B99" t="str">
        <f ca="1">IFERROR(__xludf.DUMMYFUNCTION("""COMPUTED_VALUE"""),"Sao Bento do Tocantins")</f>
        <v>Sao Bento do Tocantins</v>
      </c>
      <c r="C99" t="str">
        <f ca="1">IFERROR(__xludf.DUMMYFUNCTION("""COMPUTED_VALUE"""),"A.A. ESC. EST. ANAIDES BRITO MIRANDA")</f>
        <v>A.A. ESC. EST. ANAIDES BRITO MIRANDA</v>
      </c>
      <c r="D99" t="str">
        <f ca="1">IFERROR(__xludf.DUMMYFUNCTION("""COMPUTED_VALUE"""),"01181993000108")</f>
        <v>01181993000108</v>
      </c>
      <c r="E99" s="7">
        <f ca="1">IFERROR(__xludf.DUMMYFUNCTION("""COMPUTED_VALUE"""),0)</f>
        <v>0</v>
      </c>
      <c r="F99" s="7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IFERROR(__xludf.DUMMYFUNCTION("""COMPUTED_VALUE"""),"10938x")</f>
        <v>10938x</v>
      </c>
    </row>
    <row r="100" spans="1:9" ht="15.75" customHeight="1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DA ESCOLA ESTADUAL BELA VISTA")</f>
        <v>A.A.  DA ESCOLA ESTADUAL BELA VISTA</v>
      </c>
      <c r="D100" t="str">
        <f ca="1">IFERROR(__xludf.DUMMYFUNCTION("""COMPUTED_VALUE"""),"01230238000176")</f>
        <v>01230238000176</v>
      </c>
      <c r="E100" s="7">
        <f ca="1">IFERROR(__xludf.DUMMYFUNCTION("""COMPUTED_VALUE"""),0)</f>
        <v>0</v>
      </c>
      <c r="F100" s="7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IFERROR(__xludf.DUMMYFUNCTION("""COMPUTED_VALUE"""),"0217948")</f>
        <v>0217948</v>
      </c>
    </row>
    <row r="101" spans="1:9" ht="15.75" customHeight="1">
      <c r="A101" t="str">
        <f ca="1">IFERROR(__xludf.DUMMYFUNCTION("""COMPUTED_VALUE"""),"Araguatins")</f>
        <v>Araguatins</v>
      </c>
      <c r="B101" t="str">
        <f ca="1">IFERROR(__xludf.DUMMYFUNCTION("""COMPUTED_VALUE"""),"Sao Miguel do Tocantins")</f>
        <v>Sao Miguel do Tocantins</v>
      </c>
      <c r="C101" t="str">
        <f ca="1">IFERROR(__xludf.DUMMYFUNCTION("""COMPUTED_VALUE"""),"A.A.  ESCOLA ESTADUAL SAO MIGUEL")</f>
        <v>A.A.  ESCOLA ESTADUAL SAO MIGUEL</v>
      </c>
      <c r="D101" t="str">
        <f ca="1">IFERROR(__xludf.DUMMYFUNCTION("""COMPUTED_VALUE"""),"01213523000189")</f>
        <v>01213523000189</v>
      </c>
      <c r="E101" s="7">
        <f ca="1">IFERROR(__xludf.DUMMYFUNCTION("""COMPUTED_VALUE"""),0)</f>
        <v>0</v>
      </c>
      <c r="F101" s="7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IFERROR(__xludf.DUMMYFUNCTION("""COMPUTED_VALUE"""),"173576")</f>
        <v>173576</v>
      </c>
    </row>
    <row r="102" spans="1:9" ht="15.75" customHeight="1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 DO COL. EST.IRIO OLIVEIRA SOUZA")</f>
        <v>A.A.  DO COL. EST.IRIO OLIVEIRA SOUZA</v>
      </c>
      <c r="D102" t="str">
        <f ca="1">IFERROR(__xludf.DUMMYFUNCTION("""COMPUTED_VALUE"""),"01112477000121")</f>
        <v>01112477000121</v>
      </c>
      <c r="E102" s="7">
        <f ca="1">IFERROR(__xludf.DUMMYFUNCTION("""COMPUTED_VALUE"""),0)</f>
        <v>0</v>
      </c>
      <c r="F102" s="7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IFERROR(__xludf.DUMMYFUNCTION("""COMPUTED_VALUE"""),"0109282")</f>
        <v>0109282</v>
      </c>
    </row>
    <row r="103" spans="1:9" ht="15.75" customHeight="1">
      <c r="A103" t="str">
        <f ca="1">IFERROR(__xludf.DUMMYFUNCTION("""COMPUTED_VALUE"""),"Araguatins")</f>
        <v>Araguatins</v>
      </c>
      <c r="B103" t="str">
        <f ca="1">IFERROR(__xludf.DUMMYFUNCTION("""COMPUTED_VALUE"""),"Sao Sebastiao do Tocantins")</f>
        <v>Sao Sebastiao do Tocantins</v>
      </c>
      <c r="C103" t="str">
        <f ca="1">IFERROR(__xludf.DUMMYFUNCTION("""COMPUTED_VALUE"""),"A.A. E. E. DR.PEDRO LUDOVICO TEIXEIRA")</f>
        <v>A.A. E. E. DR.PEDRO LUDOVICO TEIXEIRA</v>
      </c>
      <c r="D103" t="str">
        <f ca="1">IFERROR(__xludf.DUMMYFUNCTION("""COMPUTED_VALUE"""),"01186462000108")</f>
        <v>01186462000108</v>
      </c>
      <c r="E103" s="7">
        <f ca="1">IFERROR(__xludf.DUMMYFUNCTION("""COMPUTED_VALUE"""),0)</f>
        <v>0</v>
      </c>
      <c r="F103" s="7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IFERROR(__xludf.DUMMYFUNCTION("""COMPUTED_VALUE"""),"109711")</f>
        <v>109711</v>
      </c>
    </row>
    <row r="104" spans="1:9" ht="15.75" customHeight="1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COL. EST. MARECHAEL RIBAS JUNIOR")</f>
        <v>A.A. COL. EST. MARECHAEL RIBAS JUNIOR</v>
      </c>
      <c r="D104" t="str">
        <f ca="1">IFERROR(__xludf.DUMMYFUNCTION("""COMPUTED_VALUE"""),"01230241000190")</f>
        <v>01230241000190</v>
      </c>
      <c r="E104" s="7">
        <f ca="1">IFERROR(__xludf.DUMMYFUNCTION("""COMPUTED_VALUE"""),0)</f>
        <v>0</v>
      </c>
      <c r="F104" s="7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IFERROR(__xludf.DUMMYFUNCTION("""COMPUTED_VALUE"""),"1305")</f>
        <v>1305</v>
      </c>
      <c r="I104" t="str">
        <f ca="1">IFERROR(__xludf.DUMMYFUNCTION("""COMPUTED_VALUE"""),"217964")</f>
        <v>217964</v>
      </c>
    </row>
    <row r="105" spans="1:9" ht="15.75" customHeight="1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E. EST. JOAQUIM TEOTONIO SEGURADO")</f>
        <v>A.A. E. EST. JOAQUIM TEOTONIO SEGURADO</v>
      </c>
      <c r="D105" t="str">
        <f ca="1">IFERROR(__xludf.DUMMYFUNCTION("""COMPUTED_VALUE"""),"01230240000145")</f>
        <v>01230240000145</v>
      </c>
      <c r="E105" s="7">
        <f ca="1">IFERROR(__xludf.DUMMYFUNCTION("""COMPUTED_VALUE"""),0)</f>
        <v>0</v>
      </c>
      <c r="F105" s="7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IFERROR(__xludf.DUMMYFUNCTION("""COMPUTED_VALUE"""),"0810")</f>
        <v>0810</v>
      </c>
      <c r="I105" t="str">
        <f ca="1">IFERROR(__xludf.DUMMYFUNCTION("""COMPUTED_VALUE"""),"217972")</f>
        <v>217972</v>
      </c>
    </row>
    <row r="106" spans="1:9" ht="15.75" customHeight="1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MANOEL ESTEVAO DE SOUZA")</f>
        <v>A.A. ESC. EST. MANOEL ESTEVAO DE SOUZA</v>
      </c>
      <c r="D106" t="str">
        <f ca="1">IFERROR(__xludf.DUMMYFUNCTION("""COMPUTED_VALUE"""),"01213534000169")</f>
        <v>01213534000169</v>
      </c>
      <c r="E106" s="7">
        <f ca="1">IFERROR(__xludf.DUMMYFUNCTION("""COMPUTED_VALUE"""),0)</f>
        <v>0</v>
      </c>
      <c r="F106" s="7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IFERROR(__xludf.DUMMYFUNCTION("""COMPUTED_VALUE"""),"1305")</f>
        <v>1305</v>
      </c>
      <c r="I106" t="str">
        <f ca="1">IFERROR(__xludf.DUMMYFUNCTION("""COMPUTED_VALUE"""),"181048")</f>
        <v>181048</v>
      </c>
    </row>
    <row r="107" spans="1:9" ht="15.75" customHeight="1">
      <c r="A107" t="str">
        <f ca="1">IFERROR(__xludf.DUMMYFUNCTION("""COMPUTED_VALUE"""),"Araguatins")</f>
        <v>Araguatins</v>
      </c>
      <c r="B107" t="str">
        <f ca="1">IFERROR(__xludf.DUMMYFUNCTION("""COMPUTED_VALUE"""),"Sitio Novo do Tocantins")</f>
        <v>Sitio Novo do Tocantins</v>
      </c>
      <c r="C107" t="str">
        <f ca="1">IFERROR(__xludf.DUMMYFUNCTION("""COMPUTED_VALUE"""),"A.A. ESC. EST. RAIMUNDO NONATO LEITE")</f>
        <v>A.A. ESC. EST. RAIMUNDO NONATO LEITE</v>
      </c>
      <c r="D107" t="str">
        <f ca="1">IFERROR(__xludf.DUMMYFUNCTION("""COMPUTED_VALUE"""),"01230237000121")</f>
        <v>01230237000121</v>
      </c>
      <c r="E107" s="7">
        <f ca="1">IFERROR(__xludf.DUMMYFUNCTION("""COMPUTED_VALUE"""),0)</f>
        <v>0</v>
      </c>
      <c r="F107" s="7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IFERROR(__xludf.DUMMYFUNCTION("""COMPUTED_VALUE"""),"0810")</f>
        <v>0810</v>
      </c>
      <c r="I107" t="str">
        <f ca="1">IFERROR(__xludf.DUMMYFUNCTION("""COMPUTED_VALUE"""),"217980")</f>
        <v>217980</v>
      </c>
    </row>
    <row r="108" spans="1:9" ht="15.75" customHeight="1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 E. COM.COL EST PROFA. JOANA B. CORDEIRO")</f>
        <v>A. E. COM.COL EST PROFA. JOANA B. CORDEIRO</v>
      </c>
      <c r="D108" t="str">
        <f ca="1">IFERROR(__xludf.DUMMYFUNCTION("""COMPUTED_VALUE"""),"00922190000102")</f>
        <v>00922190000102</v>
      </c>
      <c r="E108" s="7">
        <f ca="1">IFERROR(__xludf.DUMMYFUNCTION("""COMPUTED_VALUE"""),0)</f>
        <v>0</v>
      </c>
      <c r="F108" s="7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IFERROR(__xludf.DUMMYFUNCTION("""COMPUTED_VALUE"""),"231770")</f>
        <v>231770</v>
      </c>
    </row>
    <row r="109" spans="1:9" ht="15.75" customHeight="1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ESC. AGRÍCOLA DAVID AIRES FRANÇA")</f>
        <v>A.A. ESC. AGRÍCOLA DAVID AIRES FRANÇA</v>
      </c>
      <c r="D109" t="str">
        <f ca="1">IFERROR(__xludf.DUMMYFUNCTION("""COMPUTED_VALUE"""),"04302970000100")</f>
        <v>04302970000100</v>
      </c>
      <c r="E109" s="7">
        <f ca="1">IFERROR(__xludf.DUMMYFUNCTION("""COMPUTED_VALUE"""),0)</f>
        <v>0</v>
      </c>
      <c r="F109" s="7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IFERROR(__xludf.DUMMYFUNCTION("""COMPUTED_VALUE"""),"94811")</f>
        <v>94811</v>
      </c>
    </row>
    <row r="110" spans="1:9" ht="15.75" customHeight="1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IFERROR(__xludf.DUMMYFUNCTION("""COMPUTED_VALUE"""),"A.A. ESCOL. DA ESC. EST. BRIGADEIRO FELIPE")</f>
        <v>A.A. ESCOL. DA ESC. EST. BRIGADEIRO FELIPE</v>
      </c>
      <c r="D110" t="str">
        <f ca="1">IFERROR(__xludf.DUMMYFUNCTION("""COMPUTED_VALUE"""),"01221149000163")</f>
        <v>01221149000163</v>
      </c>
      <c r="E110" s="7">
        <f ca="1">IFERROR(__xludf.DUMMYFUNCTION("""COMPUTED_VALUE"""),0)</f>
        <v>0</v>
      </c>
      <c r="F110" s="7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IFERROR(__xludf.DUMMYFUNCTION("""COMPUTED_VALUE"""),"232165")</f>
        <v>232165</v>
      </c>
    </row>
    <row r="111" spans="1:9" ht="15.75" customHeight="1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IFERROR(__xludf.DUMMYFUNCTION("""COMPUTED_VALUE"""),"ASS. APOIO ESC. EST. JACY ALVES DE BARROS")</f>
        <v>ASS. APOIO ESC. EST. JACY ALVES DE BARROS</v>
      </c>
      <c r="D111" t="str">
        <f ca="1">IFERROR(__xludf.DUMMYFUNCTION("""COMPUTED_VALUE"""),"01284634000186")</f>
        <v>01284634000186</v>
      </c>
      <c r="E111" s="7">
        <f ca="1">IFERROR(__xludf.DUMMYFUNCTION("""COMPUTED_VALUE"""),0)</f>
        <v>0</v>
      </c>
      <c r="F111" s="7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IFERROR(__xludf.DUMMYFUNCTION("""COMPUTED_VALUE"""),"232246")</f>
        <v>232246</v>
      </c>
    </row>
    <row r="112" spans="1:9" ht="15.75" customHeight="1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 ESTADUAL CANABRAVA/ZULMIRA MAGALHÃES")</f>
        <v>A.A. ESCOLA ESTADUAL CANABRAVA/ZULMIRA MAGALHÃES</v>
      </c>
      <c r="D112" t="str">
        <f ca="1">IFERROR(__xludf.DUMMYFUNCTION("""COMPUTED_VALUE"""),"01284633000131")</f>
        <v>01284633000131</v>
      </c>
      <c r="E112" s="7">
        <f ca="1">IFERROR(__xludf.DUMMYFUNCTION("""COMPUTED_VALUE"""),0)</f>
        <v>0</v>
      </c>
      <c r="F112" s="7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IFERROR(__xludf.DUMMYFUNCTION("""COMPUTED_VALUE"""),"23219X")</f>
        <v>23219X</v>
      </c>
    </row>
    <row r="113" spans="1:9" ht="15.75" customHeight="1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t="str">
        <f ca="1">IFERROR(__xludf.DUMMYFUNCTION("""COMPUTED_VALUE"""),"A.A. ESCOLAR DA ESC. EST. SILVA DOURADO")</f>
        <v>A.A. ESCOLAR DA ESC. EST. SILVA DOURADO</v>
      </c>
      <c r="D113" t="str">
        <f ca="1">IFERROR(__xludf.DUMMYFUNCTION("""COMPUTED_VALUE"""),"01301519000172")</f>
        <v>01301519000172</v>
      </c>
      <c r="E113" s="7">
        <f ca="1">IFERROR(__xludf.DUMMYFUNCTION("""COMPUTED_VALUE"""),0)</f>
        <v>0</v>
      </c>
      <c r="F113" s="7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IFERROR(__xludf.DUMMYFUNCTION("""COMPUTED_VALUE"""),"0541")</f>
        <v>0541</v>
      </c>
      <c r="I113" t="str">
        <f ca="1">IFERROR(__xludf.DUMMYFUNCTION("""COMPUTED_VALUE"""),"232297")</f>
        <v>232297</v>
      </c>
    </row>
    <row r="114" spans="1:9" ht="15.75" customHeight="1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IFERROR(__xludf.DUMMYFUNCTION("""COMPUTED_VALUE"""),"A.A. A ESCOLA/COL. EST.PROF. RANULFA")</f>
        <v>A.A. A ESCOLA/COL. EST.PROF. RANULFA</v>
      </c>
      <c r="D114" t="str">
        <f ca="1">IFERROR(__xludf.DUMMYFUNCTION("""COMPUTED_VALUE"""),"01133691000164")</f>
        <v>01133691000164</v>
      </c>
      <c r="E114" s="7">
        <f ca="1">IFERROR(__xludf.DUMMYFUNCTION("""COMPUTED_VALUE"""),0)</f>
        <v>0</v>
      </c>
      <c r="F114" s="7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IFERROR(__xludf.DUMMYFUNCTION("""COMPUTED_VALUE"""),"102725")</f>
        <v>102725</v>
      </c>
    </row>
    <row r="115" spans="1:9" ht="15.75" customHeight="1">
      <c r="A115" t="str">
        <f ca="1">IFERROR(__xludf.DUMMYFUNCTION("""COMPUTED_VALUE"""),"Arraias")</f>
        <v>Arraias</v>
      </c>
      <c r="B115" t="str">
        <f ca="1">IFERROR(__xludf.DUMMYFUNCTION("""COMPUTED_VALUE"""),"Aurora do Tocantins")</f>
        <v>Aurora do Tocantins</v>
      </c>
      <c r="C115" t="str">
        <f ca="1">IFERROR(__xludf.DUMMYFUNCTION("""COMPUTED_VALUE"""),"ASS. APOIO ESCOLA ESTADUAL DONA INES")</f>
        <v>ASS. APOIO ESCOLA ESTADUAL DONA INES</v>
      </c>
      <c r="D115" t="str">
        <f ca="1">IFERROR(__xludf.DUMMYFUNCTION("""COMPUTED_VALUE"""),"01190419000116")</f>
        <v>01190419000116</v>
      </c>
      <c r="E115" s="7">
        <f ca="1">IFERROR(__xludf.DUMMYFUNCTION("""COMPUTED_VALUE"""),0)</f>
        <v>0</v>
      </c>
      <c r="F115" s="7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IFERROR(__xludf.DUMMYFUNCTION("""COMPUTED_VALUE"""),"109703")</f>
        <v>109703</v>
      </c>
    </row>
    <row r="116" spans="1:9" ht="15.75" customHeight="1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DO COL. E.JOAQUIM DE SENA E SILVA")</f>
        <v>A.A. DO COL. E.JOAQUIM DE SENA E SILVA</v>
      </c>
      <c r="D116" t="str">
        <f ca="1">IFERROR(__xludf.DUMMYFUNCTION("""COMPUTED_VALUE"""),"01230223000108")</f>
        <v>01230223000108</v>
      </c>
      <c r="E116" s="7">
        <f ca="1">IFERROR(__xludf.DUMMYFUNCTION("""COMPUTED_VALUE"""),0)</f>
        <v>0</v>
      </c>
      <c r="F116" s="7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IFERROR(__xludf.DUMMYFUNCTION("""COMPUTED_VALUE"""),"232106")</f>
        <v>232106</v>
      </c>
    </row>
    <row r="117" spans="1:9" ht="15.75" customHeight="1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DA ESCOLA ESTADUAL COMBINADO")</f>
        <v>A.A. DA ESCOLA ESTADUAL COMBINADO</v>
      </c>
      <c r="D117" t="str">
        <f ca="1">IFERROR(__xludf.DUMMYFUNCTION("""COMPUTED_VALUE"""),"01136003000110")</f>
        <v>01136003000110</v>
      </c>
      <c r="E117" s="7">
        <f ca="1">IFERROR(__xludf.DUMMYFUNCTION("""COMPUTED_VALUE"""),0)</f>
        <v>0</v>
      </c>
      <c r="F117" s="7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IFERROR(__xludf.DUMMYFUNCTION("""COMPUTED_VALUE"""),"231940")</f>
        <v>231940</v>
      </c>
    </row>
    <row r="118" spans="1:9" ht="15.75" customHeight="1">
      <c r="A118" t="str">
        <f ca="1">IFERROR(__xludf.DUMMYFUNCTION("""COMPUTED_VALUE"""),"Arraias")</f>
        <v>Arraias</v>
      </c>
      <c r="B118" t="str">
        <f ca="1">IFERROR(__xludf.DUMMYFUNCTION("""COMPUTED_VALUE"""),"Combinado")</f>
        <v>Combinado</v>
      </c>
      <c r="C118" t="str">
        <f ca="1">IFERROR(__xludf.DUMMYFUNCTION("""COMPUTED_VALUE"""),"A.A. ESC. EST. AUGUSTA VAZ DOS S.TEIXEIRA")</f>
        <v>A.A. ESC. EST. AUGUSTA VAZ DOS S.TEIXEIRA</v>
      </c>
      <c r="D118" t="str">
        <f ca="1">IFERROR(__xludf.DUMMYFUNCTION("""COMPUTED_VALUE"""),"01186458000140")</f>
        <v>01186458000140</v>
      </c>
      <c r="E118" s="7">
        <f ca="1">IFERROR(__xludf.DUMMYFUNCTION("""COMPUTED_VALUE"""),0)</f>
        <v>0</v>
      </c>
      <c r="F118" s="7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IFERROR(__xludf.DUMMYFUNCTION("""COMPUTED_VALUE"""),"56855")</f>
        <v>56855</v>
      </c>
    </row>
    <row r="119" spans="1:9" ht="15.75" customHeight="1">
      <c r="A119" t="str">
        <f ca="1">IFERROR(__xludf.DUMMYFUNCTION("""COMPUTED_VALUE"""),"Arraias")</f>
        <v>Arraias</v>
      </c>
      <c r="B119" t="str">
        <f ca="1">IFERROR(__xludf.DUMMYFUNCTION("""COMPUTED_VALUE"""),"Lavandeira")</f>
        <v>Lavandeira</v>
      </c>
      <c r="C119" t="str">
        <f ca="1">IFERROR(__xludf.DUMMYFUNCTION("""COMPUTED_VALUE"""),"ASSOC. DE APOIO ESC. EST. LAVANDEIRA")</f>
        <v>ASSOC. DE APOIO ESC. EST. LAVANDEIRA</v>
      </c>
      <c r="D119" t="str">
        <f ca="1">IFERROR(__xludf.DUMMYFUNCTION("""COMPUTED_VALUE"""),"01136024000135")</f>
        <v>01136024000135</v>
      </c>
      <c r="E119" s="7">
        <f ca="1">IFERROR(__xludf.DUMMYFUNCTION("""COMPUTED_VALUE"""),0)</f>
        <v>0</v>
      </c>
      <c r="F119" s="7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IFERROR(__xludf.DUMMYFUNCTION("""COMPUTED_VALUE"""),"231916")</f>
        <v>231916</v>
      </c>
    </row>
    <row r="120" spans="1:9" ht="15.75" customHeight="1">
      <c r="A120" t="str">
        <f ca="1">IFERROR(__xludf.DUMMYFUNCTION("""COMPUTED_VALUE"""),"Arraias")</f>
        <v>Arraias</v>
      </c>
      <c r="B120" t="str">
        <f ca="1">IFERROR(__xludf.DUMMYFUNCTION("""COMPUTED_VALUE"""),"Novo Alegre")</f>
        <v>Novo Alegre</v>
      </c>
      <c r="C120" t="str">
        <f ca="1">IFERROR(__xludf.DUMMYFUNCTION("""COMPUTED_VALUE"""),"ASSOC. DE APOIO COL. EST. DR.JOAO D`ABREU")</f>
        <v>ASSOC. DE APOIO COL. EST. DR.JOAO D`ABREU</v>
      </c>
      <c r="D120" t="str">
        <f ca="1">IFERROR(__xludf.DUMMYFUNCTION("""COMPUTED_VALUE"""),"01146115000151")</f>
        <v>01146115000151</v>
      </c>
      <c r="E120" s="7">
        <f ca="1">IFERROR(__xludf.DUMMYFUNCTION("""COMPUTED_VALUE"""),0)</f>
        <v>0</v>
      </c>
      <c r="F120" s="7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IFERROR(__xludf.DUMMYFUNCTION("""COMPUTED_VALUE"""),"3977")</f>
        <v>3977</v>
      </c>
      <c r="I120" t="str">
        <f ca="1">IFERROR(__xludf.DUMMYFUNCTION("""COMPUTED_VALUE"""),"178845")</f>
        <v>178845</v>
      </c>
    </row>
    <row r="121" spans="1:9" ht="15.75" customHeight="1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DO COL. EST. DES.VIRGILIO DE M.FRANCO")</f>
        <v>A.A. DO COL. EST. DES.VIRGILIO DE M.FRANCO</v>
      </c>
      <c r="D121" t="str">
        <f ca="1">IFERROR(__xludf.DUMMYFUNCTION("""COMPUTED_VALUE"""),"01284635000120")</f>
        <v>01284635000120</v>
      </c>
      <c r="E121" s="7">
        <f ca="1">IFERROR(__xludf.DUMMYFUNCTION("""COMPUTED_VALUE"""),0)</f>
        <v>0</v>
      </c>
      <c r="F121" s="7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IFERROR(__xludf.DUMMYFUNCTION("""COMPUTED_VALUE"""),"4790")</f>
        <v>4790</v>
      </c>
      <c r="I121" t="str">
        <f ca="1">IFERROR(__xludf.DUMMYFUNCTION("""COMPUTED_VALUE"""),"232327")</f>
        <v>232327</v>
      </c>
    </row>
    <row r="122" spans="1:9" ht="15.75" customHeight="1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IFERROR(__xludf.DUMMYFUNCTION("""COMPUTED_VALUE"""),"A.A. DA ESC. EST.EUCLIDES BEZERRA GERAIS")</f>
        <v>A.A. DA ESC. EST.EUCLIDES BEZERRA GERAIS</v>
      </c>
      <c r="D122" t="str">
        <f ca="1">IFERROR(__xludf.DUMMYFUNCTION("""COMPUTED_VALUE"""),"01401950000190")</f>
        <v>01401950000190</v>
      </c>
      <c r="E122" s="7">
        <f ca="1">IFERROR(__xludf.DUMMYFUNCTION("""COMPUTED_VALUE"""),0)</f>
        <v>0</v>
      </c>
      <c r="F122" s="7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IFERROR(__xludf.DUMMYFUNCTION("""COMPUTED_VALUE"""),"232483")</f>
        <v>232483</v>
      </c>
    </row>
    <row r="123" spans="1:9" ht="15.75" customHeight="1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IFERROR(__xludf.DUMMYFUNCTION("""COMPUTED_VALUE"""),"ASSOC. DE APOIO A ESC. EST. REUNIDA FLORESTA")</f>
        <v>ASSOC. DE APOIO A ESC. EST. REUNIDA FLORESTA</v>
      </c>
      <c r="D123" t="str">
        <f ca="1">IFERROR(__xludf.DUMMYFUNCTION("""COMPUTED_VALUE"""),"03834797000110")</f>
        <v>03834797000110</v>
      </c>
      <c r="E123" s="7">
        <f ca="1">IFERROR(__xludf.DUMMYFUNCTION("""COMPUTED_VALUE"""),0)</f>
        <v>0</v>
      </c>
      <c r="F123" s="7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IFERROR(__xludf.DUMMYFUNCTION("""COMPUTED_VALUE"""),"113247")</f>
        <v>113247</v>
      </c>
    </row>
    <row r="124" spans="1:9" ht="15.75" customHeight="1">
      <c r="A124" t="str">
        <f ca="1">IFERROR(__xludf.DUMMYFUNCTION("""COMPUTED_VALUE"""),"Arraias")</f>
        <v>Arraias</v>
      </c>
      <c r="B124" t="str">
        <f ca="1">IFERROR(__xludf.DUMMYFUNCTION("""COMPUTED_VALUE"""),"Parana")</f>
        <v>Parana</v>
      </c>
      <c r="C124" t="str">
        <f ca="1">IFERROR(__xludf.DUMMYFUNCTION("""COMPUTED_VALUE"""),"A.A. A ESC. EST. REUNIDA SANTA RITA DO RIO PALMA")</f>
        <v>A.A. A ESC. EST. REUNIDA SANTA RITA DO RIO PALMA</v>
      </c>
      <c r="D124" t="str">
        <f ca="1">IFERROR(__xludf.DUMMYFUNCTION("""COMPUTED_VALUE"""),"03834784000141")</f>
        <v>03834784000141</v>
      </c>
      <c r="E124" s="7">
        <f ca="1">IFERROR(__xludf.DUMMYFUNCTION("""COMPUTED_VALUE"""),0)</f>
        <v>0</v>
      </c>
      <c r="F124" s="7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IFERROR(__xludf.DUMMYFUNCTION("""COMPUTED_VALUE"""),"0541")</f>
        <v>0541</v>
      </c>
      <c r="I124" t="str">
        <f ca="1">IFERROR(__xludf.DUMMYFUNCTION("""COMPUTED_VALUE"""),"113638")</f>
        <v>113638</v>
      </c>
    </row>
    <row r="125" spans="1:9" ht="15.75" customHeight="1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IFERROR(__xludf.DUMMYFUNCTION("""COMPUTED_VALUE"""),"A.AP. COL. EST.RUILON DIAS CARNEIRO")</f>
        <v>A.AP. COL. EST.RUILON DIAS CARNEIRO</v>
      </c>
      <c r="D125" t="str">
        <f ca="1">IFERROR(__xludf.DUMMYFUNCTION("""COMPUTED_VALUE"""),"01133714000130")</f>
        <v>01133714000130</v>
      </c>
      <c r="E125" s="7">
        <f ca="1">IFERROR(__xludf.DUMMYFUNCTION("""COMPUTED_VALUE"""),0)</f>
        <v>0</v>
      </c>
      <c r="F125" s="7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IFERROR(__xludf.DUMMYFUNCTION("""COMPUTED_VALUE"""),"2290X")</f>
        <v>2290X</v>
      </c>
    </row>
    <row r="126" spans="1:9" ht="15.75" customHeight="1">
      <c r="A126" t="str">
        <f ca="1">IFERROR(__xludf.DUMMYFUNCTION("""COMPUTED_VALUE"""),"Colinas")</f>
        <v>Colinas</v>
      </c>
      <c r="B126" t="str">
        <f ca="1">IFERROR(__xludf.DUMMYFUNCTION("""COMPUTED_VALUE"""),"Arapoema")</f>
        <v>Arapoema</v>
      </c>
      <c r="C126" t="str">
        <f ca="1">IFERROR(__xludf.DUMMYFUNCTION("""COMPUTED_VALUE"""),"A.A. E. EST. ANTONIO DELFINO GUIMARAES")</f>
        <v>A.A. E. EST. ANTONIO DELFINO GUIMARAES</v>
      </c>
      <c r="D126" t="str">
        <f ca="1">IFERROR(__xludf.DUMMYFUNCTION("""COMPUTED_VALUE"""),"01135998000102")</f>
        <v>01135998000102</v>
      </c>
      <c r="E126" s="7">
        <f ca="1">IFERROR(__xludf.DUMMYFUNCTION("""COMPUTED_VALUE"""),0)</f>
        <v>0</v>
      </c>
      <c r="F126" s="7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IFERROR(__xludf.DUMMYFUNCTION("""COMPUTED_VALUE"""),"3974")</f>
        <v>3974</v>
      </c>
      <c r="I126" t="str">
        <f ca="1">IFERROR(__xludf.DUMMYFUNCTION("""COMPUTED_VALUE"""),"2287X")</f>
        <v>2287X</v>
      </c>
    </row>
    <row r="127" spans="1:9" ht="15.75" customHeight="1">
      <c r="A127" t="str">
        <f ca="1">IFERROR(__xludf.DUMMYFUNCTION("""COMPUTED_VALUE"""),"Colinas")</f>
        <v>Colinas</v>
      </c>
      <c r="B127" t="str">
        <f ca="1">IFERROR(__xludf.DUMMYFUNCTION("""COMPUTED_VALUE"""),"Bandeirantes do Tocantins")</f>
        <v>Bandeirantes do Tocantins</v>
      </c>
      <c r="C127" t="str">
        <f ca="1">IFERROR(__xludf.DUMMYFUNCTION("""COMPUTED_VALUE"""),"A.A. E. E. ARCELINO F. DO NASCIMENTO")</f>
        <v>A.A. E. E. ARCELINO F. DO NASCIMENTO</v>
      </c>
      <c r="D127" t="str">
        <f ca="1">IFERROR(__xludf.DUMMYFUNCTION("""COMPUTED_VALUE"""),"01181179000193")</f>
        <v>01181179000193</v>
      </c>
      <c r="E127" s="7">
        <f ca="1">IFERROR(__xludf.DUMMYFUNCTION("""COMPUTED_VALUE"""),0)</f>
        <v>0</v>
      </c>
      <c r="F127" s="7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IFERROR(__xludf.DUMMYFUNCTION("""COMPUTED_VALUE"""),"46578X")</f>
        <v>46578X</v>
      </c>
    </row>
    <row r="128" spans="1:9" ht="15.75" customHeight="1">
      <c r="A128" t="str">
        <f ca="1">IFERROR(__xludf.DUMMYFUNCTION("""COMPUTED_VALUE"""),"Colinas")</f>
        <v>Colinas</v>
      </c>
      <c r="B128" t="str">
        <f ca="1">IFERROR(__xludf.DUMMYFUNCTION("""COMPUTED_VALUE"""),"Bernardo Sayao")</f>
        <v>Bernardo Sayao</v>
      </c>
      <c r="C128" t="str">
        <f ca="1">IFERROR(__xludf.DUMMYFUNCTION("""COMPUTED_VALUE"""),"A.A. COL. EST. BERNARDO SAYAO")</f>
        <v>A.A. COL. EST. BERNARDO SAYAO</v>
      </c>
      <c r="D128" t="str">
        <f ca="1">IFERROR(__xludf.DUMMYFUNCTION("""COMPUTED_VALUE"""),"01190188000140")</f>
        <v>01190188000140</v>
      </c>
      <c r="E128" s="7">
        <f ca="1">IFERROR(__xludf.DUMMYFUNCTION("""COMPUTED_VALUE"""),0)</f>
        <v>0</v>
      </c>
      <c r="F128" s="7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IFERROR(__xludf.DUMMYFUNCTION("""COMPUTED_VALUE"""),"369403")</f>
        <v>369403</v>
      </c>
    </row>
    <row r="129" spans="1:9" ht="15.75" customHeight="1">
      <c r="A129" t="str">
        <f ca="1">IFERROR(__xludf.DUMMYFUNCTION("""COMPUTED_VALUE"""),"Colinas")</f>
        <v>Colinas</v>
      </c>
      <c r="B129" t="str">
        <f ca="1">IFERROR(__xludf.DUMMYFUNCTION("""COMPUTED_VALUE"""),"Brasilandia do Tocantins")</f>
        <v>Brasilandia do Tocantins</v>
      </c>
      <c r="C129" t="str">
        <f ca="1">IFERROR(__xludf.DUMMYFUNCTION("""COMPUTED_VALUE"""),"A.A. COL. EST. SEBASTIAO RODRIGUES SALES")</f>
        <v>A.A. COL. EST. SEBASTIAO RODRIGUES SALES</v>
      </c>
      <c r="D129" t="str">
        <f ca="1">IFERROR(__xludf.DUMMYFUNCTION("""COMPUTED_VALUE"""),"01138333000144")</f>
        <v>01138333000144</v>
      </c>
      <c r="E129" s="7">
        <f ca="1">IFERROR(__xludf.DUMMYFUNCTION("""COMPUTED_VALUE"""),0)</f>
        <v>0</v>
      </c>
      <c r="F129" s="7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IFERROR(__xludf.DUMMYFUNCTION("""COMPUTED_VALUE"""),"369365")</f>
        <v>369365</v>
      </c>
    </row>
    <row r="130" spans="1:9" ht="15.75" customHeight="1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IFERROR(__xludf.DUMMYFUNCTION("""COMPUTED_VALUE"""),"ASSOC. DE APOIO DO COL. EST. CASTELO BRANCO")</f>
        <v>ASSOC. DE APOIO DO COL. EST. CASTELO BRANCO</v>
      </c>
      <c r="D130" t="str">
        <f ca="1">IFERROR(__xludf.DUMMYFUNCTION("""COMPUTED_VALUE"""),"01071413000120")</f>
        <v>01071413000120</v>
      </c>
      <c r="E130" s="7">
        <f ca="1">IFERROR(__xludf.DUMMYFUNCTION("""COMPUTED_VALUE"""),0)</f>
        <v>0</v>
      </c>
      <c r="F130" s="7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IFERROR(__xludf.DUMMYFUNCTION("""COMPUTED_VALUE"""),"187275")</f>
        <v>187275</v>
      </c>
    </row>
    <row r="131" spans="1:9" ht="15.75" customHeight="1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ESCOLA ESTADUAL ERNESTO BARROS")</f>
        <v>A.A. ESCOLA ESTADUAL ERNESTO BARROS</v>
      </c>
      <c r="D131" t="str">
        <f ca="1">IFERROR(__xludf.DUMMYFUNCTION("""COMPUTED_VALUE"""),"01064857000138")</f>
        <v>01064857000138</v>
      </c>
      <c r="E131" s="7">
        <f ca="1">IFERROR(__xludf.DUMMYFUNCTION("""COMPUTED_VALUE"""),0)</f>
        <v>0</v>
      </c>
      <c r="F131" s="7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IFERROR(__xludf.DUMMYFUNCTION("""COMPUTED_VALUE"""),"0368571")</f>
        <v>0368571</v>
      </c>
    </row>
    <row r="132" spans="1:9" ht="15.75" customHeight="1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IFERROR(__xludf.DUMMYFUNCTION("""COMPUTED_VALUE"""),"A.A.  COLEGIO JOAO XXIII")</f>
        <v>A.A.  COLEGIO JOAO XXIII</v>
      </c>
      <c r="D132" t="str">
        <f ca="1">IFERROR(__xludf.DUMMYFUNCTION("""COMPUTED_VALUE"""),"01064859000127")</f>
        <v>01064859000127</v>
      </c>
      <c r="E132" s="7">
        <f ca="1">IFERROR(__xludf.DUMMYFUNCTION("""COMPUTED_VALUE"""),0)</f>
        <v>0</v>
      </c>
      <c r="F132" s="7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IFERROR(__xludf.DUMMYFUNCTION("""COMPUTED_VALUE"""),"368555")</f>
        <v>368555</v>
      </c>
    </row>
    <row r="133" spans="1:9" ht="15.75" customHeight="1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IFERROR(__xludf.DUMMYFUNCTION("""COMPUTED_VALUE"""),"AAE ESPECIAL GOTA DE ESPERANÇA")</f>
        <v>AAE ESPECIAL GOTA DE ESPERANÇA</v>
      </c>
      <c r="D133" t="str">
        <f ca="1">IFERROR(__xludf.DUMMYFUNCTION("""COMPUTED_VALUE"""),"07944635000196")</f>
        <v>07944635000196</v>
      </c>
      <c r="E133" s="7">
        <f ca="1">IFERROR(__xludf.DUMMYFUNCTION("""COMPUTED_VALUE"""),0)</f>
        <v>0</v>
      </c>
      <c r="F133" s="7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IFERROR(__xludf.DUMMYFUNCTION("""COMPUTED_VALUE"""),"184861")</f>
        <v>184861</v>
      </c>
    </row>
    <row r="134" spans="1:9" ht="15.75" customHeight="1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FRANCISCO PEREIRA FELICIO")</f>
        <v>A.A. E. E. FRANCISCO PEREIRA FELICIO</v>
      </c>
      <c r="D134" t="str">
        <f ca="1">IFERROR(__xludf.DUMMYFUNCTION("""COMPUTED_VALUE"""),"01086969000190")</f>
        <v>01086969000190</v>
      </c>
      <c r="E134" s="7">
        <f ca="1">IFERROR(__xludf.DUMMYFUNCTION("""COMPUTED_VALUE"""),0)</f>
        <v>0</v>
      </c>
      <c r="F134" s="7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IFERROR(__xludf.DUMMYFUNCTION("""COMPUTED_VALUE"""),"368814")</f>
        <v>368814</v>
      </c>
    </row>
    <row r="135" spans="1:9" ht="15.75" customHeight="1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IFERROR(__xludf.DUMMYFUNCTION("""COMPUTED_VALUE"""),"A.A. E. E. LACERDINO OLIVEIRA CAMPOS")</f>
        <v>A.A. E. E. LACERDINO OLIVEIRA CAMPOS</v>
      </c>
      <c r="D135" t="str">
        <f ca="1">IFERROR(__xludf.DUMMYFUNCTION("""COMPUTED_VALUE"""),"01077439000185")</f>
        <v>01077439000185</v>
      </c>
      <c r="E135" s="7">
        <f ca="1">IFERROR(__xludf.DUMMYFUNCTION("""COMPUTED_VALUE"""),0)</f>
        <v>0</v>
      </c>
      <c r="F135" s="7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IFERROR(__xludf.DUMMYFUNCTION("""COMPUTED_VALUE"""),"368741")</f>
        <v>368741</v>
      </c>
    </row>
    <row r="136" spans="1:9" ht="15.75" customHeight="1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IFERROR(__xludf.DUMMYFUNCTION("""COMPUTED_VALUE"""),"ASSOCIAÇÃO DE PAIS E ESTUDANTES DA ESCOLA FAMÍLIA AGRÍCOLA DE COLINAS")</f>
        <v>ASSOCIAÇÃO DE PAIS E ESTUDANTES DA ESCOLA FAMÍLIA AGRÍCOLA DE COLINAS</v>
      </c>
      <c r="D136" t="str">
        <f ca="1">IFERROR(__xludf.DUMMYFUNCTION("""COMPUTED_VALUE"""),"03421784000110")</f>
        <v>03421784000110</v>
      </c>
      <c r="E136" s="7">
        <f ca="1">IFERROR(__xludf.DUMMYFUNCTION("""COMPUTED_VALUE"""),0)</f>
        <v>0</v>
      </c>
      <c r="F136" s="7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IFERROR(__xludf.DUMMYFUNCTION("""COMPUTED_VALUE"""),"199672")</f>
        <v>199672</v>
      </c>
    </row>
    <row r="137" spans="1:9" ht="15.75" customHeight="1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IFERROR(__xludf.DUMMYFUNCTION("""COMPUTED_VALUE"""),"A.A. E. PRESBITERIANA DE COLINAS")</f>
        <v>A.A. E. PRESBITERIANA DE COLINAS</v>
      </c>
      <c r="D137" t="str">
        <f ca="1">IFERROR(__xludf.DUMMYFUNCTION("""COMPUTED_VALUE"""),"01071410000196")</f>
        <v>01071410000196</v>
      </c>
      <c r="E137" s="7">
        <f ca="1">IFERROR(__xludf.DUMMYFUNCTION("""COMPUTED_VALUE"""),0)</f>
        <v>0</v>
      </c>
      <c r="F137" s="7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IFERROR(__xludf.DUMMYFUNCTION("""COMPUTED_VALUE"""),"368695")</f>
        <v>368695</v>
      </c>
    </row>
    <row r="138" spans="1:9" ht="15.75" customHeight="1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t="str">
        <f ca="1">IFERROR(__xludf.DUMMYFUNCTION("""COMPUTED_VALUE"""),"ASSOC. APOIO AO INSTITUTO EDUC. GUNNAR VINGREN")</f>
        <v>ASSOC. APOIO AO INSTITUTO EDUC. GUNNAR VINGREN</v>
      </c>
      <c r="D138" t="str">
        <f ca="1">IFERROR(__xludf.DUMMYFUNCTION("""COMPUTED_VALUE"""),"05537107000197")</f>
        <v>05537107000197</v>
      </c>
      <c r="E138" s="7">
        <f ca="1">IFERROR(__xludf.DUMMYFUNCTION("""COMPUTED_VALUE"""),0)</f>
        <v>0</v>
      </c>
      <c r="F138" s="7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IFERROR(__xludf.DUMMYFUNCTION("""COMPUTED_VALUE"""),"0911")</f>
        <v>0911</v>
      </c>
      <c r="I138" t="str">
        <f ca="1">IFERROR(__xludf.DUMMYFUNCTION("""COMPUTED_VALUE"""),"172286")</f>
        <v>172286</v>
      </c>
    </row>
    <row r="139" spans="1:9" ht="15.75" customHeight="1">
      <c r="A139" t="str">
        <f ca="1">IFERROR(__xludf.DUMMYFUNCTION("""COMPUTED_VALUE"""),"Colinas")</f>
        <v>Colinas</v>
      </c>
      <c r="B139" t="str">
        <f ca="1">IFERROR(__xludf.DUMMYFUNCTION("""COMPUTED_VALUE"""),"Itapiratins")</f>
        <v>Itapiratins</v>
      </c>
      <c r="C139" t="str">
        <f ca="1">IFERROR(__xludf.DUMMYFUNCTION("""COMPUTED_VALUE"""),"A.A. ESCOLA ESTADUAL REZENDE DE ALMEIDA")</f>
        <v>A.A. ESCOLA ESTADUAL REZENDE DE ALMEIDA</v>
      </c>
      <c r="D139" t="str">
        <f ca="1">IFERROR(__xludf.DUMMYFUNCTION("""COMPUTED_VALUE"""),"01643863000140")</f>
        <v>01643863000140</v>
      </c>
      <c r="E139" s="7">
        <f ca="1">IFERROR(__xludf.DUMMYFUNCTION("""COMPUTED_VALUE"""),0)</f>
        <v>0</v>
      </c>
      <c r="F139" s="7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IFERROR(__xludf.DUMMYFUNCTION("""COMPUTED_VALUE"""),"2094")</f>
        <v>2094</v>
      </c>
      <c r="I139" t="str">
        <f ca="1">IFERROR(__xludf.DUMMYFUNCTION("""COMPUTED_VALUE"""),"27278")</f>
        <v>27278</v>
      </c>
    </row>
    <row r="140" spans="1:9" ht="15.75" customHeight="1">
      <c r="A140" t="str">
        <f ca="1">IFERROR(__xludf.DUMMYFUNCTION("""COMPUTED_VALUE"""),"Colinas")</f>
        <v>Colinas</v>
      </c>
      <c r="B140" t="str">
        <f ca="1">IFERROR(__xludf.DUMMYFUNCTION("""COMPUTED_VALUE"""),"Juarina")</f>
        <v>Juarina</v>
      </c>
      <c r="C140" t="str">
        <f ca="1">IFERROR(__xludf.DUMMYFUNCTION("""COMPUTED_VALUE"""),"A.A. ESCOLA ESTADUAL ZICO DORNELAS")</f>
        <v>A.A. ESCOLA ESTADUAL ZICO DORNELAS</v>
      </c>
      <c r="D140" t="str">
        <f ca="1">IFERROR(__xludf.DUMMYFUNCTION("""COMPUTED_VALUE"""),"01136018000188")</f>
        <v>01136018000188</v>
      </c>
      <c r="E140" s="7">
        <f ca="1">IFERROR(__xludf.DUMMYFUNCTION("""COMPUTED_VALUE"""),0)</f>
        <v>0</v>
      </c>
      <c r="F140" s="7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IFERROR(__xludf.DUMMYFUNCTION("""COMPUTED_VALUE"""),"369349")</f>
        <v>369349</v>
      </c>
    </row>
    <row r="141" spans="1:9" ht="15.75" customHeight="1">
      <c r="A141" t="str">
        <f ca="1">IFERROR(__xludf.DUMMYFUNCTION("""COMPUTED_VALUE"""),"Colinas")</f>
        <v>Colinas</v>
      </c>
      <c r="B141" t="str">
        <f ca="1">IFERROR(__xludf.DUMMYFUNCTION("""COMPUTED_VALUE"""),"Palmeirante")</f>
        <v>Palmeirante</v>
      </c>
      <c r="C141" t="str">
        <f ca="1">IFERROR(__xludf.DUMMYFUNCTION("""COMPUTED_VALUE"""),"ASS. COM. ESC. EST JOAO AIRES GABRIEL")</f>
        <v>ASS. COM. ESC. EST JOAO AIRES GABRIEL</v>
      </c>
      <c r="D141" t="str">
        <f ca="1">IFERROR(__xludf.DUMMYFUNCTION("""COMPUTED_VALUE"""),"01465793000187")</f>
        <v>01465793000187</v>
      </c>
      <c r="E141" s="7">
        <f ca="1">IFERROR(__xludf.DUMMYFUNCTION("""COMPUTED_VALUE"""),0)</f>
        <v>0</v>
      </c>
      <c r="F141" s="7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IFERROR(__xludf.DUMMYFUNCTION("""COMPUTED_VALUE"""),"342246")</f>
        <v>342246</v>
      </c>
    </row>
    <row r="142" spans="1:9" ht="15.75" customHeight="1">
      <c r="A142" t="str">
        <f ca="1">IFERROR(__xludf.DUMMYFUNCTION("""COMPUTED_VALUE"""),"Colinas")</f>
        <v>Colinas</v>
      </c>
      <c r="B142" t="str">
        <f ca="1">IFERROR(__xludf.DUMMYFUNCTION("""COMPUTED_VALUE"""),"Pau D'arco")</f>
        <v>Pau D'arco</v>
      </c>
      <c r="C142" t="str">
        <f ca="1">IFERROR(__xludf.DUMMYFUNCTION("""COMPUTED_VALUE"""),"A.COM. ESCOLA EST. ULISSES GUIMARAES")</f>
        <v>A.COM. ESCOLA EST. ULISSES GUIMARAES</v>
      </c>
      <c r="D142" t="str">
        <f ca="1">IFERROR(__xludf.DUMMYFUNCTION("""COMPUTED_VALUE"""),"01181178000149")</f>
        <v>01181178000149</v>
      </c>
      <c r="E142" s="7">
        <f ca="1">IFERROR(__xludf.DUMMYFUNCTION("""COMPUTED_VALUE"""),0)</f>
        <v>0</v>
      </c>
      <c r="F142" s="7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IFERROR(__xludf.DUMMYFUNCTION("""COMPUTED_VALUE"""),"23485")</f>
        <v>23485</v>
      </c>
    </row>
    <row r="143" spans="1:9" ht="15.75" customHeight="1">
      <c r="A143" t="str">
        <f ca="1">IFERROR(__xludf.DUMMYFUNCTION("""COMPUTED_VALUE"""),"Colinas")</f>
        <v>Colinas</v>
      </c>
      <c r="B143" t="str">
        <f ca="1">IFERROR(__xludf.DUMMYFUNCTION("""COMPUTED_VALUE"""),"Tupiratins")</f>
        <v>Tupiratins</v>
      </c>
      <c r="C143" t="str">
        <f ca="1">IFERROR(__xludf.DUMMYFUNCTION("""COMPUTED_VALUE"""),"A. DE AP. DA ESC. EST. SAO TOMAS DE AQUINO")</f>
        <v>A. DE AP. DA ESC. EST. SAO TOMAS DE AQUINO</v>
      </c>
      <c r="D143" t="str">
        <f ca="1">IFERROR(__xludf.DUMMYFUNCTION("""COMPUTED_VALUE"""),"01334791000159")</f>
        <v>01334791000159</v>
      </c>
      <c r="E143" s="7">
        <f ca="1">IFERROR(__xludf.DUMMYFUNCTION("""COMPUTED_VALUE"""),0)</f>
        <v>0</v>
      </c>
      <c r="F143" s="7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IFERROR(__xludf.DUMMYFUNCTION("""COMPUTED_VALUE"""),"0911")</f>
        <v>0911</v>
      </c>
      <c r="I143" t="str">
        <f ca="1">IFERROR(__xludf.DUMMYFUNCTION("""COMPUTED_VALUE"""),"370045")</f>
        <v>370045</v>
      </c>
    </row>
    <row r="144" spans="1:9" ht="15.75" customHeight="1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IFERROR(__xludf.DUMMYFUNCTION("""COMPUTED_VALUE"""),"A.A. COL. E.II GRAU DR.ABNER A.PACINI")</f>
        <v>A.A. COL. E.II GRAU DR.ABNER A.PACINI</v>
      </c>
      <c r="D144" t="str">
        <f ca="1">IFERROR(__xludf.DUMMYFUNCTION("""COMPUTED_VALUE"""),"01197160000135")</f>
        <v>01197160000135</v>
      </c>
      <c r="E144" s="7">
        <f ca="1">IFERROR(__xludf.DUMMYFUNCTION("""COMPUTED_VALUE"""),0)</f>
        <v>0</v>
      </c>
      <c r="F144" s="7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IFERROR(__xludf.DUMMYFUNCTION("""COMPUTED_VALUE"""),"0107700")</f>
        <v>0107700</v>
      </c>
    </row>
    <row r="145" spans="1:9" ht="15.75" customHeight="1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IFERROR(__xludf.DUMMYFUNCTION("""COMPUTED_VALUE"""),"ASSOC.MES.P.EDUC.FUNC.DO COL.AGROP.ALMAS")</f>
        <v>ASSOC.MES.P.EDUC.FUNC.DO COL.AGROP.ALMAS</v>
      </c>
      <c r="D145" t="str">
        <f ca="1">IFERROR(__xludf.DUMMYFUNCTION("""COMPUTED_VALUE"""),"03751406000102")</f>
        <v>03751406000102</v>
      </c>
      <c r="E145" s="7">
        <f ca="1">IFERROR(__xludf.DUMMYFUNCTION("""COMPUTED_VALUE"""),0)</f>
        <v>0</v>
      </c>
      <c r="F145" s="7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IFERROR(__xludf.DUMMYFUNCTION("""COMPUTED_VALUE"""),"115312")</f>
        <v>115312</v>
      </c>
    </row>
    <row r="146" spans="1:9" ht="15.75" customHeight="1">
      <c r="A146" t="str">
        <f ca="1">IFERROR(__xludf.DUMMYFUNCTION("""COMPUTED_VALUE"""),"Dianópolis")</f>
        <v>Dianópolis</v>
      </c>
      <c r="B146" t="str">
        <f ca="1">IFERROR(__xludf.DUMMYFUNCTION("""COMPUTED_VALUE"""),"Almas")</f>
        <v>Almas</v>
      </c>
      <c r="C146" t="str">
        <f ca="1">IFERROR(__xludf.DUMMYFUNCTION("""COMPUTED_VALUE"""),"A.A.  ESC. ESTADUAL DEOCLIDES MUNIZ")</f>
        <v>A.A.  ESC. ESTADUAL DEOCLIDES MUNIZ</v>
      </c>
      <c r="D146" t="str">
        <f ca="1">IFERROR(__xludf.DUMMYFUNCTION("""COMPUTED_VALUE"""),"01143807000146")</f>
        <v>01143807000146</v>
      </c>
      <c r="E146" s="7">
        <f ca="1">IFERROR(__xludf.DUMMYFUNCTION("""COMPUTED_VALUE"""),0)</f>
        <v>0</v>
      </c>
      <c r="F146" s="7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IFERROR(__xludf.DUMMYFUNCTION("""COMPUTED_VALUE"""),"107786")</f>
        <v>107786</v>
      </c>
    </row>
    <row r="147" spans="1:9" ht="15.75" customHeight="1">
      <c r="A147" t="str">
        <f ca="1">IFERROR(__xludf.DUMMYFUNCTION("""COMPUTED_VALUE"""),"Dianópolis")</f>
        <v>Dianópolis</v>
      </c>
      <c r="B147" t="str">
        <f ca="1">IFERROR(__xludf.DUMMYFUNCTION("""COMPUTED_VALUE"""),"Conceicao do Tocantins")</f>
        <v>Conceicao do Tocantins</v>
      </c>
      <c r="C147" t="str">
        <f ca="1">IFERROR(__xludf.DUMMYFUNCTION("""COMPUTED_VALUE"""),"A.A. E. CEL JOSE FRANCISCO DE AZEVEDO")</f>
        <v>A.A. E. CEL JOSE FRANCISCO DE AZEVEDO</v>
      </c>
      <c r="D147" t="str">
        <f ca="1">IFERROR(__xludf.DUMMYFUNCTION("""COMPUTED_VALUE"""),"01136040000128")</f>
        <v>01136040000128</v>
      </c>
      <c r="E147" s="7">
        <f ca="1">IFERROR(__xludf.DUMMYFUNCTION("""COMPUTED_VALUE"""),0)</f>
        <v>0</v>
      </c>
      <c r="F147" s="7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IFERROR(__xludf.DUMMYFUNCTION("""COMPUTED_VALUE"""),"106208")</f>
        <v>106208</v>
      </c>
    </row>
    <row r="148" spans="1:9" ht="15.75" customHeight="1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ESC. COMUN.DA E. EST. ANTONIO POVOA")</f>
        <v>A. ESC. COMUN.DA E. EST. ANTONIO POVOA</v>
      </c>
      <c r="D148" t="str">
        <f ca="1">IFERROR(__xludf.DUMMYFUNCTION("""COMPUTED_VALUE"""),"00895665000100")</f>
        <v>00895665000100</v>
      </c>
      <c r="E148" s="7">
        <f ca="1">IFERROR(__xludf.DUMMYFUNCTION("""COMPUTED_VALUE"""),0)</f>
        <v>0</v>
      </c>
      <c r="F148" s="7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IFERROR(__xludf.DUMMYFUNCTION("""COMPUTED_VALUE"""),"010616X")</f>
        <v>010616X</v>
      </c>
    </row>
    <row r="149" spans="1:9" ht="15.75" customHeight="1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IFERROR(__xludf.DUMMYFUNCTION("""COMPUTED_VALUE"""),"A. DE APOIO AO COLEGIO JOAO DE ABREU")</f>
        <v>A. DE APOIO AO COLEGIO JOAO DE ABREU</v>
      </c>
      <c r="D149" t="str">
        <f ca="1">IFERROR(__xludf.DUMMYFUNCTION("""COMPUTED_VALUE"""),"05059617000104")</f>
        <v>05059617000104</v>
      </c>
      <c r="E149" s="7">
        <f ca="1">IFERROR(__xludf.DUMMYFUNCTION("""COMPUTED_VALUE"""),0)</f>
        <v>0</v>
      </c>
      <c r="F149" s="7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IFERROR(__xludf.DUMMYFUNCTION("""COMPUTED_VALUE"""),"127027")</f>
        <v>127027</v>
      </c>
    </row>
    <row r="150" spans="1:9" ht="15.75" customHeight="1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IFERROR(__xludf.DUMMYFUNCTION("""COMPUTED_VALUE"""),"ASSOC. DE APOIO A ESCOLA COOPERATIVA CHAPADÃO/DIANÓPOLIS")</f>
        <v>ASSOC. DE APOIO A ESCOLA COOPERATIVA CHAPADÃO/DIANÓPOLIS</v>
      </c>
      <c r="D150" t="str">
        <f ca="1">IFERROR(__xludf.DUMMYFUNCTION("""COMPUTED_VALUE"""),"07056712000171")</f>
        <v>07056712000171</v>
      </c>
      <c r="E150" s="7">
        <f ca="1">IFERROR(__xludf.DUMMYFUNCTION("""COMPUTED_VALUE"""),0)</f>
        <v>0</v>
      </c>
      <c r="F150" s="7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IFERROR(__xludf.DUMMYFUNCTION("""COMPUTED_VALUE"""),"15704X")</f>
        <v>15704X</v>
      </c>
    </row>
    <row r="151" spans="1:9" ht="15.75" customHeight="1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IFERROR(__xludf.DUMMYFUNCTION("""COMPUTED_VALUE"""),"ESCOLA ESPECIAL COLIBRI")</f>
        <v>ESCOLA ESPECIAL COLIBRI</v>
      </c>
      <c r="D151" t="str">
        <f ca="1">IFERROR(__xludf.DUMMYFUNCTION("""COMPUTED_VALUE"""),"15413383000105")</f>
        <v>15413383000105</v>
      </c>
      <c r="E151" s="7">
        <f ca="1">IFERROR(__xludf.DUMMYFUNCTION("""COMPUTED_VALUE"""),0)</f>
        <v>0</v>
      </c>
      <c r="F151" s="7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IFERROR(__xludf.DUMMYFUNCTION("""COMPUTED_VALUE"""),"312967")</f>
        <v>312967</v>
      </c>
    </row>
    <row r="152" spans="1:9" ht="15.75" customHeight="1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IFERROR(__xludf.DUMMYFUNCTION("""COMPUTED_VALUE"""),"ASS. APOIO ESC. EST.CEL.ABILIO WOLNEY")</f>
        <v>ASS. APOIO ESC. EST.CEL.ABILIO WOLNEY</v>
      </c>
      <c r="D152" t="str">
        <f ca="1">IFERROR(__xludf.DUMMYFUNCTION("""COMPUTED_VALUE"""),"01197161000180")</f>
        <v>01197161000180</v>
      </c>
      <c r="E152" s="7">
        <f ca="1">IFERROR(__xludf.DUMMYFUNCTION("""COMPUTED_VALUE"""),0)</f>
        <v>0</v>
      </c>
      <c r="F152" s="7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IFERROR(__xludf.DUMMYFUNCTION("""COMPUTED_VALUE"""),"120464")</f>
        <v>120464</v>
      </c>
    </row>
    <row r="153" spans="1:9" ht="15.75" customHeight="1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t="str">
        <f ca="1">IFERROR(__xludf.DUMMYFUNCTION("""COMPUTED_VALUE"""),"A.A. ESCOLA ESTADUAL JOCA COSTA")</f>
        <v>A.A. ESCOLA ESTADUAL JOCA COSTA</v>
      </c>
      <c r="D153" t="str">
        <f ca="1">IFERROR(__xludf.DUMMYFUNCTION("""COMPUTED_VALUE"""),"01138323000109")</f>
        <v>01138323000109</v>
      </c>
      <c r="E153" s="7">
        <f ca="1">IFERROR(__xludf.DUMMYFUNCTION("""COMPUTED_VALUE"""),0)</f>
        <v>0</v>
      </c>
      <c r="F153" s="7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IFERROR(__xludf.DUMMYFUNCTION("""COMPUTED_VALUE"""),"107492")</f>
        <v>107492</v>
      </c>
    </row>
    <row r="154" spans="1:9" ht="15.75" customHeight="1">
      <c r="A154" t="str">
        <f ca="1">IFERROR(__xludf.DUMMYFUNCTION("""COMPUTED_VALUE"""),"Dianópolis")</f>
        <v>Dianópolis</v>
      </c>
      <c r="B154" t="str">
        <f ca="1">IFERROR(__xludf.DUMMYFUNCTION("""COMPUTED_VALUE"""),"Novo Jardim")</f>
        <v>Novo Jardim</v>
      </c>
      <c r="C154" t="str">
        <f ca="1">IFERROR(__xludf.DUMMYFUNCTION("""COMPUTED_VALUE"""),"ASS. DE AP. DA ESCOLA ESTADUAL JARDIM")</f>
        <v>ASS. DE AP. DA ESCOLA ESTADUAL JARDIM</v>
      </c>
      <c r="D154" t="str">
        <f ca="1">IFERROR(__xludf.DUMMYFUNCTION("""COMPUTED_VALUE"""),"01408711000162")</f>
        <v>01408711000162</v>
      </c>
      <c r="E154" s="7">
        <f ca="1">IFERROR(__xludf.DUMMYFUNCTION("""COMPUTED_VALUE"""),0)</f>
        <v>0</v>
      </c>
      <c r="F154" s="7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IFERROR(__xludf.DUMMYFUNCTION("""COMPUTED_VALUE"""),"1307")</f>
        <v>1307</v>
      </c>
      <c r="I154" t="str">
        <f ca="1">IFERROR(__xludf.DUMMYFUNCTION("""COMPUTED_VALUE"""),"106453")</f>
        <v>106453</v>
      </c>
    </row>
    <row r="155" spans="1:9" ht="15.75" customHeight="1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ESC. E. ANTONIO CARLOS DE FRANCA")</f>
        <v>A.A. ESC. E. ANTONIO CARLOS DE FRANCA</v>
      </c>
      <c r="D155" t="str">
        <f ca="1">IFERROR(__xludf.DUMMYFUNCTION("""COMPUTED_VALUE"""),"01223633000121")</f>
        <v>01223633000121</v>
      </c>
      <c r="E155" s="7">
        <f ca="1">IFERROR(__xludf.DUMMYFUNCTION("""COMPUTED_VALUE"""),0)</f>
        <v>0</v>
      </c>
      <c r="F155" s="7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IFERROR(__xludf.DUMMYFUNCTION("""COMPUTED_VALUE"""),"2704")</f>
        <v>2704</v>
      </c>
      <c r="I155" t="str">
        <f ca="1">IFERROR(__xludf.DUMMYFUNCTION("""COMPUTED_VALUE"""),"102733")</f>
        <v>102733</v>
      </c>
    </row>
    <row r="156" spans="1:9" ht="15.75" customHeight="1">
      <c r="A156" t="str">
        <f ca="1">IFERROR(__xludf.DUMMYFUNCTION("""COMPUTED_VALUE"""),"Dianópolis")</f>
        <v>Dianópolis</v>
      </c>
      <c r="B156" t="str">
        <f ca="1">IFERROR(__xludf.DUMMYFUNCTION("""COMPUTED_VALUE"""),"Ponte Alta do Bom Jesus")</f>
        <v>Ponte Alta do Bom Jesus</v>
      </c>
      <c r="C156" t="str">
        <f ca="1">IFERROR(__xludf.DUMMYFUNCTION("""COMPUTED_VALUE"""),"A.A. E. ESC. EST. BOA VISTA DE BELEM")</f>
        <v>A.A. E. ESC. EST. BOA VISTA DE BELEM</v>
      </c>
      <c r="D156" t="str">
        <f ca="1">IFERROR(__xludf.DUMMYFUNCTION("""COMPUTED_VALUE"""),"01136045000150")</f>
        <v>01136045000150</v>
      </c>
      <c r="E156" s="7">
        <f ca="1">IFERROR(__xludf.DUMMYFUNCTION("""COMPUTED_VALUE"""),0)</f>
        <v>0</v>
      </c>
      <c r="F156" s="7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IFERROR(__xludf.DUMMYFUNCTION("""COMPUTED_VALUE"""),"010762X")</f>
        <v>010762X</v>
      </c>
    </row>
    <row r="157" spans="1:9" ht="15.75" customHeight="1">
      <c r="A157" t="str">
        <f ca="1">IFERROR(__xludf.DUMMYFUNCTION("""COMPUTED_VALUE"""),"Dianópolis")</f>
        <v>Dianópolis</v>
      </c>
      <c r="B157" t="str">
        <f ca="1">IFERROR(__xludf.DUMMYFUNCTION("""COMPUTED_VALUE"""),"Porto Alegre do Tocantins")</f>
        <v>Porto Alegre do Tocantins</v>
      </c>
      <c r="C157" t="str">
        <f ca="1">IFERROR(__xludf.DUMMYFUNCTION("""COMPUTED_VALUE"""),"ASSOC. APOIO ESC. EST. ALFREDO NASSER")</f>
        <v>ASSOC. APOIO ESC. EST. ALFREDO NASSER</v>
      </c>
      <c r="D157" t="str">
        <f ca="1">IFERROR(__xludf.DUMMYFUNCTION("""COMPUTED_VALUE"""),"01105525000154")</f>
        <v>01105525000154</v>
      </c>
      <c r="E157" s="7">
        <f ca="1">IFERROR(__xludf.DUMMYFUNCTION("""COMPUTED_VALUE"""),0)</f>
        <v>0</v>
      </c>
      <c r="F157" s="7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IFERROR(__xludf.DUMMYFUNCTION("""COMPUTED_VALUE"""),"0106321")</f>
        <v>0106321</v>
      </c>
    </row>
    <row r="158" spans="1:9" ht="15.75" customHeight="1">
      <c r="A158" t="str">
        <f ca="1">IFERROR(__xludf.DUMMYFUNCTION("""COMPUTED_VALUE"""),"Dianópolis")</f>
        <v>Dianópolis</v>
      </c>
      <c r="B158" t="str">
        <f ca="1">IFERROR(__xludf.DUMMYFUNCTION("""COMPUTED_VALUE"""),"Rio da Conceicao")</f>
        <v>Rio da Conceicao</v>
      </c>
      <c r="C158" t="str">
        <f ca="1">IFERROR(__xludf.DUMMYFUNCTION("""COMPUTED_VALUE"""),"A.A. E. E.VIRGILIO FERREIRA DE FRANCA")</f>
        <v>A.A. E. E.VIRGILIO FERREIRA DE FRANCA</v>
      </c>
      <c r="D158" t="str">
        <f ca="1">IFERROR(__xludf.DUMMYFUNCTION("""COMPUTED_VALUE"""),"01136115000170")</f>
        <v>01136115000170</v>
      </c>
      <c r="E158" s="7">
        <f ca="1">IFERROR(__xludf.DUMMYFUNCTION("""COMPUTED_VALUE"""),0)</f>
        <v>0</v>
      </c>
      <c r="F158" s="7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IFERROR(__xludf.DUMMYFUNCTION("""COMPUTED_VALUE"""),"1307")</f>
        <v>1307</v>
      </c>
      <c r="I158" t="str">
        <f ca="1">IFERROR(__xludf.DUMMYFUNCTION("""COMPUTED_VALUE"""),"106305")</f>
        <v>106305</v>
      </c>
    </row>
    <row r="159" spans="1:9" ht="15.75" customHeight="1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 ESCOLA EST. JUSTINO DE ALMEIDA")</f>
        <v>A.A.  ESCOLA EST. JUSTINO DE ALMEIDA</v>
      </c>
      <c r="D159" t="str">
        <f ca="1">IFERROR(__xludf.DUMMYFUNCTION("""COMPUTED_VALUE"""),"01184379000108")</f>
        <v>01184379000108</v>
      </c>
      <c r="E159" s="7">
        <f ca="1">IFERROR(__xludf.DUMMYFUNCTION("""COMPUTED_VALUE"""),0)</f>
        <v>0</v>
      </c>
      <c r="F159" s="7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IFERROR(__xludf.DUMMYFUNCTION("""COMPUTED_VALUE"""),"102563")</f>
        <v>102563</v>
      </c>
    </row>
    <row r="160" spans="1:9" ht="15.75" customHeight="1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COL. EST. PROFESSOR AURELIANO")</f>
        <v>A.A. COL. EST. PROFESSOR AURELIANO</v>
      </c>
      <c r="D160" t="str">
        <f ca="1">IFERROR(__xludf.DUMMYFUNCTION("""COMPUTED_VALUE"""),"01133709000128")</f>
        <v>01133709000128</v>
      </c>
      <c r="E160" s="7">
        <f ca="1">IFERROR(__xludf.DUMMYFUNCTION("""COMPUTED_VALUE"""),0)</f>
        <v>0</v>
      </c>
      <c r="F160" s="7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IFERROR(__xludf.DUMMYFUNCTION("""COMPUTED_VALUE"""),"102717")</f>
        <v>102717</v>
      </c>
    </row>
    <row r="161" spans="1:9" ht="15.75" customHeight="1">
      <c r="A161" t="str">
        <f ca="1">IFERROR(__xludf.DUMMYFUNCTION("""COMPUTED_VALUE"""),"Dianópolis")</f>
        <v>Dianópolis</v>
      </c>
      <c r="B161" t="str">
        <f ca="1">IFERROR(__xludf.DUMMYFUNCTION("""COMPUTED_VALUE"""),"Taguatinga")</f>
        <v>Taguatinga</v>
      </c>
      <c r="C161" t="str">
        <f ca="1">IFERROR(__xludf.DUMMYFUNCTION("""COMPUTED_VALUE"""),"A.A. ESC. EST. AGOSTINHO DE ALMEIDA")</f>
        <v>A.A. ESC. EST. AGOSTINHO DE ALMEIDA</v>
      </c>
      <c r="D161" t="str">
        <f ca="1">IFERROR(__xludf.DUMMYFUNCTION("""COMPUTED_VALUE"""),"01197159000100")</f>
        <v>01197159000100</v>
      </c>
      <c r="E161" s="7">
        <f ca="1">IFERROR(__xludf.DUMMYFUNCTION("""COMPUTED_VALUE"""),0)</f>
        <v>0</v>
      </c>
      <c r="F161" s="7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IFERROR(__xludf.DUMMYFUNCTION("""COMPUTED_VALUE"""),"2704")</f>
        <v>2704</v>
      </c>
      <c r="I161" t="str">
        <f ca="1">IFERROR(__xludf.DUMMYFUNCTION("""COMPUTED_VALUE"""),"102555")</f>
        <v>102555</v>
      </c>
    </row>
    <row r="162" spans="1:9" ht="15.75" customHeight="1">
      <c r="A162" t="str">
        <f ca="1">IFERROR(__xludf.DUMMYFUNCTION("""COMPUTED_VALUE"""),"Dianópolis")</f>
        <v>Dianópolis</v>
      </c>
      <c r="B162" t="str">
        <f ca="1">IFERROR(__xludf.DUMMYFUNCTION("""COMPUTED_VALUE"""),"Taipas do Tocantins")</f>
        <v>Taipas do Tocantins</v>
      </c>
      <c r="C162" t="str">
        <f ca="1">IFERROR(__xludf.DUMMYFUNCTION("""COMPUTED_VALUE"""),"A.A. E. EST. JOAQUIM FRANCISCO AZEVEDO")</f>
        <v>A.A. E. EST. JOAQUIM FRANCISCO AZEVEDO</v>
      </c>
      <c r="D162" t="str">
        <f ca="1">IFERROR(__xludf.DUMMYFUNCTION("""COMPUTED_VALUE"""),"01136011000166")</f>
        <v>01136011000166</v>
      </c>
      <c r="E162" s="7">
        <f ca="1">IFERROR(__xludf.DUMMYFUNCTION("""COMPUTED_VALUE"""),0)</f>
        <v>0</v>
      </c>
      <c r="F162" s="7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IFERROR(__xludf.DUMMYFUNCTION("""COMPUTED_VALUE"""),"1307")</f>
        <v>1307</v>
      </c>
      <c r="I162" t="str">
        <f ca="1">IFERROR(__xludf.DUMMYFUNCTION("""COMPUTED_VALUE"""),"0106291")</f>
        <v>0106291</v>
      </c>
    </row>
    <row r="163" spans="1:9" ht="15.75" customHeight="1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IFERROR(__xludf.DUMMYFUNCTION("""COMPUTED_VALUE"""),"A.A.  COL. EST. SERRA DAS CORDILHEIRAS")</f>
        <v>A.A.  COL. EST. SERRA DAS CORDILHEIRAS</v>
      </c>
      <c r="D163" t="str">
        <f ca="1">IFERROR(__xludf.DUMMYFUNCTION("""COMPUTED_VALUE"""),"01138330000100")</f>
        <v>01138330000100</v>
      </c>
      <c r="E163" s="7">
        <f ca="1">IFERROR(__xludf.DUMMYFUNCTION("""COMPUTED_VALUE"""),0)</f>
        <v>0</v>
      </c>
      <c r="F163" s="7">
        <f ca="1">IFERROR(__xludf.DUMMYFUNCTION("""COMPUTED_VALUE"""),0)</f>
        <v>0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IFERROR(__xludf.DUMMYFUNCTION("""COMPUTED_VALUE"""),"102776")</f>
        <v>102776</v>
      </c>
    </row>
    <row r="164" spans="1:9" ht="15.75" customHeight="1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IFERROR(__xludf.DUMMYFUNCTION("""COMPUTED_VALUE"""),"A..A. ESC. ESPECIAL  FILHOS DA LUZ")</f>
        <v>A..A. ESC. ESPECIAL  FILHOS DA LUZ</v>
      </c>
      <c r="D164" t="str">
        <f ca="1">IFERROR(__xludf.DUMMYFUNCTION("""COMPUTED_VALUE"""),"07921086000134")</f>
        <v>07921086000134</v>
      </c>
      <c r="E164" s="7">
        <f ca="1">IFERROR(__xludf.DUMMYFUNCTION("""COMPUTED_VALUE"""),0)</f>
        <v>0</v>
      </c>
      <c r="F164" s="7">
        <f ca="1">IFERROR(__xludf.DUMMYFUNCTION("""COMPUTED_VALUE"""),144)</f>
        <v>144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IFERROR(__xludf.DUMMYFUNCTION("""COMPUTED_VALUE"""),"167940")</f>
        <v>167940</v>
      </c>
    </row>
    <row r="165" spans="1:9" ht="15.75" customHeight="1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ARY RIBEIRO VALADAO FILHO")</f>
        <v>A.A. ESC. EST. ARY RIBEIRO VALADAO FILHO</v>
      </c>
      <c r="D165" t="str">
        <f ca="1">IFERROR(__xludf.DUMMYFUNCTION("""COMPUTED_VALUE"""),"01138331000155")</f>
        <v>01138331000155</v>
      </c>
      <c r="E165" s="7">
        <f ca="1">IFERROR(__xludf.DUMMYFUNCTION("""COMPUTED_VALUE"""),0)</f>
        <v>0</v>
      </c>
      <c r="F165" s="7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IFERROR(__xludf.DUMMYFUNCTION("""COMPUTED_VALUE"""),"102806")</f>
        <v>102806</v>
      </c>
    </row>
    <row r="166" spans="1:9" ht="15.75" customHeight="1">
      <c r="A166" t="str">
        <f ca="1">IFERROR(__xludf.DUMMYFUNCTION("""COMPUTED_VALUE"""),"Guaraí")</f>
        <v>Guaraí</v>
      </c>
      <c r="B166" t="str">
        <f ca="1">IFERROR(__xludf.DUMMYFUNCTION("""COMPUTED_VALUE"""),"Colmeia")</f>
        <v>Colmeia</v>
      </c>
      <c r="C166" t="str">
        <f ca="1">IFERROR(__xludf.DUMMYFUNCTION("""COMPUTED_VALUE"""),"A.A. ESC. EST. JUSCELINO K. DE OLIVEIRA")</f>
        <v>A.A. ESC. EST. JUSCELINO K. DE OLIVEIRA</v>
      </c>
      <c r="D166" t="str">
        <f ca="1">IFERROR(__xludf.DUMMYFUNCTION("""COMPUTED_VALUE"""),"01138328000131")</f>
        <v>01138328000131</v>
      </c>
      <c r="E166" s="7">
        <f ca="1">IFERROR(__xludf.DUMMYFUNCTION("""COMPUTED_VALUE"""),0)</f>
        <v>0</v>
      </c>
      <c r="F166" s="7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IFERROR(__xludf.DUMMYFUNCTION("""COMPUTED_VALUE"""),"1306")</f>
        <v>1306</v>
      </c>
      <c r="I166" t="str">
        <f ca="1">IFERROR(__xludf.DUMMYFUNCTION("""COMPUTED_VALUE"""),"102768")</f>
        <v>102768</v>
      </c>
    </row>
    <row r="167" spans="1:9" ht="15.75" customHeight="1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COL. EST. ARCHANGELA MILHOMEM")</f>
        <v>A.A. COL. EST. ARCHANGELA MILHOMEM</v>
      </c>
      <c r="D167" t="str">
        <f ca="1">IFERROR(__xludf.DUMMYFUNCTION("""COMPUTED_VALUE"""),"01138334000199")</f>
        <v>01138334000199</v>
      </c>
      <c r="E167" s="7">
        <f ca="1">IFERROR(__xludf.DUMMYFUNCTION("""COMPUTED_VALUE"""),0)</f>
        <v>0</v>
      </c>
      <c r="F167" s="7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IFERROR(__xludf.DUMMYFUNCTION("""COMPUTED_VALUE"""),"2094")</f>
        <v>2094</v>
      </c>
      <c r="I167" t="str">
        <f ca="1">IFERROR(__xludf.DUMMYFUNCTION("""COMPUTED_VALUE"""),"50385")</f>
        <v>50385</v>
      </c>
    </row>
    <row r="168" spans="1:9" ht="15.75" customHeight="1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ESPECIAL  DEUS É FIEL")</f>
        <v>A.A. ESC. ESPECIAL  DEUS É FIEL</v>
      </c>
      <c r="D168" t="str">
        <f ca="1">IFERROR(__xludf.DUMMYFUNCTION("""COMPUTED_VALUE"""),"17467216000164")</f>
        <v>17467216000164</v>
      </c>
      <c r="E168" s="7">
        <f ca="1">IFERROR(__xludf.DUMMYFUNCTION("""COMPUTED_VALUE"""),0)</f>
        <v>0</v>
      </c>
      <c r="F168" s="7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IFERROR(__xludf.DUMMYFUNCTION("""COMPUTED_VALUE"""),"1306")</f>
        <v>1306</v>
      </c>
      <c r="I168" t="str">
        <f ca="1">IFERROR(__xludf.DUMMYFUNCTION("""COMPUTED_VALUE"""),"265969")</f>
        <v>265969</v>
      </c>
    </row>
    <row r="169" spans="1:9" ht="15.75" customHeight="1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ESC. EST. ARLINDA ROSA DE SOUZA")</f>
        <v>A.A. ESC. EST. ARLINDA ROSA DE SOUZA</v>
      </c>
      <c r="D169" t="str">
        <f ca="1">IFERROR(__xludf.DUMMYFUNCTION("""COMPUTED_VALUE"""),"01221143000196")</f>
        <v>01221143000196</v>
      </c>
      <c r="E169" s="7">
        <f ca="1">IFERROR(__xludf.DUMMYFUNCTION("""COMPUTED_VALUE"""),0)</f>
        <v>0</v>
      </c>
      <c r="F169" s="7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IFERROR(__xludf.DUMMYFUNCTION("""COMPUTED_VALUE"""),"2094")</f>
        <v>2094</v>
      </c>
      <c r="I169" t="str">
        <f ca="1">IFERROR(__xludf.DUMMYFUNCTION("""COMPUTED_VALUE"""),"50350")</f>
        <v>50350</v>
      </c>
    </row>
    <row r="170" spans="1:9" ht="15.75" customHeight="1">
      <c r="A170" t="str">
        <f ca="1">IFERROR(__xludf.DUMMYFUNCTION("""COMPUTED_VALUE"""),"Guaraí")</f>
        <v>Guaraí</v>
      </c>
      <c r="B170" t="str">
        <f ca="1">IFERROR(__xludf.DUMMYFUNCTION("""COMPUTED_VALUE"""),"Couto Magalhaes")</f>
        <v>Couto Magalhaes</v>
      </c>
      <c r="C170" t="str">
        <f ca="1">IFERROR(__xludf.DUMMYFUNCTION("""COMPUTED_VALUE"""),"A.A. ESCOLAR DA E. EST.ULTIMO DE CARVALHO")</f>
        <v>A.A. ESCOLAR DA E. EST.ULTIMO DE CARVALHO</v>
      </c>
      <c r="D170" t="str">
        <f ca="1">IFERROR(__xludf.DUMMYFUNCTION("""COMPUTED_VALUE"""),"04315063000198")</f>
        <v>04315063000198</v>
      </c>
      <c r="E170" s="7">
        <f ca="1">IFERROR(__xludf.DUMMYFUNCTION("""COMPUTED_VALUE"""),0)</f>
        <v>0</v>
      </c>
      <c r="F170" s="7">
        <f ca="1">IFERROR(__xludf.DUMMYFUNCTION("""COMPUTED_VALUE"""),0)</f>
        <v>0</v>
      </c>
      <c r="G170" t="str">
        <f ca="1">IFERROR(__xludf.DUMMYFUNCTION("""COMPUTED_VALUE"""),"001")</f>
        <v>001</v>
      </c>
      <c r="H170" t="str">
        <f ca="1">IFERROR(__xludf.DUMMYFUNCTION("""COMPUTED_VALUE"""),"1306")</f>
        <v>1306</v>
      </c>
      <c r="I170" t="str">
        <f ca="1">IFERROR(__xludf.DUMMYFUNCTION("""COMPUTED_VALUE"""),"74802")</f>
        <v>74802</v>
      </c>
    </row>
    <row r="171" spans="1:9" ht="15.75" customHeight="1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IFERROR(__xludf.DUMMYFUNCTION("""COMPUTED_VALUE"""),"ASSOC. DE APOIO A ESCOLA ESPECIAL EDSON DUTRA")</f>
        <v>ASSOC. DE APOIO A ESCOLA ESPECIAL EDSON DUTRA</v>
      </c>
      <c r="D171" t="str">
        <f ca="1">IFERROR(__xludf.DUMMYFUNCTION("""COMPUTED_VALUE"""),"09405159000160")</f>
        <v>09405159000160</v>
      </c>
      <c r="E171" s="7">
        <f ca="1">IFERROR(__xludf.DUMMYFUNCTION("""COMPUTED_VALUE"""),0)</f>
        <v>0</v>
      </c>
      <c r="F171" s="7">
        <f ca="1">IFERROR(__xludf.DUMMYFUNCTION("""COMPUTED_VALUE"""),43.2)</f>
        <v>43.2</v>
      </c>
      <c r="G171" t="str">
        <f ca="1">IFERROR(__xludf.DUMMYFUNCTION("""COMPUTED_VALUE"""),"104")</f>
        <v>104</v>
      </c>
      <c r="H171" t="str">
        <f ca="1">IFERROR(__xludf.DUMMYFUNCTION("""COMPUTED_VALUE"""),"4481")</f>
        <v>4481</v>
      </c>
      <c r="I171" t="str">
        <f ca="1">IFERROR(__xludf.DUMMYFUNCTION("""COMPUTED_VALUE"""),"3982")</f>
        <v>3982</v>
      </c>
    </row>
    <row r="172" spans="1:9" ht="15.75" customHeight="1">
      <c r="A172" t="str">
        <f ca="1">IFERROR(__xludf.DUMMYFUNCTION("""COMPUTED_VALUE"""),"Guaraí")</f>
        <v>Guaraí</v>
      </c>
      <c r="B172" t="str">
        <f ca="1">IFERROR(__xludf.DUMMYFUNCTION("""COMPUTED_VALUE"""),"Fortaleza do Tabocao")</f>
        <v>Fortaleza do Tabocao</v>
      </c>
      <c r="C172" t="str">
        <f ca="1">IFERROR(__xludf.DUMMYFUNCTION("""COMPUTED_VALUE"""),"A.A. DA ESC. EST. MAJOR JUVENAL P.DE SOUZA")</f>
        <v>A.A. DA ESC. EST. MAJOR JUVENAL P.DE SOUZA</v>
      </c>
      <c r="D172" t="str">
        <f ca="1">IFERROR(__xludf.DUMMYFUNCTION("""COMPUTED_VALUE"""),"01408714000104")</f>
        <v>01408714000104</v>
      </c>
      <c r="E172" s="7">
        <f ca="1">IFERROR(__xludf.DUMMYFUNCTION("""COMPUTED_VALUE"""),0)</f>
        <v>0</v>
      </c>
      <c r="F172" s="7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IFERROR(__xludf.DUMMYFUNCTION("""COMPUTED_VALUE"""),"2094")</f>
        <v>2094</v>
      </c>
      <c r="I172" t="str">
        <f ca="1">IFERROR(__xludf.DUMMYFUNCTION("""COMPUTED_VALUE"""),"46743X")</f>
        <v>46743X</v>
      </c>
    </row>
    <row r="173" spans="1:9" ht="15.75" customHeight="1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IFERROR(__xludf.DUMMYFUNCTION("""COMPUTED_VALUE"""),"A.A. DA ESC. EST. ANTENOR BARREIRA")</f>
        <v>A.A. DA ESC. EST. ANTENOR BARREIRA</v>
      </c>
      <c r="D173" t="str">
        <f ca="1">IFERROR(__xludf.DUMMYFUNCTION("""COMPUTED_VALUE"""),"02069808000150")</f>
        <v>02069808000150</v>
      </c>
      <c r="E173" s="7">
        <f ca="1">IFERROR(__xludf.DUMMYFUNCTION("""COMPUTED_VALUE"""),0)</f>
        <v>0</v>
      </c>
      <c r="F173" s="7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IFERROR(__xludf.DUMMYFUNCTION("""COMPUTED_VALUE"""),"54186")</f>
        <v>54186</v>
      </c>
    </row>
    <row r="174" spans="1:9" ht="15.75" customHeight="1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IFERROR(__xludf.DUMMYFUNCTION("""COMPUTED_VALUE"""),"ASSOC. DE APOIO DA ESCOLA ESPECIAL NOVOV PARAÍSO - APAE")</f>
        <v>ASSOC. DE APOIO DA ESCOLA ESPECIAL NOVOV PARAÍSO - APAE</v>
      </c>
      <c r="D174" t="str">
        <f ca="1">IFERROR(__xludf.DUMMYFUNCTION("""COMPUTED_VALUE"""),"09510602000163")</f>
        <v>09510602000163</v>
      </c>
      <c r="E174" s="7">
        <f ca="1">IFERROR(__xludf.DUMMYFUNCTION("""COMPUTED_VALUE"""),0)</f>
        <v>0</v>
      </c>
      <c r="F174" s="7">
        <f ca="1">IFERROR(__xludf.DUMMYFUNCTION("""COMPUTED_VALUE"""),57.6)</f>
        <v>57.6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IFERROR(__xludf.DUMMYFUNCTION("""COMPUTED_VALUE"""),"138258")</f>
        <v>138258</v>
      </c>
    </row>
    <row r="175" spans="1:9" ht="15.75" customHeight="1">
      <c r="A175" t="str">
        <f ca="1">IFERROR(__xludf.DUMMYFUNCTION("""COMPUTED_VALUE"""),"Guaraí")</f>
        <v>Guaraí</v>
      </c>
      <c r="B175" t="str">
        <f ca="1">IFERROR(__xludf.DUMMYFUNCTION("""COMPUTED_VALUE"""),"Goianorte")</f>
        <v>Goianorte</v>
      </c>
      <c r="C175" t="str">
        <f ca="1">IFERROR(__xludf.DUMMYFUNCTION("""COMPUTED_VALUE"""),"A.A.  DA ESCOLA ESTADUAL MORRO DO MATO")</f>
        <v>A.A.  DA ESCOLA ESTADUAL MORRO DO MATO</v>
      </c>
      <c r="D175" t="str">
        <f ca="1">IFERROR(__xludf.DUMMYFUNCTION("""COMPUTED_VALUE"""),"01990368000107")</f>
        <v>01990368000107</v>
      </c>
      <c r="E175" s="7">
        <f ca="1">IFERROR(__xludf.DUMMYFUNCTION("""COMPUTED_VALUE"""),0)</f>
        <v>0</v>
      </c>
      <c r="F175" s="7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IFERROR(__xludf.DUMMYFUNCTION("""COMPUTED_VALUE"""),"1306")</f>
        <v>1306</v>
      </c>
      <c r="I175" t="str">
        <f ca="1">IFERROR(__xludf.DUMMYFUNCTION("""COMPUTED_VALUE"""),"54178")</f>
        <v>54178</v>
      </c>
    </row>
    <row r="176" spans="1:9" ht="15.75" customHeight="1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IFERROR(__xludf.DUMMYFUNCTION("""COMPUTED_VALUE"""),"ASSOC. DE APOIO ESC. EST. OQUERLINA TORRES")</f>
        <v>ASSOC. DE APOIO ESC. EST. OQUERLINA TORRES</v>
      </c>
      <c r="D176" t="str">
        <f ca="1">IFERROR(__xludf.DUMMYFUNCTION("""COMPUTED_VALUE"""),"01421201000125")</f>
        <v>01421201000125</v>
      </c>
      <c r="E176" s="7">
        <f ca="1">IFERROR(__xludf.DUMMYFUNCTION("""COMPUTED_VALUE"""),0)</f>
        <v>0</v>
      </c>
      <c r="F176" s="7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IFERROR(__xludf.DUMMYFUNCTION("""COMPUTED_VALUE"""),"19266X")</f>
        <v>19266X</v>
      </c>
    </row>
    <row r="177" spans="1:9" ht="15.75" customHeight="1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 AS ESC. EST. ANTONIO ALENCAR LEAO")</f>
        <v>A.A.  AS ESC. EST. ANTONIO ALENCAR LEAO</v>
      </c>
      <c r="D177" t="str">
        <f ca="1">IFERROR(__xludf.DUMMYFUNCTION("""COMPUTED_VALUE"""),"01575370000110")</f>
        <v>01575370000110</v>
      </c>
      <c r="E177" s="7">
        <f ca="1">IFERROR(__xludf.DUMMYFUNCTION("""COMPUTED_VALUE"""),0)</f>
        <v>0</v>
      </c>
      <c r="F177" s="7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IFERROR(__xludf.DUMMYFUNCTION("""COMPUTED_VALUE"""),"476536")</f>
        <v>476536</v>
      </c>
    </row>
    <row r="178" spans="1:9" ht="15.75" customHeight="1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IFERROR(__xludf.DUMMYFUNCTION("""COMPUTED_VALUE"""),"A.A. DO COL. EST. DONA ANAIDES B.MIRANDA")</f>
        <v>A.A. DO COL. EST. DONA ANAIDES B.MIRANDA</v>
      </c>
      <c r="D178" t="str">
        <f ca="1">IFERROR(__xludf.DUMMYFUNCTION("""COMPUTED_VALUE"""),"01867376000160")</f>
        <v>01867376000160</v>
      </c>
      <c r="E178" s="7">
        <f ca="1">IFERROR(__xludf.DUMMYFUNCTION("""COMPUTED_VALUE"""),0)</f>
        <v>0</v>
      </c>
      <c r="F178" s="7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IFERROR(__xludf.DUMMYFUNCTION("""COMPUTED_VALUE"""),"472123")</f>
        <v>472123</v>
      </c>
    </row>
    <row r="179" spans="1:9" ht="15.75" customHeight="1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IFERROR(__xludf.DUMMYFUNCTION("""COMPUTED_VALUE"""),"A. ESCOLAR COM.COL. EST.RAIMUNDO A.LEAO")</f>
        <v>A. ESCOLAR COM.COL. EST.RAIMUNDO A.LEAO</v>
      </c>
      <c r="D179" t="str">
        <f ca="1">IFERROR(__xludf.DUMMYFUNCTION("""COMPUTED_VALUE"""),"00880649000144")</f>
        <v>00880649000144</v>
      </c>
      <c r="E179" s="7">
        <f ca="1">IFERROR(__xludf.DUMMYFUNCTION("""COMPUTED_VALUE"""),0)</f>
        <v>0</v>
      </c>
      <c r="F179" s="7">
        <f ca="1">IFERROR(__xludf.DUMMYFUNCTION("""COMPUTED_VALUE"""),0)</f>
        <v>0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IFERROR(__xludf.DUMMYFUNCTION("""COMPUTED_VALUE"""),"0472719")</f>
        <v>0472719</v>
      </c>
    </row>
    <row r="180" spans="1:9" ht="15.75" customHeight="1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IFERROR(__xludf.DUMMYFUNCTION("""COMPUTED_VALUE"""),"ASSOCIAÇÃO DE APOIO A ESCOLA ESPECIAL ESTRELA DA ESPERANÇA")</f>
        <v>ASSOCIAÇÃO DE APOIO A ESCOLA ESPECIAL ESTRELA DA ESPERANÇA</v>
      </c>
      <c r="D180" t="str">
        <f ca="1">IFERROR(__xludf.DUMMYFUNCTION("""COMPUTED_VALUE"""),"07938604000122")</f>
        <v>07938604000122</v>
      </c>
      <c r="E180" s="7">
        <f ca="1">IFERROR(__xludf.DUMMYFUNCTION("""COMPUTED_VALUE"""),0)</f>
        <v>0</v>
      </c>
      <c r="F180" s="7">
        <f ca="1">IFERROR(__xludf.DUMMYFUNCTION("""COMPUTED_VALUE"""),43.2)</f>
        <v>43.2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IFERROR(__xludf.DUMMYFUNCTION("""COMPUTED_VALUE"""),"211621")</f>
        <v>211621</v>
      </c>
    </row>
    <row r="181" spans="1:9" ht="15.75" customHeight="1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ESC. EST.IRINEU ALBANO HENDGES")</f>
        <v>A.A. ESC. EST.IRINEU ALBANO HENDGES</v>
      </c>
      <c r="D181" t="str">
        <f ca="1">IFERROR(__xludf.DUMMYFUNCTION("""COMPUTED_VALUE"""),"01136012000100")</f>
        <v>01136012000100</v>
      </c>
      <c r="E181" s="7">
        <f ca="1">IFERROR(__xludf.DUMMYFUNCTION("""COMPUTED_VALUE"""),0)</f>
        <v>0</v>
      </c>
      <c r="F181" s="7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IFERROR(__xludf.DUMMYFUNCTION("""COMPUTED_VALUE"""),"0472433")</f>
        <v>0472433</v>
      </c>
    </row>
    <row r="182" spans="1:9" ht="15.75" customHeight="1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t="str">
        <f ca="1">IFERROR(__xludf.DUMMYFUNCTION("""COMPUTED_VALUE"""),"A.A. ESCOLA EST. JOSE COSTA SOARES")</f>
        <v>A.A. ESCOLA EST. JOSE COSTA SOARES</v>
      </c>
      <c r="D182" t="str">
        <f ca="1">IFERROR(__xludf.DUMMYFUNCTION("""COMPUTED_VALUE"""),"01421200000180")</f>
        <v>01421200000180</v>
      </c>
      <c r="E182" s="7">
        <f ca="1">IFERROR(__xludf.DUMMYFUNCTION("""COMPUTED_VALUE"""),0)</f>
        <v>0</v>
      </c>
      <c r="F182" s="7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IFERROR(__xludf.DUMMYFUNCTION("""COMPUTED_VALUE"""),"2094")</f>
        <v>2094</v>
      </c>
      <c r="I182" t="str">
        <f ca="1">IFERROR(__xludf.DUMMYFUNCTION("""COMPUTED_VALUE"""),"471577")</f>
        <v>471577</v>
      </c>
    </row>
    <row r="183" spans="1:9" ht="15.75" customHeight="1">
      <c r="A183" t="str">
        <f ca="1">IFERROR(__xludf.DUMMYFUNCTION("""COMPUTED_VALUE"""),"Guaraí")</f>
        <v>Guaraí</v>
      </c>
      <c r="B183" t="str">
        <f ca="1">IFERROR(__xludf.DUMMYFUNCTION("""COMPUTED_VALUE"""),"Itapora do Tocantins")</f>
        <v>Itapora do Tocantins</v>
      </c>
      <c r="C183" t="str">
        <f ca="1">IFERROR(__xludf.DUMMYFUNCTION("""COMPUTED_VALUE"""),"A.A. COL. EST. FRANCISCA ALVES ALENCAR")</f>
        <v>A.A. COL. EST. FRANCISCA ALVES ALENCAR</v>
      </c>
      <c r="D183" t="str">
        <f ca="1">IFERROR(__xludf.DUMMYFUNCTION("""COMPUTED_VALUE"""),"01190193000153")</f>
        <v>01190193000153</v>
      </c>
      <c r="E183" s="7">
        <f ca="1">IFERROR(__xludf.DUMMYFUNCTION("""COMPUTED_VALUE"""),0)</f>
        <v>0</v>
      </c>
      <c r="F183" s="7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IFERROR(__xludf.DUMMYFUNCTION("""COMPUTED_VALUE"""),"102865")</f>
        <v>102865</v>
      </c>
    </row>
    <row r="184" spans="1:9" ht="15.75" customHeight="1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IFERROR(__xludf.DUMMYFUNCTION("""COMPUTED_VALUE"""),"ASSOC. DE APOIO ESC. EST. 1º DE JUNHO")</f>
        <v>ASSOC. DE APOIO ESC. EST. 1º DE JUNHO</v>
      </c>
      <c r="D184" t="str">
        <f ca="1">IFERROR(__xludf.DUMMYFUNCTION("""COMPUTED_VALUE"""),"02060455000128")</f>
        <v>02060455000128</v>
      </c>
      <c r="E184" s="7">
        <f ca="1">IFERROR(__xludf.DUMMYFUNCTION("""COMPUTED_VALUE"""),0)</f>
        <v>0</v>
      </c>
      <c r="F184" s="7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IFERROR(__xludf.DUMMYFUNCTION("""COMPUTED_VALUE"""),"147214")</f>
        <v>147214</v>
      </c>
    </row>
    <row r="185" spans="1:9" ht="15.75" customHeight="1">
      <c r="A185" t="str">
        <f ca="1">IFERROR(__xludf.DUMMYFUNCTION("""COMPUTED_VALUE"""),"Guaraí")</f>
        <v>Guaraí</v>
      </c>
      <c r="B185" t="str">
        <f ca="1">IFERROR(__xludf.DUMMYFUNCTION("""COMPUTED_VALUE"""),"Pequizeiro")</f>
        <v>Pequizeiro</v>
      </c>
      <c r="C185" t="str">
        <f ca="1">IFERROR(__xludf.DUMMYFUNCTION("""COMPUTED_VALUE"""),"A.A. DO COLEGIO ESTADUAL BERNARDO SAYAO")</f>
        <v>A.A. DO COLEGIO ESTADUAL BERNARDO SAYAO</v>
      </c>
      <c r="D185" t="str">
        <f ca="1">IFERROR(__xludf.DUMMYFUNCTION("""COMPUTED_VALUE"""),"02160863000151")</f>
        <v>02160863000151</v>
      </c>
      <c r="E185" s="7">
        <f ca="1">IFERROR(__xludf.DUMMYFUNCTION("""COMPUTED_VALUE"""),0)</f>
        <v>0</v>
      </c>
      <c r="F185" s="7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IFERROR(__xludf.DUMMYFUNCTION("""COMPUTED_VALUE"""),"1306")</f>
        <v>1306</v>
      </c>
      <c r="I185" t="str">
        <f ca="1">IFERROR(__xludf.DUMMYFUNCTION("""COMPUTED_VALUE"""),"53910")</f>
        <v>53910</v>
      </c>
    </row>
    <row r="186" spans="1:9" ht="15.75" customHeight="1">
      <c r="A186" t="str">
        <f ca="1">IFERROR(__xludf.DUMMYFUNCTION("""COMPUTED_VALUE"""),"Guaraí")</f>
        <v>Guaraí</v>
      </c>
      <c r="B186" t="str">
        <f ca="1">IFERROR(__xludf.DUMMYFUNCTION("""COMPUTED_VALUE"""),"Presidente Kennedy")</f>
        <v>Presidente Kennedy</v>
      </c>
      <c r="C186" t="str">
        <f ca="1">IFERROR(__xludf.DUMMYFUNCTION("""COMPUTED_VALUE"""),"A.PAIS E M.COL. EST. JUSCELINO KUBITSCHEK")</f>
        <v>A.PAIS E M.COL. EST. JUSCELINO KUBITSCHEK</v>
      </c>
      <c r="D186" t="str">
        <f ca="1">IFERROR(__xludf.DUMMYFUNCTION("""COMPUTED_VALUE"""),"02060456000172")</f>
        <v>02060456000172</v>
      </c>
      <c r="E186" s="7">
        <f ca="1">IFERROR(__xludf.DUMMYFUNCTION("""COMPUTED_VALUE"""),0)</f>
        <v>0</v>
      </c>
      <c r="F186" s="7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IFERROR(__xludf.DUMMYFUNCTION("""COMPUTED_VALUE"""),"2094")</f>
        <v>2094</v>
      </c>
      <c r="I186" t="str">
        <f ca="1">IFERROR(__xludf.DUMMYFUNCTION("""COMPUTED_VALUE"""),"047553X")</f>
        <v>047553X</v>
      </c>
    </row>
    <row r="187" spans="1:9" ht="15.75" customHeight="1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IFERROR(__xludf.DUMMYFUNCTION("""COMPUTED_VALUE"""),"ASS. APOIO COL. EST. ANITA CASSIMIRO MORENO")</f>
        <v>ASS. APOIO COL. EST. ANITA CASSIMIRO MORENO</v>
      </c>
      <c r="D187" t="str">
        <f ca="1">IFERROR(__xludf.DUMMYFUNCTION("""COMPUTED_VALUE"""),"01304570000138")</f>
        <v>01304570000138</v>
      </c>
      <c r="E187" s="7">
        <f ca="1">IFERROR(__xludf.DUMMYFUNCTION("""COMPUTED_VALUE"""),0)</f>
        <v>0</v>
      </c>
      <c r="F187" s="7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IFERROR(__xludf.DUMMYFUNCTION("""COMPUTED_VALUE"""),"245984")</f>
        <v>245984</v>
      </c>
    </row>
    <row r="188" spans="1:9" ht="15.75" customHeight="1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IFERROR(__xludf.DUMMYFUNCTION("""COMPUTED_VALUE"""),"A.A.  AO EDUCANDARIO EVANGELICO JERUSALEM")</f>
        <v>A.A.  AO EDUCANDARIO EVANGELICO JERUSALEM</v>
      </c>
      <c r="D188" t="str">
        <f ca="1">IFERROR(__xludf.DUMMYFUNCTION("""COMPUTED_VALUE"""),"03172227000102")</f>
        <v>03172227000102</v>
      </c>
      <c r="E188" s="7">
        <f ca="1">IFERROR(__xludf.DUMMYFUNCTION("""COMPUTED_VALUE"""),0)</f>
        <v>0</v>
      </c>
      <c r="F188" s="7">
        <f ca="1">IFERROR(__xludf.DUMMYFUNCTION("""COMPUTED_VALUE"""),0)</f>
        <v>0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IFERROR(__xludf.DUMMYFUNCTION("""COMPUTED_VALUE"""),"54666")</f>
        <v>54666</v>
      </c>
    </row>
    <row r="189" spans="1:9" ht="15.75" customHeight="1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IFERROR(__xludf.DUMMYFUNCTION("""COMPUTED_VALUE"""),"ASSOCIAÇÃO DE APOIO A ESCOLA ESPECIAL AMOR FRATERNAL")</f>
        <v>ASSOCIAÇÃO DE APOIO A ESCOLA ESPECIAL AMOR FRATERNAL</v>
      </c>
      <c r="D189" t="str">
        <f ca="1">IFERROR(__xludf.DUMMYFUNCTION("""COMPUTED_VALUE"""),"07953958000146")</f>
        <v>07953958000146</v>
      </c>
      <c r="E189" s="7">
        <f ca="1">IFERROR(__xludf.DUMMYFUNCTION("""COMPUTED_VALUE"""),0)</f>
        <v>0</v>
      </c>
      <c r="F189" s="7">
        <f ca="1">IFERROR(__xludf.DUMMYFUNCTION("""COMPUTED_VALUE"""),129.6)</f>
        <v>129.6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IFERROR(__xludf.DUMMYFUNCTION("""COMPUTED_VALUE"""),"90115")</f>
        <v>90115</v>
      </c>
    </row>
    <row r="190" spans="1:9" ht="15.75" customHeight="1">
      <c r="A190" t="str">
        <f ca="1">IFERROR(__xludf.DUMMYFUNCTION("""COMPUTED_VALUE"""),"Gurupi")</f>
        <v>Gurupi</v>
      </c>
      <c r="B190" t="str">
        <f ca="1">IFERROR(__xludf.DUMMYFUNCTION("""COMPUTED_VALUE"""),"Alianca do Tocantins")</f>
        <v>Alianca do Tocantins</v>
      </c>
      <c r="C190" t="str">
        <f ca="1">IFERROR(__xludf.DUMMYFUNCTION("""COMPUTED_VALUE"""),"A. PAIS E MESTRES ESC. EST.N.SRA.DO CARMO")</f>
        <v>A. PAIS E MESTRES ESC. EST.N.SRA.DO CARMO</v>
      </c>
      <c r="D190" t="str">
        <f ca="1">IFERROR(__xludf.DUMMYFUNCTION("""COMPUTED_VALUE"""),"01034192000110")</f>
        <v>01034192000110</v>
      </c>
      <c r="E190" s="7">
        <f ca="1">IFERROR(__xludf.DUMMYFUNCTION("""COMPUTED_VALUE"""),0)</f>
        <v>0</v>
      </c>
      <c r="F190" s="7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IFERROR(__xludf.DUMMYFUNCTION("""COMPUTED_VALUE"""),"3972")</f>
        <v>3972</v>
      </c>
      <c r="I190" t="str">
        <f ca="1">IFERROR(__xludf.DUMMYFUNCTION("""COMPUTED_VALUE"""),"243590")</f>
        <v>243590</v>
      </c>
    </row>
    <row r="191" spans="1:9" ht="15.75" customHeight="1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IFERROR(__xludf.DUMMYFUNCTION("""COMPUTED_VALUE"""),"ASS. APOIO COL. EST. ADJULIO BALTHAZAR")</f>
        <v>ASS. APOIO COL. EST. ADJULIO BALTHAZAR</v>
      </c>
      <c r="D191" t="str">
        <f ca="1">IFERROR(__xludf.DUMMYFUNCTION("""COMPUTED_VALUE"""),"01138432000126")</f>
        <v>01138432000126</v>
      </c>
      <c r="E191" s="7">
        <f ca="1">IFERROR(__xludf.DUMMYFUNCTION("""COMPUTED_VALUE"""),0)</f>
        <v>0</v>
      </c>
      <c r="F191" s="7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IFERROR(__xludf.DUMMYFUNCTION("""COMPUTED_VALUE"""),"103462")</f>
        <v>103462</v>
      </c>
    </row>
    <row r="192" spans="1:9" ht="15.75" customHeight="1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IFERROR(__xludf.DUMMYFUNCTION("""COMPUTED_VALUE"""),"A.A.  COLEGIO ESTADUAL DE ALVORADA")</f>
        <v>A.A.  COLEGIO ESTADUAL DE ALVORADA</v>
      </c>
      <c r="D192" t="str">
        <f ca="1">IFERROR(__xludf.DUMMYFUNCTION("""COMPUTED_VALUE"""),"01269283000134")</f>
        <v>01269283000134</v>
      </c>
      <c r="E192" s="7">
        <f ca="1">IFERROR(__xludf.DUMMYFUNCTION("""COMPUTED_VALUE"""),0)</f>
        <v>0</v>
      </c>
      <c r="F192" s="7">
        <f ca="1">IFERROR(__xludf.DUMMYFUNCTION("""COMPUTED_VALUE"""),0)</f>
        <v>0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IFERROR(__xludf.DUMMYFUNCTION("""COMPUTED_VALUE"""),"0088544")</f>
        <v>0088544</v>
      </c>
    </row>
    <row r="193" spans="1:9" ht="15.75" customHeight="1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IFERROR(__xludf.DUMMYFUNCTION("""COMPUTED_VALUE"""),"A.P.A.DOS EXCEP. DE ALVORADA-APAE")</f>
        <v>A.P.A.DOS EXCEP. DE ALVORADA-APAE</v>
      </c>
      <c r="D193" t="str">
        <f ca="1">IFERROR(__xludf.DUMMYFUNCTION("""COMPUTED_VALUE"""),"02201735000109")</f>
        <v>02201735000109</v>
      </c>
      <c r="E193" s="7">
        <f ca="1">IFERROR(__xludf.DUMMYFUNCTION("""COMPUTED_VALUE"""),0)</f>
        <v>0</v>
      </c>
      <c r="F193" s="7">
        <f ca="1">IFERROR(__xludf.DUMMYFUNCTION("""COMPUTED_VALUE"""),201.6)</f>
        <v>201.6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IFERROR(__xludf.DUMMYFUNCTION("""COMPUTED_VALUE"""),"101826")</f>
        <v>101826</v>
      </c>
    </row>
    <row r="194" spans="1:9" ht="15.75" customHeight="1">
      <c r="A194" t="str">
        <f ca="1">IFERROR(__xludf.DUMMYFUNCTION("""COMPUTED_VALUE"""),"Gurupi")</f>
        <v>Gurupi</v>
      </c>
      <c r="B194" t="str">
        <f ca="1">IFERROR(__xludf.DUMMYFUNCTION("""COMPUTED_VALUE"""),"Alvorada")</f>
        <v>Alvorada</v>
      </c>
      <c r="C194" t="str">
        <f ca="1">IFERROR(__xludf.DUMMYFUNCTION("""COMPUTED_VALUE"""),"ASS. APOIO ESC. EST. ANA MARIA DE JESUS")</f>
        <v>ASS. APOIO ESC. EST. ANA MARIA DE JESUS</v>
      </c>
      <c r="D194" t="str">
        <f ca="1">IFERROR(__xludf.DUMMYFUNCTION("""COMPUTED_VALUE"""),"01221145000185")</f>
        <v>01221145000185</v>
      </c>
      <c r="E194" s="7">
        <f ca="1">IFERROR(__xludf.DUMMYFUNCTION("""COMPUTED_VALUE"""),0)</f>
        <v>0</v>
      </c>
      <c r="F194" s="7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IFERROR(__xludf.DUMMYFUNCTION("""COMPUTED_VALUE"""),"1303")</f>
        <v>1303</v>
      </c>
      <c r="I194" t="str">
        <f ca="1">IFERROR(__xludf.DUMMYFUNCTION("""COMPUTED_VALUE"""),"103691")</f>
        <v>103691</v>
      </c>
    </row>
    <row r="195" spans="1:9" ht="15.75" customHeight="1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IFERROR(__xludf.DUMMYFUNCTION("""COMPUTED_VALUE"""),"ASS. APOIO ESC. EST. JOAO TAVARES MARTINS")</f>
        <v>ASS. APOIO ESC. EST. JOAO TAVARES MARTINS</v>
      </c>
      <c r="D195" t="str">
        <f ca="1">IFERROR(__xludf.DUMMYFUNCTION("""COMPUTED_VALUE"""),"01133707000139")</f>
        <v>01133707000139</v>
      </c>
      <c r="E195" s="7">
        <f ca="1">IFERROR(__xludf.DUMMYFUNCTION("""COMPUTED_VALUE"""),0)</f>
        <v>0</v>
      </c>
      <c r="F195" s="7">
        <f ca="1">IFERROR(__xludf.DUMMYFUNCTION("""COMPUTED_VALUE"""),0)</f>
        <v>0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IFERROR(__xludf.DUMMYFUNCTION("""COMPUTED_VALUE"""),"112542")</f>
        <v>112542</v>
      </c>
    </row>
    <row r="196" spans="1:9" ht="15.75" customHeight="1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IFERROR(__xludf.DUMMYFUNCTION("""COMPUTED_VALUE"""),"A..A. ESC. ESPECIAL  ABELINHA EM BUSCA DO SABER")</f>
        <v>A..A. ESC. ESPECIAL  ABELINHA EM BUSCA DO SABER</v>
      </c>
      <c r="D196" t="str">
        <f ca="1">IFERROR(__xludf.DUMMYFUNCTION("""COMPUTED_VALUE"""),"07924466000122")</f>
        <v>07924466000122</v>
      </c>
      <c r="E196" s="7">
        <f ca="1">IFERROR(__xludf.DUMMYFUNCTION("""COMPUTED_VALUE"""),0)</f>
        <v>0</v>
      </c>
      <c r="F196" s="7">
        <f ca="1">IFERROR(__xludf.DUMMYFUNCTION("""COMPUTED_VALUE"""),57.6)</f>
        <v>57.6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IFERROR(__xludf.DUMMYFUNCTION("""COMPUTED_VALUE"""),"136417")</f>
        <v>136417</v>
      </c>
    </row>
    <row r="197" spans="1:9" ht="15.75" customHeight="1">
      <c r="A197" t="str">
        <f ca="1">IFERROR(__xludf.DUMMYFUNCTION("""COMPUTED_VALUE"""),"Gurupi")</f>
        <v>Gurupi</v>
      </c>
      <c r="B197" t="str">
        <f ca="1">IFERROR(__xludf.DUMMYFUNCTION("""COMPUTED_VALUE"""),"Araguacu")</f>
        <v>Araguacu</v>
      </c>
      <c r="C197" t="str">
        <f ca="1">IFERROR(__xludf.DUMMYFUNCTION("""COMPUTED_VALUE"""),"ASS. APOIO ESC. EST. SALVADOR CAETANO")</f>
        <v>ASS. APOIO ESC. EST. SALVADOR CAETANO</v>
      </c>
      <c r="D197" t="str">
        <f ca="1">IFERROR(__xludf.DUMMYFUNCTION("""COMPUTED_VALUE"""),"01341484000103")</f>
        <v>01341484000103</v>
      </c>
      <c r="E197" s="7">
        <f ca="1">IFERROR(__xludf.DUMMYFUNCTION("""COMPUTED_VALUE"""),0)</f>
        <v>0</v>
      </c>
      <c r="F197" s="7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IFERROR(__xludf.DUMMYFUNCTION("""COMPUTED_VALUE"""),"1304")</f>
        <v>1304</v>
      </c>
      <c r="I197" t="str">
        <f ca="1">IFERROR(__xludf.DUMMYFUNCTION("""COMPUTED_VALUE"""),"0105589")</f>
        <v>0105589</v>
      </c>
    </row>
    <row r="198" spans="1:9" ht="15.75" customHeight="1">
      <c r="A198" t="str">
        <f ca="1">IFERROR(__xludf.DUMMYFUNCTION("""COMPUTED_VALUE"""),"Gurupi")</f>
        <v>Gurupi</v>
      </c>
      <c r="B198" t="str">
        <f ca="1">IFERROR(__xludf.DUMMYFUNCTION("""COMPUTED_VALUE"""),"Cariri do Tocantins")</f>
        <v>Cariri do Tocantins</v>
      </c>
      <c r="C198" t="str">
        <f ca="1">IFERROR(__xludf.DUMMYFUNCTION("""COMPUTED_VALUE"""),"ASS. APOIO ESCOLA ESTADUAL TARSO DUTRA")</f>
        <v>ASS. APOIO ESCOLA ESTADUAL TARSO DUTRA</v>
      </c>
      <c r="D198" t="str">
        <f ca="1">IFERROR(__xludf.DUMMYFUNCTION("""COMPUTED_VALUE"""),"01239275000145")</f>
        <v>01239275000145</v>
      </c>
      <c r="E198" s="7">
        <f ca="1">IFERROR(__xludf.DUMMYFUNCTION("""COMPUTED_VALUE"""),0)</f>
        <v>0</v>
      </c>
      <c r="F198" s="7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IFERROR(__xludf.DUMMYFUNCTION("""COMPUTED_VALUE"""),"245496")</f>
        <v>245496</v>
      </c>
    </row>
    <row r="199" spans="1:9" ht="15.75" customHeight="1">
      <c r="A199" t="str">
        <f ca="1">IFERROR(__xludf.DUMMYFUNCTION("""COMPUTED_VALUE"""),"Gurupi")</f>
        <v>Gurupi</v>
      </c>
      <c r="B199" t="str">
        <f ca="1">IFERROR(__xludf.DUMMYFUNCTION("""COMPUTED_VALUE"""),"Crixas do Tocantins")</f>
        <v>Crixas do Tocantins</v>
      </c>
      <c r="C199" t="str">
        <f ca="1">IFERROR(__xludf.DUMMYFUNCTION("""COMPUTED_VALUE"""),"ASSOC. DE AP. DA ESC. EST. OLAVO BILAC")</f>
        <v>ASSOC. DE AP. DA ESC. EST. OLAVO BILAC</v>
      </c>
      <c r="D199" t="str">
        <f ca="1">IFERROR(__xludf.DUMMYFUNCTION("""COMPUTED_VALUE"""),"01892440000163")</f>
        <v>01892440000163</v>
      </c>
      <c r="E199" s="7">
        <f ca="1">IFERROR(__xludf.DUMMYFUNCTION("""COMPUTED_VALUE"""),0)</f>
        <v>0</v>
      </c>
      <c r="F199" s="7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IFERROR(__xludf.DUMMYFUNCTION("""COMPUTED_VALUE"""),"13498")</f>
        <v>13498</v>
      </c>
    </row>
    <row r="200" spans="1:9" ht="15.75" customHeight="1">
      <c r="A200" t="str">
        <f ca="1">IFERROR(__xludf.DUMMYFUNCTION("""COMPUTED_VALUE"""),"Gurupi")</f>
        <v>Gurupi</v>
      </c>
      <c r="B200" t="str">
        <f ca="1">IFERROR(__xludf.DUMMYFUNCTION("""COMPUTED_VALUE"""),"Duere")</f>
        <v>Duere</v>
      </c>
      <c r="C200" t="str">
        <f ca="1">IFERROR(__xludf.DUMMYFUNCTION("""COMPUTED_VALUE"""),"A.P.MESTRES DA ESCOLA EST.ELESBAO LIMA")</f>
        <v>A.P.MESTRES DA ESCOLA EST.ELESBAO LIMA</v>
      </c>
      <c r="D200" t="str">
        <f ca="1">IFERROR(__xludf.DUMMYFUNCTION("""COMPUTED_VALUE"""),"01865387000101")</f>
        <v>01865387000101</v>
      </c>
      <c r="E200" s="7">
        <f ca="1">IFERROR(__xludf.DUMMYFUNCTION("""COMPUTED_VALUE"""),0)</f>
        <v>0</v>
      </c>
      <c r="F200" s="7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IFERROR(__xludf.DUMMYFUNCTION("""COMPUTED_VALUE"""),"0794")</f>
        <v>0794</v>
      </c>
      <c r="I200" t="str">
        <f ca="1">IFERROR(__xludf.DUMMYFUNCTION("""COMPUTED_VALUE"""),"6758X")</f>
        <v>6758X</v>
      </c>
    </row>
    <row r="201" spans="1:9" ht="15.75" customHeight="1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COL. EST. ALAIR SENA CONCEICAO")</f>
        <v>A. APOIO COL. EST. ALAIR SENA CONCEICAO</v>
      </c>
      <c r="D201" t="str">
        <f ca="1">IFERROR(__xludf.DUMMYFUNCTION("""COMPUTED_VALUE"""),"01257080000128")</f>
        <v>01257080000128</v>
      </c>
      <c r="E201" s="7">
        <f ca="1">IFERROR(__xludf.DUMMYFUNCTION("""COMPUTED_VALUE"""),0)</f>
        <v>0</v>
      </c>
      <c r="F201" s="7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IFERROR(__xludf.DUMMYFUNCTION("""COMPUTED_VALUE"""),"52639")</f>
        <v>52639</v>
      </c>
    </row>
    <row r="202" spans="1:9" ht="15.75" customHeight="1">
      <c r="A202" t="str">
        <f ca="1">IFERROR(__xludf.DUMMYFUNCTION("""COMPUTED_VALUE"""),"Gurupi")</f>
        <v>Gurupi</v>
      </c>
      <c r="B202" t="str">
        <f ca="1">IFERROR(__xludf.DUMMYFUNCTION("""COMPUTED_VALUE"""),"Figueiropolis")</f>
        <v>Figueiropolis</v>
      </c>
      <c r="C202" t="str">
        <f ca="1">IFERROR(__xludf.DUMMYFUNCTION("""COMPUTED_VALUE"""),"A. APOIO COLEGIO EST. CANDIDO FIGUEIRA")</f>
        <v>A. APOIO COLEGIO EST. CANDIDO FIGUEIRA</v>
      </c>
      <c r="D202" t="str">
        <f ca="1">IFERROR(__xludf.DUMMYFUNCTION("""COMPUTED_VALUE"""),"01262902000169")</f>
        <v>01262902000169</v>
      </c>
      <c r="E202" s="7">
        <f ca="1">IFERROR(__xludf.DUMMYFUNCTION("""COMPUTED_VALUE"""),0)</f>
        <v>0</v>
      </c>
      <c r="F202" s="7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IFERROR(__xludf.DUMMYFUNCTION("""COMPUTED_VALUE"""),"3978")</f>
        <v>3978</v>
      </c>
      <c r="I202" t="str">
        <f ca="1">IFERROR(__xludf.DUMMYFUNCTION("""COMPUTED_VALUE"""),"4802X")</f>
        <v>4802X</v>
      </c>
    </row>
    <row r="203" spans="1:9" ht="15.75" customHeight="1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IFERROR(__xludf.DUMMYFUNCTION("""COMPUTED_VALUE"""),"A.P.E MESTRES DA E. E.BENEDITO P.BANDEIRA")</f>
        <v>A.P.E MESTRES DA E. E.BENEDITO P.BANDEIRA</v>
      </c>
      <c r="D203" t="str">
        <f ca="1">IFERROR(__xludf.DUMMYFUNCTION("""COMPUTED_VALUE"""),"01136026000124")</f>
        <v>01136026000124</v>
      </c>
      <c r="E203" s="7">
        <f ca="1">IFERROR(__xludf.DUMMYFUNCTION("""COMPUTED_VALUE"""),0)</f>
        <v>0</v>
      </c>
      <c r="F203" s="7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IFERROR(__xludf.DUMMYFUNCTION("""COMPUTED_VALUE"""),"0303240")</f>
        <v>0303240</v>
      </c>
    </row>
    <row r="204" spans="1:9" ht="15.75" customHeight="1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COLEGIO ESTADUAL TIRADENTES")</f>
        <v>A.A. COLEGIO ESTADUAL TIRADENTES</v>
      </c>
      <c r="D204" t="str">
        <f ca="1">IFERROR(__xludf.DUMMYFUNCTION("""COMPUTED_VALUE"""),"01263350000103")</f>
        <v>01263350000103</v>
      </c>
      <c r="E204" s="7">
        <f ca="1">IFERROR(__xludf.DUMMYFUNCTION("""COMPUTED_VALUE"""),0)</f>
        <v>0</v>
      </c>
      <c r="F204" s="7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IFERROR(__xludf.DUMMYFUNCTION("""COMPUTED_VALUE"""),"302988")</f>
        <v>302988</v>
      </c>
    </row>
    <row r="205" spans="1:9" ht="15.75" customHeight="1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 ESPECIAL ANJO DA GUARDA")</f>
        <v>A.A. ESC ESPECIAL ANJO DA GUARDA</v>
      </c>
      <c r="D205" t="str">
        <f ca="1">IFERROR(__xludf.DUMMYFUNCTION("""COMPUTED_VALUE"""),"17617389000111")</f>
        <v>17617389000111</v>
      </c>
      <c r="E205" s="7">
        <f ca="1">IFERROR(__xludf.DUMMYFUNCTION("""COMPUTED_VALUE"""),0)</f>
        <v>0</v>
      </c>
      <c r="F205" s="7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IFERROR(__xludf.DUMMYFUNCTION("""COMPUTED_VALUE"""),"168211")</f>
        <v>168211</v>
      </c>
    </row>
    <row r="206" spans="1:9" ht="15.75" customHeight="1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IFERROR(__xludf.DUMMYFUNCTION("""COMPUTED_VALUE"""),"A.A. ESC. EST. DONA GERCINA BORGES TEIXEIRA")</f>
        <v>A.A. ESC. EST. DONA GERCINA BORGES TEIXEIRA</v>
      </c>
      <c r="D206" t="str">
        <f ca="1">IFERROR(__xludf.DUMMYFUNCTION("""COMPUTED_VALUE"""),"01268334000103")</f>
        <v>01268334000103</v>
      </c>
      <c r="E206" s="7">
        <f ca="1">IFERROR(__xludf.DUMMYFUNCTION("""COMPUTED_VALUE"""),0)</f>
        <v>0</v>
      </c>
      <c r="F206" s="7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IFERROR(__xludf.DUMMYFUNCTION("""COMPUTED_VALUE"""),"302880")</f>
        <v>302880</v>
      </c>
    </row>
    <row r="207" spans="1:9" ht="15.75" customHeight="1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t="str">
        <f ca="1">IFERROR(__xludf.DUMMYFUNCTION("""COMPUTED_VALUE"""),"ASSOCIAÇÃO DE APOIO DA ESCOLA INDÍGENA TAINÁ DA ALDEIA CANUANA")</f>
        <v>ASSOCIAÇÃO DE APOIO DA ESCOLA INDÍGENA TAINÁ DA ALDEIA CANUANA</v>
      </c>
      <c r="D207" t="str">
        <f ca="1">IFERROR(__xludf.DUMMYFUNCTION("""COMPUTED_VALUE"""),"27701257000127")</f>
        <v>27701257000127</v>
      </c>
      <c r="E207" s="7">
        <f ca="1">IFERROR(__xludf.DUMMYFUNCTION("""COMPUTED_VALUE"""),0)</f>
        <v>0</v>
      </c>
      <c r="F207" s="7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IFERROR(__xludf.DUMMYFUNCTION("""COMPUTED_VALUE"""),"3123")</f>
        <v>3123</v>
      </c>
      <c r="I207" t="str">
        <f ca="1">IFERROR(__xludf.DUMMYFUNCTION("""COMPUTED_VALUE"""),"171174")</f>
        <v>171174</v>
      </c>
    </row>
    <row r="208" spans="1:9" ht="15.75" customHeight="1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t="str">
        <f ca="1">IFERROR(__xludf.DUMMYFUNCTION("""COMPUTED_VALUE"""),"ASSOCIAÇÃO DE APOIO DA ESCOLA INDÍGENA TEMANARE")</f>
        <v>ASSOCIAÇÃO DE APOIO DA ESCOLA INDÍGENA TEMANARE</v>
      </c>
      <c r="D208" t="str">
        <f ca="1">IFERROR(__xludf.DUMMYFUNCTION("""COMPUTED_VALUE"""),"47800676000123")</f>
        <v>47800676000123</v>
      </c>
      <c r="E208" s="7">
        <f ca="1">IFERROR(__xludf.DUMMYFUNCTION("""COMPUTED_VALUE"""),0)</f>
        <v>0</v>
      </c>
      <c r="F208" s="7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IFERROR(__xludf.DUMMYFUNCTION("""COMPUTED_VALUE"""),"3123")</f>
        <v>3123</v>
      </c>
      <c r="I208" t="str">
        <f ca="1">IFERROR(__xludf.DUMMYFUNCTION("""COMPUTED_VALUE"""),"207160")</f>
        <v>207160</v>
      </c>
    </row>
    <row r="209" spans="1:9" ht="15.75" customHeight="1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t="str">
        <f ca="1">IFERROR(__xludf.DUMMYFUNCTION("""COMPUTED_VALUE"""),"ASSOCIAÇÃO DE APOIO ESCOLAR DA ESCOLA INDÍGENA TXUIRI HINÃ")</f>
        <v>ASSOCIAÇÃO DE APOIO ESCOLAR DA ESCOLA INDÍGENA TXUIRI HINÃ</v>
      </c>
      <c r="D209" t="str">
        <f ca="1">IFERROR(__xludf.DUMMYFUNCTION("""COMPUTED_VALUE"""),"47801073000146")</f>
        <v>47801073000146</v>
      </c>
      <c r="E209" s="7">
        <f ca="1">IFERROR(__xludf.DUMMYFUNCTION("""COMPUTED_VALUE"""),0)</f>
        <v>0</v>
      </c>
      <c r="F209" s="7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IFERROR(__xludf.DUMMYFUNCTION("""COMPUTED_VALUE"""),"3123")</f>
        <v>3123</v>
      </c>
      <c r="I209" t="str">
        <f ca="1">IFERROR(__xludf.DUMMYFUNCTION("""COMPUTED_VALUE"""),"206458")</f>
        <v>206458</v>
      </c>
    </row>
    <row r="210" spans="1:9" ht="15.75" customHeight="1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t="str">
        <f ca="1">IFERROR(__xludf.DUMMYFUNCTION("""COMPUTED_VALUE"""),"ASSOCIAÇÃO DE APOIO ESCOLAR DA ESCOLA INDÍGENA WATAKURI")</f>
        <v>ASSOCIAÇÃO DE APOIO ESCOLAR DA ESCOLA INDÍGENA WATAKURI</v>
      </c>
      <c r="D210" t="str">
        <f ca="1">IFERROR(__xludf.DUMMYFUNCTION("""COMPUTED_VALUE"""),"48057828000102")</f>
        <v>48057828000102</v>
      </c>
      <c r="E210" s="7">
        <f ca="1">IFERROR(__xludf.DUMMYFUNCTION("""COMPUTED_VALUE"""),0)</f>
        <v>0</v>
      </c>
      <c r="F210" s="7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IFERROR(__xludf.DUMMYFUNCTION("""COMPUTED_VALUE"""),"3123")</f>
        <v>3123</v>
      </c>
      <c r="I210" t="str">
        <f ca="1">IFERROR(__xludf.DUMMYFUNCTION("""COMPUTED_VALUE"""),"206695")</f>
        <v>206695</v>
      </c>
    </row>
    <row r="211" spans="1:9" ht="15.75" customHeight="1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IFERROR(__xludf.DUMMYFUNCTION("""COMPUTED_VALUE"""),"A.A. ESC. EST.ISOL.E IND.REG.DE GURUPI")</f>
        <v>A.A. ESC. EST.ISOL.E IND.REG.DE GURUPI</v>
      </c>
      <c r="D211" t="str">
        <f ca="1">IFERROR(__xludf.DUMMYFUNCTION("""COMPUTED_VALUE"""),"03011592000135")</f>
        <v>03011592000135</v>
      </c>
      <c r="E211" s="7">
        <f ca="1">IFERROR(__xludf.DUMMYFUNCTION("""COMPUTED_VALUE"""),0)</f>
        <v>0</v>
      </c>
      <c r="F211" s="7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IFERROR(__xludf.DUMMYFUNCTION("""COMPUTED_VALUE"""),"67563")</f>
        <v>67563</v>
      </c>
    </row>
    <row r="212" spans="1:9" ht="15.75" customHeight="1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IFERROR(__xludf.DUMMYFUNCTION("""COMPUTED_VALUE"""),"ASSOC. A. CENTRO DE ENS. MÉDIO ARY R. VALADÃO FILHO")</f>
        <v>ASSOC. A. CENTRO DE ENS. MÉDIO ARY R. VALADÃO FILHO</v>
      </c>
      <c r="D212" t="str">
        <f ca="1">IFERROR(__xludf.DUMMYFUNCTION("""COMPUTED_VALUE"""),"02152392000130")</f>
        <v>02152392000130</v>
      </c>
      <c r="E212" s="7">
        <f ca="1">IFERROR(__xludf.DUMMYFUNCTION("""COMPUTED_VALUE"""),0)</f>
        <v>0</v>
      </c>
      <c r="F212" s="7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IFERROR(__xludf.DUMMYFUNCTION("""COMPUTED_VALUE"""),"420646")</f>
        <v>420646</v>
      </c>
    </row>
    <row r="213" spans="1:9" ht="15.75" customHeight="1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IFERROR(__xludf.DUMMYFUNCTION("""COMPUTED_VALUE"""),"ASSOC. DE APOIO ESC. EST. BOM JESUS")</f>
        <v>ASSOC. DE APOIO ESC. EST. BOM JESUS</v>
      </c>
      <c r="D213" t="str">
        <f ca="1">IFERROR(__xludf.DUMMYFUNCTION("""COMPUTED_VALUE"""),"01865430000139")</f>
        <v>01865430000139</v>
      </c>
      <c r="E213" s="7">
        <f ca="1">IFERROR(__xludf.DUMMYFUNCTION("""COMPUTED_VALUE"""),0)</f>
        <v>0</v>
      </c>
      <c r="F213" s="7">
        <f ca="1">IFERROR(__xludf.DUMMYFUNCTION("""COMPUTED_VALUE"""),0)</f>
        <v>0</v>
      </c>
      <c r="G213" t="str">
        <f ca="1">IFERROR(__xludf.DUMMYFUNCTION("""COMPUTED_VALUE"""),"001")</f>
        <v>001</v>
      </c>
      <c r="H213" t="str">
        <f ca="1">IFERROR(__xludf.DUMMYFUNCTION("""COMPUTED_VALUE"""),"0794")</f>
        <v>0794</v>
      </c>
      <c r="I213" t="str">
        <f ca="1">IFERROR(__xludf.DUMMYFUNCTION("""COMPUTED_VALUE"""),"420603")</f>
        <v>420603</v>
      </c>
    </row>
    <row r="214" spans="1:9" ht="15.75" customHeight="1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IFERROR(__xludf.DUMMYFUNCTION("""COMPUTED_VALUE"""),"ASSOC. DE APOIO COL. EST. DE GURUPI")</f>
        <v>ASSOC. DE APOIO COL. EST. DE GURUPI</v>
      </c>
      <c r="D214" t="str">
        <f ca="1">IFERROR(__xludf.DUMMYFUNCTION("""COMPUTED_VALUE"""),"01887135000183")</f>
        <v>01887135000183</v>
      </c>
      <c r="E214" s="7">
        <f ca="1">IFERROR(__xludf.DUMMYFUNCTION("""COMPUTED_VALUE"""),0)</f>
        <v>0</v>
      </c>
      <c r="F214" s="7">
        <f ca="1">IFERROR(__xludf.DUMMYFUNCTION("""COMPUTED_VALUE"""),0)</f>
        <v>0</v>
      </c>
      <c r="G214" t="str">
        <f ca="1">IFERROR(__xludf.DUMMYFUNCTION("""COMPUTED_VALUE"""),"001")</f>
        <v>001</v>
      </c>
      <c r="H214" t="str">
        <f ca="1">IFERROR(__xludf.DUMMYFUNCTION("""COMPUTED_VALUE"""),"0794")</f>
        <v>0794</v>
      </c>
      <c r="I214" t="str">
        <f ca="1">IFERROR(__xludf.DUMMYFUNCTION("""COMPUTED_VALUE"""),"420700")</f>
        <v>420700</v>
      </c>
    </row>
    <row r="215" spans="1:9" ht="15.75" customHeight="1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IFERROR(__xludf.DUMMYFUNCTION("""COMPUTED_VALUE"""),"A.A.  DO COL. PAROQUIAL BERNARDO SAYAO")</f>
        <v>A.A.  DO COL. PAROQUIAL BERNARDO SAYAO</v>
      </c>
      <c r="D215" t="str">
        <f ca="1">IFERROR(__xludf.DUMMYFUNCTION("""COMPUTED_VALUE"""),"01865371000107")</f>
        <v>01865371000107</v>
      </c>
      <c r="E215" s="7">
        <f ca="1">IFERROR(__xludf.DUMMYFUNCTION("""COMPUTED_VALUE"""),0)</f>
        <v>0</v>
      </c>
      <c r="F215" s="7">
        <f ca="1">IFERROR(__xludf.DUMMYFUNCTION("""COMPUTED_VALUE"""),0)</f>
        <v>0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IFERROR(__xludf.DUMMYFUNCTION("""COMPUTED_VALUE"""),"66796")</f>
        <v>66796</v>
      </c>
    </row>
    <row r="216" spans="1:9" ht="15.75" customHeight="1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IFERROR(__xludf.DUMMYFUNCTION("""COMPUTED_VALUE"""),"A.A.  ESCOLAR DO COL. EST. JOSE SEABRA")</f>
        <v>A.A.  ESCOLAR DO COL. EST. JOSE SEABRA</v>
      </c>
      <c r="D216" t="str">
        <f ca="1">IFERROR(__xludf.DUMMYFUNCTION("""COMPUTED_VALUE"""),"01910570000181")</f>
        <v>01910570000181</v>
      </c>
      <c r="E216" s="7">
        <f ca="1">IFERROR(__xludf.DUMMYFUNCTION("""COMPUTED_VALUE"""),0)</f>
        <v>0</v>
      </c>
      <c r="F216" s="7">
        <f ca="1">IFERROR(__xludf.DUMMYFUNCTION("""COMPUTED_VALUE"""),0)</f>
        <v>0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IFERROR(__xludf.DUMMYFUNCTION("""COMPUTED_VALUE"""),"66982")</f>
        <v>66982</v>
      </c>
    </row>
    <row r="217" spans="1:9" ht="15.75" customHeight="1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IFERROR(__xludf.DUMMYFUNCTION("""COMPUTED_VALUE"""),"A.P.M.AL.MAIORES DE ID.C.POSITIVO GURUPI")</f>
        <v>A.P.M.AL.MAIORES DE ID.C.POSITIVO GURUPI</v>
      </c>
      <c r="D217" t="str">
        <f ca="1">IFERROR(__xludf.DUMMYFUNCTION("""COMPUTED_VALUE"""),"01865432000128")</f>
        <v>01865432000128</v>
      </c>
      <c r="E217" s="7">
        <f ca="1">IFERROR(__xludf.DUMMYFUNCTION("""COMPUTED_VALUE"""),0)</f>
        <v>0</v>
      </c>
      <c r="F217" s="7">
        <f ca="1">IFERROR(__xludf.DUMMYFUNCTION("""COMPUTED_VALUE"""),0)</f>
        <v>0</v>
      </c>
      <c r="G217" t="str">
        <f ca="1">IFERROR(__xludf.DUMMYFUNCTION("""COMPUTED_VALUE"""),"104")</f>
        <v>104</v>
      </c>
      <c r="H217" t="str">
        <f ca="1">IFERROR(__xludf.DUMMYFUNCTION("""COMPUTED_VALUE"""),"0793")</f>
        <v>0793</v>
      </c>
      <c r="I217" t="str">
        <f ca="1">IFERROR(__xludf.DUMMYFUNCTION("""COMPUTED_VALUE"""),"12138")</f>
        <v>12138</v>
      </c>
    </row>
    <row r="218" spans="1:9" ht="15.75" customHeight="1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IFERROR(__xludf.DUMMYFUNCTION("""COMPUTED_VALUE"""),"INSTITUTO SOCIAL EVANG DE GURUPI/EDUC. EVANG. EBENÉZER")</f>
        <v>INSTITUTO SOCIAL EVANG DE GURUPI/EDUC. EVANG. EBENÉZER</v>
      </c>
      <c r="D218" t="str">
        <f ca="1">IFERROR(__xludf.DUMMYFUNCTION("""COMPUTED_VALUE"""),"17194297000176")</f>
        <v>17194297000176</v>
      </c>
      <c r="E218" s="7">
        <f ca="1">IFERROR(__xludf.DUMMYFUNCTION("""COMPUTED_VALUE"""),0)</f>
        <v>0</v>
      </c>
      <c r="F218" s="7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IFERROR(__xludf.DUMMYFUNCTION("""COMPUTED_VALUE"""),"493066")</f>
        <v>493066</v>
      </c>
    </row>
    <row r="219" spans="1:9" ht="15.75" customHeight="1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IFERROR(__xludf.DUMMYFUNCTION("""COMPUTED_VALUE"""),"ASSOCIAÇÃO DE APOIO A ESCOLA ESPECIAL SÃO FRANCISCO DE ASSIS")</f>
        <v>ASSOCIAÇÃO DE APOIO A ESCOLA ESPECIAL SÃO FRANCISCO DE ASSIS</v>
      </c>
      <c r="D219" t="str">
        <f ca="1">IFERROR(__xludf.DUMMYFUNCTION("""COMPUTED_VALUE"""),"07947356000186")</f>
        <v>07947356000186</v>
      </c>
      <c r="E219" s="7">
        <f ca="1">IFERROR(__xludf.DUMMYFUNCTION("""COMPUTED_VALUE"""),0)</f>
        <v>0</v>
      </c>
      <c r="F219" s="7">
        <f ca="1">IFERROR(__xludf.DUMMYFUNCTION("""COMPUTED_VALUE"""),331.2)</f>
        <v>331.2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IFERROR(__xludf.DUMMYFUNCTION("""COMPUTED_VALUE"""),"431109")</f>
        <v>431109</v>
      </c>
    </row>
    <row r="220" spans="1:9" ht="15.75" customHeight="1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ESC. EST. DR. JOAQUIM P. DA COSTA")</f>
        <v>A.A. ESC. EST. DR. JOAQUIM P. DA COSTA</v>
      </c>
      <c r="D220" t="str">
        <f ca="1">IFERROR(__xludf.DUMMYFUNCTION("""COMPUTED_VALUE"""),"01865386000167")</f>
        <v>01865386000167</v>
      </c>
      <c r="E220" s="7">
        <f ca="1">IFERROR(__xludf.DUMMYFUNCTION("""COMPUTED_VALUE"""),0)</f>
        <v>0</v>
      </c>
      <c r="F220" s="7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IFERROR(__xludf.DUMMYFUNCTION("""COMPUTED_VALUE"""),"67288")</f>
        <v>67288</v>
      </c>
    </row>
    <row r="221" spans="1:9" ht="15.75" customHeight="1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IFERROR(__xludf.DUMMYFUNCTION("""COMPUTED_VALUE"""),"A.A. ESCOLAR DA ESC. EST. DR.WALDIR LINS")</f>
        <v>A.A. ESCOLAR DA ESC. EST. DR.WALDIR LINS</v>
      </c>
      <c r="D221" t="str">
        <f ca="1">IFERROR(__xludf.DUMMYFUNCTION("""COMPUTED_VALUE"""),"01936535000131")</f>
        <v>01936535000131</v>
      </c>
      <c r="E221" s="7">
        <f ca="1">IFERROR(__xludf.DUMMYFUNCTION("""COMPUTED_VALUE"""),0)</f>
        <v>0</v>
      </c>
      <c r="F221" s="7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IFERROR(__xludf.DUMMYFUNCTION("""COMPUTED_VALUE"""),"66966")</f>
        <v>66966</v>
      </c>
    </row>
    <row r="222" spans="1:9" ht="15.75" customHeight="1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IFERROR(__xludf.DUMMYFUNCTION("""COMPUTED_VALUE"""),"A. EDUCACIONAL PRES. COSTA E SILVA")</f>
        <v>A. EDUCACIONAL PRES. COSTA E SILVA</v>
      </c>
      <c r="D222" t="str">
        <f ca="1">IFERROR(__xludf.DUMMYFUNCTION("""COMPUTED_VALUE"""),"01888719000173")</f>
        <v>01888719000173</v>
      </c>
      <c r="E222" s="7">
        <f ca="1">IFERROR(__xludf.DUMMYFUNCTION("""COMPUTED_VALUE"""),0)</f>
        <v>0</v>
      </c>
      <c r="F222" s="7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IFERROR(__xludf.DUMMYFUNCTION("""COMPUTED_VALUE"""),"67490")</f>
        <v>67490</v>
      </c>
    </row>
    <row r="223" spans="1:9" ht="15.75" customHeight="1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IFERROR(__xludf.DUMMYFUNCTION("""COMPUTED_VALUE"""),"A.A. ESC. EST. HERCILIA CARVALHO DA SILVA")</f>
        <v>A.A. ESC. EST. HERCILIA CARVALHO DA SILVA</v>
      </c>
      <c r="D223" t="str">
        <f ca="1">IFERROR(__xludf.DUMMYFUNCTION("""COMPUTED_VALUE"""),"01465790000143")</f>
        <v>01465790000143</v>
      </c>
      <c r="E223" s="7">
        <f ca="1">IFERROR(__xludf.DUMMYFUNCTION("""COMPUTED_VALUE"""),0)</f>
        <v>0</v>
      </c>
      <c r="F223" s="7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IFERROR(__xludf.DUMMYFUNCTION("""COMPUTED_VALUE"""),"66834")</f>
        <v>66834</v>
      </c>
    </row>
    <row r="224" spans="1:9" ht="15.75" customHeight="1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IFERROR(__xludf.DUMMYFUNCTION("""COMPUTED_VALUE"""),"A.A. DA ESCOLA ESTADUAL RUI BARBOSA")</f>
        <v>A.A. DA ESCOLA ESTADUAL RUI BARBOSA</v>
      </c>
      <c r="D224" t="str">
        <f ca="1">IFERROR(__xludf.DUMMYFUNCTION("""COMPUTED_VALUE"""),"43753475000161")</f>
        <v>43753475000161</v>
      </c>
      <c r="E224" s="7">
        <f ca="1">IFERROR(__xludf.DUMMYFUNCTION("""COMPUTED_VALUE"""),0)</f>
        <v>0</v>
      </c>
      <c r="F224" s="7">
        <f ca="1">IFERROR(__xludf.DUMMYFUNCTION("""COMPUTED_VALUE"""),0)</f>
        <v>0</v>
      </c>
      <c r="G224" t="str">
        <f ca="1">IFERROR(__xludf.DUMMYFUNCTION("""COMPUTED_VALUE"""),"001")</f>
        <v>001</v>
      </c>
      <c r="H224" t="str">
        <f ca="1">IFERROR(__xludf.DUMMYFUNCTION("""COMPUTED_VALUE"""),"0794")</f>
        <v>0794</v>
      </c>
      <c r="I224" t="str">
        <f ca="1">IFERROR(__xludf.DUMMYFUNCTION("""COMPUTED_VALUE"""),"682969")</f>
        <v>682969</v>
      </c>
    </row>
    <row r="225" spans="1:9" ht="15.75" customHeight="1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 DE PAIS E MESTRES/ESC. EST. VILA GUARACY")</f>
        <v>A. DE PAIS E MESTRES/ESC. EST. VILA GUARACY</v>
      </c>
      <c r="D225" t="str">
        <f ca="1">IFERROR(__xludf.DUMMYFUNCTION("""COMPUTED_VALUE"""),"01918955000195")</f>
        <v>01918955000195</v>
      </c>
      <c r="E225" s="7">
        <f ca="1">IFERROR(__xludf.DUMMYFUNCTION("""COMPUTED_VALUE"""),0)</f>
        <v>0</v>
      </c>
      <c r="F225" s="7">
        <f ca="1">IFERROR(__xludf.DUMMYFUNCTION("""COMPUTED_VALUE"""),0)</f>
        <v>0</v>
      </c>
      <c r="G225" t="str">
        <f ca="1">IFERROR(__xludf.DUMMYFUNCTION("""COMPUTED_VALUE"""),"001")</f>
        <v>001</v>
      </c>
      <c r="H225" t="str">
        <f ca="1">IFERROR(__xludf.DUMMYFUNCTION("""COMPUTED_VALUE"""),"0794")</f>
        <v>0794</v>
      </c>
      <c r="I225" t="str">
        <f ca="1">IFERROR(__xludf.DUMMYFUNCTION("""COMPUTED_VALUE"""),"67008")</f>
        <v>67008</v>
      </c>
    </row>
    <row r="226" spans="1:9" ht="15.75" customHeight="1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t="str">
        <f ca="1">IFERROR(__xludf.DUMMYFUNCTION("""COMPUTED_VALUE"""),"APM. DA INSTITUIÇÃO BENEFICENTE IRMÃ DULCE")</f>
        <v>APM. DA INSTITUIÇÃO BENEFICENTE IRMÃ DULCE</v>
      </c>
      <c r="D226" t="str">
        <f ca="1">IFERROR(__xludf.DUMMYFUNCTION("""COMPUTED_VALUE"""),"10807313000100")</f>
        <v>10807313000100</v>
      </c>
      <c r="E226" s="7">
        <f ca="1">IFERROR(__xludf.DUMMYFUNCTION("""COMPUTED_VALUE"""),0)</f>
        <v>0</v>
      </c>
      <c r="F226" s="7">
        <f ca="1">IFERROR(__xludf.DUMMYFUNCTION("""COMPUTED_VALUE"""),0)</f>
        <v>0</v>
      </c>
      <c r="G226" t="str">
        <f ca="1">IFERROR(__xludf.DUMMYFUNCTION("""COMPUTED_VALUE"""),"001")</f>
        <v>001</v>
      </c>
      <c r="H226" t="str">
        <f ca="1">IFERROR(__xludf.DUMMYFUNCTION("""COMPUTED_VALUE"""),"0794")</f>
        <v>0794</v>
      </c>
      <c r="I226" t="str">
        <f ca="1">IFERROR(__xludf.DUMMYFUNCTION("""COMPUTED_VALUE"""),"447218")</f>
        <v>447218</v>
      </c>
    </row>
    <row r="227" spans="1:9" ht="15.75" customHeight="1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t="str">
        <f ca="1">IFERROR(__xludf.DUMMYFUNCTION("""COMPUTED_VALUE"""),"ASSOC APOIO INSTITUTO EDUCACIONAL PASSO A PASSO")</f>
        <v>ASSOC APOIO INSTITUTO EDUCACIONAL PASSO A PASSO</v>
      </c>
      <c r="D227" t="str">
        <f ca="1">IFERROR(__xludf.DUMMYFUNCTION("""COMPUTED_VALUE"""),"10450172000110")</f>
        <v>10450172000110</v>
      </c>
      <c r="E227" s="7">
        <f ca="1">IFERROR(__xludf.DUMMYFUNCTION("""COMPUTED_VALUE"""),0)</f>
        <v>0</v>
      </c>
      <c r="F227" s="7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IFERROR(__xludf.DUMMYFUNCTION("""COMPUTED_VALUE"""),"0794")</f>
        <v>0794</v>
      </c>
      <c r="I227" t="str">
        <f ca="1">IFERROR(__xludf.DUMMYFUNCTION("""COMPUTED_VALUE"""),"414263")</f>
        <v>414263</v>
      </c>
    </row>
    <row r="228" spans="1:9" ht="15.75" customHeight="1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t="str">
        <f ca="1">IFERROR(__xludf.DUMMYFUNCTION("""COMPUTED_VALUE"""),"A.A. DO INSTITUTO PRESBITERIANO ARAGUAIA")</f>
        <v>A.A. DO INSTITUTO PRESBITERIANO ARAGUAIA</v>
      </c>
      <c r="D228" t="str">
        <f ca="1">IFERROR(__xludf.DUMMYFUNCTION("""COMPUTED_VALUE"""),"03060918000114")</f>
        <v>03060918000114</v>
      </c>
      <c r="E228" s="7">
        <f ca="1">IFERROR(__xludf.DUMMYFUNCTION("""COMPUTED_VALUE"""),0)</f>
        <v>0</v>
      </c>
      <c r="F228" s="7">
        <f ca="1">IFERROR(__xludf.DUMMYFUNCTION("""COMPUTED_VALUE"""),0)</f>
        <v>0</v>
      </c>
      <c r="G228" t="str">
        <f ca="1">IFERROR(__xludf.DUMMYFUNCTION("""COMPUTED_VALUE"""),"104")</f>
        <v>104</v>
      </c>
      <c r="H228" t="str">
        <f ca="1">IFERROR(__xludf.DUMMYFUNCTION("""COMPUTED_VALUE"""),"0793")</f>
        <v>0793</v>
      </c>
      <c r="I228" t="str">
        <f ca="1">IFERROR(__xludf.DUMMYFUNCTION("""COMPUTED_VALUE"""),"12090")</f>
        <v>12090</v>
      </c>
    </row>
    <row r="229" spans="1:9" ht="15.75" customHeight="1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t="str">
        <f ca="1">IFERROR(__xludf.DUMMYFUNCTION("""COMPUTED_VALUE"""),"A.A. DO INSTITUTO PRESBITERIANO EDUCACIONAL")</f>
        <v>A.A. DO INSTITUTO PRESBITERIANO EDUCACIONAL</v>
      </c>
      <c r="D229" t="str">
        <f ca="1">IFERROR(__xludf.DUMMYFUNCTION("""COMPUTED_VALUE"""),"07217559000117")</f>
        <v>07217559000117</v>
      </c>
      <c r="E229" s="7">
        <f ca="1">IFERROR(__xludf.DUMMYFUNCTION("""COMPUTED_VALUE"""),0)</f>
        <v>0</v>
      </c>
      <c r="F229" s="7">
        <f ca="1">IFERROR(__xludf.DUMMYFUNCTION("""COMPUTED_VALUE"""),0)</f>
        <v>0</v>
      </c>
      <c r="G229" t="str">
        <f ca="1">IFERROR(__xludf.DUMMYFUNCTION("""COMPUTED_VALUE"""),"104")</f>
        <v>104</v>
      </c>
      <c r="H229" t="str">
        <f ca="1">IFERROR(__xludf.DUMMYFUNCTION("""COMPUTED_VALUE"""),"0793")</f>
        <v>0793</v>
      </c>
      <c r="I229" t="str">
        <f ca="1">IFERROR(__xludf.DUMMYFUNCTION("""COMPUTED_VALUE"""),"2663")</f>
        <v>2663</v>
      </c>
    </row>
    <row r="230" spans="1:9" ht="15.75" customHeight="1">
      <c r="A230" t="str">
        <f ca="1">IFERROR(__xludf.DUMMYFUNCTION("""COMPUTED_VALUE"""),"Gurupi")</f>
        <v>Gurupi</v>
      </c>
      <c r="B230" t="str">
        <f ca="1">IFERROR(__xludf.DUMMYFUNCTION("""COMPUTED_VALUE"""),"Jau do Tocantins")</f>
        <v>Jau do Tocantins</v>
      </c>
      <c r="C230" t="str">
        <f ca="1">IFERROR(__xludf.DUMMYFUNCTION("""COMPUTED_VALUE"""),"AAEC PEDRO LUIZ BONFIM/ADELÁIDE FRANCISCO SOARES")</f>
        <v>AAEC PEDRO LUIZ BONFIM/ADELÁIDE FRANCISCO SOARES</v>
      </c>
      <c r="D230" t="str">
        <f ca="1">IFERROR(__xludf.DUMMYFUNCTION("""COMPUTED_VALUE"""),"02080228000164")</f>
        <v>02080228000164</v>
      </c>
      <c r="E230" s="7">
        <f ca="1">IFERROR(__xludf.DUMMYFUNCTION("""COMPUTED_VALUE"""),0)</f>
        <v>0</v>
      </c>
      <c r="F230" s="7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IFERROR(__xludf.DUMMYFUNCTION("""COMPUTED_VALUE"""),"0794")</f>
        <v>0794</v>
      </c>
      <c r="I230" t="str">
        <f ca="1">IFERROR(__xludf.DUMMYFUNCTION("""COMPUTED_VALUE"""),"420743")</f>
        <v>420743</v>
      </c>
    </row>
    <row r="231" spans="1:9" ht="15.75" customHeight="1">
      <c r="A231" t="str">
        <f ca="1">IFERROR(__xludf.DUMMYFUNCTION("""COMPUTED_VALUE"""),"Gurupi")</f>
        <v>Gurupi</v>
      </c>
      <c r="B231" t="str">
        <f ca="1">IFERROR(__xludf.DUMMYFUNCTION("""COMPUTED_VALUE"""),"Palmeiropolis")</f>
        <v>Palmeiropolis</v>
      </c>
      <c r="C231" t="str">
        <f ca="1">IFERROR(__xludf.DUMMYFUNCTION("""COMPUTED_VALUE"""),"A.A. ESCOLA ESTADUAL PROFESSORA ONEIDES")</f>
        <v>A.A. ESCOLA ESTADUAL PROFESSORA ONEIDES</v>
      </c>
      <c r="D231" t="str">
        <f ca="1">IFERROR(__xludf.DUMMYFUNCTION("""COMPUTED_VALUE"""),"01262903000103")</f>
        <v>01262903000103</v>
      </c>
      <c r="E231" s="7">
        <f ca="1">IFERROR(__xludf.DUMMYFUNCTION("""COMPUTED_VALUE"""),0)</f>
        <v>0</v>
      </c>
      <c r="F231" s="7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IFERROR(__xludf.DUMMYFUNCTION("""COMPUTED_VALUE"""),"4608")</f>
        <v>4608</v>
      </c>
      <c r="I231" t="str">
        <f ca="1">IFERROR(__xludf.DUMMYFUNCTION("""COMPUTED_VALUE"""),"79758")</f>
        <v>79758</v>
      </c>
    </row>
    <row r="232" spans="1:9" ht="15.75" customHeight="1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t="str">
        <f ca="1">IFERROR(__xludf.DUMMYFUNCTION("""COMPUTED_VALUE"""),"A. A.DO COLEGIO EST. DE PALMEIROPOLIS (COLÉGIO MILITAR)")</f>
        <v>A. A.DO COLEGIO EST. DE PALMEIROPOLIS (COLÉGIO MILITAR)</v>
      </c>
      <c r="D232" t="str">
        <f ca="1">IFERROR(__xludf.DUMMYFUNCTION("""COMPUTED_VALUE"""),"01210496000190")</f>
        <v>01210496000190</v>
      </c>
      <c r="E232" s="7">
        <f ca="1">IFERROR(__xludf.DUMMYFUNCTION("""COMPUTED_VALUE"""),0)</f>
        <v>0</v>
      </c>
      <c r="F232" s="7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IFERROR(__xludf.DUMMYFUNCTION("""COMPUTED_VALUE"""),"1303")</f>
        <v>1303</v>
      </c>
      <c r="I232" t="str">
        <f ca="1">IFERROR(__xludf.DUMMYFUNCTION("""COMPUTED_VALUE"""),"97438")</f>
        <v>97438</v>
      </c>
    </row>
    <row r="233" spans="1:9" ht="15.75" customHeight="1">
      <c r="A233" t="str">
        <f ca="1">IFERROR(__xludf.DUMMYFUNCTION("""COMPUTED_VALUE"""),"Gurupi")</f>
        <v>Gurupi</v>
      </c>
      <c r="B233" t="str">
        <f ca="1">IFERROR(__xludf.DUMMYFUNCTION("""COMPUTED_VALUE"""),"Peixe")</f>
        <v>Peixe</v>
      </c>
      <c r="C233" t="str">
        <f ca="1">IFERROR(__xludf.DUMMYFUNCTION("""COMPUTED_VALUE"""),"A.A. AO COLEGIO ESTADUAL D. ALANO")</f>
        <v>A.A. AO COLEGIO ESTADUAL D. ALANO</v>
      </c>
      <c r="D233" t="str">
        <f ca="1">IFERROR(__xludf.DUMMYFUNCTION("""COMPUTED_VALUE"""),"01133705000140")</f>
        <v>01133705000140</v>
      </c>
      <c r="E233" s="7">
        <f ca="1">IFERROR(__xludf.DUMMYFUNCTION("""COMPUTED_VALUE"""),0)</f>
        <v>0</v>
      </c>
      <c r="F233" s="7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IFERROR(__xludf.DUMMYFUNCTION("""COMPUTED_VALUE"""),"3979")</f>
        <v>3979</v>
      </c>
      <c r="I233" t="str">
        <f ca="1">IFERROR(__xludf.DUMMYFUNCTION("""COMPUTED_VALUE"""),"53155")</f>
        <v>53155</v>
      </c>
    </row>
    <row r="234" spans="1:9" ht="15.75" customHeight="1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t="str">
        <f ca="1">IFERROR(__xludf.DUMMYFUNCTION("""COMPUTED_VALUE"""),"A.A.  ESC. EST.TANCREDO DE ALMEIDA NEVES")</f>
        <v>A.A.  ESC. EST.TANCREDO DE ALMEIDA NEVES</v>
      </c>
      <c r="D234" t="str">
        <f ca="1">IFERROR(__xludf.DUMMYFUNCTION("""COMPUTED_VALUE"""),"01136008000142")</f>
        <v>01136008000142</v>
      </c>
      <c r="E234" s="7">
        <f ca="1">IFERROR(__xludf.DUMMYFUNCTION("""COMPUTED_VALUE"""),0)</f>
        <v>0</v>
      </c>
      <c r="F234" s="7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IFERROR(__xludf.DUMMYFUNCTION("""COMPUTED_VALUE"""),"3979")</f>
        <v>3979</v>
      </c>
      <c r="I234" t="str">
        <f ca="1">IFERROR(__xludf.DUMMYFUNCTION("""COMPUTED_VALUE"""),"52914")</f>
        <v>52914</v>
      </c>
    </row>
    <row r="235" spans="1:9" ht="15.75" customHeight="1">
      <c r="A235" t="str">
        <f ca="1">IFERROR(__xludf.DUMMYFUNCTION("""COMPUTED_VALUE"""),"Gurupi")</f>
        <v>Gurupi</v>
      </c>
      <c r="B235" t="str">
        <f ca="1">IFERROR(__xludf.DUMMYFUNCTION("""COMPUTED_VALUE"""),"Sandolandia")</f>
        <v>Sandolandia</v>
      </c>
      <c r="C235" t="str">
        <f ca="1">IFERROR(__xludf.DUMMYFUNCTION("""COMPUTED_VALUE"""),"A.A. A ESC. EST.NOSSA SENHORA APARECIDA")</f>
        <v>A.A. A ESC. EST.NOSSA SENHORA APARECIDA</v>
      </c>
      <c r="D235" t="str">
        <f ca="1">IFERROR(__xludf.DUMMYFUNCTION("""COMPUTED_VALUE"""),"01393269000148")</f>
        <v>01393269000148</v>
      </c>
      <c r="E235" s="7">
        <f ca="1">IFERROR(__xludf.DUMMYFUNCTION("""COMPUTED_VALUE"""),0)</f>
        <v>0</v>
      </c>
      <c r="F235" s="7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IFERROR(__xludf.DUMMYFUNCTION("""COMPUTED_VALUE"""),"1304")</f>
        <v>1304</v>
      </c>
      <c r="I235" t="str">
        <f ca="1">IFERROR(__xludf.DUMMYFUNCTION("""COMPUTED_VALUE"""),"105163")</f>
        <v>105163</v>
      </c>
    </row>
    <row r="236" spans="1:9" ht="15.75" customHeight="1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t="str">
        <f ca="1">IFERROR(__xludf.DUMMYFUNCTION("""COMPUTED_VALUE"""),"ASS. DE APOIO ESC. EST.PE.JOSE DE ANCHIETA")</f>
        <v>ASS. DE APOIO ESC. EST.PE.JOSE DE ANCHIETA</v>
      </c>
      <c r="D236" t="str">
        <f ca="1">IFERROR(__xludf.DUMMYFUNCTION("""COMPUTED_VALUE"""),"01190190000110")</f>
        <v>01190190000110</v>
      </c>
      <c r="E236" s="7">
        <f ca="1">IFERROR(__xludf.DUMMYFUNCTION("""COMPUTED_VALUE"""),0)</f>
        <v>0</v>
      </c>
      <c r="F236" s="7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IFERROR(__xludf.DUMMYFUNCTION("""COMPUTED_VALUE"""),"1304")</f>
        <v>1304</v>
      </c>
      <c r="I236" t="str">
        <f ca="1">IFERROR(__xludf.DUMMYFUNCTION("""COMPUTED_VALUE"""),"105171")</f>
        <v>105171</v>
      </c>
    </row>
    <row r="237" spans="1:9" ht="15.75" customHeight="1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t="str">
        <f ca="1">IFERROR(__xludf.DUMMYFUNCTION("""COMPUTED_VALUE"""),"A.A.DE APOIO ESCOLAR DA ESCOLA INDÍGENA IJAWALA")</f>
        <v>A.A.DE APOIO ESCOLAR DA ESCOLA INDÍGENA IJAWALA</v>
      </c>
      <c r="D237" t="str">
        <f ca="1">IFERROR(__xludf.DUMMYFUNCTION("""COMPUTED_VALUE"""),"48240313000143")</f>
        <v>48240313000143</v>
      </c>
      <c r="E237" s="7">
        <f ca="1">IFERROR(__xludf.DUMMYFUNCTION("""COMPUTED_VALUE"""),0)</f>
        <v>0</v>
      </c>
      <c r="F237" s="7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IFERROR(__xludf.DUMMYFUNCTION("""COMPUTED_VALUE"""),"1304")</f>
        <v>1304</v>
      </c>
      <c r="I237" t="str">
        <f ca="1">IFERROR(__xludf.DUMMYFUNCTION("""COMPUTED_VALUE"""),"1949810")</f>
        <v>1949810</v>
      </c>
    </row>
    <row r="238" spans="1:9" ht="15.75" customHeight="1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t="str">
        <f ca="1">IFERROR(__xludf.DUMMYFUNCTION("""COMPUTED_VALUE"""),"A.A. COLEGIO ESTADUAL AGRÍCOLA JOSÉ PORFÍRIO DE SOUZA")</f>
        <v>A.A. COLEGIO ESTADUAL AGRÍCOLA JOSÉ PORFÍRIO DE SOUZA</v>
      </c>
      <c r="D238" t="str">
        <f ca="1">IFERROR(__xludf.DUMMYFUNCTION("""COMPUTED_VALUE"""),"49952315000128")</f>
        <v>49952315000128</v>
      </c>
      <c r="E238" s="7">
        <f ca="1">IFERROR(__xludf.DUMMYFUNCTION("""COMPUTED_VALUE"""),0)</f>
        <v>0</v>
      </c>
      <c r="F238" s="7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IFERROR(__xludf.DUMMYFUNCTION("""COMPUTED_VALUE"""),"4608")</f>
        <v>4608</v>
      </c>
      <c r="I238" t="str">
        <f ca="1">IFERROR(__xludf.DUMMYFUNCTION("""COMPUTED_VALUE"""),"183679")</f>
        <v>183679</v>
      </c>
    </row>
    <row r="239" spans="1:9" ht="15.75" customHeight="1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t="str">
        <f ca="1">IFERROR(__xludf.DUMMYFUNCTION("""COMPUTED_VALUE"""),"ASS.PAIS E M.ESC. EST.PORTO RIO MARANHAO")</f>
        <v>ASS.PAIS E M.ESC. EST.PORTO RIO MARANHAO</v>
      </c>
      <c r="D239" t="str">
        <f ca="1">IFERROR(__xludf.DUMMYFUNCTION("""COMPUTED_VALUE"""),"01296366000112")</f>
        <v>01296366000112</v>
      </c>
      <c r="E239" s="7">
        <f ca="1">IFERROR(__xludf.DUMMYFUNCTION("""COMPUTED_VALUE"""),0)</f>
        <v>0</v>
      </c>
      <c r="F239" s="7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IFERROR(__xludf.DUMMYFUNCTION("""COMPUTED_VALUE"""),"4608")</f>
        <v>4608</v>
      </c>
      <c r="I239" t="str">
        <f ca="1">IFERROR(__xludf.DUMMYFUNCTION("""COMPUTED_VALUE"""),"70270")</f>
        <v>70270</v>
      </c>
    </row>
    <row r="240" spans="1:9" ht="15.75" customHeight="1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t="str">
        <f ca="1">IFERROR(__xludf.DUMMYFUNCTION("""COMPUTED_VALUE"""),"A.A DA ESCOLA ESTADUAL RETIRO")</f>
        <v>A.A DA ESCOLA ESTADUAL RETIRO</v>
      </c>
      <c r="D240" t="str">
        <f ca="1">IFERROR(__xludf.DUMMYFUNCTION("""COMPUTED_VALUE"""),"04205236000115")</f>
        <v>04205236000115</v>
      </c>
      <c r="E240" s="7">
        <f ca="1">IFERROR(__xludf.DUMMYFUNCTION("""COMPUTED_VALUE"""),0)</f>
        <v>0</v>
      </c>
      <c r="F240" s="7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IFERROR(__xludf.DUMMYFUNCTION("""COMPUTED_VALUE"""),"4608")</f>
        <v>4608</v>
      </c>
      <c r="I240" t="str">
        <f ca="1">IFERROR(__xludf.DUMMYFUNCTION("""COMPUTED_VALUE"""),"73563")</f>
        <v>73563</v>
      </c>
    </row>
    <row r="241" spans="1:9" ht="15.75" customHeight="1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t="str">
        <f ca="1">IFERROR(__xludf.DUMMYFUNCTION("""COMPUTED_VALUE"""),"A.P.M.E ALUNOS COL. EST. REGINA S. CAMPOS")</f>
        <v>A.P.M.E ALUNOS COL. EST. REGINA S. CAMPOS</v>
      </c>
      <c r="D241" t="str">
        <f ca="1">IFERROR(__xludf.DUMMYFUNCTION("""COMPUTED_VALUE"""),"01431377000168")</f>
        <v>01431377000168</v>
      </c>
      <c r="E241" s="7">
        <f ca="1">IFERROR(__xludf.DUMMYFUNCTION("""COMPUTED_VALUE"""),0)</f>
        <v>0</v>
      </c>
      <c r="F241" s="7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IFERROR(__xludf.DUMMYFUNCTION("""COMPUTED_VALUE"""),"0794")</f>
        <v>0794</v>
      </c>
      <c r="I241" t="str">
        <f ca="1">IFERROR(__xludf.DUMMYFUNCTION("""COMPUTED_VALUE"""),"52477")</f>
        <v>52477</v>
      </c>
    </row>
    <row r="242" spans="1:9" ht="15.75" customHeight="1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t="str">
        <f ca="1">IFERROR(__xludf.DUMMYFUNCTION("""COMPUTED_VALUE"""),"AS. APOIO ESCOLA ESTADUAL OLAVO BILAC")</f>
        <v>AS. APOIO ESCOLA ESTADUAL OLAVO BILAC</v>
      </c>
      <c r="D242" t="str">
        <f ca="1">IFERROR(__xludf.DUMMYFUNCTION("""COMPUTED_VALUE"""),"01268287000106")</f>
        <v>01268287000106</v>
      </c>
      <c r="E242" s="7">
        <f ca="1">IFERROR(__xludf.DUMMYFUNCTION("""COMPUTED_VALUE"""),0)</f>
        <v>0</v>
      </c>
      <c r="F242" s="7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IFERROR(__xludf.DUMMYFUNCTION("""COMPUTED_VALUE"""),"0794")</f>
        <v>0794</v>
      </c>
      <c r="I242" t="str">
        <f ca="1">IFERROR(__xludf.DUMMYFUNCTION("""COMPUTED_VALUE"""),"245852")</f>
        <v>245852</v>
      </c>
    </row>
    <row r="243" spans="1:9" ht="15.75" customHeight="1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t="str">
        <f ca="1">IFERROR(__xludf.DUMMYFUNCTION("""COMPUTED_VALUE"""),"A.A.  DO COLEGIO ESTADUAL DE TALISMA")</f>
        <v>A.A.  DO COLEGIO ESTADUAL DE TALISMA</v>
      </c>
      <c r="D243" t="str">
        <f ca="1">IFERROR(__xludf.DUMMYFUNCTION("""COMPUTED_VALUE"""),"07547605000146")</f>
        <v>07547605000146</v>
      </c>
      <c r="E243" s="7">
        <f ca="1">IFERROR(__xludf.DUMMYFUNCTION("""COMPUTED_VALUE"""),0)</f>
        <v>0</v>
      </c>
      <c r="F243" s="7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IFERROR(__xludf.DUMMYFUNCTION("""COMPUTED_VALUE"""),"1303")</f>
        <v>1303</v>
      </c>
      <c r="I243" t="str">
        <f ca="1">IFERROR(__xludf.DUMMYFUNCTION("""COMPUTED_VALUE"""),"155446")</f>
        <v>155446</v>
      </c>
    </row>
    <row r="244" spans="1:9" ht="15.75" customHeight="1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t="str">
        <f ca="1">IFERROR(__xludf.DUMMYFUNCTION("""COMPUTED_VALUE"""),"A.C.E. COL PRES. CASTELO BRANCO")</f>
        <v>A.C.E. COL PRES. CASTELO BRANCO</v>
      </c>
      <c r="D244" t="str">
        <f ca="1">IFERROR(__xludf.DUMMYFUNCTION("""COMPUTED_VALUE"""),"01034882000179")</f>
        <v>01034882000179</v>
      </c>
      <c r="E244" s="7">
        <f ca="1">IFERROR(__xludf.DUMMYFUNCTION("""COMPUTED_VALUE"""),0)</f>
        <v>0</v>
      </c>
      <c r="F244" s="7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IFERROR(__xludf.DUMMYFUNCTION("""COMPUTED_VALUE"""),"68950")</f>
        <v>68950</v>
      </c>
    </row>
    <row r="245" spans="1:9" ht="15.75" customHeight="1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t="str">
        <f ca="1">IFERROR(__xludf.DUMMYFUNCTION("""COMPUTED_VALUE"""),"ASSOC. DE APOIO A ESCOLA ESPECIAL CLOVIS DE ASSIS")</f>
        <v>ASSOC. DE APOIO A ESCOLA ESPECIAL CLOVIS DE ASSIS</v>
      </c>
      <c r="D245" t="str">
        <f ca="1">IFERROR(__xludf.DUMMYFUNCTION("""COMPUTED_VALUE"""),"09327390000183")</f>
        <v>09327390000183</v>
      </c>
      <c r="E245" s="7">
        <f ca="1">IFERROR(__xludf.DUMMYFUNCTION("""COMPUTED_VALUE"""),0)</f>
        <v>0</v>
      </c>
      <c r="F245" s="7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IFERROR(__xludf.DUMMYFUNCTION("""COMPUTED_VALUE"""),"211087")</f>
        <v>211087</v>
      </c>
    </row>
    <row r="246" spans="1:9" ht="15.75" customHeight="1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t="str">
        <f ca="1">IFERROR(__xludf.DUMMYFUNCTION("""COMPUTED_VALUE"""),"A. ESC. COMUN. DO COL. EST. 31 DE MARCO")</f>
        <v>A. ESC. COMUN. DO COL. EST. 31 DE MARCO</v>
      </c>
      <c r="D246" t="str">
        <f ca="1">IFERROR(__xludf.DUMMYFUNCTION("""COMPUTED_VALUE"""),"01232873000192")</f>
        <v>01232873000192</v>
      </c>
      <c r="E246" s="7">
        <f ca="1">IFERROR(__xludf.DUMMYFUNCTION("""COMPUTED_VALUE"""),0)</f>
        <v>0</v>
      </c>
      <c r="F246" s="7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IFERROR(__xludf.DUMMYFUNCTION("""COMPUTED_VALUE"""),"68969")</f>
        <v>68969</v>
      </c>
    </row>
    <row r="247" spans="1:9" ht="15.75" customHeight="1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t="str">
        <f ca="1">IFERROR(__xludf.DUMMYFUNCTION("""COMPUTED_VALUE"""),"ESCOLA ESTADUAL AYRTON SENNA")</f>
        <v>ESCOLA ESTADUAL AYRTON SENNA</v>
      </c>
      <c r="D247" t="str">
        <f ca="1">IFERROR(__xludf.DUMMYFUNCTION("""COMPUTED_VALUE"""),"11406586000105")</f>
        <v>11406586000105</v>
      </c>
      <c r="E247" s="7">
        <f ca="1">IFERROR(__xludf.DUMMYFUNCTION("""COMPUTED_VALUE"""),0)</f>
        <v>0</v>
      </c>
      <c r="F247" s="7">
        <f ca="1">IFERROR(__xludf.DUMMYFUNCTION("""COMPUTED_VALUE"""),0)</f>
        <v>0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IFERROR(__xludf.DUMMYFUNCTION("""COMPUTED_VALUE"""),"270393")</f>
        <v>270393</v>
      </c>
    </row>
    <row r="248" spans="1:9" ht="15.75" customHeight="1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IFERROR(__xludf.DUMMYFUNCTION("""COMPUTED_VALUE"""),"ASSOCIAÇÃO DE APOIO ÀS ESCOLAS INDIGENAS XERENTE")</f>
        <v>ASSOCIAÇÃO DE APOIO ÀS ESCOLAS INDIGENAS XERENTE</v>
      </c>
      <c r="D248" t="str">
        <f ca="1">IFERROR(__xludf.DUMMYFUNCTION("""COMPUTED_VALUE"""),"07671600000120")</f>
        <v>07671600000120</v>
      </c>
      <c r="E248" s="7">
        <f ca="1">IFERROR(__xludf.DUMMYFUNCTION("""COMPUTED_VALUE"""),0)</f>
        <v>0</v>
      </c>
      <c r="F248" s="7">
        <f ca="1">IFERROR(__xludf.DUMMYFUNCTION("""COMPUTED_VALUE"""),0)</f>
        <v>0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IFERROR(__xludf.DUMMYFUNCTION("""COMPUTED_VALUE"""),"185884")</f>
        <v>185884</v>
      </c>
    </row>
    <row r="249" spans="1:9" ht="15.75" customHeight="1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IFERROR(__xludf.DUMMYFUNCTION("""COMPUTED_VALUE"""),"ASSOC ESC COM COL EST FILOMENA MOREIRA DE PAULA")</f>
        <v>ASSOC ESC COM COL EST FILOMENA MOREIRA DE PAULA</v>
      </c>
      <c r="D249" t="str">
        <f ca="1">IFERROR(__xludf.DUMMYFUNCTION("""COMPUTED_VALUE"""),"00900200000109")</f>
        <v>00900200000109</v>
      </c>
      <c r="E249" s="7">
        <f ca="1">IFERROR(__xludf.DUMMYFUNCTION("""COMPUTED_VALUE"""),0)</f>
        <v>0</v>
      </c>
      <c r="F249" s="7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IFERROR(__xludf.DUMMYFUNCTION("""COMPUTED_VALUE"""),"97527")</f>
        <v>97527</v>
      </c>
    </row>
    <row r="250" spans="1:9" ht="15.75" customHeight="1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IFERROR(__xludf.DUMMYFUNCTION("""COMPUTED_VALUE"""),"ASS. DE APOIO AO CEM SANTA TEREZINHA")</f>
        <v>ASS. DE APOIO AO CEM SANTA TEREZINHA</v>
      </c>
      <c r="D250" t="str">
        <f ca="1">IFERROR(__xludf.DUMMYFUNCTION("""COMPUTED_VALUE"""),"01085211000137")</f>
        <v>01085211000137</v>
      </c>
      <c r="E250" s="7">
        <f ca="1">IFERROR(__xludf.DUMMYFUNCTION("""COMPUTED_VALUE"""),0)</f>
        <v>0</v>
      </c>
      <c r="F250" s="7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IFERROR(__xludf.DUMMYFUNCTION("""COMPUTED_VALUE"""),"244589")</f>
        <v>244589</v>
      </c>
    </row>
    <row r="251" spans="1:9" ht="15.75" customHeight="1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t="str">
        <f ca="1">IFERROR(__xludf.DUMMYFUNCTION("""COMPUTED_VALUE"""),"SOCIEDADE EDUCADORA FEMININA/COLÉGIO TOCANTINS")</f>
        <v>SOCIEDADE EDUCADORA FEMININA/COLÉGIO TOCANTINS</v>
      </c>
      <c r="D251" t="str">
        <f ca="1">IFERROR(__xludf.DUMMYFUNCTION("""COMPUTED_VALUE"""),"61373585000694")</f>
        <v>61373585000694</v>
      </c>
      <c r="E251" s="7">
        <f ca="1">IFERROR(__xludf.DUMMYFUNCTION("""COMPUTED_VALUE"""),0)</f>
        <v>0</v>
      </c>
      <c r="F251" s="7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IFERROR(__xludf.DUMMYFUNCTION("""COMPUTED_VALUE"""),"0862")</f>
        <v>0862</v>
      </c>
      <c r="I251" t="str">
        <f ca="1">IFERROR(__xludf.DUMMYFUNCTION("""COMPUTED_VALUE"""),"69086")</f>
        <v>69086</v>
      </c>
    </row>
    <row r="252" spans="1:9" ht="15.75" customHeight="1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t="str">
        <f ca="1">IFERROR(__xludf.DUMMYFUNCTION("""COMPUTED_VALUE"""),"A.P.A.DOS EXECEPCIONAIS DE MIRACEMA - APAE")</f>
        <v>A.P.A.DOS EXECEPCIONAIS DE MIRACEMA - APAE</v>
      </c>
      <c r="D252" t="str">
        <f ca="1">IFERROR(__xludf.DUMMYFUNCTION("""COMPUTED_VALUE"""),"38146965000160")</f>
        <v>38146965000160</v>
      </c>
      <c r="E252" s="7">
        <f ca="1">IFERROR(__xludf.DUMMYFUNCTION("""COMPUTED_VALUE"""),0)</f>
        <v>0</v>
      </c>
      <c r="F252" s="7">
        <f ca="1">IFERROR(__xludf.DUMMYFUNCTION("""COMPUTED_VALUE"""),244.8)</f>
        <v>244.8</v>
      </c>
      <c r="G252" t="str">
        <f ca="1">IFERROR(__xludf.DUMMYFUNCTION("""COMPUTED_VALUE"""),"001")</f>
        <v>001</v>
      </c>
      <c r="H252" t="str">
        <f ca="1">IFERROR(__xludf.DUMMYFUNCTION("""COMPUTED_VALUE"""),"0862")</f>
        <v>0862</v>
      </c>
      <c r="I252" t="str">
        <f ca="1">IFERROR(__xludf.DUMMYFUNCTION("""COMPUTED_VALUE"""),"93734")</f>
        <v>93734</v>
      </c>
    </row>
    <row r="253" spans="1:9" ht="15.75" customHeight="1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t="str">
        <f ca="1">IFERROR(__xludf.DUMMYFUNCTION("""COMPUTED_VALUE"""),"A.COM.DA ESC. EST. JOSE D. VASCONCELOS")</f>
        <v>A.COM.DA ESC. EST. JOSE D. VASCONCELOS</v>
      </c>
      <c r="D253" t="str">
        <f ca="1">IFERROR(__xludf.DUMMYFUNCTION("""COMPUTED_VALUE"""),"01068379000134")</f>
        <v>01068379000134</v>
      </c>
      <c r="E253" s="7">
        <f ca="1">IFERROR(__xludf.DUMMYFUNCTION("""COMPUTED_VALUE"""),0)</f>
        <v>0</v>
      </c>
      <c r="F253" s="7">
        <f ca="1">IFERROR(__xludf.DUMMYFUNCTION("""COMPUTED_VALUE"""),0)</f>
        <v>0</v>
      </c>
      <c r="G253" t="str">
        <f ca="1">IFERROR(__xludf.DUMMYFUNCTION("""COMPUTED_VALUE"""),"001")</f>
        <v>001</v>
      </c>
      <c r="H253" t="str">
        <f ca="1">IFERROR(__xludf.DUMMYFUNCTION("""COMPUTED_VALUE"""),"0862")</f>
        <v>0862</v>
      </c>
      <c r="I253" t="str">
        <f ca="1">IFERROR(__xludf.DUMMYFUNCTION("""COMPUTED_VALUE"""),"69035")</f>
        <v>69035</v>
      </c>
    </row>
    <row r="254" spans="1:9" ht="15.75" customHeight="1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t="str">
        <f ca="1">IFERROR(__xludf.DUMMYFUNCTION("""COMPUTED_VALUE"""),"A.P.M.A. ESC. CONV. ONESINA BANDEIRA")</f>
        <v>A.P.M.A. ESC. CONV. ONESINA BANDEIRA</v>
      </c>
      <c r="D254" t="str">
        <f ca="1">IFERROR(__xludf.DUMMYFUNCTION("""COMPUTED_VALUE"""),"01133700000117")</f>
        <v>01133700000117</v>
      </c>
      <c r="E254" s="7">
        <f ca="1">IFERROR(__xludf.DUMMYFUNCTION("""COMPUTED_VALUE"""),0)</f>
        <v>0</v>
      </c>
      <c r="F254" s="7">
        <f ca="1">IFERROR(__xludf.DUMMYFUNCTION("""COMPUTED_VALUE"""),0)</f>
        <v>0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IFERROR(__xludf.DUMMYFUNCTION("""COMPUTED_VALUE"""),"69051")</f>
        <v>69051</v>
      </c>
    </row>
    <row r="255" spans="1:9" ht="15.75" customHeight="1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t="str">
        <f ca="1">IFERROR(__xludf.DUMMYFUNCTION("""COMPUTED_VALUE"""),"A.A.  DA ESCOLA ESTADUAL OSCAR SARDINHA")</f>
        <v>A.A.  DA ESCOLA ESTADUAL OSCAR SARDINHA</v>
      </c>
      <c r="D255" t="str">
        <f ca="1">IFERROR(__xludf.DUMMYFUNCTION("""COMPUTED_VALUE"""),"01197158000166")</f>
        <v>01197158000166</v>
      </c>
      <c r="E255" s="7">
        <f ca="1">IFERROR(__xludf.DUMMYFUNCTION("""COMPUTED_VALUE"""),0)</f>
        <v>0</v>
      </c>
      <c r="F255" s="7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IFERROR(__xludf.DUMMYFUNCTION("""COMPUTED_VALUE"""),"6906X")</f>
        <v>6906X</v>
      </c>
    </row>
    <row r="256" spans="1:9" ht="15.75" customHeight="1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t="str">
        <f ca="1">IFERROR(__xludf.DUMMYFUNCTION("""COMPUTED_VALUE"""),"ASSOC. COM. DO COL. RUI BRASIL CAVALCANTE")</f>
        <v>ASSOC. COM. DO COL. RUI BRASIL CAVALCANTE</v>
      </c>
      <c r="D256" t="str">
        <f ca="1">IFERROR(__xludf.DUMMYFUNCTION("""COMPUTED_VALUE"""),"01112765000186")</f>
        <v>01112765000186</v>
      </c>
      <c r="E256" s="7">
        <f ca="1">IFERROR(__xludf.DUMMYFUNCTION("""COMPUTED_VALUE"""),0)</f>
        <v>0</v>
      </c>
      <c r="F256" s="7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IFERROR(__xludf.DUMMYFUNCTION("""COMPUTED_VALUE"""),"4560")</f>
        <v>4560</v>
      </c>
      <c r="I256" t="str">
        <f ca="1">IFERROR(__xludf.DUMMYFUNCTION("""COMPUTED_VALUE"""),"78905")</f>
        <v>78905</v>
      </c>
    </row>
    <row r="257" spans="1:9" ht="15.75" customHeight="1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t="str">
        <f ca="1">IFERROR(__xludf.DUMMYFUNCTION("""COMPUTED_VALUE"""),"A.A. C.E.NOSSA SENHORA DA PROVIDENCIA")</f>
        <v>A.A. C.E.NOSSA SENHORA DA PROVIDENCIA</v>
      </c>
      <c r="D257" t="str">
        <f ca="1">IFERROR(__xludf.DUMMYFUNCTION("""COMPUTED_VALUE"""),"01190186000151")</f>
        <v>01190186000151</v>
      </c>
      <c r="E257" s="7">
        <f ca="1">IFERROR(__xludf.DUMMYFUNCTION("""COMPUTED_VALUE"""),0)</f>
        <v>0</v>
      </c>
      <c r="F257" s="7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IFERROR(__xludf.DUMMYFUNCTION("""COMPUTED_VALUE"""),"4560")</f>
        <v>4560</v>
      </c>
      <c r="I257" t="str">
        <f ca="1">IFERROR(__xludf.DUMMYFUNCTION("""COMPUTED_VALUE"""),"7778X")</f>
        <v>7778X</v>
      </c>
    </row>
    <row r="258" spans="1:9" ht="15.75" customHeight="1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t="str">
        <f ca="1">IFERROR(__xludf.DUMMYFUNCTION("""COMPUTED_VALUE"""),"A.A ESC. ESPECIAL CORAÇÃO DE MARIA")</f>
        <v>A.A ESC. ESPECIAL CORAÇÃO DE MARIA</v>
      </c>
      <c r="D258" t="str">
        <f ca="1">IFERROR(__xludf.DUMMYFUNCTION("""COMPUTED_VALUE"""),"07968866000130")</f>
        <v>07968866000130</v>
      </c>
      <c r="E258" s="7">
        <f ca="1">IFERROR(__xludf.DUMMYFUNCTION("""COMPUTED_VALUE"""),0)</f>
        <v>0</v>
      </c>
      <c r="F258" s="7">
        <f ca="1">IFERROR(__xludf.DUMMYFUNCTION("""COMPUTED_VALUE"""),172.8)</f>
        <v>172.8</v>
      </c>
      <c r="G258" t="str">
        <f ca="1">IFERROR(__xludf.DUMMYFUNCTION("""COMPUTED_VALUE"""),"001")</f>
        <v>001</v>
      </c>
      <c r="H258" t="str">
        <f ca="1">IFERROR(__xludf.DUMMYFUNCTION("""COMPUTED_VALUE"""),"0862")</f>
        <v>0862</v>
      </c>
      <c r="I258" t="str">
        <f ca="1">IFERROR(__xludf.DUMMYFUNCTION("""COMPUTED_VALUE"""),"265217")</f>
        <v>265217</v>
      </c>
    </row>
    <row r="259" spans="1:9" ht="15.75" customHeight="1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t="str">
        <f ca="1">IFERROR(__xludf.DUMMYFUNCTION("""COMPUTED_VALUE"""),"A.A. ESC EST DR. VALDECY PINHEIRO")</f>
        <v>A.A. ESC EST DR. VALDECY PINHEIRO</v>
      </c>
      <c r="D259" t="str">
        <f ca="1">IFERROR(__xludf.DUMMYFUNCTION("""COMPUTED_VALUE"""),"01079937000167")</f>
        <v>01079937000167</v>
      </c>
      <c r="E259" s="7">
        <f ca="1">IFERROR(__xludf.DUMMYFUNCTION("""COMPUTED_VALUE"""),0)</f>
        <v>0</v>
      </c>
      <c r="F259" s="7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IFERROR(__xludf.DUMMYFUNCTION("""COMPUTED_VALUE"""),"0862")</f>
        <v>0862</v>
      </c>
      <c r="I259" t="str">
        <f ca="1">IFERROR(__xludf.DUMMYFUNCTION("""COMPUTED_VALUE"""),"69116")</f>
        <v>69116</v>
      </c>
    </row>
    <row r="260" spans="1:9" ht="15.75" customHeight="1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t="str">
        <f ca="1">IFERROR(__xludf.DUMMYFUNCTION("""COMPUTED_VALUE"""),"ASS. APOIO AO CEM XERENTE WARA")</f>
        <v>ASS. APOIO AO CEM XERENTE WARA</v>
      </c>
      <c r="D260" t="str">
        <f ca="1">IFERROR(__xludf.DUMMYFUNCTION("""COMPUTED_VALUE"""),"07674098000101")</f>
        <v>07674098000101</v>
      </c>
      <c r="E260" s="7">
        <f ca="1">IFERROR(__xludf.DUMMYFUNCTION("""COMPUTED_VALUE"""),0)</f>
        <v>0</v>
      </c>
      <c r="F260" s="7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IFERROR(__xludf.DUMMYFUNCTION("""COMPUTED_VALUE"""),"0862")</f>
        <v>0862</v>
      </c>
      <c r="I260" t="str">
        <f ca="1">IFERROR(__xludf.DUMMYFUNCTION("""COMPUTED_VALUE"""),"183407")</f>
        <v>183407</v>
      </c>
    </row>
    <row r="261" spans="1:9" ht="15.75" customHeight="1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t="str">
        <f ca="1">IFERROR(__xludf.DUMMYFUNCTION("""COMPUTED_VALUE"""),"A.COM.DO COLEGIO FREI ANTONIO CONVENIADO")</f>
        <v>A.COM.DO COLEGIO FREI ANTONIO CONVENIADO</v>
      </c>
      <c r="D261" t="str">
        <f ca="1">IFERROR(__xludf.DUMMYFUNCTION("""COMPUTED_VALUE"""),"01066427000155")</f>
        <v>01066427000155</v>
      </c>
      <c r="E261" s="7">
        <f ca="1">IFERROR(__xludf.DUMMYFUNCTION("""COMPUTED_VALUE"""),0)</f>
        <v>0</v>
      </c>
      <c r="F261" s="7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IFERROR(__xludf.DUMMYFUNCTION("""COMPUTED_VALUE"""),"0862")</f>
        <v>0862</v>
      </c>
      <c r="I261" t="str">
        <f ca="1">IFERROR(__xludf.DUMMYFUNCTION("""COMPUTED_VALUE"""),"68985")</f>
        <v>68985</v>
      </c>
    </row>
    <row r="262" spans="1:9" ht="15.75" customHeight="1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t="str">
        <f ca="1">IFERROR(__xludf.DUMMYFUNCTION("""COMPUTED_VALUE"""),"ASSOC. DE PAIS E MEST. DO COL. EST. BATISTA PROFª BEATRIZ R. DA SILVA")</f>
        <v>ASSOC. DE PAIS E MEST. DO COL. EST. BATISTA PROFª BEATRIZ R. DA SILVA</v>
      </c>
      <c r="D262" t="str">
        <f ca="1">IFERROR(__xludf.DUMMYFUNCTION("""COMPUTED_VALUE"""),"15132209000186")</f>
        <v>15132209000186</v>
      </c>
      <c r="E262" s="7">
        <f ca="1">IFERROR(__xludf.DUMMYFUNCTION("""COMPUTED_VALUE"""),0)</f>
        <v>0</v>
      </c>
      <c r="F262" s="7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IFERROR(__xludf.DUMMYFUNCTION("""COMPUTED_VALUE"""),"0862")</f>
        <v>0862</v>
      </c>
      <c r="I262" t="str">
        <f ca="1">IFERROR(__xludf.DUMMYFUNCTION("""COMPUTED_VALUE"""),"277037")</f>
        <v>277037</v>
      </c>
    </row>
    <row r="263" spans="1:9" ht="15.75" customHeight="1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t="str">
        <f ca="1">IFERROR(__xludf.DUMMYFUNCTION("""COMPUTED_VALUE"""),"ASS. DE AP. DO COL. EST. MEIRA MATOS")</f>
        <v>ASS. DE AP. DO COL. EST. MEIRA MATOS</v>
      </c>
      <c r="D263" t="str">
        <f ca="1">IFERROR(__xludf.DUMMYFUNCTION("""COMPUTED_VALUE"""),"01186452000172")</f>
        <v>01186452000172</v>
      </c>
      <c r="E263" s="7">
        <f ca="1">IFERROR(__xludf.DUMMYFUNCTION("""COMPUTED_VALUE"""),0)</f>
        <v>0</v>
      </c>
      <c r="F263" s="7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IFERROR(__xludf.DUMMYFUNCTION("""COMPUTED_VALUE"""),"1505")</f>
        <v>1505</v>
      </c>
      <c r="I263" t="str">
        <f ca="1">IFERROR(__xludf.DUMMYFUNCTION("""COMPUTED_VALUE"""),"327972")</f>
        <v>327972</v>
      </c>
    </row>
    <row r="264" spans="1:9" ht="15.75" customHeight="1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t="str">
        <f ca="1">IFERROR(__xludf.DUMMYFUNCTION("""COMPUTED_VALUE"""),"ASS. DE AP. DA ESC. EST. SALMON DO A.BRITO")</f>
        <v>ASS. DE AP. DA ESC. EST. SALMON DO A.BRITO</v>
      </c>
      <c r="D264" t="str">
        <f ca="1">IFERROR(__xludf.DUMMYFUNCTION("""COMPUTED_VALUE"""),"01440941000109")</f>
        <v>01440941000109</v>
      </c>
      <c r="E264" s="7">
        <f ca="1">IFERROR(__xludf.DUMMYFUNCTION("""COMPUTED_VALUE"""),0)</f>
        <v>0</v>
      </c>
      <c r="F264" s="7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IFERROR(__xludf.DUMMYFUNCTION("""COMPUTED_VALUE"""),"465410")</f>
        <v>465410</v>
      </c>
    </row>
    <row r="265" spans="1:9" ht="15.75" customHeight="1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t="str">
        <f ca="1">IFERROR(__xludf.DUMMYFUNCTION("""COMPUTED_VALUE"""),"A.A. COM. E. E.N.SRA.DA PROVIDENCIA")</f>
        <v>A.A. COM. E. E.N.SRA.DA PROVIDENCIA</v>
      </c>
      <c r="D265" t="str">
        <f ca="1">IFERROR(__xludf.DUMMYFUNCTION("""COMPUTED_VALUE"""),"01138324000153")</f>
        <v>01138324000153</v>
      </c>
      <c r="E265" s="7">
        <f ca="1">IFERROR(__xludf.DUMMYFUNCTION("""COMPUTED_VALUE"""),0)</f>
        <v>0</v>
      </c>
      <c r="F265" s="7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IFERROR(__xludf.DUMMYFUNCTION("""COMPUTED_VALUE"""),"0862")</f>
        <v>0862</v>
      </c>
      <c r="I265" t="str">
        <f ca="1">IFERROR(__xludf.DUMMYFUNCTION("""COMPUTED_VALUE"""),"69132")</f>
        <v>69132</v>
      </c>
    </row>
    <row r="266" spans="1:9" ht="15.75" customHeight="1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t="str">
        <f ca="1">IFERROR(__xludf.DUMMYFUNCTION("""COMPUTED_VALUE"""),"ASS. A. ESC. EST.ESTEFANIO TELES DAS CHAGAS")</f>
        <v>ASS. A. ESC. EST.ESTEFANIO TELES DAS CHAGAS</v>
      </c>
      <c r="D266" t="str">
        <f ca="1">IFERROR(__xludf.DUMMYFUNCTION("""COMPUTED_VALUE"""),"01206219000104")</f>
        <v>01206219000104</v>
      </c>
      <c r="E266" s="7">
        <f ca="1">IFERROR(__xludf.DUMMYFUNCTION("""COMPUTED_VALUE"""),0)</f>
        <v>0</v>
      </c>
      <c r="F266" s="7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IFERROR(__xludf.DUMMYFUNCTION("""COMPUTED_VALUE"""),"3962")</f>
        <v>3962</v>
      </c>
      <c r="I266" t="str">
        <f ca="1">IFERROR(__xludf.DUMMYFUNCTION("""COMPUTED_VALUE"""),"127795")</f>
        <v>127795</v>
      </c>
    </row>
    <row r="267" spans="1:9" ht="15.75" customHeight="1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t="str">
        <f ca="1">IFERROR(__xludf.DUMMYFUNCTION("""COMPUTED_VALUE"""),"ASSOC. DE APOIO A ESC. EST. SILVERIO RIBEIRO MATOS")</f>
        <v>ASSOC. DE APOIO A ESC. EST. SILVERIO RIBEIRO MATOS</v>
      </c>
      <c r="D267" t="str">
        <f ca="1">IFERROR(__xludf.DUMMYFUNCTION("""COMPUTED_VALUE"""),"13439520000147")</f>
        <v>13439520000147</v>
      </c>
      <c r="E267" s="7">
        <f ca="1">IFERROR(__xludf.DUMMYFUNCTION("""COMPUTED_VALUE"""),0)</f>
        <v>0</v>
      </c>
      <c r="F267" s="7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IFERROR(__xludf.DUMMYFUNCTION("""COMPUTED_VALUE"""),"3962")</f>
        <v>3962</v>
      </c>
      <c r="I267" t="str">
        <f ca="1">IFERROR(__xludf.DUMMYFUNCTION("""COMPUTED_VALUE"""),"261882")</f>
        <v>261882</v>
      </c>
    </row>
    <row r="268" spans="1:9" ht="15.75" customHeight="1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t="str">
        <f ca="1">IFERROR(__xludf.DUMMYFUNCTION("""COMPUTED_VALUE"""),"ASS. A. AO COL. EST. D. PEDRO I/N.ACORDO")</f>
        <v>ASS. A. AO COL. EST. D. PEDRO I/N.ACORDO</v>
      </c>
      <c r="D268" t="str">
        <f ca="1">IFERROR(__xludf.DUMMYFUNCTION("""COMPUTED_VALUE"""),"01133690000110")</f>
        <v>01133690000110</v>
      </c>
      <c r="E268" s="7">
        <f ca="1">IFERROR(__xludf.DUMMYFUNCTION("""COMPUTED_VALUE"""),0)</f>
        <v>0</v>
      </c>
      <c r="F268" s="7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IFERROR(__xludf.DUMMYFUNCTION("""COMPUTED_VALUE"""),"157856")</f>
        <v>157856</v>
      </c>
    </row>
    <row r="269" spans="1:9" ht="15.75" customHeight="1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t="str">
        <f ca="1">IFERROR(__xludf.DUMMYFUNCTION("""COMPUTED_VALUE"""),"A.A. DA ESC. EST.PEDRO MACEDO / N.ACORDO")</f>
        <v>A.A. DA ESC. EST.PEDRO MACEDO / N.ACORDO</v>
      </c>
      <c r="D269" t="str">
        <f ca="1">IFERROR(__xludf.DUMMYFUNCTION("""COMPUTED_VALUE"""),"01136004000164")</f>
        <v>01136004000164</v>
      </c>
      <c r="E269" s="7">
        <f ca="1">IFERROR(__xludf.DUMMYFUNCTION("""COMPUTED_VALUE"""),0)</f>
        <v>0</v>
      </c>
      <c r="F269" s="7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IFERROR(__xludf.DUMMYFUNCTION("""COMPUTED_VALUE"""),"171166")</f>
        <v>171166</v>
      </c>
    </row>
    <row r="270" spans="1:9" ht="15.75" customHeight="1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IFERROR(__xludf.DUMMYFUNCTION("""COMPUTED_VALUE"""),"A. DE CONSELHO ESCOLAR DO CEM 305 NORTE")</f>
        <v>A. DE CONSELHO ESCOLAR DO CEM 305 NORTE</v>
      </c>
      <c r="D270" t="str">
        <f ca="1">IFERROR(__xludf.DUMMYFUNCTION("""COMPUTED_VALUE"""),"04701394000166")</f>
        <v>04701394000166</v>
      </c>
      <c r="E270" s="7">
        <f ca="1">IFERROR(__xludf.DUMMYFUNCTION("""COMPUTED_VALUE"""),0)</f>
        <v>0</v>
      </c>
      <c r="F270" s="7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IFERROR(__xludf.DUMMYFUNCTION("""COMPUTED_VALUE"""),"455261")</f>
        <v>455261</v>
      </c>
    </row>
    <row r="271" spans="1:9" ht="15.75" customHeight="1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IFERROR(__xludf.DUMMYFUNCTION("""COMPUTED_VALUE"""),"ASSOC. DE APOIO COL. EST. DE TAQUARALTO")</f>
        <v>ASSOC. DE APOIO COL. EST. DE TAQUARALTO</v>
      </c>
      <c r="D271" t="str">
        <f ca="1">IFERROR(__xludf.DUMMYFUNCTION("""COMPUTED_VALUE"""),"03233677000168")</f>
        <v>03233677000168</v>
      </c>
      <c r="E271" s="7">
        <f ca="1">IFERROR(__xludf.DUMMYFUNCTION("""COMPUTED_VALUE"""),0)</f>
        <v>0</v>
      </c>
      <c r="F271" s="7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IFERROR(__xludf.DUMMYFUNCTION("""COMPUTED_VALUE"""),"455059")</f>
        <v>455059</v>
      </c>
    </row>
    <row r="272" spans="1:9" ht="15.75" customHeight="1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IFERROR(__xludf.DUMMYFUNCTION("""COMPUTED_VALUE"""),"A.AP. DO COL. EST. SANTA RITA DE CASSIA")</f>
        <v>A.AP. DO COL. EST. SANTA RITA DE CASSIA</v>
      </c>
      <c r="D272" t="str">
        <f ca="1">IFERROR(__xludf.DUMMYFUNCTION("""COMPUTED_VALUE"""),"01955414000137")</f>
        <v>01955414000137</v>
      </c>
      <c r="E272" s="7">
        <f ca="1">IFERROR(__xludf.DUMMYFUNCTION("""COMPUTED_VALUE"""),0)</f>
        <v>0</v>
      </c>
      <c r="F272" s="7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IFERROR(__xludf.DUMMYFUNCTION("""COMPUTED_VALUE"""),"256579")</f>
        <v>256579</v>
      </c>
    </row>
    <row r="273" spans="1:9" ht="15.75" customHeight="1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IFERROR(__xludf.DUMMYFUNCTION("""COMPUTED_VALUE"""),"ASSOC. COMUN.ESCOLAR DA ESC. EST. TIRADENTES")</f>
        <v>ASSOC. COMUN.ESCOLAR DA ESC. EST. TIRADENTES</v>
      </c>
      <c r="D273" t="str">
        <f ca="1">IFERROR(__xludf.DUMMYFUNCTION("""COMPUTED_VALUE"""),"00862122000197")</f>
        <v>00862122000197</v>
      </c>
      <c r="E273" s="7">
        <f ca="1">IFERROR(__xludf.DUMMYFUNCTION("""COMPUTED_VALUE"""),0)</f>
        <v>0</v>
      </c>
      <c r="F273" s="7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IFERROR(__xludf.DUMMYFUNCTION("""COMPUTED_VALUE"""),"250562")</f>
        <v>250562</v>
      </c>
    </row>
    <row r="274" spans="1:9" ht="15.75" customHeight="1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IFERROR(__xludf.DUMMYFUNCTION("""COMPUTED_VALUE"""),"ASSOC. DE APOIO COL. DA POLICIA MILITAR DO TOCANTINS")</f>
        <v>ASSOC. DE APOIO COL. DA POLICIA MILITAR DO TOCANTINS</v>
      </c>
      <c r="D274" t="str">
        <f ca="1">IFERROR(__xludf.DUMMYFUNCTION("""COMPUTED_VALUE"""),"02050257000183")</f>
        <v>02050257000183</v>
      </c>
      <c r="E274" s="7">
        <f ca="1">IFERROR(__xludf.DUMMYFUNCTION("""COMPUTED_VALUE"""),0)</f>
        <v>0</v>
      </c>
      <c r="F274" s="7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IFERROR(__xludf.DUMMYFUNCTION("""COMPUTED_VALUE"""),"1505")</f>
        <v>1505</v>
      </c>
      <c r="I274" t="str">
        <f ca="1">IFERROR(__xludf.DUMMYFUNCTION("""COMPUTED_VALUE"""),"455466")</f>
        <v>455466</v>
      </c>
    </row>
    <row r="275" spans="1:9" ht="15.75" customHeight="1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IFERROR(__xludf.DUMMYFUNCTION("""COMPUTED_VALUE"""),"ASSOCIAÇÃO DE APOIO A ESC. ESTADUAL DA 403 SUL")</f>
        <v>ASSOCIAÇÃO DE APOIO A ESC. ESTADUAL DA 403 SUL</v>
      </c>
      <c r="D275" t="str">
        <f ca="1">IFERROR(__xludf.DUMMYFUNCTION("""COMPUTED_VALUE"""),"11332101000186")</f>
        <v>11332101000186</v>
      </c>
      <c r="E275" s="7">
        <f ca="1">IFERROR(__xludf.DUMMYFUNCTION("""COMPUTED_VALUE"""),0)</f>
        <v>0</v>
      </c>
      <c r="F275" s="7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IFERROR(__xludf.DUMMYFUNCTION("""COMPUTED_VALUE"""),"1505")</f>
        <v>1505</v>
      </c>
      <c r="I275" t="str">
        <f ca="1">IFERROR(__xludf.DUMMYFUNCTION("""COMPUTED_VALUE"""),"467588")</f>
        <v>467588</v>
      </c>
    </row>
    <row r="276" spans="1:9" ht="15.75" customHeight="1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IFERROR(__xludf.DUMMYFUNCTION("""COMPUTED_VALUE"""),"A.C.ESC.M.FUT. C.E. CRIANCA ESPERANCA")</f>
        <v>A.C.ESC.M.FUT. C.E. CRIANCA ESPERANCA</v>
      </c>
      <c r="D276" t="str">
        <f ca="1">IFERROR(__xludf.DUMMYFUNCTION("""COMPUTED_VALUE"""),"01920781000103")</f>
        <v>01920781000103</v>
      </c>
      <c r="E276" s="7">
        <f ca="1">IFERROR(__xludf.DUMMYFUNCTION("""COMPUTED_VALUE"""),0)</f>
        <v>0</v>
      </c>
      <c r="F276" s="7">
        <f ca="1">IFERROR(__xludf.DUMMYFUNCTION("""COMPUTED_VALUE"""),0)</f>
        <v>0</v>
      </c>
      <c r="G276" t="str">
        <f ca="1">IFERROR(__xludf.DUMMYFUNCTION("""COMPUTED_VALUE"""),"001")</f>
        <v>001</v>
      </c>
      <c r="H276" t="str">
        <f ca="1">IFERROR(__xludf.DUMMYFUNCTION("""COMPUTED_VALUE"""),"1505")</f>
        <v>1505</v>
      </c>
      <c r="I276" t="str">
        <f ca="1">IFERROR(__xludf.DUMMYFUNCTION("""COMPUTED_VALUE"""),"455369")</f>
        <v>455369</v>
      </c>
    </row>
    <row r="277" spans="1:9" ht="15.75" customHeight="1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IFERROR(__xludf.DUMMYFUNCTION("""COMPUTED_VALUE"""),"A. COM. E-E. E. DOM ALANO MARIE DU NODAY")</f>
        <v>A. COM. E-E. E. DOM ALANO MARIE DU NODAY</v>
      </c>
      <c r="D277" t="str">
        <f ca="1">IFERROR(__xludf.DUMMYFUNCTION("""COMPUTED_VALUE"""),"01343125000187")</f>
        <v>01343125000187</v>
      </c>
      <c r="E277" s="7">
        <f ca="1">IFERROR(__xludf.DUMMYFUNCTION("""COMPUTED_VALUE"""),0)</f>
        <v>0</v>
      </c>
      <c r="F277" s="7">
        <f ca="1">IFERROR(__xludf.DUMMYFUNCTION("""COMPUTED_VALUE"""),0)</f>
        <v>0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IFERROR(__xludf.DUMMYFUNCTION("""COMPUTED_VALUE"""),"265810")</f>
        <v>265810</v>
      </c>
    </row>
    <row r="278" spans="1:9" ht="15.75" customHeight="1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IFERROR(__xludf.DUMMYFUNCTION("""COMPUTED_VALUE"""),"ACE COL. EST. DUQUE DE CAXIAS")</f>
        <v>ACE COL. EST. DUQUE DE CAXIAS</v>
      </c>
      <c r="D278" t="str">
        <f ca="1">IFERROR(__xludf.DUMMYFUNCTION("""COMPUTED_VALUE"""),"01588669000109")</f>
        <v>01588669000109</v>
      </c>
      <c r="E278" s="7">
        <f ca="1">IFERROR(__xludf.DUMMYFUNCTION("""COMPUTED_VALUE"""),0)</f>
        <v>0</v>
      </c>
      <c r="F278" s="7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IFERROR(__xludf.DUMMYFUNCTION("""COMPUTED_VALUE"""),"1505")</f>
        <v>1505</v>
      </c>
      <c r="I278" t="str">
        <f ca="1">IFERROR(__xludf.DUMMYFUNCTION("""COMPUTED_VALUE"""),"254002")</f>
        <v>254002</v>
      </c>
    </row>
    <row r="279" spans="1:9" ht="15.75" customHeight="1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IFERROR(__xludf.DUMMYFUNCTION("""COMPUTED_VALUE"""),"A.A. AO COLEGIO ESTADUAL SAO JOSE")</f>
        <v>A.A. AO COLEGIO ESTADUAL SAO JOSE</v>
      </c>
      <c r="D279" t="str">
        <f ca="1">IFERROR(__xludf.DUMMYFUNCTION("""COMPUTED_VALUE"""),"01913809000177")</f>
        <v>01913809000177</v>
      </c>
      <c r="E279" s="7">
        <f ca="1">IFERROR(__xludf.DUMMYFUNCTION("""COMPUTED_VALUE"""),0)</f>
        <v>0</v>
      </c>
      <c r="F279" s="7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IFERROR(__xludf.DUMMYFUNCTION("""COMPUTED_VALUE"""),"1886")</f>
        <v>1886</v>
      </c>
      <c r="I279" t="str">
        <f ca="1">IFERROR(__xludf.DUMMYFUNCTION("""COMPUTED_VALUE"""),"325252")</f>
        <v>325252</v>
      </c>
    </row>
    <row r="280" spans="1:9" ht="15.75" customHeight="1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IFERROR(__xludf.DUMMYFUNCTION("""COMPUTED_VALUE"""),"A.A. COL GIRASSOL TEMPO INTEGRAL RAQUEL QUEIROZ")</f>
        <v>A.A. COL GIRASSOL TEMPO INTEGRAL RAQUEL QUEIROZ</v>
      </c>
      <c r="D280" t="str">
        <f ca="1">IFERROR(__xludf.DUMMYFUNCTION("""COMPUTED_VALUE"""),"13748657000183")</f>
        <v>13748657000183</v>
      </c>
      <c r="E280" s="7">
        <f ca="1">IFERROR(__xludf.DUMMYFUNCTION("""COMPUTED_VALUE"""),0)</f>
        <v>0</v>
      </c>
      <c r="F280" s="7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IFERROR(__xludf.DUMMYFUNCTION("""COMPUTED_VALUE"""),"1867")</f>
        <v>1867</v>
      </c>
      <c r="I280" t="str">
        <f ca="1">IFERROR(__xludf.DUMMYFUNCTION("""COMPUTED_VALUE"""),"856312")</f>
        <v>856312</v>
      </c>
    </row>
    <row r="281" spans="1:9" ht="15.75" customHeight="1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IFERROR(__xludf.DUMMYFUNCTION("""COMPUTED_VALUE"""),"ASSOCIAÇÃO DE APOIO DA ESCOLA ESPECIAL INTEGRAÇÃO DE PALMAS")</f>
        <v>ASSOCIAÇÃO DE APOIO DA ESCOLA ESPECIAL INTEGRAÇÃO DE PALMAS</v>
      </c>
      <c r="D281" t="str">
        <f ca="1">IFERROR(__xludf.DUMMYFUNCTION("""COMPUTED_VALUE"""),"07958777000102")</f>
        <v>07958777000102</v>
      </c>
      <c r="E281" s="7">
        <f ca="1">IFERROR(__xludf.DUMMYFUNCTION("""COMPUTED_VALUE"""),0)</f>
        <v>0</v>
      </c>
      <c r="F281" s="7">
        <f ca="1">IFERROR(__xludf.DUMMYFUNCTION("""COMPUTED_VALUE"""),532.8)</f>
        <v>532.79999999999995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IFERROR(__xludf.DUMMYFUNCTION("""COMPUTED_VALUE"""),"385328")</f>
        <v>385328</v>
      </c>
    </row>
    <row r="282" spans="1:9" ht="15.75" customHeight="1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IFERROR(__xludf.DUMMYFUNCTION("""COMPUTED_VALUE"""),"A.COM. ESC. E. E.BEIRA RIO/PORTO NACIONAL")</f>
        <v>A.COM. ESC. E. E.BEIRA RIO/PORTO NACIONAL</v>
      </c>
      <c r="D282" t="str">
        <f ca="1">IFERROR(__xludf.DUMMYFUNCTION("""COMPUTED_VALUE"""),"01797298000175")</f>
        <v>01797298000175</v>
      </c>
      <c r="E282" s="7">
        <f ca="1">IFERROR(__xludf.DUMMYFUNCTION("""COMPUTED_VALUE"""),0)</f>
        <v>0</v>
      </c>
      <c r="F282" s="7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IFERROR(__xludf.DUMMYFUNCTION("""COMPUTED_VALUE"""),"209929")</f>
        <v>209929</v>
      </c>
    </row>
    <row r="283" spans="1:9" ht="15.75" customHeight="1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IFERROR(__xludf.DUMMYFUNCTION("""COMPUTED_VALUE"""),"A.P.E M. DA ESC. EST. MADRE BELEM")</f>
        <v>A.P.E M. DA ESC. EST. MADRE BELEM</v>
      </c>
      <c r="D283" t="str">
        <f ca="1">IFERROR(__xludf.DUMMYFUNCTION("""COMPUTED_VALUE"""),"01034134000196")</f>
        <v>01034134000196</v>
      </c>
      <c r="E283" s="7">
        <f ca="1">IFERROR(__xludf.DUMMYFUNCTION("""COMPUTED_VALUE"""),0)</f>
        <v>0</v>
      </c>
      <c r="F283" s="7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IFERROR(__xludf.DUMMYFUNCTION("""COMPUTED_VALUE"""),"1886")</f>
        <v>1886</v>
      </c>
      <c r="I283" t="str">
        <f ca="1">IFERROR(__xludf.DUMMYFUNCTION("""COMPUTED_VALUE"""),"519855")</f>
        <v>519855</v>
      </c>
    </row>
    <row r="284" spans="1:9" ht="15.75" customHeight="1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IFERROR(__xludf.DUMMYFUNCTION("""COMPUTED_VALUE"""),"ACE UN.ESC. FREDEDERICO J. PEDRERA NETO")</f>
        <v>ACE UN.ESC. FREDEDERICO J. PEDRERA NETO</v>
      </c>
      <c r="D284" t="str">
        <f ca="1">IFERROR(__xludf.DUMMYFUNCTION("""COMPUTED_VALUE"""),"01862534000190")</f>
        <v>01862534000190</v>
      </c>
      <c r="E284" s="7">
        <f ca="1">IFERROR(__xludf.DUMMYFUNCTION("""COMPUTED_VALUE"""),0)</f>
        <v>0</v>
      </c>
      <c r="F284" s="7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IFERROR(__xludf.DUMMYFUNCTION("""COMPUTED_VALUE"""),"1867")</f>
        <v>1867</v>
      </c>
      <c r="I284" t="str">
        <f ca="1">IFERROR(__xludf.DUMMYFUNCTION("""COMPUTED_VALUE"""),"1079972")</f>
        <v>1079972</v>
      </c>
    </row>
    <row r="285" spans="1:9" ht="15.75" customHeight="1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IFERROR(__xludf.DUMMYFUNCTION("""COMPUTED_VALUE"""),"A.CONS.ESCOLAR E. EST.I GRAU LIBERDADE")</f>
        <v>A.CONS.ESCOLAR E. EST.I GRAU LIBERDADE</v>
      </c>
      <c r="D285" t="str">
        <f ca="1">IFERROR(__xludf.DUMMYFUNCTION("""COMPUTED_VALUE"""),"01936355000150")</f>
        <v>01936355000150</v>
      </c>
      <c r="E285" s="7">
        <f ca="1">IFERROR(__xludf.DUMMYFUNCTION("""COMPUTED_VALUE"""),0)</f>
        <v>0</v>
      </c>
      <c r="F285" s="7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IFERROR(__xludf.DUMMYFUNCTION("""COMPUTED_VALUE"""),"1505")</f>
        <v>1505</v>
      </c>
      <c r="I285" t="str">
        <f ca="1">IFERROR(__xludf.DUMMYFUNCTION("""COMPUTED_VALUE"""),"257028")</f>
        <v>257028</v>
      </c>
    </row>
    <row r="286" spans="1:9" ht="15.75" customHeight="1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IFERROR(__xludf.DUMMYFUNCTION("""COMPUTED_VALUE"""),"ASSOC APOIO ESC EST MARIA DOS REIS ALVES BARROS")</f>
        <v>ASSOC APOIO ESC EST MARIA DOS REIS ALVES BARROS</v>
      </c>
      <c r="D286" t="str">
        <f ca="1">IFERROR(__xludf.DUMMYFUNCTION("""COMPUTED_VALUE"""),"08641263000191")</f>
        <v>08641263000191</v>
      </c>
      <c r="E286" s="7">
        <f ca="1">IFERROR(__xludf.DUMMYFUNCTION("""COMPUTED_VALUE"""),0)</f>
        <v>0</v>
      </c>
      <c r="F286" s="7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IFERROR(__xludf.DUMMYFUNCTION("""COMPUTED_VALUE"""),"413666")</f>
        <v>413666</v>
      </c>
    </row>
    <row r="287" spans="1:9" ht="15.75" customHeight="1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IFERROR(__xludf.DUMMYFUNCTION("""COMPUTED_VALUE"""),"A.COM. DA ESC. EST. NOVO HORIZONTE")</f>
        <v>A.COM. DA ESC. EST. NOVO HORIZONTE</v>
      </c>
      <c r="D287" t="str">
        <f ca="1">IFERROR(__xludf.DUMMYFUNCTION("""COMPUTED_VALUE"""),"01221539000133")</f>
        <v>01221539000133</v>
      </c>
      <c r="E287" s="7">
        <f ca="1">IFERROR(__xludf.DUMMYFUNCTION("""COMPUTED_VALUE"""),0)</f>
        <v>0</v>
      </c>
      <c r="F287" s="7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IFERROR(__xludf.DUMMYFUNCTION("""COMPUTED_VALUE"""),"351687")</f>
        <v>351687</v>
      </c>
    </row>
    <row r="288" spans="1:9" ht="15.75" customHeight="1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IFERROR(__xludf.DUMMYFUNCTION("""COMPUTED_VALUE"""),"ASSOC.COMUNIDADE ESC. ESTADUAL RURAL ENTRE RIOS")</f>
        <v>ASSOC.COMUNIDADE ESC. ESTADUAL RURAL ENTRE RIOS</v>
      </c>
      <c r="D288" t="str">
        <f ca="1">IFERROR(__xludf.DUMMYFUNCTION("""COMPUTED_VALUE"""),"11257180000108")</f>
        <v>11257180000108</v>
      </c>
      <c r="E288" s="7">
        <f ca="1">IFERROR(__xludf.DUMMYFUNCTION("""COMPUTED_VALUE"""),0)</f>
        <v>0</v>
      </c>
      <c r="F288" s="7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IFERROR(__xludf.DUMMYFUNCTION("""COMPUTED_VALUE"""),"1886")</f>
        <v>1886</v>
      </c>
      <c r="I288" t="str">
        <f ca="1">IFERROR(__xludf.DUMMYFUNCTION("""COMPUTED_VALUE"""),"1464884")</f>
        <v>1464884</v>
      </c>
    </row>
    <row r="289" spans="1:9" ht="15.75" customHeight="1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IFERROR(__xludf.DUMMYFUNCTION("""COMPUTED_VALUE"""),"A.A. DA COM. ESCOLAR - ESC. EST. SANTA FE")</f>
        <v>A.A. DA COM. ESCOLAR - ESC. EST. SANTA FE</v>
      </c>
      <c r="D289" t="str">
        <f ca="1">IFERROR(__xludf.DUMMYFUNCTION("""COMPUTED_VALUE"""),"01932049000145")</f>
        <v>01932049000145</v>
      </c>
      <c r="E289" s="7">
        <f ca="1">IFERROR(__xludf.DUMMYFUNCTION("""COMPUTED_VALUE"""),0)</f>
        <v>0</v>
      </c>
      <c r="F289" s="7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IFERROR(__xludf.DUMMYFUNCTION("""COMPUTED_VALUE"""),"2781")</f>
        <v>2781</v>
      </c>
      <c r="I289" t="str">
        <f ca="1">IFERROR(__xludf.DUMMYFUNCTION("""COMPUTED_VALUE"""),"261904")</f>
        <v>261904</v>
      </c>
    </row>
    <row r="290" spans="1:9" ht="15.75" customHeight="1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t="str">
        <f ca="1">IFERROR(__xludf.DUMMYFUNCTION("""COMPUTED_VALUE"""),"A.COMUN.ESCOLA-DA ESC. EST. SETOR SUL")</f>
        <v>A.COMUN.ESCOLA-DA ESC. EST. SETOR SUL</v>
      </c>
      <c r="D290" t="str">
        <f ca="1">IFERROR(__xludf.DUMMYFUNCTION("""COMPUTED_VALUE"""),"01926545000196")</f>
        <v>01926545000196</v>
      </c>
      <c r="E290" s="7">
        <f ca="1">IFERROR(__xludf.DUMMYFUNCTION("""COMPUTED_VALUE"""),0)</f>
        <v>0</v>
      </c>
      <c r="F290" s="7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IFERROR(__xludf.DUMMYFUNCTION("""COMPUTED_VALUE"""),"258105")</f>
        <v>258105</v>
      </c>
    </row>
    <row r="291" spans="1:9" ht="15.75" customHeight="1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t="str">
        <f ca="1">IFERROR(__xludf.DUMMYFUNCTION("""COMPUTED_VALUE"""),"A.COMUNIDADE ESCOLA/E. EST. VALE DO SOL")</f>
        <v>A.COMUNIDADE ESCOLA/E. EST. VALE DO SOL</v>
      </c>
      <c r="D291" t="str">
        <f ca="1">IFERROR(__xludf.DUMMYFUNCTION("""COMPUTED_VALUE"""),"01873442000105")</f>
        <v>01873442000105</v>
      </c>
      <c r="E291" s="7">
        <f ca="1">IFERROR(__xludf.DUMMYFUNCTION("""COMPUTED_VALUE"""),0)</f>
        <v>0</v>
      </c>
      <c r="F291" s="7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IFERROR(__xludf.DUMMYFUNCTION("""COMPUTED_VALUE"""),"1505")</f>
        <v>1505</v>
      </c>
      <c r="I291" t="str">
        <f ca="1">IFERROR(__xludf.DUMMYFUNCTION("""COMPUTED_VALUE"""),"256404")</f>
        <v>256404</v>
      </c>
    </row>
    <row r="292" spans="1:9" ht="15.75" customHeight="1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t="str">
        <f ca="1">IFERROR(__xludf.DUMMYFUNCTION("""COMPUTED_VALUE"""),"A.P.M.DA ESC. EST. DE I GRAU VILA UNIAO")</f>
        <v>A.P.M.DA ESC. EST. DE I GRAU VILA UNIAO</v>
      </c>
      <c r="D292" t="str">
        <f ca="1">IFERROR(__xludf.DUMMYFUNCTION("""COMPUTED_VALUE"""),"01926551000143")</f>
        <v>01926551000143</v>
      </c>
      <c r="E292" s="7">
        <f ca="1">IFERROR(__xludf.DUMMYFUNCTION("""COMPUTED_VALUE"""),0)</f>
        <v>0</v>
      </c>
      <c r="F292" s="7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IFERROR(__xludf.DUMMYFUNCTION("""COMPUTED_VALUE"""),"1505")</f>
        <v>1505</v>
      </c>
      <c r="I292" t="str">
        <f ca="1">IFERROR(__xludf.DUMMYFUNCTION("""COMPUTED_VALUE"""),"255734")</f>
        <v>255734</v>
      </c>
    </row>
    <row r="293" spans="1:9" ht="15.75" customHeight="1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t="str">
        <f ca="1">IFERROR(__xludf.DUMMYFUNCTION("""COMPUTED_VALUE"""),"AÇÃO SOCIAL JESUS DE NAZARÉ/ESC JOÃO PAULO II")</f>
        <v>AÇÃO SOCIAL JESUS DE NAZARÉ/ESC JOÃO PAULO II</v>
      </c>
      <c r="D293" t="str">
        <f ca="1">IFERROR(__xludf.DUMMYFUNCTION("""COMPUTED_VALUE"""),"03005522000174")</f>
        <v>03005522000174</v>
      </c>
      <c r="E293" s="7">
        <f ca="1">IFERROR(__xludf.DUMMYFUNCTION("""COMPUTED_VALUE"""),0)</f>
        <v>0</v>
      </c>
      <c r="F293" s="7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IFERROR(__xludf.DUMMYFUNCTION("""COMPUTED_VALUE"""),"1505")</f>
        <v>1505</v>
      </c>
      <c r="I293" t="str">
        <f ca="1">IFERROR(__xludf.DUMMYFUNCTION("""COMPUTED_VALUE"""),"423475")</f>
        <v>423475</v>
      </c>
    </row>
    <row r="294" spans="1:9" ht="15.75" customHeight="1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t="str">
        <f ca="1">IFERROR(__xludf.DUMMYFUNCTION("""COMPUTED_VALUE"""),"A.A. DO INST.PRESB.EDUC.SOC.REV.ROBERT CA")</f>
        <v>A.A. DO INST.PRESB.EDUC.SOC.REV.ROBERT CA</v>
      </c>
      <c r="D294" t="str">
        <f ca="1">IFERROR(__xludf.DUMMYFUNCTION("""COMPUTED_VALUE"""),"05470057000178")</f>
        <v>05470057000178</v>
      </c>
      <c r="E294" s="7">
        <f ca="1">IFERROR(__xludf.DUMMYFUNCTION("""COMPUTED_VALUE"""),0)</f>
        <v>0</v>
      </c>
      <c r="F294" s="7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IFERROR(__xludf.DUMMYFUNCTION("""COMPUTED_VALUE"""),"1505")</f>
        <v>1505</v>
      </c>
      <c r="I294" t="str">
        <f ca="1">IFERROR(__xludf.DUMMYFUNCTION("""COMPUTED_VALUE"""),"45110X")</f>
        <v>45110X</v>
      </c>
    </row>
    <row r="295" spans="1:9" ht="15.75" customHeight="1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t="str">
        <f ca="1">IFERROR(__xludf.DUMMYFUNCTION("""COMPUTED_VALUE"""),"A. DE PAIS E MESTRES DO COL. EST.RIO SONO")</f>
        <v>A. DE PAIS E MESTRES DO COL. EST.RIO SONO</v>
      </c>
      <c r="D295" t="str">
        <f ca="1">IFERROR(__xludf.DUMMYFUNCTION("""COMPUTED_VALUE"""),"01184376000166")</f>
        <v>01184376000166</v>
      </c>
      <c r="E295" s="7">
        <f ca="1">IFERROR(__xludf.DUMMYFUNCTION("""COMPUTED_VALUE"""),0)</f>
        <v>0</v>
      </c>
      <c r="F295" s="7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IFERROR(__xludf.DUMMYFUNCTION("""COMPUTED_VALUE"""),"1505")</f>
        <v>1505</v>
      </c>
      <c r="I295" t="str">
        <f ca="1">IFERROR(__xludf.DUMMYFUNCTION("""COMPUTED_VALUE"""),"530042")</f>
        <v>530042</v>
      </c>
    </row>
    <row r="296" spans="1:9" ht="15.75" customHeight="1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t="str">
        <f ca="1">IFERROR(__xludf.DUMMYFUNCTION("""COMPUTED_VALUE"""),"A.A.  ESCOLA EST. IMACULADA CONCEICAO")</f>
        <v>A.A.  ESCOLA EST. IMACULADA CONCEICAO</v>
      </c>
      <c r="D296" t="str">
        <f ca="1">IFERROR(__xludf.DUMMYFUNCTION("""COMPUTED_VALUE"""),"01197175000101")</f>
        <v>01197175000101</v>
      </c>
      <c r="E296" s="7">
        <f ca="1">IFERROR(__xludf.DUMMYFUNCTION("""COMPUTED_VALUE"""),0)</f>
        <v>0</v>
      </c>
      <c r="F296" s="7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IFERROR(__xludf.DUMMYFUNCTION("""COMPUTED_VALUE"""),"0862")</f>
        <v>0862</v>
      </c>
      <c r="I296" t="str">
        <f ca="1">IFERROR(__xludf.DUMMYFUNCTION("""COMPUTED_VALUE"""),"161497")</f>
        <v>161497</v>
      </c>
    </row>
    <row r="297" spans="1:9" ht="15.75" customHeight="1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t="str">
        <f ca="1">IFERROR(__xludf.DUMMYFUNCTION("""COMPUTED_VALUE"""),"A.A. C.EST. MANOEL S.DOURADO")</f>
        <v>A.A. C.EST. MANOEL S.DOURADO</v>
      </c>
      <c r="D297" t="str">
        <f ca="1">IFERROR(__xludf.DUMMYFUNCTION("""COMPUTED_VALUE"""),"01136013000155")</f>
        <v>01136013000155</v>
      </c>
      <c r="E297" s="7">
        <f ca="1">IFERROR(__xludf.DUMMYFUNCTION("""COMPUTED_VALUE"""),0)</f>
        <v>0</v>
      </c>
      <c r="F297" s="7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IFERROR(__xludf.DUMMYFUNCTION("""COMPUTED_VALUE"""),"1117")</f>
        <v>1117</v>
      </c>
      <c r="I297" t="str">
        <f ca="1">IFERROR(__xludf.DUMMYFUNCTION("""COMPUTED_VALUE"""),"313033")</f>
        <v>313033</v>
      </c>
    </row>
    <row r="298" spans="1:9" ht="15.75" customHeight="1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t="str">
        <f ca="1">IFERROR(__xludf.DUMMYFUNCTION("""COMPUTED_VALUE"""),"A. DE AP.ESC. EST. SAGRADO CORACAO DE JESUS")</f>
        <v>A. DE AP.ESC. EST. SAGRADO CORACAO DE JESUS</v>
      </c>
      <c r="D298" t="str">
        <f ca="1">IFERROR(__xludf.DUMMYFUNCTION("""COMPUTED_VALUE"""),"01656550000126")</f>
        <v>01656550000126</v>
      </c>
      <c r="E298" s="7">
        <f ca="1">IFERROR(__xludf.DUMMYFUNCTION("""COMPUTED_VALUE"""),0)</f>
        <v>0</v>
      </c>
      <c r="F298" s="7">
        <f ca="1">IFERROR(__xludf.DUMMYFUNCTION("""COMPUTED_VALUE"""),0)</f>
        <v>0</v>
      </c>
      <c r="G298" t="str">
        <f ca="1">IFERROR(__xludf.DUMMYFUNCTION("""COMPUTED_VALUE"""),"001")</f>
        <v>001</v>
      </c>
      <c r="H298" t="str">
        <f ca="1">IFERROR(__xludf.DUMMYFUNCTION("""COMPUTED_VALUE"""),"3962")</f>
        <v>3962</v>
      </c>
      <c r="I298" t="str">
        <f ca="1">IFERROR(__xludf.DUMMYFUNCTION("""COMPUTED_VALUE"""),"147605")</f>
        <v>147605</v>
      </c>
    </row>
    <row r="299" spans="1:9" ht="15.75" customHeight="1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t="str">
        <f ca="1">IFERROR(__xludf.DUMMYFUNCTION("""COMPUTED_VALUE"""),"ASS. DE APOIO DA ESCOLA EST. SAO PEDRO")</f>
        <v>ASS. DE APOIO DA ESCOLA EST. SAO PEDRO</v>
      </c>
      <c r="D299" t="str">
        <f ca="1">IFERROR(__xludf.DUMMYFUNCTION("""COMPUTED_VALUE"""),"01071408000117")</f>
        <v>01071408000117</v>
      </c>
      <c r="E299" s="7">
        <f ca="1">IFERROR(__xludf.DUMMYFUNCTION("""COMPUTED_VALUE"""),0)</f>
        <v>0</v>
      </c>
      <c r="F299" s="7">
        <f ca="1">IFERROR(__xludf.DUMMYFUNCTION("""COMPUTED_VALUE"""),0)</f>
        <v>0</v>
      </c>
      <c r="G299" t="str">
        <f ca="1">IFERROR(__xludf.DUMMYFUNCTION("""COMPUTED_VALUE"""),"001")</f>
        <v>001</v>
      </c>
      <c r="H299" t="str">
        <f ca="1">IFERROR(__xludf.DUMMYFUNCTION("""COMPUTED_VALUE"""),"0804")</f>
        <v>0804</v>
      </c>
      <c r="I299" t="str">
        <f ca="1">IFERROR(__xludf.DUMMYFUNCTION("""COMPUTED_VALUE"""),"286893")</f>
        <v>286893</v>
      </c>
    </row>
    <row r="300" spans="1:9" ht="15.75" customHeight="1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t="str">
        <f ca="1">IFERROR(__xludf.DUMMYFUNCTION("""COMPUTED_VALUE"""),"ASSOC. DE APOIO AO COL. EST. DE ARAGUACEMA")</f>
        <v>ASSOC. DE APOIO AO COL. EST. DE ARAGUACEMA</v>
      </c>
      <c r="D300" t="str">
        <f ca="1">IFERROR(__xludf.DUMMYFUNCTION("""COMPUTED_VALUE"""),"01187107000153")</f>
        <v>01187107000153</v>
      </c>
      <c r="E300" s="7">
        <f ca="1">IFERROR(__xludf.DUMMYFUNCTION("""COMPUTED_VALUE"""),0)</f>
        <v>0</v>
      </c>
      <c r="F300" s="7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IFERROR(__xludf.DUMMYFUNCTION("""COMPUTED_VALUE"""),"0804")</f>
        <v>0804</v>
      </c>
      <c r="I300" t="str">
        <f ca="1">IFERROR(__xludf.DUMMYFUNCTION("""COMPUTED_VALUE"""),"286532")</f>
        <v>286532</v>
      </c>
    </row>
    <row r="301" spans="1:9" ht="15.75" customHeight="1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t="str">
        <f ca="1">IFERROR(__xludf.DUMMYFUNCTION("""COMPUTED_VALUE"""),"ASSOC. DE APOIO COLEGIO MENNO SIMONS")</f>
        <v>ASSOC. DE APOIO COLEGIO MENNO SIMONS</v>
      </c>
      <c r="D301" t="str">
        <f ca="1">IFERROR(__xludf.DUMMYFUNCTION("""COMPUTED_VALUE"""),"01138321000110")</f>
        <v>01138321000110</v>
      </c>
      <c r="E301" s="7">
        <f ca="1">IFERROR(__xludf.DUMMYFUNCTION("""COMPUTED_VALUE"""),0)</f>
        <v>0</v>
      </c>
      <c r="F301" s="7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IFERROR(__xludf.DUMMYFUNCTION("""COMPUTED_VALUE"""),"0804")</f>
        <v>0804</v>
      </c>
      <c r="I301" t="str">
        <f ca="1">IFERROR(__xludf.DUMMYFUNCTION("""COMPUTED_VALUE"""),"300764")</f>
        <v>300764</v>
      </c>
    </row>
    <row r="302" spans="1:9" ht="15.75" customHeight="1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t="str">
        <f ca="1">IFERROR(__xludf.DUMMYFUNCTION("""COMPUTED_VALUE"""),"ASSOC. DE A. DO COL. EST. PRES. TANCREDO NEVES")</f>
        <v>ASSOC. DE A. DO COL. EST. PRES. TANCREDO NEVES</v>
      </c>
      <c r="D302" t="str">
        <f ca="1">IFERROR(__xludf.DUMMYFUNCTION("""COMPUTED_VALUE"""),"01086975000147")</f>
        <v>01086975000147</v>
      </c>
      <c r="E302" s="7">
        <f ca="1">IFERROR(__xludf.DUMMYFUNCTION("""COMPUTED_VALUE"""),0)</f>
        <v>0</v>
      </c>
      <c r="F302" s="7">
        <f ca="1">IFERROR(__xludf.DUMMYFUNCTION("""COMPUTED_VALUE"""),0)</f>
        <v>0</v>
      </c>
      <c r="G302" t="str">
        <f ca="1">IFERROR(__xludf.DUMMYFUNCTION("""COMPUTED_VALUE"""),"001")</f>
        <v>001</v>
      </c>
      <c r="H302" t="str">
        <f ca="1">IFERROR(__xludf.DUMMYFUNCTION("""COMPUTED_VALUE"""),"0862")</f>
        <v>0862</v>
      </c>
      <c r="I302" t="str">
        <f ca="1">IFERROR(__xludf.DUMMYFUNCTION("""COMPUTED_VALUE"""),"244155")</f>
        <v>244155</v>
      </c>
    </row>
    <row r="303" spans="1:9" ht="15.75" customHeight="1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t="str">
        <f ca="1">IFERROR(__xludf.DUMMYFUNCTION("""COMPUTED_VALUE"""),"A..A. ESC. ESPECIAL AMOR DE DEUS")</f>
        <v>A..A. ESC. ESPECIAL AMOR DE DEUS</v>
      </c>
      <c r="D303" t="str">
        <f ca="1">IFERROR(__xludf.DUMMYFUNCTION("""COMPUTED_VALUE"""),"07935641000187")</f>
        <v>07935641000187</v>
      </c>
      <c r="E303" s="7">
        <f ca="1">IFERROR(__xludf.DUMMYFUNCTION("""COMPUTED_VALUE"""),0)</f>
        <v>0</v>
      </c>
      <c r="F303" s="7">
        <f ca="1">IFERROR(__xludf.DUMMYFUNCTION("""COMPUTED_VALUE"""),187.2)</f>
        <v>187.2</v>
      </c>
      <c r="G303" t="str">
        <f ca="1">IFERROR(__xludf.DUMMYFUNCTION("""COMPUTED_VALUE"""),"001")</f>
        <v>001</v>
      </c>
      <c r="H303" t="str">
        <f ca="1">IFERROR(__xludf.DUMMYFUNCTION("""COMPUTED_VALUE"""),"0804")</f>
        <v>0804</v>
      </c>
      <c r="I303" t="str">
        <f ca="1">IFERROR(__xludf.DUMMYFUNCTION("""COMPUTED_VALUE"""),"279501")</f>
        <v>279501</v>
      </c>
    </row>
    <row r="304" spans="1:9" ht="15.75" customHeight="1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t="str">
        <f ca="1">IFERROR(__xludf.DUMMYFUNCTION("""COMPUTED_VALUE"""),"ASS. APOIO DA ESC EST PAULINA CAMARA")</f>
        <v>ASS. APOIO DA ESC EST PAULINA CAMARA</v>
      </c>
      <c r="D304" t="str">
        <f ca="1">IFERROR(__xludf.DUMMYFUNCTION("""COMPUTED_VALUE"""),"01071402000140")</f>
        <v>01071402000140</v>
      </c>
      <c r="E304" s="7">
        <f ca="1">IFERROR(__xludf.DUMMYFUNCTION("""COMPUTED_VALUE"""),0)</f>
        <v>0</v>
      </c>
      <c r="F304" s="7">
        <f ca="1">IFERROR(__xludf.DUMMYFUNCTION("""COMPUTED_VALUE"""),0)</f>
        <v>0</v>
      </c>
      <c r="G304" t="str">
        <f ca="1">IFERROR(__xludf.DUMMYFUNCTION("""COMPUTED_VALUE"""),"001")</f>
        <v>001</v>
      </c>
      <c r="H304" t="str">
        <f ca="1">IFERROR(__xludf.DUMMYFUNCTION("""COMPUTED_VALUE"""),"0862")</f>
        <v>0862</v>
      </c>
      <c r="I304" t="str">
        <f ca="1">IFERROR(__xludf.DUMMYFUNCTION("""COMPUTED_VALUE"""),"68926")</f>
        <v>68926</v>
      </c>
    </row>
    <row r="305" spans="1:9" ht="15.75" customHeight="1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t="str">
        <f ca="1">IFERROR(__xludf.DUMMYFUNCTION("""COMPUTED_VALUE"""),"A.A. COLEGIO ESTADUAL COSTA E SILVA")</f>
        <v>A.A. COLEGIO ESTADUAL COSTA E SILVA</v>
      </c>
      <c r="D305" t="str">
        <f ca="1">IFERROR(__xludf.DUMMYFUNCTION("""COMPUTED_VALUE"""),"01100434000126")</f>
        <v>01100434000126</v>
      </c>
      <c r="E305" s="7">
        <f ca="1">IFERROR(__xludf.DUMMYFUNCTION("""COMPUTED_VALUE"""),0)</f>
        <v>0</v>
      </c>
      <c r="F305" s="7">
        <f ca="1">IFERROR(__xludf.DUMMYFUNCTION("""COMPUTED_VALUE"""),0)</f>
        <v>0</v>
      </c>
      <c r="G305" t="str">
        <f ca="1">IFERROR(__xludf.DUMMYFUNCTION("""COMPUTED_VALUE"""),"001")</f>
        <v>001</v>
      </c>
      <c r="H305" t="str">
        <f ca="1">IFERROR(__xludf.DUMMYFUNCTION("""COMPUTED_VALUE"""),"0862")</f>
        <v>0862</v>
      </c>
      <c r="I305" t="str">
        <f ca="1">IFERROR(__xludf.DUMMYFUNCTION("""COMPUTED_VALUE"""),"68942")</f>
        <v>68942</v>
      </c>
    </row>
    <row r="306" spans="1:9" ht="15.75" customHeight="1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t="str">
        <f ca="1">IFERROR(__xludf.DUMMYFUNCTION("""COMPUTED_VALUE"""),"A.A. AO COLEGIO EST. TRAJANO DE ALMEIDA")</f>
        <v>A.A. AO COLEGIO EST. TRAJANO DE ALMEIDA</v>
      </c>
      <c r="D306" t="str">
        <f ca="1">IFERROR(__xludf.DUMMYFUNCTION("""COMPUTED_VALUE"""),"01136037000104")</f>
        <v>01136037000104</v>
      </c>
      <c r="E306" s="7">
        <f ca="1">IFERROR(__xludf.DUMMYFUNCTION("""COMPUTED_VALUE"""),0)</f>
        <v>0</v>
      </c>
      <c r="F306" s="7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IFERROR(__xludf.DUMMYFUNCTION("""COMPUTED_VALUE"""),"0804")</f>
        <v>0804</v>
      </c>
      <c r="I306" t="str">
        <f ca="1">IFERROR(__xludf.DUMMYFUNCTION("""COMPUTED_VALUE"""),"110558")</f>
        <v>110558</v>
      </c>
    </row>
    <row r="307" spans="1:9" ht="15.75" customHeight="1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t="str">
        <f ca="1">IFERROR(__xludf.DUMMYFUNCTION("""COMPUTED_VALUE"""),"A. DE APOIO A ESC. EST. JOSE ALVES DE ASSIS")</f>
        <v>A. DE APOIO A ESC. EST. JOSE ALVES DE ASSIS</v>
      </c>
      <c r="D307" t="str">
        <f ca="1">IFERROR(__xludf.DUMMYFUNCTION("""COMPUTED_VALUE"""),"01138318000104")</f>
        <v>01138318000104</v>
      </c>
      <c r="E307" s="7">
        <f ca="1">IFERROR(__xludf.DUMMYFUNCTION("""COMPUTED_VALUE"""),0)</f>
        <v>0</v>
      </c>
      <c r="F307" s="7">
        <f ca="1">IFERROR(__xludf.DUMMYFUNCTION("""COMPUTED_VALUE"""),0)</f>
        <v>0</v>
      </c>
      <c r="G307" t="str">
        <f ca="1">IFERROR(__xludf.DUMMYFUNCTION("""COMPUTED_VALUE"""),"104")</f>
        <v>104</v>
      </c>
      <c r="H307" t="str">
        <f ca="1">IFERROR(__xludf.DUMMYFUNCTION("""COMPUTED_VALUE"""),"1141")</f>
        <v>1141</v>
      </c>
      <c r="I307" t="str">
        <f ca="1">IFERROR(__xludf.DUMMYFUNCTION("""COMPUTED_VALUE"""),"307968")</f>
        <v>307968</v>
      </c>
    </row>
    <row r="308" spans="1:9" ht="15.75" customHeight="1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t="str">
        <f ca="1">IFERROR(__xludf.DUMMYFUNCTION("""COMPUTED_VALUE"""),"ASS. APOIO DO COL. EST. DE CRISTALANDIA")</f>
        <v>ASS. APOIO DO COL. EST. DE CRISTALANDIA</v>
      </c>
      <c r="D308" t="str">
        <f ca="1">IFERROR(__xludf.DUMMYFUNCTION("""COMPUTED_VALUE"""),"01186467000130")</f>
        <v>01186467000130</v>
      </c>
      <c r="E308" s="7">
        <f ca="1">IFERROR(__xludf.DUMMYFUNCTION("""COMPUTED_VALUE"""),0)</f>
        <v>0</v>
      </c>
      <c r="F308" s="7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IFERROR(__xludf.DUMMYFUNCTION("""COMPUTED_VALUE"""),"3638")</f>
        <v>3638</v>
      </c>
      <c r="I308" t="str">
        <f ca="1">IFERROR(__xludf.DUMMYFUNCTION("""COMPUTED_VALUE"""),"17469")</f>
        <v>17469</v>
      </c>
    </row>
    <row r="309" spans="1:9" ht="15.75" customHeight="1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t="str">
        <f ca="1">IFERROR(__xludf.DUMMYFUNCTION("""COMPUTED_VALUE"""),"APAE DE CRISTALÂNDIA")</f>
        <v>APAE DE CRISTALÂNDIA</v>
      </c>
      <c r="D309" t="str">
        <f ca="1">IFERROR(__xludf.DUMMYFUNCTION("""COMPUTED_VALUE"""),"01995319000167")</f>
        <v>01995319000167</v>
      </c>
      <c r="E309" s="7">
        <f ca="1">IFERROR(__xludf.DUMMYFUNCTION("""COMPUTED_VALUE"""),0)</f>
        <v>0</v>
      </c>
      <c r="F309" s="7">
        <f ca="1">IFERROR(__xludf.DUMMYFUNCTION("""COMPUTED_VALUE"""),72)</f>
        <v>72</v>
      </c>
      <c r="G309" t="str">
        <f ca="1">IFERROR(__xludf.DUMMYFUNCTION("""COMPUTED_VALUE"""),"001")</f>
        <v>001</v>
      </c>
      <c r="H309" t="str">
        <f ca="1">IFERROR(__xludf.DUMMYFUNCTION("""COMPUTED_VALUE"""),"3638")</f>
        <v>3638</v>
      </c>
      <c r="I309" t="str">
        <f ca="1">IFERROR(__xludf.DUMMYFUNCTION("""COMPUTED_VALUE"""),"71315")</f>
        <v>71315</v>
      </c>
    </row>
    <row r="310" spans="1:9" ht="15.75" customHeight="1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t="str">
        <f ca="1">IFERROR(__xludf.DUMMYFUNCTION("""COMPUTED_VALUE"""),"A.A. ESCOLA MUL.OTACILIO MARQUES ROSAL")</f>
        <v>A.A. ESCOLA MUL.OTACILIO MARQUES ROSAL</v>
      </c>
      <c r="D310" t="str">
        <f ca="1">IFERROR(__xludf.DUMMYFUNCTION("""COMPUTED_VALUE"""),"01071438000123")</f>
        <v>01071438000123</v>
      </c>
      <c r="E310" s="7">
        <f ca="1">IFERROR(__xludf.DUMMYFUNCTION("""COMPUTED_VALUE"""),0)</f>
        <v>0</v>
      </c>
      <c r="F310" s="7">
        <f ca="1">IFERROR(__xludf.DUMMYFUNCTION("""COMPUTED_VALUE"""),0)</f>
        <v>0</v>
      </c>
      <c r="G310" t="str">
        <f ca="1">IFERROR(__xludf.DUMMYFUNCTION("""COMPUTED_VALUE"""),"001")</f>
        <v>001</v>
      </c>
      <c r="H310" t="str">
        <f ca="1">IFERROR(__xludf.DUMMYFUNCTION("""COMPUTED_VALUE"""),"3638")</f>
        <v>3638</v>
      </c>
      <c r="I310" t="str">
        <f ca="1">IFERROR(__xludf.DUMMYFUNCTION("""COMPUTED_VALUE"""),"7120X")</f>
        <v>7120X</v>
      </c>
    </row>
    <row r="311" spans="1:9" ht="15.75" customHeight="1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t="str">
        <f ca="1">IFERROR(__xludf.DUMMYFUNCTION("""COMPUTED_VALUE"""),"A.A. DO COLEGIO MUL. JOAO DIAS SOBRINHO")</f>
        <v>A.A. DO COLEGIO MUL. JOAO DIAS SOBRINHO</v>
      </c>
      <c r="D311" t="str">
        <f ca="1">IFERROR(__xludf.DUMMYFUNCTION("""COMPUTED_VALUE"""),"01184383000168")</f>
        <v>01184383000168</v>
      </c>
      <c r="E311" s="7">
        <f ca="1">IFERROR(__xludf.DUMMYFUNCTION("""COMPUTED_VALUE"""),0)</f>
        <v>0</v>
      </c>
      <c r="F311" s="7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IFERROR(__xludf.DUMMYFUNCTION("""COMPUTED_VALUE"""),"3812")</f>
        <v>3812</v>
      </c>
      <c r="I311" t="str">
        <f ca="1">IFERROR(__xludf.DUMMYFUNCTION("""COMPUTED_VALUE"""),"275069")</f>
        <v>275069</v>
      </c>
    </row>
    <row r="312" spans="1:9" ht="15.75" customHeight="1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t="str">
        <f ca="1">IFERROR(__xludf.DUMMYFUNCTION("""COMPUTED_VALUE"""),"ASS. APOIO ESC. EST. D. CANDIDA DE FREITAS")</f>
        <v>ASS. APOIO ESC. EST. D. CANDIDA DE FREITAS</v>
      </c>
      <c r="D312" t="str">
        <f ca="1">IFERROR(__xludf.DUMMYFUNCTION("""COMPUTED_VALUE"""),"01296363000189")</f>
        <v>01296363000189</v>
      </c>
      <c r="E312" s="7">
        <f ca="1">IFERROR(__xludf.DUMMYFUNCTION("""COMPUTED_VALUE"""),0)</f>
        <v>0</v>
      </c>
      <c r="F312" s="7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IFERROR(__xludf.DUMMYFUNCTION("""COMPUTED_VALUE"""),"3812")</f>
        <v>3812</v>
      </c>
      <c r="I312" t="str">
        <f ca="1">IFERROR(__xludf.DUMMYFUNCTION("""COMPUTED_VALUE"""),"70629")</f>
        <v>70629</v>
      </c>
    </row>
    <row r="313" spans="1:9" ht="15.75" customHeight="1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t="str">
        <f ca="1">IFERROR(__xludf.DUMMYFUNCTION("""COMPUTED_VALUE"""),"A.A.  ESTUD COL. EST. LAGOA DA CONFUSAO")</f>
        <v>A.A.  ESTUD COL. EST. LAGOA DA CONFUSAO</v>
      </c>
      <c r="D313" t="str">
        <f ca="1">IFERROR(__xludf.DUMMYFUNCTION("""COMPUTED_VALUE"""),"01179116000100")</f>
        <v>01179116000100</v>
      </c>
      <c r="E313" s="7">
        <f ca="1">IFERROR(__xludf.DUMMYFUNCTION("""COMPUTED_VALUE"""),0)</f>
        <v>0</v>
      </c>
      <c r="F313" s="7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IFERROR(__xludf.DUMMYFUNCTION("""COMPUTED_VALUE"""),"3983")</f>
        <v>3983</v>
      </c>
      <c r="I313" t="str">
        <f ca="1">IFERROR(__xludf.DUMMYFUNCTION("""COMPUTED_VALUE"""),"84735")</f>
        <v>84735</v>
      </c>
    </row>
    <row r="314" spans="1:9" ht="15.75" customHeight="1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t="str">
        <f ca="1">IFERROR(__xludf.DUMMYFUNCTION("""COMPUTED_VALUE"""),"ASSOCIAÇÃO DA ESCOLA ESPECIAL LAGOA DA CONFUSÃO")</f>
        <v>ASSOCIAÇÃO DA ESCOLA ESPECIAL LAGOA DA CONFUSÃO</v>
      </c>
      <c r="D314" t="str">
        <f ca="1">IFERROR(__xludf.DUMMYFUNCTION("""COMPUTED_VALUE"""),"08755554000100")</f>
        <v>08755554000100</v>
      </c>
      <c r="E314" s="7">
        <f ca="1">IFERROR(__xludf.DUMMYFUNCTION("""COMPUTED_VALUE"""),0)</f>
        <v>0</v>
      </c>
      <c r="F314" s="7">
        <f ca="1">IFERROR(__xludf.DUMMYFUNCTION("""COMPUTED_VALUE"""),115.2)</f>
        <v>115.2</v>
      </c>
      <c r="G314" t="str">
        <f ca="1">IFERROR(__xludf.DUMMYFUNCTION("""COMPUTED_VALUE"""),"001")</f>
        <v>001</v>
      </c>
      <c r="H314" t="str">
        <f ca="1">IFERROR(__xludf.DUMMYFUNCTION("""COMPUTED_VALUE"""),"3983")</f>
        <v>3983</v>
      </c>
      <c r="I314" t="str">
        <f ca="1">IFERROR(__xludf.DUMMYFUNCTION("""COMPUTED_VALUE"""),"83712")</f>
        <v>83712</v>
      </c>
    </row>
    <row r="315" spans="1:9" ht="15.75" customHeight="1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t="str">
        <f ca="1">IFERROR(__xludf.DUMMYFUNCTION("""COMPUTED_VALUE"""),"A.A. DO COL. EST. DAVID BARBOSA ROLINS")</f>
        <v>A.A. DO COL. EST. DAVID BARBOSA ROLINS</v>
      </c>
      <c r="D315" t="str">
        <f ca="1">IFERROR(__xludf.DUMMYFUNCTION("""COMPUTED_VALUE"""),"01980050000145")</f>
        <v>01980050000145</v>
      </c>
      <c r="E315" s="7">
        <f ca="1">IFERROR(__xludf.DUMMYFUNCTION("""COMPUTED_VALUE"""),0)</f>
        <v>0</v>
      </c>
      <c r="F315" s="7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IFERROR(__xludf.DUMMYFUNCTION("""COMPUTED_VALUE"""),"219045")</f>
        <v>219045</v>
      </c>
    </row>
    <row r="316" spans="1:9" ht="15.75" customHeight="1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t="str">
        <f ca="1">IFERROR(__xludf.DUMMYFUNCTION("""COMPUTED_VALUE"""),"A. ESC. COM. ESC. EST.PEDRO XAVIER TEIXEIRA")</f>
        <v>A. ESC. COM. ESC. EST.PEDRO XAVIER TEIXEIRA</v>
      </c>
      <c r="D316" t="str">
        <f ca="1">IFERROR(__xludf.DUMMYFUNCTION("""COMPUTED_VALUE"""),"01068367000100")</f>
        <v>01068367000100</v>
      </c>
      <c r="E316" s="7">
        <f ca="1">IFERROR(__xludf.DUMMYFUNCTION("""COMPUTED_VALUE"""),0)</f>
        <v>0</v>
      </c>
      <c r="F316" s="7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IFERROR(__xludf.DUMMYFUNCTION("""COMPUTED_VALUE"""),"234265")</f>
        <v>234265</v>
      </c>
    </row>
    <row r="317" spans="1:9" ht="15.75" customHeight="1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t="str">
        <f ca="1">IFERROR(__xludf.DUMMYFUNCTION("""COMPUTED_VALUE"""),"A.A. A ESCOLA ESTADUAL CAMPO MAIOR")</f>
        <v>A.A. A ESCOLA ESTADUAL CAMPO MAIOR</v>
      </c>
      <c r="D317" t="str">
        <f ca="1">IFERROR(__xludf.DUMMYFUNCTION("""COMPUTED_VALUE"""),"01068373000167")</f>
        <v>01068373000167</v>
      </c>
      <c r="E317" s="7">
        <f ca="1">IFERROR(__xludf.DUMMYFUNCTION("""COMPUTED_VALUE"""),0)</f>
        <v>0</v>
      </c>
      <c r="F317" s="7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IFERROR(__xludf.DUMMYFUNCTION("""COMPUTED_VALUE"""),"341290")</f>
        <v>341290</v>
      </c>
    </row>
    <row r="318" spans="1:9" ht="15.75" customHeight="1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t="str">
        <f ca="1">IFERROR(__xludf.DUMMYFUNCTION("""COMPUTED_VALUE"""),"ASSOC.COM. ESC EST.REGINA SIQUEIRA CAMPOS")</f>
        <v>ASSOC.COM. ESC EST.REGINA SIQUEIRA CAMPOS</v>
      </c>
      <c r="D318" t="str">
        <f ca="1">IFERROR(__xludf.DUMMYFUNCTION("""COMPUTED_VALUE"""),"01181170000182")</f>
        <v>01181170000182</v>
      </c>
      <c r="E318" s="7">
        <f ca="1">IFERROR(__xludf.DUMMYFUNCTION("""COMPUTED_VALUE"""),0)</f>
        <v>0</v>
      </c>
      <c r="F318" s="7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IFERROR(__xludf.DUMMYFUNCTION("""COMPUTED_VALUE"""),"16383X")</f>
        <v>16383X</v>
      </c>
    </row>
    <row r="319" spans="1:9" ht="15.75" customHeight="1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IFERROR(__xludf.DUMMYFUNCTION("""COMPUTED_VALUE"""),"A.A. ESC. EST.ISOL.INDIG REG PARAISO DO TO")</f>
        <v>A.A. ESC. EST.ISOL.INDIG REG PARAISO DO TO</v>
      </c>
      <c r="D319" t="str">
        <f ca="1">IFERROR(__xludf.DUMMYFUNCTION("""COMPUTED_VALUE"""),"05099542000187")</f>
        <v>05099542000187</v>
      </c>
      <c r="E319" s="7">
        <f ca="1">IFERROR(__xludf.DUMMYFUNCTION("""COMPUTED_VALUE"""),0)</f>
        <v>0</v>
      </c>
      <c r="F319" s="7">
        <f ca="1">IFERROR(__xludf.DUMMYFUNCTION("""COMPUTED_VALUE"""),0)</f>
        <v>0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IFERROR(__xludf.DUMMYFUNCTION("""COMPUTED_VALUE"""),"111678")</f>
        <v>111678</v>
      </c>
    </row>
    <row r="320" spans="1:9" ht="15.75" customHeight="1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IFERROR(__xludf.DUMMYFUNCTION("""COMPUTED_VALUE"""),"A.A. COLÉGIO MILITAR DIACONÍZIO BEZERRA DA SILVA")</f>
        <v>A.A. COLÉGIO MILITAR DIACONÍZIO BEZERRA DA SILVA</v>
      </c>
      <c r="D320" t="str">
        <f ca="1">IFERROR(__xludf.DUMMYFUNCTION("""COMPUTED_VALUE"""),"11675300000197")</f>
        <v>11675300000197</v>
      </c>
      <c r="E320" s="7">
        <f ca="1">IFERROR(__xludf.DUMMYFUNCTION("""COMPUTED_VALUE"""),0)</f>
        <v>0</v>
      </c>
      <c r="F320" s="7">
        <f ca="1">IFERROR(__xludf.DUMMYFUNCTION("""COMPUTED_VALUE"""),0)</f>
        <v>0</v>
      </c>
      <c r="G320" t="str">
        <f ca="1">IFERROR(__xludf.DUMMYFUNCTION("""COMPUTED_VALUE"""),"001")</f>
        <v>001</v>
      </c>
      <c r="H320" t="str">
        <f ca="1">IFERROR(__xludf.DUMMYFUNCTION("""COMPUTED_VALUE"""),"0804")</f>
        <v>0804</v>
      </c>
      <c r="I320" t="str">
        <f ca="1">IFERROR(__xludf.DUMMYFUNCTION("""COMPUTED_VALUE"""),"320781")</f>
        <v>320781</v>
      </c>
    </row>
    <row r="321" spans="1:9" ht="15.75" customHeight="1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IFERROR(__xludf.DUMMYFUNCTION("""COMPUTED_VALUE"""),"ASSOC. APOIO AO CEM JOSE ALVES DE ASSIS")</f>
        <v>ASSOC. APOIO AO CEM JOSE ALVES DE ASSIS</v>
      </c>
      <c r="D321" t="str">
        <f ca="1">IFERROR(__xludf.DUMMYFUNCTION("""COMPUTED_VALUE"""),"01181169000158")</f>
        <v>01181169000158</v>
      </c>
      <c r="E321" s="7">
        <f ca="1">IFERROR(__xludf.DUMMYFUNCTION("""COMPUTED_VALUE"""),0)</f>
        <v>0</v>
      </c>
      <c r="F321" s="7">
        <f ca="1">IFERROR(__xludf.DUMMYFUNCTION("""COMPUTED_VALUE"""),0)</f>
        <v>0</v>
      </c>
      <c r="G321" t="str">
        <f ca="1">IFERROR(__xludf.DUMMYFUNCTION("""COMPUTED_VALUE"""),"001")</f>
        <v>001</v>
      </c>
      <c r="H321" t="str">
        <f ca="1">IFERROR(__xludf.DUMMYFUNCTION("""COMPUTED_VALUE"""),"0804")</f>
        <v>0804</v>
      </c>
      <c r="I321" t="str">
        <f ca="1">IFERROR(__xludf.DUMMYFUNCTION("""COMPUTED_VALUE"""),"286257")</f>
        <v>286257</v>
      </c>
    </row>
    <row r="322" spans="1:9" ht="15.75" customHeight="1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IFERROR(__xludf.DUMMYFUNCTION("""COMPUTED_VALUE"""),"ASSOC. DE APOIO ESC. EST.IDALINA DE PAULA")</f>
        <v>ASSOC. DE APOIO ESC. EST.IDALINA DE PAULA</v>
      </c>
      <c r="D322" t="str">
        <f ca="1">IFERROR(__xludf.DUMMYFUNCTION("""COMPUTED_VALUE"""),"01066419000109")</f>
        <v>01066419000109</v>
      </c>
      <c r="E322" s="7">
        <f ca="1">IFERROR(__xludf.DUMMYFUNCTION("""COMPUTED_VALUE"""),0)</f>
        <v>0</v>
      </c>
      <c r="F322" s="7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IFERROR(__xludf.DUMMYFUNCTION("""COMPUTED_VALUE"""),"115797")</f>
        <v>115797</v>
      </c>
    </row>
    <row r="323" spans="1:9" ht="15.75" customHeight="1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IFERROR(__xludf.DUMMYFUNCTION("""COMPUTED_VALUE"""),"ASS. APOIO ESC. EST.PROF. JOSE NEZIO RAMOS")</f>
        <v>ASS. APOIO ESC. EST.PROF. JOSE NEZIO RAMOS</v>
      </c>
      <c r="D323" t="str">
        <f ca="1">IFERROR(__xludf.DUMMYFUNCTION("""COMPUTED_VALUE"""),"01233716000100")</f>
        <v>01233716000100</v>
      </c>
      <c r="E323" s="7">
        <f ca="1">IFERROR(__xludf.DUMMYFUNCTION("""COMPUTED_VALUE"""),0)</f>
        <v>0</v>
      </c>
      <c r="F323" s="7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IFERROR(__xludf.DUMMYFUNCTION("""COMPUTED_VALUE"""),"0263656")</f>
        <v>0263656</v>
      </c>
    </row>
    <row r="324" spans="1:9" ht="15.75" customHeight="1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IFERROR(__xludf.DUMMYFUNCTION("""COMPUTED_VALUE"""),"AAE. ESPECIAL LUZ DA VIDA")</f>
        <v>AAE. ESPECIAL LUZ DA VIDA</v>
      </c>
      <c r="D324" t="str">
        <f ca="1">IFERROR(__xludf.DUMMYFUNCTION("""COMPUTED_VALUE"""),"07905330000175")</f>
        <v>07905330000175</v>
      </c>
      <c r="E324" s="7">
        <f ca="1">IFERROR(__xludf.DUMMYFUNCTION("""COMPUTED_VALUE"""),0)</f>
        <v>0</v>
      </c>
      <c r="F324" s="7">
        <f ca="1">IFERROR(__xludf.DUMMYFUNCTION("""COMPUTED_VALUE"""),288)</f>
        <v>288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IFERROR(__xludf.DUMMYFUNCTION("""COMPUTED_VALUE"""),"331724")</f>
        <v>331724</v>
      </c>
    </row>
    <row r="325" spans="1:9" ht="15.75" customHeight="1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IFERROR(__xludf.DUMMYFUNCTION("""COMPUTED_VALUE"""),"ASS. DE APOIO ESC. EST. AMANCIO DE MORAES")</f>
        <v>ASS. DE APOIO ESC. EST. AMANCIO DE MORAES</v>
      </c>
      <c r="D325" t="str">
        <f ca="1">IFERROR(__xludf.DUMMYFUNCTION("""COMPUTED_VALUE"""),"01068375000156")</f>
        <v>01068375000156</v>
      </c>
      <c r="E325" s="7">
        <f ca="1">IFERROR(__xludf.DUMMYFUNCTION("""COMPUTED_VALUE"""),0)</f>
        <v>0</v>
      </c>
      <c r="F325" s="7">
        <f ca="1">IFERROR(__xludf.DUMMYFUNCTION("""COMPUTED_VALUE"""),0)</f>
        <v>0</v>
      </c>
      <c r="G325" t="str">
        <f ca="1">IFERROR(__xludf.DUMMYFUNCTION("""COMPUTED_VALUE"""),"104")</f>
        <v>104</v>
      </c>
      <c r="H325" t="str">
        <f ca="1">IFERROR(__xludf.DUMMYFUNCTION("""COMPUTED_VALUE"""),"1141")</f>
        <v>1141</v>
      </c>
      <c r="I325" t="str">
        <f ca="1">IFERROR(__xludf.DUMMYFUNCTION("""COMPUTED_VALUE"""),"308140")</f>
        <v>308140</v>
      </c>
    </row>
    <row r="326" spans="1:9" ht="15.75" customHeight="1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t="str">
        <f ca="1">IFERROR(__xludf.DUMMYFUNCTION("""COMPUTED_VALUE"""),"A.A. ESCOLA ESTADUAL DEUSA DE MORAES")</f>
        <v>A.A. ESCOLA ESTADUAL DEUSA DE MORAES</v>
      </c>
      <c r="D326" t="str">
        <f ca="1">IFERROR(__xludf.DUMMYFUNCTION("""COMPUTED_VALUE"""),"01068362000187")</f>
        <v>01068362000187</v>
      </c>
      <c r="E326" s="7">
        <f ca="1">IFERROR(__xludf.DUMMYFUNCTION("""COMPUTED_VALUE"""),0)</f>
        <v>0</v>
      </c>
      <c r="F326" s="7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IFERROR(__xludf.DUMMYFUNCTION("""COMPUTED_VALUE"""),"304549")</f>
        <v>304549</v>
      </c>
    </row>
    <row r="327" spans="1:9" ht="15.75" customHeight="1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t="str">
        <f ca="1">IFERROR(__xludf.DUMMYFUNCTION("""COMPUTED_VALUE"""),"A. ESC COM. DA ESC EST J.K. DE OLIVEIRA")</f>
        <v>A. ESC COM. DA ESC EST J.K. DE OLIVEIRA</v>
      </c>
      <c r="D327" t="str">
        <f ca="1">IFERROR(__xludf.DUMMYFUNCTION("""COMPUTED_VALUE"""),"00921537000194")</f>
        <v>00921537000194</v>
      </c>
      <c r="E327" s="7">
        <f ca="1">IFERROR(__xludf.DUMMYFUNCTION("""COMPUTED_VALUE"""),0)</f>
        <v>0</v>
      </c>
      <c r="F327" s="7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IFERROR(__xludf.DUMMYFUNCTION("""COMPUTED_VALUE"""),"163821")</f>
        <v>163821</v>
      </c>
    </row>
    <row r="328" spans="1:9" ht="15.75" customHeight="1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t="str">
        <f ca="1">IFERROR(__xludf.DUMMYFUNCTION("""COMPUTED_VALUE"""),"A.A.  ESCOLA EST. SAO JOSE OPERARIO")</f>
        <v>A.A.  ESCOLA EST. SAO JOSE OPERARIO</v>
      </c>
      <c r="D328" t="str">
        <f ca="1">IFERROR(__xludf.DUMMYFUNCTION("""COMPUTED_VALUE"""),"01186454000161")</f>
        <v>01186454000161</v>
      </c>
      <c r="E328" s="7">
        <f ca="1">IFERROR(__xludf.DUMMYFUNCTION("""COMPUTED_VALUE"""),0)</f>
        <v>0</v>
      </c>
      <c r="F328" s="7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IFERROR(__xludf.DUMMYFUNCTION("""COMPUTED_VALUE"""),"0804")</f>
        <v>0804</v>
      </c>
      <c r="I328" t="str">
        <f ca="1">IFERROR(__xludf.DUMMYFUNCTION("""COMPUTED_VALUE"""),"285986")</f>
        <v>285986</v>
      </c>
    </row>
    <row r="329" spans="1:9" ht="15.75" customHeight="1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t="str">
        <f ca="1">IFERROR(__xludf.DUMMYFUNCTION("""COMPUTED_VALUE"""),"A.A. DO COL. PRESB. VALE DO TOCANTINS")</f>
        <v>A.A. DO COL. PRESB. VALE DO TOCANTINS</v>
      </c>
      <c r="D329" t="str">
        <f ca="1">IFERROR(__xludf.DUMMYFUNCTION("""COMPUTED_VALUE"""),"01071426000107")</f>
        <v>01071426000107</v>
      </c>
      <c r="E329" s="7">
        <f ca="1">IFERROR(__xludf.DUMMYFUNCTION("""COMPUTED_VALUE"""),0)</f>
        <v>0</v>
      </c>
      <c r="F329" s="7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IFERROR(__xludf.DUMMYFUNCTION("""COMPUTED_VALUE"""),"0804")</f>
        <v>0804</v>
      </c>
      <c r="I329" t="str">
        <f ca="1">IFERROR(__xludf.DUMMYFUNCTION("""COMPUTED_VALUE"""),"311618")</f>
        <v>311618</v>
      </c>
    </row>
    <row r="330" spans="1:9" ht="15.75" customHeight="1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t="str">
        <f ca="1">IFERROR(__xludf.DUMMYFUNCTION("""COMPUTED_VALUE"""),"ASS. A. ESCOLA EST. DE TEMPO INTEGRAL PROFESSORA RITA ANDRADE SANTOS")</f>
        <v>ASS. A. ESCOLA EST. DE TEMPO INTEGRAL PROFESSORA RITA ANDRADE SANTOS</v>
      </c>
      <c r="D330" t="str">
        <f ca="1">IFERROR(__xludf.DUMMYFUNCTION("""COMPUTED_VALUE"""),"48740961000169")</f>
        <v>48740961000169</v>
      </c>
      <c r="E330" s="7">
        <f ca="1">IFERROR(__xludf.DUMMYFUNCTION("""COMPUTED_VALUE"""),0)</f>
        <v>0</v>
      </c>
      <c r="F330" s="7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IFERROR(__xludf.DUMMYFUNCTION("""COMPUTED_VALUE"""),"0804")</f>
        <v>0804</v>
      </c>
      <c r="I330" t="str">
        <f ca="1">IFERROR(__xludf.DUMMYFUNCTION("""COMPUTED_VALUE"""),"58858X")</f>
        <v>58858X</v>
      </c>
    </row>
    <row r="331" spans="1:9" ht="15.75" customHeight="1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t="str">
        <f ca="1">IFERROR(__xludf.DUMMYFUNCTION("""COMPUTED_VALUE"""),"A.A. COLEGIO ESTADUAL BARTOLOMEU BUENO")</f>
        <v>A.A. COLEGIO ESTADUAL BARTOLOMEU BUENO</v>
      </c>
      <c r="D331" t="str">
        <f ca="1">IFERROR(__xludf.DUMMYFUNCTION("""COMPUTED_VALUE"""),"01071436000134")</f>
        <v>01071436000134</v>
      </c>
      <c r="E331" s="7">
        <f ca="1">IFERROR(__xludf.DUMMYFUNCTION("""COMPUTED_VALUE"""),0)</f>
        <v>0</v>
      </c>
      <c r="F331" s="7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IFERROR(__xludf.DUMMYFUNCTION("""COMPUTED_VALUE"""),"0804")</f>
        <v>0804</v>
      </c>
      <c r="I331" t="str">
        <f ca="1">IFERROR(__xludf.DUMMYFUNCTION("""COMPUTED_VALUE"""),"286206")</f>
        <v>286206</v>
      </c>
    </row>
    <row r="332" spans="1:9" ht="15.75" customHeight="1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t="str">
        <f ca="1">IFERROR(__xludf.DUMMYFUNCTION("""COMPUTED_VALUE"""),"A.A. DA ESC. EST. DARCY RIBEIRO")</f>
        <v>A.A. DA ESC. EST. DARCY RIBEIRO</v>
      </c>
      <c r="D332" t="str">
        <f ca="1">IFERROR(__xludf.DUMMYFUNCTION("""COMPUTED_VALUE"""),"02382845000114")</f>
        <v>02382845000114</v>
      </c>
      <c r="E332" s="7">
        <f ca="1">IFERROR(__xludf.DUMMYFUNCTION("""COMPUTED_VALUE"""),0)</f>
        <v>0</v>
      </c>
      <c r="F332" s="7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IFERROR(__xludf.DUMMYFUNCTION("""COMPUTED_VALUE"""),"0804")</f>
        <v>0804</v>
      </c>
      <c r="I332" t="str">
        <f ca="1">IFERROR(__xludf.DUMMYFUNCTION("""COMPUTED_VALUE"""),"286648")</f>
        <v>286648</v>
      </c>
    </row>
    <row r="333" spans="1:9" ht="15.75" customHeight="1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t="str">
        <f ca="1">IFERROR(__xludf.DUMMYFUNCTION("""COMPUTED_VALUE"""),"ASSOC. DE AP.A ESC. EST. ALFREDO NASSER")</f>
        <v>ASSOC. DE AP.A ESC. EST. ALFREDO NASSER</v>
      </c>
      <c r="D333" t="str">
        <f ca="1">IFERROR(__xludf.DUMMYFUNCTION("""COMPUTED_VALUE"""),"01138329000186")</f>
        <v>01138329000186</v>
      </c>
      <c r="E333" s="7">
        <f ca="1">IFERROR(__xludf.DUMMYFUNCTION("""COMPUTED_VALUE"""),0)</f>
        <v>0</v>
      </c>
      <c r="F333" s="7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IFERROR(__xludf.DUMMYFUNCTION("""COMPUTED_VALUE"""),"59277")</f>
        <v>59277</v>
      </c>
    </row>
    <row r="334" spans="1:9" ht="15.75" customHeight="1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t="str">
        <f ca="1">IFERROR(__xludf.DUMMYFUNCTION("""COMPUTED_VALUE"""),"A. ESC. COM. DO COL. EST. OTONIEL C.DE JESUS")</f>
        <v>A. ESC. COM. DO COL. EST. OTONIEL C.DE JESUS</v>
      </c>
      <c r="D334" t="str">
        <f ca="1">IFERROR(__xludf.DUMMYFUNCTION("""COMPUTED_VALUE"""),"02008180000183")</f>
        <v>02008180000183</v>
      </c>
      <c r="E334" s="7">
        <f ca="1">IFERROR(__xludf.DUMMYFUNCTION("""COMPUTED_VALUE"""),0)</f>
        <v>0</v>
      </c>
      <c r="F334" s="7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IFERROR(__xludf.DUMMYFUNCTION("""COMPUTED_VALUE"""),"10081")</f>
        <v>10081</v>
      </c>
    </row>
    <row r="335" spans="1:9" ht="15.75" customHeight="1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t="str">
        <f ca="1">IFERROR(__xludf.DUMMYFUNCTION("""COMPUTED_VALUE"""),"A.A. COLEGIO ESTADUAL DE ITACAJA")</f>
        <v>A.A. COLEGIO ESTADUAL DE ITACAJA</v>
      </c>
      <c r="D335" t="str">
        <f ca="1">IFERROR(__xludf.DUMMYFUNCTION("""COMPUTED_VALUE"""),"01138428000168")</f>
        <v>01138428000168</v>
      </c>
      <c r="E335" s="7">
        <f ca="1">IFERROR(__xludf.DUMMYFUNCTION("""COMPUTED_VALUE"""),0)</f>
        <v>0</v>
      </c>
      <c r="F335" s="7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IFERROR(__xludf.DUMMYFUNCTION("""COMPUTED_VALUE"""),"59773")</f>
        <v>59773</v>
      </c>
    </row>
    <row r="336" spans="1:9" ht="15.75" customHeight="1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t="str">
        <f ca="1">IFERROR(__xludf.DUMMYFUNCTION("""COMPUTED_VALUE"""),"ASSOC. APOIO ESC. EST. ALMEIDA SARDINHA")</f>
        <v>ASSOC. APOIO ESC. EST. ALMEIDA SARDINHA</v>
      </c>
      <c r="D336" t="str">
        <f ca="1">IFERROR(__xludf.DUMMYFUNCTION("""COMPUTED_VALUE"""),"01138335000133")</f>
        <v>01138335000133</v>
      </c>
      <c r="E336" s="7">
        <f ca="1">IFERROR(__xludf.DUMMYFUNCTION("""COMPUTED_VALUE"""),0)</f>
        <v>0</v>
      </c>
      <c r="F336" s="7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IFERROR(__xludf.DUMMYFUNCTION("""COMPUTED_VALUE"""),"2094")</f>
        <v>2094</v>
      </c>
      <c r="I336" t="str">
        <f ca="1">IFERROR(__xludf.DUMMYFUNCTION("""COMPUTED_VALUE"""),"466484")</f>
        <v>466484</v>
      </c>
    </row>
    <row r="337" spans="1:9" ht="15.75" customHeight="1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t="str">
        <f ca="1">IFERROR(__xludf.DUMMYFUNCTION("""COMPUTED_VALUE"""),"A.A. ESCOLAS ESTADUAIS INDIGENAS DE ITACAJA II")</f>
        <v>A.A. ESCOLAS ESTADUAIS INDIGENAS DE ITACAJA II</v>
      </c>
      <c r="D337" t="str">
        <f ca="1">IFERROR(__xludf.DUMMYFUNCTION("""COMPUTED_VALUE"""),"43551682000133")</f>
        <v>43551682000133</v>
      </c>
      <c r="E337" s="7">
        <f ca="1">IFERROR(__xludf.DUMMYFUNCTION("""COMPUTED_VALUE"""),0)</f>
        <v>0</v>
      </c>
      <c r="F337" s="7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IFERROR(__xludf.DUMMYFUNCTION("""COMPUTED_VALUE"""),"327905")</f>
        <v>327905</v>
      </c>
    </row>
    <row r="338" spans="1:9" ht="15.75" customHeight="1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IFERROR(__xludf.DUMMYFUNCTION("""COMPUTED_VALUE"""),"A.A. EC.INDIGENAS")</f>
        <v>A.A. EC.INDIGENAS</v>
      </c>
      <c r="D338" t="str">
        <f ca="1">IFERROR(__xludf.DUMMYFUNCTION("""COMPUTED_VALUE"""),"06135108000178")</f>
        <v>06135108000178</v>
      </c>
      <c r="E338" s="7">
        <f ca="1">IFERROR(__xludf.DUMMYFUNCTION("""COMPUTED_VALUE"""),0)</f>
        <v>0</v>
      </c>
      <c r="F338" s="7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IFERROR(__xludf.DUMMYFUNCTION("""COMPUTED_VALUE"""),"114499")</f>
        <v>114499</v>
      </c>
    </row>
    <row r="339" spans="1:9" ht="15.75" customHeight="1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IFERROR(__xludf.DUMMYFUNCTION("""COMPUTED_VALUE"""),"A.A. E. EST.IS.DA REG.DE ENS.DE GUARAI")</f>
        <v>A.A. E. EST.IS.DA REG.DE ENS.DE GUARAI</v>
      </c>
      <c r="D339" t="str">
        <f ca="1">IFERROR(__xludf.DUMMYFUNCTION("""COMPUTED_VALUE"""),"02508361000179")</f>
        <v>02508361000179</v>
      </c>
      <c r="E339" s="7">
        <f ca="1">IFERROR(__xludf.DUMMYFUNCTION("""COMPUTED_VALUE"""),0)</f>
        <v>0</v>
      </c>
      <c r="F339" s="7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IFERROR(__xludf.DUMMYFUNCTION("""COMPUTED_VALUE"""),"110663")</f>
        <v>110663</v>
      </c>
    </row>
    <row r="340" spans="1:9" ht="15.75" customHeight="1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t="str">
        <f ca="1">IFERROR(__xludf.DUMMYFUNCTION("""COMPUTED_VALUE"""),"A.A. ESCOLAR DO COLEGIO EST.CRISTO REI")</f>
        <v>A.A. ESCOLAR DO COLEGIO EST.CRISTO REI</v>
      </c>
      <c r="D340" t="str">
        <f ca="1">IFERROR(__xludf.DUMMYFUNCTION("""COMPUTED_VALUE"""),"02250658000187")</f>
        <v>02250658000187</v>
      </c>
      <c r="E340" s="7">
        <f ca="1">IFERROR(__xludf.DUMMYFUNCTION("""COMPUTED_VALUE"""),0)</f>
        <v>0</v>
      </c>
      <c r="F340" s="7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IFERROR(__xludf.DUMMYFUNCTION("""COMPUTED_VALUE"""),"66141")</f>
        <v>66141</v>
      </c>
    </row>
    <row r="341" spans="1:9" ht="15.75" customHeight="1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t="str">
        <f ca="1">IFERROR(__xludf.DUMMYFUNCTION("""COMPUTED_VALUE"""),"ASSOCIAÇÃO DE PAIS E AMIGOS DOS EXCEPCIONAIS DE PEDRO AFONSO")</f>
        <v>ASSOCIAÇÃO DE PAIS E AMIGOS DOS EXCEPCIONAIS DE PEDRO AFONSO</v>
      </c>
      <c r="D341" t="str">
        <f ca="1">IFERROR(__xludf.DUMMYFUNCTION("""COMPUTED_VALUE"""),"04406588000139")</f>
        <v>04406588000139</v>
      </c>
      <c r="E341" s="7">
        <f ca="1">IFERROR(__xludf.DUMMYFUNCTION("""COMPUTED_VALUE"""),0)</f>
        <v>0</v>
      </c>
      <c r="F341" s="7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IFERROR(__xludf.DUMMYFUNCTION("""COMPUTED_VALUE"""),"119105")</f>
        <v>119105</v>
      </c>
    </row>
    <row r="342" spans="1:9" ht="15.75" customHeight="1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t="str">
        <f ca="1">IFERROR(__xludf.DUMMYFUNCTION("""COMPUTED_VALUE"""),"A. DE PAIS E MEST. DA ESC. EST. ANA AMORIM")</f>
        <v>A. DE PAIS E MEST. DA ESC. EST. ANA AMORIM</v>
      </c>
      <c r="D342" t="str">
        <f ca="1">IFERROR(__xludf.DUMMYFUNCTION("""COMPUTED_VALUE"""),"01990364000129")</f>
        <v>01990364000129</v>
      </c>
      <c r="E342" s="7">
        <f ca="1">IFERROR(__xludf.DUMMYFUNCTION("""COMPUTED_VALUE"""),0)</f>
        <v>0</v>
      </c>
      <c r="F342" s="7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IFERROR(__xludf.DUMMYFUNCTION("""COMPUTED_VALUE"""),"1595")</f>
        <v>1595</v>
      </c>
      <c r="I342" t="str">
        <f ca="1">IFERROR(__xludf.DUMMYFUNCTION("""COMPUTED_VALUE"""),"59722")</f>
        <v>59722</v>
      </c>
    </row>
    <row r="343" spans="1:9" ht="15.75" customHeight="1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t="str">
        <f ca="1">IFERROR(__xludf.DUMMYFUNCTION("""COMPUTED_VALUE"""),"ASS. DE APOIO A ESCOLA ESTADUAL BOM TEMPO")</f>
        <v>ASS. DE APOIO A ESCOLA ESTADUAL BOM TEMPO</v>
      </c>
      <c r="D343" t="str">
        <f ca="1">IFERROR(__xludf.DUMMYFUNCTION("""COMPUTED_VALUE"""),"44776099000193")</f>
        <v>44776099000193</v>
      </c>
      <c r="E343" s="7">
        <f ca="1">IFERROR(__xludf.DUMMYFUNCTION("""COMPUTED_VALUE"""),0)</f>
        <v>0</v>
      </c>
      <c r="F343" s="7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IFERROR(__xludf.DUMMYFUNCTION("""COMPUTED_VALUE"""),"1595")</f>
        <v>1595</v>
      </c>
      <c r="I343" t="str">
        <f ca="1">IFERROR(__xludf.DUMMYFUNCTION("""COMPUTED_VALUE"""),"324981")</f>
        <v>324981</v>
      </c>
    </row>
    <row r="344" spans="1:9" ht="15.75" customHeight="1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t="str">
        <f ca="1">IFERROR(__xludf.DUMMYFUNCTION("""COMPUTED_VALUE"""),"A.A. AO COLÉGIO DE TEMPO INTEGRAL PROFESSOR ANTONIO BELARMINO FILHO")</f>
        <v>A.A. AO COLÉGIO DE TEMPO INTEGRAL PROFESSOR ANTONIO BELARMINO FILHO</v>
      </c>
      <c r="D344" t="str">
        <f ca="1">IFERROR(__xludf.DUMMYFUNCTION("""COMPUTED_VALUE"""),"47823286000179")</f>
        <v>47823286000179</v>
      </c>
      <c r="E344" s="7">
        <f ca="1">IFERROR(__xludf.DUMMYFUNCTION("""COMPUTED_VALUE"""),0)</f>
        <v>0</v>
      </c>
      <c r="F344" s="7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IFERROR(__xludf.DUMMYFUNCTION("""COMPUTED_VALUE"""),"1595")</f>
        <v>1595</v>
      </c>
      <c r="I344" t="str">
        <f ca="1">IFERROR(__xludf.DUMMYFUNCTION("""COMPUTED_VALUE"""),"334804")</f>
        <v>334804</v>
      </c>
    </row>
    <row r="345" spans="1:9" ht="15.75" customHeight="1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t="str">
        <f ca="1">IFERROR(__xludf.DUMMYFUNCTION("""COMPUTED_VALUE"""),"ASS. DE A. A ESCOLA EST. RECURSO I")</f>
        <v>ASS. DE A. A ESCOLA EST. RECURSO I</v>
      </c>
      <c r="D345" t="str">
        <f ca="1">IFERROR(__xludf.DUMMYFUNCTION("""COMPUTED_VALUE"""),"02021097000144")</f>
        <v>02021097000144</v>
      </c>
      <c r="E345" s="7">
        <f ca="1">IFERROR(__xludf.DUMMYFUNCTION("""COMPUTED_VALUE"""),0)</f>
        <v>0</v>
      </c>
      <c r="F345" s="7">
        <f ca="1">IFERROR(__xludf.DUMMYFUNCTION("""COMPUTED_VALUE"""),0)</f>
        <v>0</v>
      </c>
      <c r="G345" t="str">
        <f ca="1">IFERROR(__xludf.DUMMYFUNCTION("""COMPUTED_VALUE"""),"001")</f>
        <v>001</v>
      </c>
      <c r="H345" t="str">
        <f ca="1">IFERROR(__xludf.DUMMYFUNCTION("""COMPUTED_VALUE"""),"1595")</f>
        <v>1595</v>
      </c>
      <c r="I345" t="str">
        <f ca="1">IFERROR(__xludf.DUMMYFUNCTION("""COMPUTED_VALUE"""),"11029")</f>
        <v>11029</v>
      </c>
    </row>
    <row r="346" spans="1:9" ht="15.75" customHeight="1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t="str">
        <f ca="1">IFERROR(__xludf.DUMMYFUNCTION("""COMPUTED_VALUE"""),"A. A.AS ESC.DO COL. EST. SANTA MARIA")</f>
        <v>A. A.AS ESC.DO COL. EST. SANTA MARIA</v>
      </c>
      <c r="D346" t="str">
        <f ca="1">IFERROR(__xludf.DUMMYFUNCTION("""COMPUTED_VALUE"""),"02087933000193")</f>
        <v>02087933000193</v>
      </c>
      <c r="E346" s="7">
        <f ca="1">IFERROR(__xludf.DUMMYFUNCTION("""COMPUTED_VALUE"""),0)</f>
        <v>0</v>
      </c>
      <c r="F346" s="7">
        <f ca="1">IFERROR(__xludf.DUMMYFUNCTION("""COMPUTED_VALUE"""),0)</f>
        <v>0</v>
      </c>
      <c r="G346" t="str">
        <f ca="1">IFERROR(__xludf.DUMMYFUNCTION("""COMPUTED_VALUE"""),"001")</f>
        <v>001</v>
      </c>
      <c r="H346" t="str">
        <f ca="1">IFERROR(__xludf.DUMMYFUNCTION("""COMPUTED_VALUE"""),"1595")</f>
        <v>1595</v>
      </c>
      <c r="I346" t="str">
        <f ca="1">IFERROR(__xludf.DUMMYFUNCTION("""COMPUTED_VALUE"""),"83089")</f>
        <v>83089</v>
      </c>
    </row>
    <row r="347" spans="1:9" ht="15.75" customHeight="1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t="str">
        <f ca="1">IFERROR(__xludf.DUMMYFUNCTION("""COMPUTED_VALUE"""),"A.A. A ESCOLA EST. MARIA DA GLORIA")</f>
        <v>A.A. A ESCOLA EST. MARIA DA GLORIA</v>
      </c>
      <c r="D347" t="str">
        <f ca="1">IFERROR(__xludf.DUMMYFUNCTION("""COMPUTED_VALUE"""),"02096555000104")</f>
        <v>02096555000104</v>
      </c>
      <c r="E347" s="7">
        <f ca="1">IFERROR(__xludf.DUMMYFUNCTION("""COMPUTED_VALUE"""),0)</f>
        <v>0</v>
      </c>
      <c r="F347" s="7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IFERROR(__xludf.DUMMYFUNCTION("""COMPUTED_VALUE"""),"2094")</f>
        <v>2094</v>
      </c>
      <c r="I347" t="str">
        <f ca="1">IFERROR(__xludf.DUMMYFUNCTION("""COMPUTED_VALUE"""),"50482")</f>
        <v>50482</v>
      </c>
    </row>
    <row r="348" spans="1:9" ht="15.75" customHeight="1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t="str">
        <f ca="1">IFERROR(__xludf.DUMMYFUNCTION("""COMPUTED_VALUE"""),"A.A. DO COLEGIO ESTADUAL PADRAO")</f>
        <v>A.A. DO COLEGIO ESTADUAL PADRAO</v>
      </c>
      <c r="D348" t="str">
        <f ca="1">IFERROR(__xludf.DUMMYFUNCTION("""COMPUTED_VALUE"""),"01181175000105")</f>
        <v>01181175000105</v>
      </c>
      <c r="E348" s="7">
        <f ca="1">IFERROR(__xludf.DUMMYFUNCTION("""COMPUTED_VALUE"""),0)</f>
        <v>0</v>
      </c>
      <c r="F348" s="7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IFERROR(__xludf.DUMMYFUNCTION("""COMPUTED_VALUE"""),"3976")</f>
        <v>3976</v>
      </c>
      <c r="I348" t="str">
        <f ca="1">IFERROR(__xludf.DUMMYFUNCTION("""COMPUTED_VALUE"""),"51047")</f>
        <v>51047</v>
      </c>
    </row>
    <row r="349" spans="1:9" ht="15.75" customHeight="1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t="str">
        <f ca="1">IFERROR(__xludf.DUMMYFUNCTION("""COMPUTED_VALUE"""),"AS.DE APOIO A ESC. EST. JONAS PEREIRA LIMA")</f>
        <v>AS.DE APOIO A ESC. EST. JONAS PEREIRA LIMA</v>
      </c>
      <c r="D349" t="str">
        <f ca="1">IFERROR(__xludf.DUMMYFUNCTION("""COMPUTED_VALUE"""),"01148459000108")</f>
        <v>01148459000108</v>
      </c>
      <c r="E349" s="7">
        <f ca="1">IFERROR(__xludf.DUMMYFUNCTION("""COMPUTED_VALUE"""),0)</f>
        <v>0</v>
      </c>
      <c r="F349" s="7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IFERROR(__xludf.DUMMYFUNCTION("""COMPUTED_VALUE"""),"3976")</f>
        <v>3976</v>
      </c>
      <c r="I349" t="str">
        <f ca="1">IFERROR(__xludf.DUMMYFUNCTION("""COMPUTED_VALUE"""),"80489")</f>
        <v>80489</v>
      </c>
    </row>
    <row r="350" spans="1:9" ht="15.75" customHeight="1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t="str">
        <f ca="1">IFERROR(__xludf.DUMMYFUNCTION("""COMPUTED_VALUE"""),"A. APOIO ESCOLA EST. FULGENCIO NUNES")</f>
        <v>A. APOIO ESCOLA EST. FULGENCIO NUNES</v>
      </c>
      <c r="D350" t="str">
        <f ca="1">IFERROR(__xludf.DUMMYFUNCTION("""COMPUTED_VALUE"""),"01257085000150")</f>
        <v>01257085000150</v>
      </c>
      <c r="E350" s="7">
        <f ca="1">IFERROR(__xludf.DUMMYFUNCTION("""COMPUTED_VALUE"""),0)</f>
        <v>0</v>
      </c>
      <c r="F350" s="7">
        <f ca="1">IFERROR(__xludf.DUMMYFUNCTION("""COMPUTED_VALUE"""),0)</f>
        <v>0</v>
      </c>
      <c r="G350" t="str">
        <f ca="1">IFERROR(__xludf.DUMMYFUNCTION("""COMPUTED_VALUE"""),"003")</f>
        <v>003</v>
      </c>
      <c r="H350" t="str">
        <f ca="1">IFERROR(__xludf.DUMMYFUNCTION("""COMPUTED_VALUE"""),"0037")</f>
        <v>0037</v>
      </c>
      <c r="I350" t="str">
        <f ca="1">IFERROR(__xludf.DUMMYFUNCTION("""COMPUTED_VALUE"""),"706153")</f>
        <v>706153</v>
      </c>
    </row>
    <row r="351" spans="1:9" ht="15.75" customHeight="1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t="str">
        <f ca="1">IFERROR(__xludf.DUMMYFUNCTION("""COMPUTED_VALUE"""),"A.A. ESCOLA ESTADUAL CONCEICAO BRITO")</f>
        <v>A.A. ESCOLA ESTADUAL CONCEICAO BRITO</v>
      </c>
      <c r="D351" t="str">
        <f ca="1">IFERROR(__xludf.DUMMYFUNCTION("""COMPUTED_VALUE"""),"01268285000109")</f>
        <v>01268285000109</v>
      </c>
      <c r="E351" s="7">
        <f ca="1">IFERROR(__xludf.DUMMYFUNCTION("""COMPUTED_VALUE"""),0)</f>
        <v>0</v>
      </c>
      <c r="F351" s="7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IFERROR(__xludf.DUMMYFUNCTION("""COMPUTED_VALUE"""),"4107")</f>
        <v>4107</v>
      </c>
      <c r="I351" t="str">
        <f ca="1">IFERROR(__xludf.DUMMYFUNCTION("""COMPUTED_VALUE"""),"50911")</f>
        <v>50911</v>
      </c>
    </row>
    <row r="352" spans="1:9" ht="15.75" customHeight="1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t="str">
        <f ca="1">IFERROR(__xludf.DUMMYFUNCTION("""COMPUTED_VALUE"""),"ASSOC. DE APOIO A ESCOLA ESPECIAL RENASCER")</f>
        <v>ASSOC. DE APOIO A ESCOLA ESPECIAL RENASCER</v>
      </c>
      <c r="D352" t="str">
        <f ca="1">IFERROR(__xludf.DUMMYFUNCTION("""COMPUTED_VALUE"""),"11726757000183")</f>
        <v>11726757000183</v>
      </c>
      <c r="E352" s="7">
        <f ca="1">IFERROR(__xludf.DUMMYFUNCTION("""COMPUTED_VALUE"""),0)</f>
        <v>0</v>
      </c>
      <c r="F352" s="7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IFERROR(__xludf.DUMMYFUNCTION("""COMPUTED_VALUE"""),"4107")</f>
        <v>4107</v>
      </c>
      <c r="I352" t="str">
        <f ca="1">IFERROR(__xludf.DUMMYFUNCTION("""COMPUTED_VALUE"""),"7991X")</f>
        <v>7991X</v>
      </c>
    </row>
    <row r="353" spans="1:9" ht="15.75" customHeight="1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t="str">
        <f ca="1">IFERROR(__xludf.DUMMYFUNCTION("""COMPUTED_VALUE"""),"ASSOC. DE APOIO DA ESC. EST. FELIX CAMOA")</f>
        <v>ASSOC. DE APOIO DA ESC. EST. FELIX CAMOA</v>
      </c>
      <c r="D353" t="str">
        <f ca="1">IFERROR(__xludf.DUMMYFUNCTION("""COMPUTED_VALUE"""),"01469443000199")</f>
        <v>01469443000199</v>
      </c>
      <c r="E353" s="7">
        <f ca="1">IFERROR(__xludf.DUMMYFUNCTION("""COMPUTED_VALUE"""),0)</f>
        <v>0</v>
      </c>
      <c r="F353" s="7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IFERROR(__xludf.DUMMYFUNCTION("""COMPUTED_VALUE"""),"1117")</f>
        <v>1117</v>
      </c>
      <c r="I353" t="str">
        <f ca="1">IFERROR(__xludf.DUMMYFUNCTION("""COMPUTED_VALUE"""),"315052")</f>
        <v>315052</v>
      </c>
    </row>
    <row r="354" spans="1:9" ht="15.75" customHeight="1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t="str">
        <f ca="1">IFERROR(__xludf.DUMMYFUNCTION("""COMPUTED_VALUE"""),"A.A. DA ESC. EST. BRIGADAS CHE GUEVARA")</f>
        <v>A.A. DA ESC. EST. BRIGADAS CHE GUEVARA</v>
      </c>
      <c r="D354" t="str">
        <f ca="1">IFERROR(__xludf.DUMMYFUNCTION("""COMPUTED_VALUE"""),"08593650000108")</f>
        <v>08593650000108</v>
      </c>
      <c r="E354" s="7">
        <f ca="1">IFERROR(__xludf.DUMMYFUNCTION("""COMPUTED_VALUE"""),0)</f>
        <v>0</v>
      </c>
      <c r="F354" s="7">
        <f ca="1">IFERROR(__xludf.DUMMYFUNCTION("""COMPUTED_VALUE"""),0)</f>
        <v>0</v>
      </c>
      <c r="G354" t="str">
        <f ca="1">IFERROR(__xludf.DUMMYFUNCTION("""COMPUTED_VALUE"""),"001")</f>
        <v>001</v>
      </c>
      <c r="H354" t="str">
        <f ca="1">IFERROR(__xludf.DUMMYFUNCTION("""COMPUTED_VALUE"""),"1117")</f>
        <v>1117</v>
      </c>
      <c r="I354" t="str">
        <f ca="1">IFERROR(__xludf.DUMMYFUNCTION("""COMPUTED_VALUE"""),"263060")</f>
        <v>263060</v>
      </c>
    </row>
    <row r="355" spans="1:9" ht="15.75" customHeight="1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t="str">
        <f ca="1">IFERROR(__xludf.DUMMYFUNCTION("""COMPUTED_VALUE"""),"A.A.  DO COLEGIO EST. PADRE GAMA")</f>
        <v>A.A.  DO COLEGIO EST. PADRE GAMA</v>
      </c>
      <c r="D355" t="str">
        <f ca="1">IFERROR(__xludf.DUMMYFUNCTION("""COMPUTED_VALUE"""),"01071443000136")</f>
        <v>01071443000136</v>
      </c>
      <c r="E355" s="7">
        <f ca="1">IFERROR(__xludf.DUMMYFUNCTION("""COMPUTED_VALUE"""),0)</f>
        <v>0</v>
      </c>
      <c r="F355" s="7">
        <f ca="1">IFERROR(__xludf.DUMMYFUNCTION("""COMPUTED_VALUE"""),0)</f>
        <v>0</v>
      </c>
      <c r="G355" t="str">
        <f ca="1">IFERROR(__xludf.DUMMYFUNCTION("""COMPUTED_VALUE"""),"001")</f>
        <v>001</v>
      </c>
      <c r="H355" t="str">
        <f ca="1">IFERROR(__xludf.DUMMYFUNCTION("""COMPUTED_VALUE"""),"1117")</f>
        <v>1117</v>
      </c>
      <c r="I355" t="str">
        <f ca="1">IFERROR(__xludf.DUMMYFUNCTION("""COMPUTED_VALUE"""),"0312878")</f>
        <v>0312878</v>
      </c>
    </row>
    <row r="356" spans="1:9" ht="15.75" customHeight="1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t="str">
        <f ca="1">IFERROR(__xludf.DUMMYFUNCTION("""COMPUTED_VALUE"""),"A.APOIO DA ESCOLA ESTADUAL MESTRA BELA")</f>
        <v>A.APOIO DA ESCOLA ESTADUAL MESTRA BELA</v>
      </c>
      <c r="D356" t="str">
        <f ca="1">IFERROR(__xludf.DUMMYFUNCTION("""COMPUTED_VALUE"""),"01071442000191")</f>
        <v>01071442000191</v>
      </c>
      <c r="E356" s="7">
        <f ca="1">IFERROR(__xludf.DUMMYFUNCTION("""COMPUTED_VALUE"""),0)</f>
        <v>0</v>
      </c>
      <c r="F356" s="7">
        <f ca="1">IFERROR(__xludf.DUMMYFUNCTION("""COMPUTED_VALUE"""),0)</f>
        <v>0</v>
      </c>
      <c r="G356" t="str">
        <f ca="1">IFERROR(__xludf.DUMMYFUNCTION("""COMPUTED_VALUE"""),"001")</f>
        <v>001</v>
      </c>
      <c r="H356" t="str">
        <f ca="1">IFERROR(__xludf.DUMMYFUNCTION("""COMPUTED_VALUE"""),"1117")</f>
        <v>1117</v>
      </c>
      <c r="I356" t="str">
        <f ca="1">IFERROR(__xludf.DUMMYFUNCTION("""COMPUTED_VALUE"""),"31286X")</f>
        <v>31286X</v>
      </c>
    </row>
    <row r="357" spans="1:9" ht="15.75" customHeight="1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t="str">
        <f ca="1">IFERROR(__xludf.DUMMYFUNCTION("""COMPUTED_VALUE"""),"ASSOC. APOIA A ESC. EST. PROF.DINA DE OLIVEIRA AMORIM")</f>
        <v>ASSOC. APOIA A ESC. EST. PROF.DINA DE OLIVEIRA AMORIM</v>
      </c>
      <c r="D357" t="str">
        <f ca="1">IFERROR(__xludf.DUMMYFUNCTION("""COMPUTED_VALUE"""),"16437349000125")</f>
        <v>16437349000125</v>
      </c>
      <c r="E357" s="7">
        <f ca="1">IFERROR(__xludf.DUMMYFUNCTION("""COMPUTED_VALUE"""),0)</f>
        <v>0</v>
      </c>
      <c r="F357" s="7">
        <f ca="1">IFERROR(__xludf.DUMMYFUNCTION("""COMPUTED_VALUE"""),0)</f>
        <v>0</v>
      </c>
      <c r="G357" t="str">
        <f ca="1">IFERROR(__xludf.DUMMYFUNCTION("""COMPUTED_VALUE"""),"001")</f>
        <v>001</v>
      </c>
      <c r="H357" t="str">
        <f ca="1">IFERROR(__xludf.DUMMYFUNCTION("""COMPUTED_VALUE"""),"1117")</f>
        <v>1117</v>
      </c>
      <c r="I357" t="str">
        <f ca="1">IFERROR(__xludf.DUMMYFUNCTION("""COMPUTED_VALUE"""),"339113")</f>
        <v>339113</v>
      </c>
    </row>
    <row r="358" spans="1:9" ht="15.75" customHeight="1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t="str">
        <f ca="1">IFERROR(__xludf.DUMMYFUNCTION("""COMPUTED_VALUE"""),"ASSOC. NOSSA SENHORA NATIVIDADE COL. AGRÍCOLA")</f>
        <v>ASSOC. NOSSA SENHORA NATIVIDADE COL. AGRÍCOLA</v>
      </c>
      <c r="D358" t="str">
        <f ca="1">IFERROR(__xludf.DUMMYFUNCTION("""COMPUTED_VALUE"""),"03758716000140")</f>
        <v>03758716000140</v>
      </c>
      <c r="E358" s="7">
        <f ca="1">IFERROR(__xludf.DUMMYFUNCTION("""COMPUTED_VALUE"""),0)</f>
        <v>0</v>
      </c>
      <c r="F358" s="7">
        <f ca="1">IFERROR(__xludf.DUMMYFUNCTION("""COMPUTED_VALUE"""),0)</f>
        <v>0</v>
      </c>
      <c r="G358" t="str">
        <f ca="1">IFERROR(__xludf.DUMMYFUNCTION("""COMPUTED_VALUE"""),"001")</f>
        <v>001</v>
      </c>
      <c r="H358" t="str">
        <f ca="1">IFERROR(__xludf.DUMMYFUNCTION("""COMPUTED_VALUE"""),"3980")</f>
        <v>3980</v>
      </c>
      <c r="I358" t="str">
        <f ca="1">IFERROR(__xludf.DUMMYFUNCTION("""COMPUTED_VALUE"""),"282782")</f>
        <v>282782</v>
      </c>
    </row>
    <row r="359" spans="1:9" ht="15.75" customHeight="1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t="str">
        <f ca="1">IFERROR(__xludf.DUMMYFUNCTION("""COMPUTED_VALUE"""),"A.A. COL. EST. DR.QUINTILIANO DA SILVA")</f>
        <v>A.A. COL. EST. DR.QUINTILIANO DA SILVA</v>
      </c>
      <c r="D359" t="str">
        <f ca="1">IFERROR(__xludf.DUMMYFUNCTION("""COMPUTED_VALUE"""),"01133702000106")</f>
        <v>01133702000106</v>
      </c>
      <c r="E359" s="7">
        <f ca="1">IFERROR(__xludf.DUMMYFUNCTION("""COMPUTED_VALUE"""),0)</f>
        <v>0</v>
      </c>
      <c r="F359" s="7">
        <f ca="1">IFERROR(__xludf.DUMMYFUNCTION("""COMPUTED_VALUE"""),0)</f>
        <v>0</v>
      </c>
      <c r="G359" t="str">
        <f ca="1">IFERROR(__xludf.DUMMYFUNCTION("""COMPUTED_VALUE"""),"003")</f>
        <v>003</v>
      </c>
      <c r="H359" t="str">
        <f ca="1">IFERROR(__xludf.DUMMYFUNCTION("""COMPUTED_VALUE"""),"0037")</f>
        <v>0037</v>
      </c>
      <c r="I359" t="str">
        <f ca="1">IFERROR(__xludf.DUMMYFUNCTION("""COMPUTED_VALUE"""),"0702727")</f>
        <v>0702727</v>
      </c>
    </row>
    <row r="360" spans="1:9" ht="15.75" customHeight="1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t="str">
        <f ca="1">IFERROR(__xludf.DUMMYFUNCTION("""COMPUTED_VALUE"""),"ASSOC. DE APOIO A ESC. ESPECIAL TIA CORACI DE SENA FERNANDES")</f>
        <v>ASSOC. DE APOIO A ESC. ESPECIAL TIA CORACI DE SENA FERNANDES</v>
      </c>
      <c r="D360" t="str">
        <f ca="1">IFERROR(__xludf.DUMMYFUNCTION("""COMPUTED_VALUE"""),"17163914000176")</f>
        <v>17163914000176</v>
      </c>
      <c r="E360" s="7">
        <f ca="1">IFERROR(__xludf.DUMMYFUNCTION("""COMPUTED_VALUE"""),0)</f>
        <v>0</v>
      </c>
      <c r="F360" s="7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IFERROR(__xludf.DUMMYFUNCTION("""COMPUTED_VALUE"""),"2334")</f>
        <v>2334</v>
      </c>
      <c r="I360" t="str">
        <f ca="1">IFERROR(__xludf.DUMMYFUNCTION("""COMPUTED_VALUE"""),"19860")</f>
        <v>19860</v>
      </c>
    </row>
    <row r="361" spans="1:9" ht="15.75" customHeight="1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t="str">
        <f ca="1">IFERROR(__xludf.DUMMYFUNCTION("""COMPUTED_VALUE"""),"ASS. APOIO ESC. EST. JOAQUIM LINO SUARTE")</f>
        <v>ASS. APOIO ESC. EST. JOAQUIM LINO SUARTE</v>
      </c>
      <c r="D361" t="str">
        <f ca="1">IFERROR(__xludf.DUMMYFUNCTION("""COMPUTED_VALUE"""),"01133708000183")</f>
        <v>01133708000183</v>
      </c>
      <c r="E361" s="7">
        <f ca="1">IFERROR(__xludf.DUMMYFUNCTION("""COMPUTED_VALUE"""),0)</f>
        <v>0</v>
      </c>
      <c r="F361" s="7">
        <f ca="1">IFERROR(__xludf.DUMMYFUNCTION("""COMPUTED_VALUE"""),0)</f>
        <v>0</v>
      </c>
      <c r="G361" t="str">
        <f ca="1">IFERROR(__xludf.DUMMYFUNCTION("""COMPUTED_VALUE"""),"003")</f>
        <v>003</v>
      </c>
      <c r="H361" t="str">
        <f ca="1">IFERROR(__xludf.DUMMYFUNCTION("""COMPUTED_VALUE"""),"0037")</f>
        <v>0037</v>
      </c>
      <c r="I361" t="str">
        <f ca="1">IFERROR(__xludf.DUMMYFUNCTION("""COMPUTED_VALUE"""),"0702670")</f>
        <v>0702670</v>
      </c>
    </row>
    <row r="362" spans="1:9" ht="15.75" customHeight="1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t="str">
        <f ca="1">IFERROR(__xludf.DUMMYFUNCTION("""COMPUTED_VALUE"""),"A.A. E. EST.NOSSA SENHORA DE FATIMA")</f>
        <v>A.A. E. EST.NOSSA SENHORA DE FATIMA</v>
      </c>
      <c r="D362" t="str">
        <f ca="1">IFERROR(__xludf.DUMMYFUNCTION("""COMPUTED_VALUE"""),"01064860000151")</f>
        <v>01064860000151</v>
      </c>
      <c r="E362" s="7">
        <f ca="1">IFERROR(__xludf.DUMMYFUNCTION("""COMPUTED_VALUE"""),0)</f>
        <v>0</v>
      </c>
      <c r="F362" s="7">
        <f ca="1">IFERROR(__xludf.DUMMYFUNCTION("""COMPUTED_VALUE"""),0)</f>
        <v>0</v>
      </c>
      <c r="G362" t="str">
        <f ca="1">IFERROR(__xludf.DUMMYFUNCTION("""COMPUTED_VALUE"""),"003")</f>
        <v>003</v>
      </c>
      <c r="H362" t="str">
        <f ca="1">IFERROR(__xludf.DUMMYFUNCTION("""COMPUTED_VALUE"""),"0037")</f>
        <v>0037</v>
      </c>
      <c r="I362" t="str">
        <f ca="1">IFERROR(__xludf.DUMMYFUNCTION("""COMPUTED_VALUE"""),"0702646")</f>
        <v>0702646</v>
      </c>
    </row>
    <row r="363" spans="1:9" ht="15.75" customHeight="1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t="str">
        <f ca="1">IFERROR(__xludf.DUMMYFUNCTION("""COMPUTED_VALUE"""),"ASS. DE APOIO DA ESC. EST.RIACHUELO")</f>
        <v>ASS. DE APOIO DA ESC. EST.RIACHUELO</v>
      </c>
      <c r="D363" t="str">
        <f ca="1">IFERROR(__xludf.DUMMYFUNCTION("""COMPUTED_VALUE"""),"01696068000110")</f>
        <v>01696068000110</v>
      </c>
      <c r="E363" s="7">
        <f ca="1">IFERROR(__xludf.DUMMYFUNCTION("""COMPUTED_VALUE"""),0)</f>
        <v>0</v>
      </c>
      <c r="F363" s="7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IFERROR(__xludf.DUMMYFUNCTION("""COMPUTED_VALUE"""),"4107")</f>
        <v>4107</v>
      </c>
      <c r="I363" t="str">
        <f ca="1">IFERROR(__xludf.DUMMYFUNCTION("""COMPUTED_VALUE"""),"319511")</f>
        <v>319511</v>
      </c>
    </row>
    <row r="364" spans="1:9" ht="15.75" customHeight="1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t="str">
        <f ca="1">IFERROR(__xludf.DUMMYFUNCTION("""COMPUTED_VALUE"""),"A.A. DO COL. EST. MANOEL DOS SANTOS ROSAL")</f>
        <v>A.A. DO COL. EST. MANOEL DOS SANTOS ROSAL</v>
      </c>
      <c r="D364" t="str">
        <f ca="1">IFERROR(__xludf.DUMMYFUNCTION("""COMPUTED_VALUE"""),"01034136000185")</f>
        <v>01034136000185</v>
      </c>
      <c r="E364" s="7">
        <f ca="1">IFERROR(__xludf.DUMMYFUNCTION("""COMPUTED_VALUE"""),0)</f>
        <v>0</v>
      </c>
      <c r="F364" s="7">
        <f ca="1">IFERROR(__xludf.DUMMYFUNCTION("""COMPUTED_VALUE"""),0)</f>
        <v>0</v>
      </c>
      <c r="G364" t="str">
        <f ca="1">IFERROR(__xludf.DUMMYFUNCTION("""COMPUTED_VALUE"""),"001")</f>
        <v>001</v>
      </c>
      <c r="H364" t="str">
        <f ca="1">IFERROR(__xludf.DUMMYFUNCTION("""COMPUTED_VALUE"""),"1117")</f>
        <v>1117</v>
      </c>
      <c r="I364" t="str">
        <f ca="1">IFERROR(__xludf.DUMMYFUNCTION("""COMPUTED_VALUE"""),"312991")</f>
        <v>312991</v>
      </c>
    </row>
    <row r="365" spans="1:9" ht="15.75" customHeight="1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t="str">
        <f ca="1">IFERROR(__xludf.DUMMYFUNCTION("""COMPUTED_VALUE"""),"A.A. E. E. DEP.JOSE A. DE ASSIS")</f>
        <v>A.A. E. E. DEP.JOSE A. DE ASSIS</v>
      </c>
      <c r="D365" t="str">
        <f ca="1">IFERROR(__xludf.DUMMYFUNCTION("""COMPUTED_VALUE"""),"01066411000142")</f>
        <v>01066411000142</v>
      </c>
      <c r="E365" s="7">
        <f ca="1">IFERROR(__xludf.DUMMYFUNCTION("""COMPUTED_VALUE"""),0)</f>
        <v>0</v>
      </c>
      <c r="F365" s="7">
        <f ca="1">IFERROR(__xludf.DUMMYFUNCTION("""COMPUTED_VALUE"""),0)</f>
        <v>0</v>
      </c>
      <c r="G365" t="str">
        <f ca="1">IFERROR(__xludf.DUMMYFUNCTION("""COMPUTED_VALUE"""),"001")</f>
        <v>001</v>
      </c>
      <c r="H365" t="str">
        <f ca="1">IFERROR(__xludf.DUMMYFUNCTION("""COMPUTED_VALUE"""),"1117")</f>
        <v>1117</v>
      </c>
      <c r="I365" t="str">
        <f ca="1">IFERROR(__xludf.DUMMYFUNCTION("""COMPUTED_VALUE"""),"312770")</f>
        <v>312770</v>
      </c>
    </row>
    <row r="366" spans="1:9" ht="15.75" customHeight="1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t="str">
        <f ca="1">IFERROR(__xludf.DUMMYFUNCTION("""COMPUTED_VALUE"""),"ASS. A. AO COL. EST. ODOLFO SOARES")</f>
        <v>ASS. A. AO COL. EST. ODOLFO SOARES</v>
      </c>
      <c r="D366" t="str">
        <f ca="1">IFERROR(__xludf.DUMMYFUNCTION("""COMPUTED_VALUE"""),"01342866000143")</f>
        <v>01342866000143</v>
      </c>
      <c r="E366" s="7">
        <f ca="1">IFERROR(__xludf.DUMMYFUNCTION("""COMPUTED_VALUE"""),0)</f>
        <v>0</v>
      </c>
      <c r="F366" s="7">
        <f ca="1">IFERROR(__xludf.DUMMYFUNCTION("""COMPUTED_VALUE"""),0)</f>
        <v>0</v>
      </c>
      <c r="G366" t="str">
        <f ca="1">IFERROR(__xludf.DUMMYFUNCTION("""COMPUTED_VALUE"""),"001")</f>
        <v>001</v>
      </c>
      <c r="H366" t="str">
        <f ca="1">IFERROR(__xludf.DUMMYFUNCTION("""COMPUTED_VALUE"""),"1117")</f>
        <v>1117</v>
      </c>
      <c r="I366" t="str">
        <f ca="1">IFERROR(__xludf.DUMMYFUNCTION("""COMPUTED_VALUE"""),"333921")</f>
        <v>333921</v>
      </c>
    </row>
    <row r="367" spans="1:9" ht="15.75" customHeight="1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t="str">
        <f ca="1">IFERROR(__xludf.DUMMYFUNCTION("""COMPUTED_VALUE"""),"ASS. APOIO DA ESCOLA EST. ALCIDES RUFO")</f>
        <v>ASS. APOIO DA ESCOLA EST. ALCIDES RUFO</v>
      </c>
      <c r="D367" t="str">
        <f ca="1">IFERROR(__xludf.DUMMYFUNCTION("""COMPUTED_VALUE"""),"01192931000100")</f>
        <v>01192931000100</v>
      </c>
      <c r="E367" s="7">
        <f ca="1">IFERROR(__xludf.DUMMYFUNCTION("""COMPUTED_VALUE"""),0)</f>
        <v>0</v>
      </c>
      <c r="F367" s="7">
        <f ca="1">IFERROR(__xludf.DUMMYFUNCTION("""COMPUTED_VALUE"""),0)</f>
        <v>0</v>
      </c>
      <c r="G367" t="str">
        <f ca="1">IFERROR(__xludf.DUMMYFUNCTION("""COMPUTED_VALUE"""),"001")</f>
        <v>001</v>
      </c>
      <c r="H367" t="str">
        <f ca="1">IFERROR(__xludf.DUMMYFUNCTION("""COMPUTED_VALUE"""),"1117")</f>
        <v>1117</v>
      </c>
      <c r="I367" t="str">
        <f ca="1">IFERROR(__xludf.DUMMYFUNCTION("""COMPUTED_VALUE"""),"313785")</f>
        <v>313785</v>
      </c>
    </row>
    <row r="368" spans="1:9" ht="15.75" customHeight="1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t="str">
        <f ca="1">IFERROR(__xludf.DUMMYFUNCTION("""COMPUTED_VALUE"""),"ASS. DE APOIO A ESCOLA EST. ESPECIAL AMILSON FRAZÃO DOS REIS")</f>
        <v>ASS. DE APOIO A ESCOLA EST. ESPECIAL AMILSON FRAZÃO DOS REIS</v>
      </c>
      <c r="D368" t="str">
        <f ca="1">IFERROR(__xludf.DUMMYFUNCTION("""COMPUTED_VALUE"""),"20309905000155")</f>
        <v>20309905000155</v>
      </c>
      <c r="E368" s="7">
        <f ca="1">IFERROR(__xludf.DUMMYFUNCTION("""COMPUTED_VALUE"""),0)</f>
        <v>0</v>
      </c>
      <c r="F368" s="7">
        <f ca="1">IFERROR(__xludf.DUMMYFUNCTION("""COMPUTED_VALUE"""),0)</f>
        <v>0</v>
      </c>
      <c r="G368" t="str">
        <f ca="1">IFERROR(__xludf.DUMMYFUNCTION("""COMPUTED_VALUE"""),"001")</f>
        <v>001</v>
      </c>
      <c r="H368" t="str">
        <f ca="1">IFERROR(__xludf.DUMMYFUNCTION("""COMPUTED_VALUE"""),"1117")</f>
        <v>1117</v>
      </c>
      <c r="I368" t="str">
        <f ca="1">IFERROR(__xludf.DUMMYFUNCTION("""COMPUTED_VALUE"""),"567426")</f>
        <v>567426</v>
      </c>
    </row>
    <row r="369" spans="1:9" ht="15.75" customHeight="1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IFERROR(__xludf.DUMMYFUNCTION("""COMPUTED_VALUE"""),"ASSOC. DE APOIO AO CEM FELIX CAMOA I")</f>
        <v>ASSOC. DE APOIO AO CEM FELIX CAMOA I</v>
      </c>
      <c r="D369" t="str">
        <f ca="1">IFERROR(__xludf.DUMMYFUNCTION("""COMPUTED_VALUE"""),"01112476000187")</f>
        <v>01112476000187</v>
      </c>
      <c r="E369" s="7">
        <f ca="1">IFERROR(__xludf.DUMMYFUNCTION("""COMPUTED_VALUE"""),0)</f>
        <v>0</v>
      </c>
      <c r="F369" s="7">
        <f ca="1">IFERROR(__xludf.DUMMYFUNCTION("""COMPUTED_VALUE"""),0)</f>
        <v>0</v>
      </c>
      <c r="G369" t="str">
        <f ca="1">IFERROR(__xludf.DUMMYFUNCTION("""COMPUTED_VALUE"""),"104")</f>
        <v>104</v>
      </c>
      <c r="H369" t="str">
        <f ca="1">IFERROR(__xludf.DUMMYFUNCTION("""COMPUTED_VALUE"""),"1829")</f>
        <v>1829</v>
      </c>
      <c r="I369" t="str">
        <f ca="1">IFERROR(__xludf.DUMMYFUNCTION("""COMPUTED_VALUE"""),"3050011")</f>
        <v>3050011</v>
      </c>
    </row>
    <row r="370" spans="1:9" ht="15.75" customHeight="1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IFERROR(__xludf.DUMMYFUNCTION("""COMPUTED_VALUE"""),"ASSOC. DE A.DO CEM PROFº. FLORÊNCIO AIRES DA SILVA")</f>
        <v>ASSOC. DE A.DO CEM PROFº. FLORÊNCIO AIRES DA SILVA</v>
      </c>
      <c r="D370" t="str">
        <f ca="1">IFERROR(__xludf.DUMMYFUNCTION("""COMPUTED_VALUE"""),"01138326000142")</f>
        <v>01138326000142</v>
      </c>
      <c r="E370" s="7">
        <f ca="1">IFERROR(__xludf.DUMMYFUNCTION("""COMPUTED_VALUE"""),0)</f>
        <v>0</v>
      </c>
      <c r="F370" s="7">
        <f ca="1">IFERROR(__xludf.DUMMYFUNCTION("""COMPUTED_VALUE"""),0)</f>
        <v>0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IFERROR(__xludf.DUMMYFUNCTION("""COMPUTED_VALUE"""),"5500X")</f>
        <v>5500X</v>
      </c>
    </row>
    <row r="371" spans="1:9" ht="15.75" customHeight="1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IFERROR(__xludf.DUMMYFUNCTION("""COMPUTED_VALUE"""),"A. E. COM. ESC. CONV. ANGELICA R. ARANHA")</f>
        <v>A. E. COM. ESC. CONV. ANGELICA R. ARANHA</v>
      </c>
      <c r="D371" t="str">
        <f ca="1">IFERROR(__xludf.DUMMYFUNCTION("""COMPUTED_VALUE"""),"01075455000139")</f>
        <v>01075455000139</v>
      </c>
      <c r="E371" s="7">
        <f ca="1">IFERROR(__xludf.DUMMYFUNCTION("""COMPUTED_VALUE"""),0)</f>
        <v>0</v>
      </c>
      <c r="F371" s="7">
        <f ca="1">IFERROR(__xludf.DUMMYFUNCTION("""COMPUTED_VALUE"""),0)</f>
        <v>0</v>
      </c>
      <c r="G371" t="str">
        <f ca="1">IFERROR(__xludf.DUMMYFUNCTION("""COMPUTED_VALUE"""),"104")</f>
        <v>104</v>
      </c>
      <c r="H371" t="str">
        <f ca="1">IFERROR(__xludf.DUMMYFUNCTION("""COMPUTED_VALUE"""),"1829")</f>
        <v>1829</v>
      </c>
      <c r="I371" t="str">
        <f ca="1">IFERROR(__xludf.DUMMYFUNCTION("""COMPUTED_VALUE"""),"307313")</f>
        <v>307313</v>
      </c>
    </row>
    <row r="372" spans="1:9" ht="15.75" customHeight="1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ESC. EST. DR.PEDRO LUDOVICO TEIXEIRA")</f>
        <v>A.A. ESC. EST. DR.PEDRO LUDOVICO TEIXEIRA</v>
      </c>
      <c r="D372" t="str">
        <f ca="1">IFERROR(__xludf.DUMMYFUNCTION("""COMPUTED_VALUE"""),"01135997000150")</f>
        <v>01135997000150</v>
      </c>
      <c r="E372" s="7">
        <f ca="1">IFERROR(__xludf.DUMMYFUNCTION("""COMPUTED_VALUE"""),0)</f>
        <v>0</v>
      </c>
      <c r="F372" s="7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IFERROR(__xludf.DUMMYFUNCTION("""COMPUTED_VALUE"""),"305949")</f>
        <v>305949</v>
      </c>
    </row>
    <row r="373" spans="1:9" ht="15.75" customHeight="1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 ESCOL.COM. ESC. EST. MAL.ARTUR C.E SILVA")</f>
        <v>A. ESCOL.COM. ESC. EST. MAL.ARTUR C.E SILVA</v>
      </c>
      <c r="D373" t="str">
        <f ca="1">IFERROR(__xludf.DUMMYFUNCTION("""COMPUTED_VALUE"""),"01112763000197")</f>
        <v>01112763000197</v>
      </c>
      <c r="E373" s="7">
        <f ca="1">IFERROR(__xludf.DUMMYFUNCTION("""COMPUTED_VALUE"""),0)</f>
        <v>0</v>
      </c>
      <c r="F373" s="7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IFERROR(__xludf.DUMMYFUNCTION("""COMPUTED_VALUE"""),"307364")</f>
        <v>307364</v>
      </c>
    </row>
    <row r="374" spans="1:9" ht="15.75" customHeight="1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IFERROR(__xludf.DUMMYFUNCTION("""COMPUTED_VALUE"""),"ASSOCIAÇÃO DE APOIO DA ESCOLA FAMÍLIA AGRÍCOLA")</f>
        <v>ASSOCIAÇÃO DE APOIO DA ESCOLA FAMÍLIA AGRÍCOLA</v>
      </c>
      <c r="D374" t="str">
        <f ca="1">IFERROR(__xludf.DUMMYFUNCTION("""COMPUTED_VALUE"""),"01197155000122")</f>
        <v>01197155000122</v>
      </c>
      <c r="E374" s="7">
        <f ca="1">IFERROR(__xludf.DUMMYFUNCTION("""COMPUTED_VALUE"""),0)</f>
        <v>0</v>
      </c>
      <c r="F374" s="7">
        <f ca="1">IFERROR(__xludf.DUMMYFUNCTION("""COMPUTED_VALUE"""),0)</f>
        <v>0</v>
      </c>
      <c r="G374" t="str">
        <f ca="1">IFERROR(__xludf.DUMMYFUNCTION("""COMPUTED_VALUE"""),"001")</f>
        <v>001</v>
      </c>
      <c r="H374" t="str">
        <f ca="1">IFERROR(__xludf.DUMMYFUNCTION("""COMPUTED_VALUE"""),"1117")</f>
        <v>1117</v>
      </c>
      <c r="I374" t="str">
        <f ca="1">IFERROR(__xludf.DUMMYFUNCTION("""COMPUTED_VALUE"""),"313483")</f>
        <v>313483</v>
      </c>
    </row>
    <row r="375" spans="1:9" ht="15.75" customHeight="1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IFERROR(__xludf.DUMMYFUNCTION("""COMPUTED_VALUE"""),"ASSOC.P.A.DOS EXCEP. DE PORTO NACIONAL")</f>
        <v>ASSOC.P.A.DOS EXCEP. DE PORTO NACIONAL</v>
      </c>
      <c r="D375" t="str">
        <f ca="1">IFERROR(__xludf.DUMMYFUNCTION("""COMPUTED_VALUE"""),"26752113000137")</f>
        <v>26752113000137</v>
      </c>
      <c r="E375" s="7">
        <f ca="1">IFERROR(__xludf.DUMMYFUNCTION("""COMPUTED_VALUE"""),0)</f>
        <v>0</v>
      </c>
      <c r="F375" s="7">
        <f ca="1">IFERROR(__xludf.DUMMYFUNCTION("""COMPUTED_VALUE"""),172.8)</f>
        <v>172.8</v>
      </c>
      <c r="G375" t="str">
        <f ca="1">IFERROR(__xludf.DUMMYFUNCTION("""COMPUTED_VALUE"""),"001")</f>
        <v>001</v>
      </c>
      <c r="H375" t="str">
        <f ca="1">IFERROR(__xludf.DUMMYFUNCTION("""COMPUTED_VALUE"""),"1117")</f>
        <v>1117</v>
      </c>
      <c r="I375" t="str">
        <f ca="1">IFERROR(__xludf.DUMMYFUNCTION("""COMPUTED_VALUE"""),"86657")</f>
        <v>86657</v>
      </c>
    </row>
    <row r="376" spans="1:9" ht="15.75" customHeight="1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IFERROR(__xludf.DUMMYFUNCTION("""COMPUTED_VALUE"""),"A.A.  ESCOLA ESTADUAL ALFREDO NASSER")</f>
        <v>A.A.  ESCOLA ESTADUAL ALFREDO NASSER</v>
      </c>
      <c r="D376" t="str">
        <f ca="1">IFERROR(__xludf.DUMMYFUNCTION("""COMPUTED_VALUE"""),"01251862000150")</f>
        <v>01251862000150</v>
      </c>
      <c r="E376" s="7">
        <f ca="1">IFERROR(__xludf.DUMMYFUNCTION("""COMPUTED_VALUE"""),0)</f>
        <v>0</v>
      </c>
      <c r="F376" s="7">
        <f ca="1">IFERROR(__xludf.DUMMYFUNCTION("""COMPUTED_VALUE"""),0)</f>
        <v>0</v>
      </c>
      <c r="G376" t="str">
        <f ca="1">IFERROR(__xludf.DUMMYFUNCTION("""COMPUTED_VALUE"""),"104")</f>
        <v>104</v>
      </c>
      <c r="H376" t="str">
        <f ca="1">IFERROR(__xludf.DUMMYFUNCTION("""COMPUTED_VALUE"""),"1829")</f>
        <v>1829</v>
      </c>
      <c r="I376" t="str">
        <f ca="1">IFERROR(__xludf.DUMMYFUNCTION("""COMPUTED_VALUE"""),"307410")</f>
        <v>307410</v>
      </c>
    </row>
    <row r="377" spans="1:9" ht="15.75" customHeight="1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ESCOLA ESTADUAL ANA MACEDO MAIA")</f>
        <v>A.A. ESCOLA ESTADUAL ANA MACEDO MAIA</v>
      </c>
      <c r="D377" t="str">
        <f ca="1">IFERROR(__xludf.DUMMYFUNCTION("""COMPUTED_VALUE"""),"01243662000155")</f>
        <v>01243662000155</v>
      </c>
      <c r="E377" s="7">
        <f ca="1">IFERROR(__xludf.DUMMYFUNCTION("""COMPUTED_VALUE"""),0)</f>
        <v>0</v>
      </c>
      <c r="F377" s="7">
        <f ca="1">IFERROR(__xludf.DUMMYFUNCTION("""COMPUTED_VALUE"""),0)</f>
        <v>0</v>
      </c>
      <c r="G377" t="str">
        <f ca="1">IFERROR(__xludf.DUMMYFUNCTION("""COMPUTED_VALUE"""),"104")</f>
        <v>104</v>
      </c>
      <c r="H377" t="str">
        <f ca="1">IFERROR(__xludf.DUMMYFUNCTION("""COMPUTED_VALUE"""),"1829")</f>
        <v>1829</v>
      </c>
      <c r="I377" t="str">
        <f ca="1">IFERROR(__xludf.DUMMYFUNCTION("""COMPUTED_VALUE"""),"306015")</f>
        <v>306015</v>
      </c>
    </row>
    <row r="378" spans="1:9" ht="15.75" customHeight="1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 ESCOLAR COMUN. DA ESC. CONV. BRASIL")</f>
        <v>A. ESCOLAR COMUN. DA ESC. CONV. BRASIL</v>
      </c>
      <c r="D378" t="str">
        <f ca="1">IFERROR(__xludf.DUMMYFUNCTION("""COMPUTED_VALUE"""),"01112471000154")</f>
        <v>01112471000154</v>
      </c>
      <c r="E378" s="7">
        <f ca="1">IFERROR(__xludf.DUMMYFUNCTION("""COMPUTED_VALUE"""),0)</f>
        <v>0</v>
      </c>
      <c r="F378" s="7">
        <f ca="1">IFERROR(__xludf.DUMMYFUNCTION("""COMPUTED_VALUE"""),0)</f>
        <v>0</v>
      </c>
      <c r="G378" t="str">
        <f ca="1">IFERROR(__xludf.DUMMYFUNCTION("""COMPUTED_VALUE"""),"104")</f>
        <v>104</v>
      </c>
      <c r="H378" t="str">
        <f ca="1">IFERROR(__xludf.DUMMYFUNCTION("""COMPUTED_VALUE"""),"1829")</f>
        <v>1829</v>
      </c>
      <c r="I378" t="str">
        <f ca="1">IFERROR(__xludf.DUMMYFUNCTION("""COMPUTED_VALUE"""),"307402")</f>
        <v>307402</v>
      </c>
    </row>
    <row r="379" spans="1:9" ht="15.75" customHeight="1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 ESCOLA ESTADUAL CUSTÓDIA DA SILVA PEDREIRA")</f>
        <v>A.A.  ESCOLA ESTADUAL CUSTÓDIA DA SILVA PEDREIRA</v>
      </c>
      <c r="D379" t="str">
        <f ca="1">IFERROR(__xludf.DUMMYFUNCTION("""COMPUTED_VALUE"""),"01192932000146")</f>
        <v>01192932000146</v>
      </c>
      <c r="E379" s="7">
        <f ca="1">IFERROR(__xludf.DUMMYFUNCTION("""COMPUTED_VALUE"""),0)</f>
        <v>0</v>
      </c>
      <c r="F379" s="7">
        <f ca="1">IFERROR(__xludf.DUMMYFUNCTION("""COMPUTED_VALUE"""),0)</f>
        <v>0</v>
      </c>
      <c r="G379" t="str">
        <f ca="1">IFERROR(__xludf.DUMMYFUNCTION("""COMPUTED_VALUE"""),"001")</f>
        <v>001</v>
      </c>
      <c r="H379" t="str">
        <f ca="1">IFERROR(__xludf.DUMMYFUNCTION("""COMPUTED_VALUE"""),"1117")</f>
        <v>1117</v>
      </c>
      <c r="I379" t="str">
        <f ca="1">IFERROR(__xludf.DUMMYFUNCTION("""COMPUTED_VALUE"""),"314080")</f>
        <v>314080</v>
      </c>
    </row>
    <row r="380" spans="1:9" ht="15.75" customHeight="1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t="str">
        <f ca="1">IFERROR(__xludf.DUMMYFUNCTION("""COMPUTED_VALUE"""),"A. ESC. COM./ESC. EST. D.DOMINGOS CARREROT")</f>
        <v>A. ESC. COM./ESC. EST. D.DOMINGOS CARREROT</v>
      </c>
      <c r="D380" t="str">
        <f ca="1">IFERROR(__xludf.DUMMYFUNCTION("""COMPUTED_VALUE"""),"00900197000115")</f>
        <v>00900197000115</v>
      </c>
      <c r="E380" s="7">
        <f ca="1">IFERROR(__xludf.DUMMYFUNCTION("""COMPUTED_VALUE"""),0)</f>
        <v>0</v>
      </c>
      <c r="F380" s="7">
        <f ca="1">IFERROR(__xludf.DUMMYFUNCTION("""COMPUTED_VALUE"""),0)</f>
        <v>0</v>
      </c>
      <c r="G380" t="str">
        <f ca="1">IFERROR(__xludf.DUMMYFUNCTION("""COMPUTED_VALUE"""),"104")</f>
        <v>104</v>
      </c>
      <c r="H380" t="str">
        <f ca="1">IFERROR(__xludf.DUMMYFUNCTION("""COMPUTED_VALUE"""),"1829")</f>
        <v>1829</v>
      </c>
      <c r="I380" t="str">
        <f ca="1">IFERROR(__xludf.DUMMYFUNCTION("""COMPUTED_VALUE"""),"305914")</f>
        <v>305914</v>
      </c>
    </row>
    <row r="381" spans="1:9" ht="15.75" customHeight="1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t="str">
        <f ca="1">IFERROR(__xludf.DUMMYFUNCTION("""COMPUTED_VALUE"""),"A.A.  A ESCOLA D. PEDRO II")</f>
        <v>A.A.  A ESCOLA D. PEDRO II</v>
      </c>
      <c r="D381" t="str">
        <f ca="1">IFERROR(__xludf.DUMMYFUNCTION("""COMPUTED_VALUE"""),"01133697000131")</f>
        <v>01133697000131</v>
      </c>
      <c r="E381" s="7">
        <f ca="1">IFERROR(__xludf.DUMMYFUNCTION("""COMPUTED_VALUE"""),0)</f>
        <v>0</v>
      </c>
      <c r="F381" s="7">
        <f ca="1">IFERROR(__xludf.DUMMYFUNCTION("""COMPUTED_VALUE"""),0)</f>
        <v>0</v>
      </c>
      <c r="G381" t="str">
        <f ca="1">IFERROR(__xludf.DUMMYFUNCTION("""COMPUTED_VALUE"""),"001")</f>
        <v>001</v>
      </c>
      <c r="H381" t="str">
        <f ca="1">IFERROR(__xludf.DUMMYFUNCTION("""COMPUTED_VALUE"""),"1117")</f>
        <v>1117</v>
      </c>
      <c r="I381" t="str">
        <f ca="1">IFERROR(__xludf.DUMMYFUNCTION("""COMPUTED_VALUE"""),"0313092")</f>
        <v>0313092</v>
      </c>
    </row>
    <row r="382" spans="1:9" ht="15.75" customHeight="1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t="str">
        <f ca="1">IFERROR(__xludf.DUMMYFUNCTION("""COMPUTED_VALUE"""),"A.A. ESCOLA ESTADUAL IRMA ASPASIA")</f>
        <v>A.A. ESCOLA ESTADUAL IRMA ASPASIA</v>
      </c>
      <c r="D382" t="str">
        <f ca="1">IFERROR(__xludf.DUMMYFUNCTION("""COMPUTED_VALUE"""),"01136022000146")</f>
        <v>01136022000146</v>
      </c>
      <c r="E382" s="7">
        <f ca="1">IFERROR(__xludf.DUMMYFUNCTION("""COMPUTED_VALUE"""),0)</f>
        <v>0</v>
      </c>
      <c r="F382" s="7">
        <f ca="1">IFERROR(__xludf.DUMMYFUNCTION("""COMPUTED_VALUE"""),0)</f>
        <v>0</v>
      </c>
      <c r="G382" t="str">
        <f ca="1">IFERROR(__xludf.DUMMYFUNCTION("""COMPUTED_VALUE"""),"104")</f>
        <v>104</v>
      </c>
      <c r="H382" t="str">
        <f ca="1">IFERROR(__xludf.DUMMYFUNCTION("""COMPUTED_VALUE"""),"1829")</f>
        <v>1829</v>
      </c>
      <c r="I382" t="str">
        <f ca="1">IFERROR(__xludf.DUMMYFUNCTION("""COMPUTED_VALUE"""),"307453")</f>
        <v>307453</v>
      </c>
    </row>
    <row r="383" spans="1:9" ht="15.75" customHeight="1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t="str">
        <f ca="1">IFERROR(__xludf.DUMMYFUNCTION("""COMPUTED_VALUE"""),"A.A. DA ESC. EST. ALCIDES RODRIGUES AIRES")</f>
        <v>A.A. DA ESC. EST. ALCIDES RODRIGUES AIRES</v>
      </c>
      <c r="D383" t="str">
        <f ca="1">IFERROR(__xludf.DUMMYFUNCTION("""COMPUTED_VALUE"""),"03495455000113")</f>
        <v>03495455000113</v>
      </c>
      <c r="E383" s="7">
        <f ca="1">IFERROR(__xludf.DUMMYFUNCTION("""COMPUTED_VALUE"""),0)</f>
        <v>0</v>
      </c>
      <c r="F383" s="7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IFERROR(__xludf.DUMMYFUNCTION("""COMPUTED_VALUE"""),"1117")</f>
        <v>1117</v>
      </c>
      <c r="I383" t="str">
        <f ca="1">IFERROR(__xludf.DUMMYFUNCTION("""COMPUTED_VALUE"""),"77143")</f>
        <v>77143</v>
      </c>
    </row>
    <row r="384" spans="1:9" ht="15.75" customHeight="1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t="str">
        <f ca="1">IFERROR(__xludf.DUMMYFUNCTION("""COMPUTED_VALUE"""),"A.A. E. E. PROFA. CARMENIA MATOS MAIA")</f>
        <v>A.A. E. E. PROFA. CARMENIA MATOS MAIA</v>
      </c>
      <c r="D384" t="str">
        <f ca="1">IFERROR(__xludf.DUMMYFUNCTION("""COMPUTED_VALUE"""),"01118897000115")</f>
        <v>01118897000115</v>
      </c>
      <c r="E384" s="7">
        <f ca="1">IFERROR(__xludf.DUMMYFUNCTION("""COMPUTED_VALUE"""),0)</f>
        <v>0</v>
      </c>
      <c r="F384" s="7">
        <f ca="1">IFERROR(__xludf.DUMMYFUNCTION("""COMPUTED_VALUE"""),0)</f>
        <v>0</v>
      </c>
      <c r="G384" t="str">
        <f ca="1">IFERROR(__xludf.DUMMYFUNCTION("""COMPUTED_VALUE"""),"104")</f>
        <v>104</v>
      </c>
      <c r="H384" t="str">
        <f ca="1">IFERROR(__xludf.DUMMYFUNCTION("""COMPUTED_VALUE"""),"1829")</f>
        <v>1829</v>
      </c>
      <c r="I384" t="str">
        <f ca="1">IFERROR(__xludf.DUMMYFUNCTION("""COMPUTED_VALUE"""),"307399")</f>
        <v>307399</v>
      </c>
    </row>
    <row r="385" spans="1:9" ht="15.75" customHeight="1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t="str">
        <f ca="1">IFERROR(__xludf.DUMMYFUNCTION("""COMPUTED_VALUE"""),"ASS. COM.DE AP.ESC. EST. DE 1 GRAU BOA NOVA")</f>
        <v>ASS. COM.DE AP.ESC. EST. DE 1 GRAU BOA NOVA</v>
      </c>
      <c r="D385" t="str">
        <f ca="1">IFERROR(__xludf.DUMMYFUNCTION("""COMPUTED_VALUE"""),"01856561000150")</f>
        <v>01856561000150</v>
      </c>
      <c r="E385" s="7">
        <f ca="1">IFERROR(__xludf.DUMMYFUNCTION("""COMPUTED_VALUE"""),0)</f>
        <v>0</v>
      </c>
      <c r="F385" s="7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IFERROR(__xludf.DUMMYFUNCTION("""COMPUTED_VALUE"""),"4107")</f>
        <v>4107</v>
      </c>
      <c r="I385" t="str">
        <f ca="1">IFERROR(__xludf.DUMMYFUNCTION("""COMPUTED_VALUE"""),"320722")</f>
        <v>320722</v>
      </c>
    </row>
    <row r="386" spans="1:9" ht="15.75" customHeight="1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t="str">
        <f ca="1">IFERROR(__xludf.DUMMYFUNCTION("""COMPUTED_VALUE"""),"A.A. E. E.PROF.ZACHARIAS NUNES DA SILVEIRA")</f>
        <v>A.A. E. E.PROF.ZACHARIAS NUNES DA SILVEIRA</v>
      </c>
      <c r="D386" t="str">
        <f ca="1">IFERROR(__xludf.DUMMYFUNCTION("""COMPUTED_VALUE"""),"01066420000133")</f>
        <v>01066420000133</v>
      </c>
      <c r="E386" s="7">
        <f ca="1">IFERROR(__xludf.DUMMYFUNCTION("""COMPUTED_VALUE"""),0)</f>
        <v>0</v>
      </c>
      <c r="F386" s="7">
        <f ca="1">IFERROR(__xludf.DUMMYFUNCTION("""COMPUTED_VALUE"""),0)</f>
        <v>0</v>
      </c>
      <c r="G386" t="str">
        <f ca="1">IFERROR(__xludf.DUMMYFUNCTION("""COMPUTED_VALUE"""),"104")</f>
        <v>104</v>
      </c>
      <c r="H386" t="str">
        <f ca="1">IFERROR(__xludf.DUMMYFUNCTION("""COMPUTED_VALUE"""),"1829")</f>
        <v>1829</v>
      </c>
      <c r="I386" t="str">
        <f ca="1">IFERROR(__xludf.DUMMYFUNCTION("""COMPUTED_VALUE"""),"0307461")</f>
        <v>0307461</v>
      </c>
    </row>
    <row r="387" spans="1:9" ht="15.75" customHeight="1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t="str">
        <f ca="1">IFERROR(__xludf.DUMMYFUNCTION("""COMPUTED_VALUE"""),"A.A. E. E. TENENTE SALVADOR RIBEIRO")</f>
        <v>A.A. E. E. TENENTE SALVADOR RIBEIRO</v>
      </c>
      <c r="D387" t="str">
        <f ca="1">IFERROR(__xludf.DUMMYFUNCTION("""COMPUTED_VALUE"""),"01066424000111")</f>
        <v>01066424000111</v>
      </c>
      <c r="E387" s="7">
        <f ca="1">IFERROR(__xludf.DUMMYFUNCTION("""COMPUTED_VALUE"""),0)</f>
        <v>0</v>
      </c>
      <c r="F387" s="7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IFERROR(__xludf.DUMMYFUNCTION("""COMPUTED_VALUE"""),"1117")</f>
        <v>1117</v>
      </c>
      <c r="I387" t="str">
        <f ca="1">IFERROR(__xludf.DUMMYFUNCTION("""COMPUTED_VALUE"""),"332623")</f>
        <v>332623</v>
      </c>
    </row>
    <row r="388" spans="1:9" ht="15.75" customHeight="1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t="str">
        <f ca="1">IFERROR(__xludf.DUMMYFUNCTION("""COMPUTED_VALUE"""),"A.A. DA ESC. EST. JOAO DA SILVA GUIMARAES")</f>
        <v>A.A. DA ESC. EST. JOAO DA SILVA GUIMARAES</v>
      </c>
      <c r="D388" t="str">
        <f ca="1">IFERROR(__xludf.DUMMYFUNCTION("""COMPUTED_VALUE"""),"01557779000103")</f>
        <v>01557779000103</v>
      </c>
      <c r="E388" s="7">
        <f ca="1">IFERROR(__xludf.DUMMYFUNCTION("""COMPUTED_VALUE"""),0)</f>
        <v>0</v>
      </c>
      <c r="F388" s="7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IFERROR(__xludf.DUMMYFUNCTION("""COMPUTED_VALUE"""),"3980")</f>
        <v>3980</v>
      </c>
      <c r="I388" t="str">
        <f ca="1">IFERROR(__xludf.DUMMYFUNCTION("""COMPUTED_VALUE"""),"51292")</f>
        <v>51292</v>
      </c>
    </row>
    <row r="389" spans="1:9" ht="15.75" customHeight="1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t="str">
        <f ca="1">IFERROR(__xludf.DUMMYFUNCTION("""COMPUTED_VALUE"""),"A.A. A ESC. EST. JOAO PIRES QUERIDO")</f>
        <v>A.A. A ESC. EST. JOAO PIRES QUERIDO</v>
      </c>
      <c r="D389" t="str">
        <f ca="1">IFERROR(__xludf.DUMMYFUNCTION("""COMPUTED_VALUE"""),"01284632000197")</f>
        <v>01284632000197</v>
      </c>
      <c r="E389" s="7">
        <f ca="1">IFERROR(__xludf.DUMMYFUNCTION("""COMPUTED_VALUE"""),0)</f>
        <v>0</v>
      </c>
      <c r="F389" s="7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IFERROR(__xludf.DUMMYFUNCTION("""COMPUTED_VALUE"""),"3980")</f>
        <v>3980</v>
      </c>
      <c r="I389" t="str">
        <f ca="1">IFERROR(__xludf.DUMMYFUNCTION("""COMPUTED_VALUE"""),"051187")</f>
        <v>051187</v>
      </c>
    </row>
    <row r="390" spans="1:9" ht="15.75" customHeight="1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t="str">
        <f ca="1">IFERROR(__xludf.DUMMYFUNCTION("""COMPUTED_VALUE"""),"A.A. DA ESC. EST. NAZARÉ NUNES DA SILVA (AGUIARNOPOLIS)")</f>
        <v>A.A. DA ESC. EST. NAZARÉ NUNES DA SILVA (AGUIARNOPOLIS)</v>
      </c>
      <c r="D390" t="str">
        <f ca="1">IFERROR(__xludf.DUMMYFUNCTION("""COMPUTED_VALUE"""),"01213519000110")</f>
        <v>01213519000110</v>
      </c>
      <c r="E390" s="7">
        <f ca="1">IFERROR(__xludf.DUMMYFUNCTION("""COMPUTED_VALUE"""),0)</f>
        <v>0</v>
      </c>
      <c r="F390" s="7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IFERROR(__xludf.DUMMYFUNCTION("""COMPUTED_VALUE"""),"217727")</f>
        <v>217727</v>
      </c>
    </row>
    <row r="391" spans="1:9" ht="15.75" customHeight="1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t="str">
        <f ca="1">IFERROR(__xludf.DUMMYFUNCTION("""COMPUTED_VALUE"""),"ASSOCIAÇÃO DE APOIO DO COL. EST. DULCE COELHO DE SOUSA")</f>
        <v>ASSOCIAÇÃO DE APOIO DO COL. EST. DULCE COELHO DE SOUSA</v>
      </c>
      <c r="D391" t="str">
        <f ca="1">IFERROR(__xludf.DUMMYFUNCTION("""COMPUTED_VALUE"""),"10800992000195")</f>
        <v>10800992000195</v>
      </c>
      <c r="E391" s="7">
        <f ca="1">IFERROR(__xludf.DUMMYFUNCTION("""COMPUTED_VALUE"""),0)</f>
        <v>0</v>
      </c>
      <c r="F391" s="7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IFERROR(__xludf.DUMMYFUNCTION("""COMPUTED_VALUE"""),"3973")</f>
        <v>3973</v>
      </c>
      <c r="I391" t="str">
        <f ca="1">IFERROR(__xludf.DUMMYFUNCTION("""COMPUTED_VALUE"""),"212792")</f>
        <v>212792</v>
      </c>
    </row>
    <row r="392" spans="1:9" ht="15.75" customHeight="1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t="str">
        <f ca="1">IFERROR(__xludf.DUMMYFUNCTION("""COMPUTED_VALUE"""),"A.A. E. EST. NOVA DA CACHOEIRINHA/RAIMUNDO NONATO TORRES")</f>
        <v>A.A. E. EST. NOVA DA CACHOEIRINHA/RAIMUNDO NONATO TORRES</v>
      </c>
      <c r="D392" t="str">
        <f ca="1">IFERROR(__xludf.DUMMYFUNCTION("""COMPUTED_VALUE"""),"01213535000103")</f>
        <v>01213535000103</v>
      </c>
      <c r="E392" s="7">
        <f ca="1">IFERROR(__xludf.DUMMYFUNCTION("""COMPUTED_VALUE"""),0)</f>
        <v>0</v>
      </c>
      <c r="F392" s="7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IFERROR(__xludf.DUMMYFUNCTION("""COMPUTED_VALUE"""),"0217689")</f>
        <v>0217689</v>
      </c>
    </row>
    <row r="393" spans="1:9" ht="15.75" customHeight="1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t="str">
        <f ca="1">IFERROR(__xludf.DUMMYFUNCTION("""COMPUTED_VALUE"""),"A. APOIO COL. EST. JOSE DE SOUZA PORTO")</f>
        <v>A. APOIO COL. EST. JOSE DE SOUZA PORTO</v>
      </c>
      <c r="D393" t="str">
        <f ca="1">IFERROR(__xludf.DUMMYFUNCTION("""COMPUTED_VALUE"""),"01213532000170")</f>
        <v>01213532000170</v>
      </c>
      <c r="E393" s="7">
        <f ca="1">IFERROR(__xludf.DUMMYFUNCTION("""COMPUTED_VALUE"""),0)</f>
        <v>0</v>
      </c>
      <c r="F393" s="7">
        <f ca="1">IFERROR(__xludf.DUMMYFUNCTION("""COMPUTED_VALUE"""),0)</f>
        <v>0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IFERROR(__xludf.DUMMYFUNCTION("""COMPUTED_VALUE"""),"25739")</f>
        <v>25739</v>
      </c>
    </row>
    <row r="394" spans="1:9" ht="15.75" customHeight="1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t="str">
        <f ca="1">IFERROR(__xludf.DUMMYFUNCTION("""COMPUTED_VALUE"""),"ASS. DE APOIO ESC. EST. OLAVO BILAC")</f>
        <v>ASS. DE APOIO ESC. EST. OLAVO BILAC</v>
      </c>
      <c r="D394" t="str">
        <f ca="1">IFERROR(__xludf.DUMMYFUNCTION("""COMPUTED_VALUE"""),"01358337000138")</f>
        <v>01358337000138</v>
      </c>
      <c r="E394" s="7">
        <f ca="1">IFERROR(__xludf.DUMMYFUNCTION("""COMPUTED_VALUE"""),0)</f>
        <v>0</v>
      </c>
      <c r="F394" s="7">
        <f ca="1">IFERROR(__xludf.DUMMYFUNCTION("""COMPUTED_VALUE"""),0)</f>
        <v>0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IFERROR(__xludf.DUMMYFUNCTION("""COMPUTED_VALUE"""),"218391")</f>
        <v>218391</v>
      </c>
    </row>
    <row r="395" spans="1:9" ht="15.75" customHeight="1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t="str">
        <f ca="1">IFERROR(__xludf.DUMMYFUNCTION("""COMPUTED_VALUE"""),"ASS. AP.A ESC. EST. JUSCELINO K.DE OLIVEIRA")</f>
        <v>ASS. AP.A ESC. EST. JUSCELINO K.DE OLIVEIRA</v>
      </c>
      <c r="D395" t="str">
        <f ca="1">IFERROR(__xludf.DUMMYFUNCTION("""COMPUTED_VALUE"""),"01230232000107")</f>
        <v>01230232000107</v>
      </c>
      <c r="E395" s="7">
        <f ca="1">IFERROR(__xludf.DUMMYFUNCTION("""COMPUTED_VALUE"""),0)</f>
        <v>0</v>
      </c>
      <c r="F395" s="7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IFERROR(__xludf.DUMMYFUNCTION("""COMPUTED_VALUE"""),"022135X")</f>
        <v>022135X</v>
      </c>
    </row>
    <row r="396" spans="1:9" ht="15.75" customHeight="1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t="str">
        <f ca="1">IFERROR(__xludf.DUMMYFUNCTION("""COMPUTED_VALUE"""),"A.A.  DA ESC. EST.PEDRO LUDOVICO TEIXEIRA")</f>
        <v>A.A.  DA ESC. EST.PEDRO LUDOVICO TEIXEIRA</v>
      </c>
      <c r="D396" t="str">
        <f ca="1">IFERROR(__xludf.DUMMYFUNCTION("""COMPUTED_VALUE"""),"01213528000101")</f>
        <v>01213528000101</v>
      </c>
      <c r="E396" s="7">
        <f ca="1">IFERROR(__xludf.DUMMYFUNCTION("""COMPUTED_VALUE"""),0)</f>
        <v>0</v>
      </c>
      <c r="F396" s="7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IFERROR(__xludf.DUMMYFUNCTION("""COMPUTED_VALUE"""),"0217670")</f>
        <v>0217670</v>
      </c>
    </row>
    <row r="397" spans="1:9" ht="15.75" customHeight="1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t="str">
        <f ca="1">IFERROR(__xludf.DUMMYFUNCTION("""COMPUTED_VALUE"""),"A.DO COLEGIO EST.PRES.CASTELO BRANCO")</f>
        <v>A.DO COLEGIO EST.PRES.CASTELO BRANCO</v>
      </c>
      <c r="D397" t="str">
        <f ca="1">IFERROR(__xludf.DUMMYFUNCTION("""COMPUTED_VALUE"""),"01213522000134")</f>
        <v>01213522000134</v>
      </c>
      <c r="E397" s="7">
        <f ca="1">IFERROR(__xludf.DUMMYFUNCTION("""COMPUTED_VALUE"""),0)</f>
        <v>0</v>
      </c>
      <c r="F397" s="7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IFERROR(__xludf.DUMMYFUNCTION("""COMPUTED_VALUE"""),"217859")</f>
        <v>217859</v>
      </c>
    </row>
    <row r="398" spans="1:9" ht="15.75" customHeight="1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t="str">
        <f ca="1">IFERROR(__xludf.DUMMYFUNCTION("""COMPUTED_VALUE"""),"ASSOC. DE APOIO A ESC. EST.ESPECIAL BEM VIVER")</f>
        <v>ASSOC. DE APOIO A ESC. EST.ESPECIAL BEM VIVER</v>
      </c>
      <c r="D398" t="str">
        <f ca="1">IFERROR(__xludf.DUMMYFUNCTION("""COMPUTED_VALUE"""),"10520927000106")</f>
        <v>10520927000106</v>
      </c>
      <c r="E398" s="7">
        <f ca="1">IFERROR(__xludf.DUMMYFUNCTION("""COMPUTED_VALUE"""),0)</f>
        <v>0</v>
      </c>
      <c r="F398" s="7">
        <f ca="1">IFERROR(__xludf.DUMMYFUNCTION("""COMPUTED_VALUE"""),144)</f>
        <v>144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IFERROR(__xludf.DUMMYFUNCTION("""COMPUTED_VALUE"""),"200336")</f>
        <v>200336</v>
      </c>
    </row>
    <row r="399" spans="1:9" ht="15.75" customHeight="1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t="str">
        <f ca="1">IFERROR(__xludf.DUMMYFUNCTION("""COMPUTED_VALUE"""),"A.A. ESC. EST. DOM CORNELIO CHIZZINI")</f>
        <v>A.A. ESC. EST. DOM CORNELIO CHIZZINI</v>
      </c>
      <c r="D399" t="str">
        <f ca="1">IFERROR(__xludf.DUMMYFUNCTION("""COMPUTED_VALUE"""),"01230233000143")</f>
        <v>01230233000143</v>
      </c>
      <c r="E399" s="7">
        <f ca="1">IFERROR(__xludf.DUMMYFUNCTION("""COMPUTED_VALUE"""),0)</f>
        <v>0</v>
      </c>
      <c r="F399" s="7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IFERROR(__xludf.DUMMYFUNCTION("""COMPUTED_VALUE"""),"21776X")</f>
        <v>21776X</v>
      </c>
    </row>
    <row r="400" spans="1:9" ht="15.75" customHeight="1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t="str">
        <f ca="1">IFERROR(__xludf.DUMMYFUNCTION("""COMPUTED_VALUE"""),"A.A.  DA ESCOLA ESTADUAL PIACAVA")</f>
        <v>A.A.  DA ESCOLA ESTADUAL PIACAVA</v>
      </c>
      <c r="D400" t="str">
        <f ca="1">IFERROR(__xludf.DUMMYFUNCTION("""COMPUTED_VALUE"""),"01230239000110")</f>
        <v>01230239000110</v>
      </c>
      <c r="E400" s="7">
        <f ca="1">IFERROR(__xludf.DUMMYFUNCTION("""COMPUTED_VALUE"""),0)</f>
        <v>0</v>
      </c>
      <c r="F400" s="7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IFERROR(__xludf.DUMMYFUNCTION("""COMPUTED_VALUE"""),"217883")</f>
        <v>217883</v>
      </c>
    </row>
    <row r="401" spans="1:9" ht="15.75" customHeight="1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t="str">
        <f ca="1">IFERROR(__xludf.DUMMYFUNCTION("""COMPUTED_VALUE"""),"A.A. ESC. EST. RAIMUNDO NEIVA DE CARVALHO")</f>
        <v>A.A. ESC. EST. RAIMUNDO NEIVA DE CARVALHO</v>
      </c>
      <c r="D401" t="str">
        <f ca="1">IFERROR(__xludf.DUMMYFUNCTION("""COMPUTED_VALUE"""),"01213533000114")</f>
        <v>01213533000114</v>
      </c>
      <c r="E401" s="7">
        <f ca="1">IFERROR(__xludf.DUMMYFUNCTION("""COMPUTED_VALUE"""),0)</f>
        <v>0</v>
      </c>
      <c r="F401" s="7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IFERROR(__xludf.DUMMYFUNCTION("""COMPUTED_VALUE"""),"0027529")</f>
        <v>0027529</v>
      </c>
    </row>
    <row r="402" spans="1:9" ht="15.75" customHeight="1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t="str">
        <f ca="1">IFERROR(__xludf.DUMMYFUNCTION("""COMPUTED_VALUE"""),"A. DE APOIO DA E. E. PE. CESARE LELLI")</f>
        <v>A. DE APOIO DA E. E. PE. CESARE LELLI</v>
      </c>
      <c r="D402" t="str">
        <f ca="1">IFERROR(__xludf.DUMMYFUNCTION("""COMPUTED_VALUE"""),"03778873000118")</f>
        <v>03778873000118</v>
      </c>
      <c r="E402" s="7">
        <f ca="1">IFERROR(__xludf.DUMMYFUNCTION("""COMPUTED_VALUE"""),0)</f>
        <v>0</v>
      </c>
      <c r="F402" s="7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IFERROR(__xludf.DUMMYFUNCTION("""COMPUTED_VALUE"""),"82007")</f>
        <v>82007</v>
      </c>
    </row>
    <row r="403" spans="1:9" ht="15.75" customHeight="1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t="str">
        <f ca="1">IFERROR(__xludf.DUMMYFUNCTION("""COMPUTED_VALUE"""),"ASS. A. ESC. EST. DR JOSE FELICIANO FERREIRA")</f>
        <v>ASS. A. ESC. EST. DR JOSE FELICIANO FERREIRA</v>
      </c>
      <c r="D403" t="str">
        <f ca="1">IFERROR(__xludf.DUMMYFUNCTION("""COMPUTED_VALUE"""),"01077441000154")</f>
        <v>01077441000154</v>
      </c>
      <c r="E403" s="7">
        <f ca="1">IFERROR(__xludf.DUMMYFUNCTION("""COMPUTED_VALUE"""),0)</f>
        <v>0</v>
      </c>
      <c r="F403" s="7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IFERROR(__xludf.DUMMYFUNCTION("""COMPUTED_VALUE"""),"0026085")</f>
        <v>0026085</v>
      </c>
    </row>
    <row r="404" spans="1:9" ht="15.75" customHeight="1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IFERROR(__xludf.DUMMYFUNCTION("""COMPUTED_VALUE"""),"A.A ESC. EST.INDIGENAS NRE TOCANTINOPOLIS")</f>
        <v>A.A ESC. EST.INDIGENAS NRE TOCANTINOPOLIS</v>
      </c>
      <c r="D404" t="str">
        <f ca="1">IFERROR(__xludf.DUMMYFUNCTION("""COMPUTED_VALUE"""),"06171083000168")</f>
        <v>06171083000168</v>
      </c>
      <c r="E404" s="7">
        <f ca="1">IFERROR(__xludf.DUMMYFUNCTION("""COMPUTED_VALUE"""),0)</f>
        <v>0</v>
      </c>
      <c r="F404" s="7">
        <f ca="1">IFERROR(__xludf.DUMMYFUNCTION("""COMPUTED_VALUE"""),0)</f>
        <v>0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IFERROR(__xludf.DUMMYFUNCTION("""COMPUTED_VALUE"""),"140538")</f>
        <v>140538</v>
      </c>
    </row>
    <row r="405" spans="1:9" ht="15.75" customHeight="1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IFERROR(__xludf.DUMMYFUNCTION("""COMPUTED_VALUE"""),"A.A. AS ESC. EST.INDIGENAS MATYK E APORO")</f>
        <v>A.A. AS ESC. EST.INDIGENAS MATYK E APORO</v>
      </c>
      <c r="D405" t="str">
        <f ca="1">IFERROR(__xludf.DUMMYFUNCTION("""COMPUTED_VALUE"""),"03544096000147")</f>
        <v>03544096000147</v>
      </c>
      <c r="E405" s="7">
        <f ca="1">IFERROR(__xludf.DUMMYFUNCTION("""COMPUTED_VALUE"""),0)</f>
        <v>0</v>
      </c>
      <c r="F405" s="7">
        <f ca="1">IFERROR(__xludf.DUMMYFUNCTION("""COMPUTED_VALUE"""),0)</f>
        <v>0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IFERROR(__xludf.DUMMYFUNCTION("""COMPUTED_VALUE"""),"67423")</f>
        <v>67423</v>
      </c>
    </row>
    <row r="406" spans="1:9" ht="15.75" customHeight="1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IFERROR(__xludf.DUMMYFUNCTION("""COMPUTED_VALUE"""),"ASSOC.PAIS E MESTRES COL. EST. DEP.DARCY MARINHO")</f>
        <v>ASSOC.PAIS E MESTRES COL. EST. DEP.DARCY MARINHO</v>
      </c>
      <c r="D406" t="str">
        <f ca="1">IFERROR(__xludf.DUMMYFUNCTION("""COMPUTED_VALUE"""),"01230236000187")</f>
        <v>01230236000187</v>
      </c>
      <c r="E406" s="7">
        <f ca="1">IFERROR(__xludf.DUMMYFUNCTION("""COMPUTED_VALUE"""),0)</f>
        <v>0</v>
      </c>
      <c r="F406" s="7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IFERROR(__xludf.DUMMYFUNCTION("""COMPUTED_VALUE"""),"297410")</f>
        <v>297410</v>
      </c>
    </row>
    <row r="407" spans="1:9" ht="15.75" customHeight="1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IFERROR(__xludf.DUMMYFUNCTION("""COMPUTED_VALUE"""),"ASSOC. APOIO AO COLÉGIODOM ORIONE")</f>
        <v>ASSOC. APOIO AO COLÉGIODOM ORIONE</v>
      </c>
      <c r="D407" t="str">
        <f ca="1">IFERROR(__xludf.DUMMYFUNCTION("""COMPUTED_VALUE"""),"13033002000129")</f>
        <v>13033002000129</v>
      </c>
      <c r="E407" s="7">
        <f ca="1">IFERROR(__xludf.DUMMYFUNCTION("""COMPUTED_VALUE"""),0)</f>
        <v>0</v>
      </c>
      <c r="F407" s="7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IFERROR(__xludf.DUMMYFUNCTION("""COMPUTED_VALUE"""),"254193")</f>
        <v>254193</v>
      </c>
    </row>
    <row r="408" spans="1:9" ht="15.75" customHeight="1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IFERROR(__xludf.DUMMYFUNCTION("""COMPUTED_VALUE"""),"A.A. DO COL.PADRAO/JOSÉ CARNEIRO DE BRITO")</f>
        <v>A.A. DO COL.PADRAO/JOSÉ CARNEIRO DE BRITO</v>
      </c>
      <c r="D408" t="str">
        <f ca="1">IFERROR(__xludf.DUMMYFUNCTION("""COMPUTED_VALUE"""),"03880040000163")</f>
        <v>03880040000163</v>
      </c>
      <c r="E408" s="7">
        <f ca="1">IFERROR(__xludf.DUMMYFUNCTION("""COMPUTED_VALUE"""),0)</f>
        <v>0</v>
      </c>
      <c r="F408" s="7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IFERROR(__xludf.DUMMYFUNCTION("""COMPUTED_VALUE"""),"81884")</f>
        <v>81884</v>
      </c>
    </row>
    <row r="409" spans="1:9" ht="15.75" customHeight="1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t="str">
        <f ca="1">IFERROR(__xludf.DUMMYFUNCTION("""COMPUTED_VALUE"""),"ASSOCIAÇÃO DE APOIO A ESCOLA ESPECIAL UM PASSO DIFERENTE -APAE")</f>
        <v>ASSOCIAÇÃO DE APOIO A ESCOLA ESPECIAL UM PASSO DIFERENTE -APAE</v>
      </c>
      <c r="D409" t="str">
        <f ca="1">IFERROR(__xludf.DUMMYFUNCTION("""COMPUTED_VALUE"""),"08012610000117")</f>
        <v>08012610000117</v>
      </c>
      <c r="E409" s="7">
        <f ca="1">IFERROR(__xludf.DUMMYFUNCTION("""COMPUTED_VALUE"""),0)</f>
        <v>0</v>
      </c>
      <c r="F409" s="7">
        <f ca="1">IFERROR(__xludf.DUMMYFUNCTION("""COMPUTED_VALUE"""),43.2)</f>
        <v>43.2</v>
      </c>
      <c r="G409" t="str">
        <f ca="1">IFERROR(__xludf.DUMMYFUNCTION("""COMPUTED_VALUE"""),"001")</f>
        <v>001</v>
      </c>
      <c r="H409" t="str">
        <f ca="1">IFERROR(__xludf.DUMMYFUNCTION("""COMPUTED_VALUE"""),"0810")</f>
        <v>0810</v>
      </c>
      <c r="I409" t="str">
        <f ca="1">IFERROR(__xludf.DUMMYFUNCTION("""COMPUTED_VALUE"""),"204250")</f>
        <v>204250</v>
      </c>
    </row>
    <row r="410" spans="1:9" ht="15.75" customHeight="1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t="str">
        <f ca="1">IFERROR(__xludf.DUMMYFUNCTION("""COMPUTED_VALUE"""),"A.A. ESC. E. E.PROF.ALDENORA A.CORREIA")</f>
        <v>A.A. ESC. E. E.PROF.ALDENORA A.CORREIA</v>
      </c>
      <c r="D410" t="str">
        <f ca="1">IFERROR(__xludf.DUMMYFUNCTION("""COMPUTED_VALUE"""),"01213527000167")</f>
        <v>01213527000167</v>
      </c>
      <c r="E410" s="7">
        <f ca="1">IFERROR(__xludf.DUMMYFUNCTION("""COMPUTED_VALUE"""),0)</f>
        <v>0</v>
      </c>
      <c r="F410" s="7">
        <f ca="1">IFERROR(__xludf.DUMMYFUNCTION("""COMPUTED_VALUE"""),0)</f>
        <v>0</v>
      </c>
      <c r="G410" t="str">
        <f ca="1">IFERROR(__xludf.DUMMYFUNCTION("""COMPUTED_VALUE"""),"001")</f>
        <v>001</v>
      </c>
      <c r="H410" t="str">
        <f ca="1">IFERROR(__xludf.DUMMYFUNCTION("""COMPUTED_VALUE"""),"0810")</f>
        <v>0810</v>
      </c>
      <c r="I410" t="str">
        <f ca="1">IFERROR(__xludf.DUMMYFUNCTION("""COMPUTED_VALUE"""),"58319")</f>
        <v>58319</v>
      </c>
    </row>
    <row r="411" spans="1:9" ht="15.75" customHeight="1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t="str">
        <f ca="1">IFERROR(__xludf.DUMMYFUNCTION("""COMPUTED_VALUE"""),"A. PAIS DA ESC. EST. XV DE NOVEMBRO")</f>
        <v>A. PAIS DA ESC. EST. XV DE NOVEMBRO</v>
      </c>
      <c r="D411" t="str">
        <f ca="1">IFERROR(__xludf.DUMMYFUNCTION("""COMPUTED_VALUE"""),"01213520000145")</f>
        <v>01213520000145</v>
      </c>
      <c r="E411" s="7">
        <f ca="1">IFERROR(__xludf.DUMMYFUNCTION("""COMPUTED_VALUE"""),0)</f>
        <v>0</v>
      </c>
      <c r="F411" s="7">
        <f ca="1">IFERROR(__xludf.DUMMYFUNCTION("""COMPUTED_VALUE"""),0)</f>
        <v>0</v>
      </c>
      <c r="G411" t="str">
        <f ca="1">IFERROR(__xludf.DUMMYFUNCTION("""COMPUTED_VALUE"""),"001")</f>
        <v>001</v>
      </c>
      <c r="H411" t="str">
        <f ca="1">IFERROR(__xludf.DUMMYFUNCTION("""COMPUTED_VALUE"""),"0810")</f>
        <v>0810</v>
      </c>
      <c r="I411" t="str">
        <f ca="1">IFERROR(__xludf.DUMMYFUNCTION("""COMPUTED_VALUE"""),"58238")</f>
        <v>58238</v>
      </c>
    </row>
    <row r="412" spans="1:9" ht="15.75" customHeight="1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t="str">
        <f ca="1">IFERROR(__xludf.DUMMYFUNCTION("""COMPUTED_VALUE"""),"A. ESCOLAR COM. PE. GIULIANO MORETTI")</f>
        <v>A. ESCOLAR COM. PE. GIULIANO MORETTI</v>
      </c>
      <c r="D412" t="str">
        <f ca="1">IFERROR(__xludf.DUMMYFUNCTION("""COMPUTED_VALUE"""),"00900202000190")</f>
        <v>00900202000190</v>
      </c>
      <c r="E412" s="7">
        <f ca="1">IFERROR(__xludf.DUMMYFUNCTION("""COMPUTED_VALUE"""),0)</f>
        <v>0</v>
      </c>
      <c r="F412" s="7">
        <f ca="1">IFERROR(__xludf.DUMMYFUNCTION("""COMPUTED_VALUE"""),0)</f>
        <v>0</v>
      </c>
      <c r="G412" t="str">
        <f ca="1">IFERROR(__xludf.DUMMYFUNCTION("""COMPUTED_VALUE"""),"001")</f>
        <v>001</v>
      </c>
      <c r="H412" t="str">
        <f ca="1">IFERROR(__xludf.DUMMYFUNCTION("""COMPUTED_VALUE"""),"0810")</f>
        <v>0810</v>
      </c>
      <c r="I412" t="str">
        <f ca="1">IFERROR(__xludf.DUMMYFUNCTION("""COMPUTED_VALUE"""),"217484")</f>
        <v>217484</v>
      </c>
    </row>
    <row r="413" spans="1:9" ht="15.75" customHeight="1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t="str">
        <f ca="1">IFERROR(__xludf.DUMMYFUNCTION("""COMPUTED_VALUE"""),"A. DA ESCOLA PAROQUIAL CRISTO REI")</f>
        <v>A. DA ESCOLA PAROQUIAL CRISTO REI</v>
      </c>
      <c r="D413" t="str">
        <f ca="1">IFERROR(__xludf.DUMMYFUNCTION("""COMPUTED_VALUE"""),"02026329000157")</f>
        <v>02026329000157</v>
      </c>
      <c r="E413" s="7">
        <f ca="1">IFERROR(__xludf.DUMMYFUNCTION("""COMPUTED_VALUE"""),0)</f>
        <v>0</v>
      </c>
      <c r="F413" s="7">
        <f ca="1">IFERROR(__xludf.DUMMYFUNCTION("""COMPUTED_VALUE"""),0)</f>
        <v>0</v>
      </c>
      <c r="G413" t="str">
        <f ca="1">IFERROR(__xludf.DUMMYFUNCTION("""COMPUTED_VALUE"""),"001")</f>
        <v>001</v>
      </c>
      <c r="H413" t="str">
        <f ca="1">IFERROR(__xludf.DUMMYFUNCTION("""COMPUTED_VALUE"""),"0810")</f>
        <v>0810</v>
      </c>
      <c r="I413" t="str">
        <f ca="1">IFERROR(__xludf.DUMMYFUNCTION("""COMPUTED_VALUE"""),"58149")</f>
        <v>58149</v>
      </c>
    </row>
    <row r="414" spans="1:9" ht="15.75" customHeight="1">
      <c r="E414" s="7"/>
      <c r="F414" s="7"/>
    </row>
    <row r="415" spans="1:9" ht="15.75" customHeight="1">
      <c r="E415" s="7"/>
      <c r="F415" s="7"/>
    </row>
    <row r="416" spans="1:9" ht="15.75" customHeight="1">
      <c r="E416" s="7"/>
      <c r="F416" s="7"/>
    </row>
    <row r="417" spans="5:6" ht="15.75" customHeight="1">
      <c r="E417" s="7"/>
      <c r="F417" s="7"/>
    </row>
    <row r="418" spans="5:6" ht="15.75" customHeight="1">
      <c r="E418" s="7"/>
      <c r="F418" s="7"/>
    </row>
    <row r="419" spans="5:6" ht="15.75" customHeight="1">
      <c r="E419" s="7"/>
      <c r="F419" s="7"/>
    </row>
    <row r="420" spans="5:6" ht="15.75" customHeight="1">
      <c r="E420" s="7"/>
      <c r="F420" s="7"/>
    </row>
    <row r="421" spans="5:6" ht="15.75" customHeight="1">
      <c r="E421" s="7"/>
      <c r="F421" s="7"/>
    </row>
    <row r="422" spans="5:6" ht="15.75" customHeight="1">
      <c r="E422" s="7"/>
      <c r="F422" s="7"/>
    </row>
    <row r="423" spans="5:6" ht="15.75" customHeight="1">
      <c r="E423" s="7"/>
      <c r="F423" s="7"/>
    </row>
    <row r="424" spans="5:6" ht="15.75" customHeight="1">
      <c r="E424" s="7"/>
      <c r="F424" s="7"/>
    </row>
    <row r="425" spans="5:6" ht="15.75" customHeight="1">
      <c r="E425" s="7"/>
      <c r="F425" s="7"/>
    </row>
    <row r="426" spans="5:6" ht="15.75" customHeight="1">
      <c r="E426" s="7"/>
      <c r="F426" s="7"/>
    </row>
    <row r="427" spans="5:6" ht="15.75" customHeight="1">
      <c r="E427" s="7"/>
      <c r="F427" s="7"/>
    </row>
    <row r="428" spans="5:6" ht="15.75" customHeight="1">
      <c r="E428" s="7"/>
      <c r="F428" s="7"/>
    </row>
    <row r="429" spans="5:6" ht="15.75" customHeight="1">
      <c r="E429" s="7"/>
      <c r="F429" s="7"/>
    </row>
    <row r="430" spans="5:6" ht="15.75" customHeight="1">
      <c r="E430" s="7"/>
      <c r="F430" s="7"/>
    </row>
    <row r="431" spans="5:6" ht="15.75" customHeight="1">
      <c r="E431" s="7"/>
      <c r="F431" s="7"/>
    </row>
    <row r="432" spans="5:6" ht="15.75" customHeight="1">
      <c r="E432" s="7"/>
      <c r="F432" s="7"/>
    </row>
    <row r="433" spans="5:6" ht="15.75" customHeight="1">
      <c r="E433" s="7"/>
      <c r="F433" s="7"/>
    </row>
    <row r="434" spans="5:6" ht="15.75" customHeight="1">
      <c r="E434" s="7"/>
      <c r="F434" s="7"/>
    </row>
    <row r="435" spans="5:6" ht="15.75" customHeight="1">
      <c r="E435" s="7"/>
      <c r="F435" s="7"/>
    </row>
    <row r="436" spans="5:6" ht="15.75" customHeight="1">
      <c r="E436" s="7"/>
      <c r="F436" s="7"/>
    </row>
    <row r="437" spans="5:6" ht="15.75" customHeight="1">
      <c r="E437" s="7"/>
      <c r="F437" s="7"/>
    </row>
    <row r="438" spans="5:6" ht="15.75" customHeight="1">
      <c r="E438" s="7"/>
      <c r="F438" s="7"/>
    </row>
    <row r="439" spans="5:6" ht="15.75" customHeight="1">
      <c r="E439" s="7"/>
      <c r="F439" s="7"/>
    </row>
    <row r="440" spans="5:6" ht="15.75" customHeight="1">
      <c r="E440" s="7"/>
      <c r="F440" s="7"/>
    </row>
    <row r="441" spans="5:6" ht="15.75" customHeight="1">
      <c r="E441" s="7"/>
      <c r="F441" s="7"/>
    </row>
    <row r="442" spans="5:6" ht="15.75" customHeight="1">
      <c r="E442" s="7"/>
      <c r="F442" s="7"/>
    </row>
    <row r="443" spans="5:6" ht="15.75" customHeight="1">
      <c r="E443" s="7"/>
      <c r="F443" s="7"/>
    </row>
    <row r="444" spans="5:6" ht="15.75" customHeight="1">
      <c r="E444" s="7"/>
      <c r="F444" s="7"/>
    </row>
    <row r="445" spans="5:6" ht="15.75" customHeight="1">
      <c r="E445" s="7"/>
      <c r="F445" s="7"/>
    </row>
    <row r="446" spans="5:6" ht="15.75" customHeight="1">
      <c r="E446" s="7"/>
      <c r="F446" s="7"/>
    </row>
    <row r="447" spans="5:6" ht="15.75" customHeight="1">
      <c r="E447" s="7"/>
      <c r="F447" s="7"/>
    </row>
    <row r="448" spans="5:6" ht="15.75" customHeight="1">
      <c r="E448" s="7"/>
      <c r="F448" s="7"/>
    </row>
    <row r="449" spans="5:6" ht="15.75" customHeight="1">
      <c r="E449" s="7"/>
      <c r="F449" s="7"/>
    </row>
    <row r="450" spans="5:6" ht="15.75" customHeight="1">
      <c r="E450" s="7"/>
      <c r="F450" s="7"/>
    </row>
    <row r="451" spans="5:6" ht="15.75" customHeight="1">
      <c r="E451" s="7"/>
      <c r="F451" s="7"/>
    </row>
    <row r="452" spans="5:6" ht="15.75" customHeight="1">
      <c r="E452" s="7"/>
      <c r="F452" s="7"/>
    </row>
    <row r="453" spans="5:6" ht="15.75" customHeight="1">
      <c r="E453" s="7"/>
      <c r="F453" s="7"/>
    </row>
    <row r="454" spans="5:6" ht="15.75" customHeight="1">
      <c r="E454" s="7"/>
      <c r="F454" s="7"/>
    </row>
    <row r="455" spans="5:6" ht="15.75" customHeight="1">
      <c r="E455" s="7"/>
      <c r="F455" s="7"/>
    </row>
    <row r="456" spans="5:6" ht="15.75" customHeight="1">
      <c r="E456" s="7"/>
      <c r="F456" s="7"/>
    </row>
    <row r="457" spans="5:6" ht="15.75" customHeight="1">
      <c r="E457" s="7"/>
      <c r="F457" s="7"/>
    </row>
    <row r="458" spans="5:6" ht="15.75" customHeight="1">
      <c r="E458" s="7"/>
      <c r="F458" s="7"/>
    </row>
    <row r="459" spans="5:6" ht="15.75" customHeight="1">
      <c r="E459" s="7"/>
      <c r="F459" s="7"/>
    </row>
    <row r="460" spans="5:6" ht="15.75" customHeight="1">
      <c r="E460" s="7"/>
      <c r="F460" s="7"/>
    </row>
    <row r="461" spans="5:6" ht="15.75" customHeight="1">
      <c r="E461" s="7"/>
      <c r="F461" s="7"/>
    </row>
    <row r="462" spans="5:6" ht="15.75" customHeight="1">
      <c r="E462" s="7"/>
      <c r="F462" s="7"/>
    </row>
    <row r="463" spans="5:6" ht="15.75" customHeight="1">
      <c r="E463" s="7"/>
      <c r="F463" s="7"/>
    </row>
    <row r="464" spans="5:6" ht="15.75" customHeight="1">
      <c r="E464" s="7"/>
      <c r="F464" s="7"/>
    </row>
    <row r="465" spans="5:6" ht="15.75" customHeight="1">
      <c r="E465" s="7"/>
      <c r="F465" s="7"/>
    </row>
    <row r="466" spans="5:6" ht="15.75" customHeight="1">
      <c r="E466" s="7"/>
      <c r="F466" s="7"/>
    </row>
    <row r="467" spans="5:6" ht="15.75" customHeight="1">
      <c r="E467" s="7"/>
      <c r="F467" s="7"/>
    </row>
    <row r="468" spans="5:6" ht="15.75" customHeight="1">
      <c r="E468" s="7"/>
      <c r="F468" s="7"/>
    </row>
    <row r="469" spans="5:6" ht="15.75" customHeight="1">
      <c r="E469" s="7"/>
      <c r="F469" s="7"/>
    </row>
    <row r="470" spans="5:6" ht="15.75" customHeight="1">
      <c r="E470" s="7"/>
      <c r="F470" s="7"/>
    </row>
    <row r="471" spans="5:6" ht="15.75" customHeight="1">
      <c r="E471" s="7"/>
      <c r="F471" s="7"/>
    </row>
    <row r="472" spans="5:6" ht="15.75" customHeight="1">
      <c r="E472" s="7"/>
      <c r="F472" s="7"/>
    </row>
    <row r="473" spans="5:6" ht="15.75" customHeight="1">
      <c r="E473" s="7"/>
      <c r="F473" s="7"/>
    </row>
    <row r="474" spans="5:6" ht="15.75" customHeight="1">
      <c r="E474" s="7"/>
      <c r="F474" s="7"/>
    </row>
    <row r="475" spans="5:6" ht="15.75" customHeight="1">
      <c r="E475" s="7"/>
      <c r="F475" s="7"/>
    </row>
    <row r="476" spans="5:6" ht="15.75" customHeight="1">
      <c r="E476" s="7"/>
      <c r="F476" s="7"/>
    </row>
    <row r="477" spans="5:6" ht="15.75" customHeight="1">
      <c r="E477" s="7"/>
      <c r="F477" s="7"/>
    </row>
    <row r="478" spans="5:6" ht="15.75" customHeight="1">
      <c r="E478" s="7"/>
      <c r="F478" s="7"/>
    </row>
    <row r="479" spans="5:6" ht="15.75" customHeight="1">
      <c r="E479" s="7"/>
      <c r="F479" s="7"/>
    </row>
    <row r="480" spans="5:6" ht="15.75" customHeight="1">
      <c r="E480" s="7"/>
      <c r="F480" s="7"/>
    </row>
    <row r="481" spans="5:6" ht="15.75" customHeight="1">
      <c r="E481" s="7"/>
      <c r="F481" s="7"/>
    </row>
    <row r="482" spans="5:6" ht="15.75" customHeight="1">
      <c r="E482" s="7"/>
      <c r="F482" s="7"/>
    </row>
    <row r="483" spans="5:6" ht="15.75" customHeight="1">
      <c r="E483" s="7"/>
      <c r="F483" s="7"/>
    </row>
    <row r="484" spans="5:6" ht="15.75" customHeight="1">
      <c r="E484" s="7"/>
      <c r="F484" s="7"/>
    </row>
    <row r="485" spans="5:6" ht="15.75" customHeight="1">
      <c r="E485" s="7"/>
      <c r="F485" s="7"/>
    </row>
    <row r="486" spans="5:6" ht="15.75" customHeight="1">
      <c r="E486" s="7"/>
      <c r="F486" s="7"/>
    </row>
    <row r="487" spans="5:6" ht="15.75" customHeight="1">
      <c r="E487" s="7"/>
      <c r="F487" s="7"/>
    </row>
    <row r="488" spans="5:6" ht="15.75" customHeight="1">
      <c r="E488" s="7"/>
      <c r="F488" s="7"/>
    </row>
    <row r="489" spans="5:6" ht="15.75" customHeight="1">
      <c r="E489" s="7"/>
      <c r="F489" s="7"/>
    </row>
    <row r="490" spans="5:6" ht="15.75" customHeight="1">
      <c r="E490" s="7"/>
      <c r="F490" s="7"/>
    </row>
    <row r="491" spans="5:6" ht="15.75" customHeight="1">
      <c r="E491" s="7"/>
      <c r="F491" s="7"/>
    </row>
    <row r="492" spans="5:6" ht="15.75" customHeight="1">
      <c r="E492" s="7"/>
      <c r="F492" s="7"/>
    </row>
    <row r="493" spans="5:6" ht="15.75" customHeight="1">
      <c r="E493" s="7"/>
      <c r="F493" s="7"/>
    </row>
    <row r="494" spans="5:6" ht="15.75" customHeight="1">
      <c r="E494" s="7"/>
      <c r="F494" s="7"/>
    </row>
    <row r="495" spans="5:6" ht="15.75" customHeight="1">
      <c r="E495" s="7"/>
      <c r="F495" s="7"/>
    </row>
    <row r="496" spans="5:6" ht="15.75" customHeight="1">
      <c r="E496" s="7"/>
      <c r="F496" s="7"/>
    </row>
    <row r="497" spans="5:6" ht="15.75" customHeight="1">
      <c r="E497" s="7"/>
      <c r="F497" s="7"/>
    </row>
    <row r="498" spans="5:6" ht="15.75" customHeight="1">
      <c r="E498" s="7"/>
      <c r="F498" s="7"/>
    </row>
    <row r="499" spans="5:6" ht="15.75" customHeight="1">
      <c r="E499" s="7"/>
      <c r="F499" s="7"/>
    </row>
    <row r="500" spans="5:6" ht="15.75" customHeight="1">
      <c r="E500" s="7"/>
      <c r="F500" s="7"/>
    </row>
    <row r="501" spans="5:6" ht="15.75" customHeight="1">
      <c r="E501" s="7"/>
      <c r="F501" s="7"/>
    </row>
    <row r="502" spans="5:6" ht="15.75" customHeight="1">
      <c r="E502" s="7"/>
      <c r="F502" s="7"/>
    </row>
    <row r="503" spans="5:6" ht="15.75" customHeight="1">
      <c r="E503" s="7"/>
      <c r="F503" s="7"/>
    </row>
    <row r="504" spans="5:6" ht="15.75" customHeight="1">
      <c r="E504" s="7"/>
      <c r="F504" s="7"/>
    </row>
    <row r="505" spans="5:6" ht="15.75" customHeight="1">
      <c r="E505" s="7"/>
      <c r="F505" s="7"/>
    </row>
    <row r="506" spans="5:6" ht="15.75" customHeight="1">
      <c r="E506" s="7"/>
      <c r="F506" s="7"/>
    </row>
    <row r="507" spans="5:6" ht="15.75" customHeight="1">
      <c r="E507" s="7"/>
      <c r="F507" s="7"/>
    </row>
    <row r="508" spans="5:6" ht="15.75" customHeight="1">
      <c r="E508" s="7"/>
      <c r="F508" s="7"/>
    </row>
    <row r="509" spans="5:6" ht="15.75" customHeight="1">
      <c r="E509" s="7"/>
      <c r="F509" s="7"/>
    </row>
    <row r="510" spans="5:6" ht="15.75" customHeight="1">
      <c r="E510" s="7"/>
      <c r="F510" s="7"/>
    </row>
    <row r="511" spans="5:6" ht="15.75" customHeight="1">
      <c r="E511" s="7"/>
      <c r="F511" s="7"/>
    </row>
    <row r="512" spans="5:6" ht="15.75" customHeight="1">
      <c r="E512" s="7"/>
      <c r="F512" s="7"/>
    </row>
    <row r="513" spans="5:6" ht="15.75" customHeight="1">
      <c r="E513" s="7"/>
      <c r="F513" s="7"/>
    </row>
    <row r="514" spans="5:6" ht="15.75" customHeight="1">
      <c r="E514" s="7"/>
      <c r="F514" s="7"/>
    </row>
    <row r="515" spans="5:6" ht="15.75" customHeight="1">
      <c r="E515" s="7"/>
      <c r="F515" s="7"/>
    </row>
    <row r="516" spans="5:6" ht="15.75" customHeight="1">
      <c r="E516" s="7"/>
      <c r="F516" s="7"/>
    </row>
    <row r="517" spans="5:6" ht="15.75" customHeight="1">
      <c r="E517" s="7"/>
      <c r="F517" s="7"/>
    </row>
    <row r="518" spans="5:6" ht="15.75" customHeight="1">
      <c r="E518" s="7"/>
      <c r="F518" s="7"/>
    </row>
    <row r="519" spans="5:6" ht="15.75" customHeight="1">
      <c r="E519" s="7"/>
      <c r="F519" s="7"/>
    </row>
    <row r="520" spans="5:6" ht="15.75" customHeight="1">
      <c r="E520" s="7"/>
      <c r="F520" s="7"/>
    </row>
    <row r="521" spans="5:6" ht="15.75" customHeight="1">
      <c r="E521" s="7"/>
      <c r="F521" s="7"/>
    </row>
    <row r="522" spans="5:6" ht="15.75" customHeight="1">
      <c r="E522" s="7"/>
      <c r="F522" s="7"/>
    </row>
    <row r="523" spans="5:6" ht="15.75" customHeight="1">
      <c r="E523" s="7"/>
      <c r="F523" s="7"/>
    </row>
    <row r="524" spans="5:6" ht="15.75" customHeight="1">
      <c r="E524" s="7"/>
      <c r="F524" s="7"/>
    </row>
    <row r="525" spans="5:6" ht="15.75" customHeight="1">
      <c r="E525" s="7"/>
      <c r="F525" s="7"/>
    </row>
    <row r="526" spans="5:6" ht="15.75" customHeight="1">
      <c r="E526" s="7"/>
      <c r="F526" s="7"/>
    </row>
    <row r="527" spans="5:6" ht="15.75" customHeight="1">
      <c r="E527" s="7"/>
      <c r="F527" s="7"/>
    </row>
    <row r="528" spans="5:6" ht="15.75" customHeight="1">
      <c r="E528" s="7"/>
      <c r="F528" s="7"/>
    </row>
    <row r="529" spans="5:6" ht="15.75" customHeight="1">
      <c r="E529" s="7"/>
      <c r="F529" s="7"/>
    </row>
    <row r="530" spans="5:6" ht="15.75" customHeight="1">
      <c r="E530" s="7"/>
      <c r="F530" s="7"/>
    </row>
    <row r="531" spans="5:6" ht="15.75" customHeight="1">
      <c r="E531" s="7"/>
      <c r="F531" s="7"/>
    </row>
    <row r="532" spans="5:6" ht="15.75" customHeight="1">
      <c r="E532" s="7"/>
      <c r="F532" s="7"/>
    </row>
    <row r="533" spans="5:6" ht="15.75" customHeight="1">
      <c r="E533" s="7"/>
      <c r="F533" s="7"/>
    </row>
    <row r="534" spans="5:6" ht="15.75" customHeight="1">
      <c r="E534" s="7"/>
      <c r="F534" s="7"/>
    </row>
    <row r="535" spans="5:6" ht="15.75" customHeight="1">
      <c r="E535" s="7"/>
      <c r="F535" s="7"/>
    </row>
    <row r="536" spans="5:6" ht="15.75" customHeight="1">
      <c r="E536" s="7"/>
      <c r="F536" s="7"/>
    </row>
    <row r="537" spans="5:6" ht="15.75" customHeight="1">
      <c r="E537" s="7"/>
      <c r="F537" s="7"/>
    </row>
    <row r="538" spans="5:6" ht="15.75" customHeight="1">
      <c r="E538" s="7"/>
      <c r="F538" s="7"/>
    </row>
    <row r="539" spans="5:6" ht="15.75" customHeight="1">
      <c r="E539" s="7"/>
      <c r="F539" s="7"/>
    </row>
    <row r="540" spans="5:6" ht="15.75" customHeight="1">
      <c r="E540" s="7"/>
      <c r="F540" s="7"/>
    </row>
    <row r="541" spans="5:6" ht="15.75" customHeight="1">
      <c r="E541" s="7"/>
      <c r="F541" s="7"/>
    </row>
    <row r="542" spans="5:6" ht="15.75" customHeight="1">
      <c r="E542" s="7"/>
      <c r="F542" s="7"/>
    </row>
    <row r="543" spans="5:6" ht="15.75" customHeight="1">
      <c r="E543" s="7"/>
      <c r="F543" s="7"/>
    </row>
    <row r="544" spans="5:6" ht="15.75" customHeight="1">
      <c r="E544" s="7"/>
      <c r="F544" s="7"/>
    </row>
    <row r="545" spans="5:6" ht="15.75" customHeight="1">
      <c r="E545" s="7"/>
      <c r="F545" s="7"/>
    </row>
    <row r="546" spans="5:6" ht="15.75" customHeight="1">
      <c r="E546" s="7"/>
      <c r="F546" s="7"/>
    </row>
    <row r="547" spans="5:6" ht="15.75" customHeight="1">
      <c r="E547" s="7"/>
      <c r="F547" s="7"/>
    </row>
    <row r="548" spans="5:6" ht="15.75" customHeight="1">
      <c r="E548" s="7"/>
      <c r="F548" s="7"/>
    </row>
    <row r="549" spans="5:6" ht="15.75" customHeight="1">
      <c r="E549" s="7"/>
      <c r="F549" s="7"/>
    </row>
    <row r="550" spans="5:6" ht="15.75" customHeight="1">
      <c r="E550" s="7"/>
      <c r="F550" s="7"/>
    </row>
    <row r="551" spans="5:6" ht="15.75" customHeight="1">
      <c r="E551" s="7"/>
      <c r="F551" s="7"/>
    </row>
    <row r="552" spans="5:6" ht="15.75" customHeight="1">
      <c r="E552" s="7"/>
      <c r="F552" s="7"/>
    </row>
    <row r="553" spans="5:6" ht="15.75" customHeight="1">
      <c r="E553" s="7"/>
      <c r="F553" s="7"/>
    </row>
    <row r="554" spans="5:6" ht="15.75" customHeight="1">
      <c r="E554" s="7"/>
      <c r="F554" s="7"/>
    </row>
    <row r="555" spans="5:6" ht="15.75" customHeight="1">
      <c r="E555" s="7"/>
      <c r="F555" s="7"/>
    </row>
    <row r="556" spans="5:6" ht="15.75" customHeight="1">
      <c r="E556" s="7"/>
      <c r="F556" s="7"/>
    </row>
    <row r="557" spans="5:6" ht="15.75" customHeight="1">
      <c r="E557" s="7"/>
      <c r="F557" s="7"/>
    </row>
    <row r="558" spans="5:6" ht="15.75" customHeight="1">
      <c r="E558" s="7"/>
      <c r="F558" s="7"/>
    </row>
    <row r="559" spans="5:6" ht="15.75" customHeight="1">
      <c r="E559" s="7"/>
      <c r="F559" s="7"/>
    </row>
    <row r="560" spans="5:6" ht="15.75" customHeight="1">
      <c r="E560" s="7"/>
      <c r="F560" s="7"/>
    </row>
    <row r="561" spans="5:6" ht="15.75" customHeight="1">
      <c r="E561" s="7"/>
      <c r="F561" s="7"/>
    </row>
    <row r="562" spans="5:6" ht="15.75" customHeight="1">
      <c r="E562" s="7"/>
      <c r="F562" s="7"/>
    </row>
    <row r="563" spans="5:6" ht="15.75" customHeight="1">
      <c r="E563" s="7"/>
      <c r="F563" s="7"/>
    </row>
    <row r="564" spans="5:6" ht="15.75" customHeight="1">
      <c r="E564" s="7"/>
      <c r="F564" s="7"/>
    </row>
    <row r="565" spans="5:6" ht="15.75" customHeight="1">
      <c r="E565" s="7"/>
      <c r="F565" s="7"/>
    </row>
    <row r="566" spans="5:6" ht="15.75" customHeight="1">
      <c r="E566" s="7"/>
      <c r="F566" s="7"/>
    </row>
    <row r="567" spans="5:6" ht="15.75" customHeight="1">
      <c r="E567" s="7"/>
      <c r="F567" s="7"/>
    </row>
    <row r="568" spans="5:6" ht="15.75" customHeight="1">
      <c r="E568" s="7"/>
      <c r="F568" s="7"/>
    </row>
    <row r="569" spans="5:6" ht="15.75" customHeight="1">
      <c r="E569" s="7"/>
      <c r="F569" s="7"/>
    </row>
    <row r="570" spans="5:6" ht="15.75" customHeight="1">
      <c r="E570" s="7"/>
      <c r="F570" s="7"/>
    </row>
    <row r="571" spans="5:6" ht="15.75" customHeight="1">
      <c r="E571" s="7"/>
      <c r="F571" s="7"/>
    </row>
    <row r="572" spans="5:6" ht="15.75" customHeight="1">
      <c r="E572" s="7"/>
      <c r="F572" s="7"/>
    </row>
    <row r="573" spans="5:6" ht="15.75" customHeight="1">
      <c r="E573" s="7"/>
      <c r="F573" s="7"/>
    </row>
    <row r="574" spans="5:6" ht="15.75" customHeight="1">
      <c r="E574" s="7"/>
      <c r="F574" s="7"/>
    </row>
    <row r="575" spans="5:6" ht="15.75" customHeight="1">
      <c r="E575" s="7"/>
      <c r="F575" s="7"/>
    </row>
    <row r="576" spans="5:6" ht="15.75" customHeight="1">
      <c r="E576" s="7"/>
      <c r="F576" s="7"/>
    </row>
    <row r="577" spans="5:6" ht="15.75" customHeight="1">
      <c r="E577" s="7"/>
      <c r="F577" s="7"/>
    </row>
    <row r="578" spans="5:6" ht="15.75" customHeight="1">
      <c r="E578" s="7"/>
      <c r="F578" s="7"/>
    </row>
    <row r="579" spans="5:6" ht="15.75" customHeight="1">
      <c r="E579" s="7"/>
      <c r="F579" s="7"/>
    </row>
    <row r="580" spans="5:6" ht="15.75" customHeight="1">
      <c r="E580" s="7"/>
      <c r="F580" s="7"/>
    </row>
    <row r="581" spans="5:6" ht="15.75" customHeight="1">
      <c r="E581" s="7"/>
      <c r="F581" s="7"/>
    </row>
    <row r="582" spans="5:6" ht="15.75" customHeight="1">
      <c r="E582" s="7"/>
      <c r="F582" s="7"/>
    </row>
    <row r="583" spans="5:6" ht="15.75" customHeight="1">
      <c r="E583" s="7"/>
      <c r="F583" s="7"/>
    </row>
    <row r="584" spans="5:6" ht="15.75" customHeight="1">
      <c r="E584" s="7"/>
      <c r="F584" s="7"/>
    </row>
    <row r="585" spans="5:6" ht="15.75" customHeight="1">
      <c r="E585" s="7"/>
      <c r="F585" s="7"/>
    </row>
    <row r="586" spans="5:6" ht="15.75" customHeight="1">
      <c r="E586" s="7"/>
      <c r="F586" s="7"/>
    </row>
    <row r="587" spans="5:6" ht="15.75" customHeight="1">
      <c r="E587" s="7"/>
      <c r="F587" s="7"/>
    </row>
    <row r="588" spans="5:6" ht="15.75" customHeight="1">
      <c r="E588" s="7"/>
      <c r="F588" s="7"/>
    </row>
    <row r="589" spans="5:6" ht="15.75" customHeight="1">
      <c r="E589" s="7"/>
      <c r="F589" s="7"/>
    </row>
    <row r="590" spans="5:6" ht="15.75" customHeight="1">
      <c r="E590" s="7"/>
      <c r="F590" s="7"/>
    </row>
    <row r="591" spans="5:6" ht="15.75" customHeight="1">
      <c r="E591" s="7"/>
      <c r="F591" s="7"/>
    </row>
    <row r="592" spans="5:6" ht="15.75" customHeight="1">
      <c r="E592" s="7"/>
      <c r="F592" s="7"/>
    </row>
    <row r="593" spans="5:6" ht="15.75" customHeight="1">
      <c r="E593" s="7"/>
      <c r="F593" s="7"/>
    </row>
    <row r="594" spans="5:6" ht="15.75" customHeight="1">
      <c r="E594" s="7"/>
      <c r="F594" s="7"/>
    </row>
    <row r="595" spans="5:6" ht="15.75" customHeight="1">
      <c r="E595" s="7"/>
      <c r="F595" s="7"/>
    </row>
    <row r="596" spans="5:6" ht="15.75" customHeight="1">
      <c r="E596" s="7"/>
      <c r="F596" s="7"/>
    </row>
    <row r="597" spans="5:6" ht="15.75" customHeight="1">
      <c r="E597" s="7"/>
      <c r="F597" s="7"/>
    </row>
    <row r="598" spans="5:6" ht="15.75" customHeight="1">
      <c r="E598" s="7"/>
      <c r="F598" s="7"/>
    </row>
    <row r="599" spans="5:6" ht="15.75" customHeight="1">
      <c r="E599" s="7"/>
      <c r="F599" s="7"/>
    </row>
    <row r="600" spans="5:6" ht="15.75" customHeight="1">
      <c r="E600" s="7"/>
      <c r="F600" s="7"/>
    </row>
    <row r="601" spans="5:6" ht="15.75" customHeight="1">
      <c r="E601" s="7"/>
      <c r="F601" s="7"/>
    </row>
    <row r="602" spans="5:6" ht="15.75" customHeight="1">
      <c r="E602" s="7"/>
      <c r="F602" s="7"/>
    </row>
    <row r="603" spans="5:6" ht="15.75" customHeight="1">
      <c r="E603" s="7"/>
      <c r="F603" s="7"/>
    </row>
    <row r="604" spans="5:6" ht="15.75" customHeight="1">
      <c r="E604" s="7"/>
      <c r="F604" s="7"/>
    </row>
    <row r="605" spans="5:6" ht="15.75" customHeight="1">
      <c r="E605" s="7"/>
      <c r="F605" s="7"/>
    </row>
    <row r="606" spans="5:6" ht="15.75" customHeight="1">
      <c r="E606" s="7"/>
      <c r="F606" s="7"/>
    </row>
    <row r="607" spans="5:6" ht="15.75" customHeight="1">
      <c r="E607" s="7"/>
      <c r="F607" s="7"/>
    </row>
    <row r="608" spans="5:6" ht="15.75" customHeight="1">
      <c r="E608" s="7"/>
      <c r="F608" s="7"/>
    </row>
    <row r="609" spans="5:6" ht="15.75" customHeight="1">
      <c r="E609" s="7"/>
      <c r="F609" s="7"/>
    </row>
    <row r="610" spans="5:6" ht="15.75" customHeight="1">
      <c r="E610" s="7"/>
      <c r="F610" s="7"/>
    </row>
    <row r="611" spans="5:6" ht="15.75" customHeight="1">
      <c r="E611" s="7"/>
      <c r="F611" s="7"/>
    </row>
    <row r="612" spans="5:6" ht="15.75" customHeight="1">
      <c r="E612" s="7"/>
      <c r="F612" s="7"/>
    </row>
    <row r="613" spans="5:6" ht="15.75" customHeight="1">
      <c r="E613" s="7"/>
      <c r="F613" s="7"/>
    </row>
    <row r="614" spans="5:6" ht="15.75" customHeight="1">
      <c r="E614" s="7"/>
      <c r="F614" s="7"/>
    </row>
    <row r="615" spans="5:6" ht="15.75" customHeight="1">
      <c r="E615" s="7"/>
      <c r="F615" s="7"/>
    </row>
    <row r="616" spans="5:6" ht="15.75" customHeight="1">
      <c r="E616" s="7"/>
      <c r="F616" s="7"/>
    </row>
    <row r="617" spans="5:6" ht="15.75" customHeight="1">
      <c r="E617" s="7"/>
      <c r="F617" s="7"/>
    </row>
    <row r="618" spans="5:6" ht="15.75" customHeight="1">
      <c r="E618" s="7"/>
      <c r="F618" s="7"/>
    </row>
    <row r="619" spans="5:6" ht="15.75" customHeight="1">
      <c r="E619" s="7"/>
      <c r="F619" s="7"/>
    </row>
    <row r="620" spans="5:6" ht="15.75" customHeight="1">
      <c r="E620" s="7"/>
      <c r="F620" s="7"/>
    </row>
    <row r="621" spans="5:6" ht="15.75" customHeight="1">
      <c r="E621" s="7"/>
      <c r="F621" s="7"/>
    </row>
    <row r="622" spans="5:6" ht="15.75" customHeight="1">
      <c r="E622" s="7"/>
      <c r="F622" s="7"/>
    </row>
    <row r="623" spans="5:6" ht="15.75" customHeight="1">
      <c r="E623" s="7"/>
      <c r="F623" s="7"/>
    </row>
    <row r="624" spans="5:6" ht="15.75" customHeight="1">
      <c r="E624" s="7"/>
      <c r="F624" s="7"/>
    </row>
    <row r="625" spans="5:6" ht="15.75" customHeight="1">
      <c r="E625" s="7"/>
      <c r="F625" s="7"/>
    </row>
    <row r="626" spans="5:6" ht="15.75" customHeight="1">
      <c r="E626" s="7"/>
      <c r="F626" s="7"/>
    </row>
    <row r="627" spans="5:6" ht="15.75" customHeight="1">
      <c r="E627" s="7"/>
      <c r="F627" s="7"/>
    </row>
    <row r="628" spans="5:6" ht="15.75" customHeight="1">
      <c r="E628" s="7"/>
      <c r="F628" s="7"/>
    </row>
    <row r="629" spans="5:6" ht="15.75" customHeight="1">
      <c r="E629" s="7"/>
      <c r="F629" s="7"/>
    </row>
    <row r="630" spans="5:6" ht="15.75" customHeight="1">
      <c r="E630" s="7"/>
      <c r="F630" s="7"/>
    </row>
    <row r="631" spans="5:6" ht="15.75" customHeight="1">
      <c r="E631" s="7"/>
      <c r="F631" s="7"/>
    </row>
    <row r="632" spans="5:6" ht="15.75" customHeight="1">
      <c r="E632" s="7"/>
      <c r="F632" s="7"/>
    </row>
    <row r="633" spans="5:6" ht="15.75" customHeight="1">
      <c r="E633" s="7"/>
      <c r="F633" s="7"/>
    </row>
    <row r="634" spans="5:6" ht="15.75" customHeight="1">
      <c r="E634" s="7"/>
      <c r="F634" s="7"/>
    </row>
    <row r="635" spans="5:6" ht="15.75" customHeight="1">
      <c r="E635" s="7"/>
      <c r="F635" s="7"/>
    </row>
    <row r="636" spans="5:6" ht="15.75" customHeight="1">
      <c r="E636" s="7"/>
      <c r="F636" s="7"/>
    </row>
    <row r="637" spans="5:6" ht="15.75" customHeight="1">
      <c r="E637" s="7"/>
      <c r="F637" s="7"/>
    </row>
    <row r="638" spans="5:6" ht="15.75" customHeight="1">
      <c r="E638" s="7"/>
      <c r="F638" s="7"/>
    </row>
    <row r="639" spans="5:6" ht="15.75" customHeight="1">
      <c r="E639" s="7"/>
      <c r="F639" s="7"/>
    </row>
    <row r="640" spans="5:6" ht="15.75" customHeight="1">
      <c r="E640" s="7"/>
      <c r="F640" s="7"/>
    </row>
    <row r="641" spans="5:6" ht="15.75" customHeight="1">
      <c r="E641" s="7"/>
      <c r="F641" s="7"/>
    </row>
    <row r="642" spans="5:6" ht="15.75" customHeight="1">
      <c r="E642" s="7"/>
      <c r="F642" s="7"/>
    </row>
    <row r="643" spans="5:6" ht="15.75" customHeight="1">
      <c r="E643" s="7"/>
      <c r="F643" s="7"/>
    </row>
    <row r="644" spans="5:6" ht="15.75" customHeight="1">
      <c r="E644" s="7"/>
      <c r="F644" s="7"/>
    </row>
    <row r="645" spans="5:6" ht="15.75" customHeight="1">
      <c r="E645" s="7"/>
      <c r="F645" s="7"/>
    </row>
    <row r="646" spans="5:6" ht="15.75" customHeight="1">
      <c r="E646" s="7"/>
      <c r="F646" s="7"/>
    </row>
    <row r="647" spans="5:6" ht="15.75" customHeight="1">
      <c r="E647" s="7"/>
      <c r="F647" s="7"/>
    </row>
    <row r="648" spans="5:6" ht="15.75" customHeight="1">
      <c r="E648" s="7"/>
      <c r="F648" s="7"/>
    </row>
    <row r="649" spans="5:6" ht="15.75" customHeight="1">
      <c r="E649" s="7"/>
      <c r="F649" s="7"/>
    </row>
    <row r="650" spans="5:6" ht="15.75" customHeight="1">
      <c r="E650" s="7"/>
      <c r="F650" s="7"/>
    </row>
    <row r="651" spans="5:6" ht="15.75" customHeight="1">
      <c r="E651" s="7"/>
      <c r="F651" s="7"/>
    </row>
    <row r="652" spans="5:6" ht="15.75" customHeight="1">
      <c r="E652" s="7"/>
      <c r="F652" s="7"/>
    </row>
    <row r="653" spans="5:6" ht="15.75" customHeight="1">
      <c r="E653" s="7"/>
      <c r="F653" s="7"/>
    </row>
    <row r="654" spans="5:6" ht="15.75" customHeight="1">
      <c r="E654" s="7"/>
      <c r="F654" s="7"/>
    </row>
    <row r="655" spans="5:6" ht="15.75" customHeight="1">
      <c r="E655" s="7"/>
      <c r="F655" s="7"/>
    </row>
    <row r="656" spans="5:6" ht="15.75" customHeight="1">
      <c r="E656" s="7"/>
      <c r="F656" s="7"/>
    </row>
    <row r="657" spans="5:6" ht="15.75" customHeight="1">
      <c r="E657" s="7"/>
      <c r="F657" s="7"/>
    </row>
    <row r="658" spans="5:6" ht="15.75" customHeight="1">
      <c r="E658" s="7"/>
      <c r="F658" s="7"/>
    </row>
    <row r="659" spans="5:6" ht="15.75" customHeight="1">
      <c r="E659" s="7"/>
      <c r="F659" s="7"/>
    </row>
    <row r="660" spans="5:6" ht="15.75" customHeight="1">
      <c r="E660" s="7"/>
      <c r="F660" s="7"/>
    </row>
    <row r="661" spans="5:6" ht="15.75" customHeight="1">
      <c r="E661" s="7"/>
      <c r="F661" s="7"/>
    </row>
    <row r="662" spans="5:6" ht="15.75" customHeight="1">
      <c r="E662" s="7"/>
      <c r="F662" s="7"/>
    </row>
    <row r="663" spans="5:6" ht="15.75" customHeight="1">
      <c r="E663" s="7"/>
      <c r="F663" s="7"/>
    </row>
    <row r="664" spans="5:6" ht="15.75" customHeight="1">
      <c r="E664" s="7"/>
      <c r="F664" s="7"/>
    </row>
    <row r="665" spans="5:6" ht="15.75" customHeight="1">
      <c r="E665" s="7"/>
      <c r="F665" s="7"/>
    </row>
    <row r="666" spans="5:6" ht="15.75" customHeight="1">
      <c r="E666" s="7"/>
      <c r="F666" s="7"/>
    </row>
    <row r="667" spans="5:6" ht="15.75" customHeight="1">
      <c r="E667" s="7"/>
      <c r="F667" s="7"/>
    </row>
    <row r="668" spans="5:6" ht="15.75" customHeight="1">
      <c r="E668" s="7"/>
      <c r="F668" s="7"/>
    </row>
    <row r="669" spans="5:6" ht="15.75" customHeight="1">
      <c r="E669" s="7"/>
      <c r="F669" s="7"/>
    </row>
    <row r="670" spans="5:6" ht="15.75" customHeight="1">
      <c r="E670" s="7"/>
      <c r="F670" s="7"/>
    </row>
    <row r="671" spans="5:6" ht="15.75" customHeight="1">
      <c r="E671" s="7"/>
      <c r="F671" s="7"/>
    </row>
    <row r="672" spans="5:6" ht="15.75" customHeight="1">
      <c r="E672" s="7"/>
      <c r="F672" s="7"/>
    </row>
    <row r="673" spans="5:6" ht="15.75" customHeight="1">
      <c r="E673" s="7"/>
      <c r="F673" s="7"/>
    </row>
    <row r="674" spans="5:6" ht="15.75" customHeight="1">
      <c r="E674" s="7"/>
      <c r="F674" s="7"/>
    </row>
    <row r="675" spans="5:6" ht="15.75" customHeight="1">
      <c r="E675" s="7"/>
      <c r="F675" s="7"/>
    </row>
    <row r="676" spans="5:6" ht="15.75" customHeight="1">
      <c r="E676" s="7"/>
      <c r="F676" s="7"/>
    </row>
    <row r="677" spans="5:6" ht="15.75" customHeight="1">
      <c r="E677" s="7"/>
      <c r="F677" s="7"/>
    </row>
    <row r="678" spans="5:6" ht="15.75" customHeight="1">
      <c r="E678" s="7"/>
      <c r="F678" s="7"/>
    </row>
    <row r="679" spans="5:6" ht="15.75" customHeight="1">
      <c r="E679" s="7"/>
      <c r="F679" s="7"/>
    </row>
    <row r="680" spans="5:6" ht="15.75" customHeight="1">
      <c r="E680" s="7"/>
      <c r="F680" s="7"/>
    </row>
    <row r="681" spans="5:6" ht="15.75" customHeight="1">
      <c r="E681" s="7"/>
      <c r="F681" s="7"/>
    </row>
    <row r="682" spans="5:6" ht="15.75" customHeight="1">
      <c r="E682" s="7"/>
      <c r="F682" s="7"/>
    </row>
    <row r="683" spans="5:6" ht="15.75" customHeight="1">
      <c r="E683" s="7"/>
      <c r="F683" s="7"/>
    </row>
    <row r="684" spans="5:6" ht="15.75" customHeight="1">
      <c r="E684" s="7"/>
      <c r="F684" s="7"/>
    </row>
    <row r="685" spans="5:6" ht="15.75" customHeight="1">
      <c r="E685" s="7"/>
      <c r="F685" s="7"/>
    </row>
    <row r="686" spans="5:6" ht="15.75" customHeight="1">
      <c r="E686" s="7"/>
      <c r="F686" s="7"/>
    </row>
    <row r="687" spans="5:6" ht="15.75" customHeight="1">
      <c r="E687" s="7"/>
      <c r="F687" s="7"/>
    </row>
    <row r="688" spans="5:6" ht="15.75" customHeight="1">
      <c r="E688" s="7"/>
      <c r="F688" s="7"/>
    </row>
    <row r="689" spans="5:6" ht="15.75" customHeight="1">
      <c r="E689" s="7"/>
      <c r="F689" s="7"/>
    </row>
    <row r="690" spans="5:6" ht="15.75" customHeight="1">
      <c r="E690" s="7"/>
      <c r="F690" s="7"/>
    </row>
    <row r="691" spans="5:6" ht="15.75" customHeight="1">
      <c r="E691" s="7"/>
      <c r="F691" s="7"/>
    </row>
    <row r="692" spans="5:6" ht="15.75" customHeight="1">
      <c r="E692" s="7"/>
      <c r="F692" s="7"/>
    </row>
    <row r="693" spans="5:6" ht="15.75" customHeight="1">
      <c r="E693" s="7"/>
      <c r="F693" s="7"/>
    </row>
    <row r="694" spans="5:6" ht="15.75" customHeight="1">
      <c r="E694" s="7"/>
      <c r="F694" s="7"/>
    </row>
    <row r="695" spans="5:6" ht="15.75" customHeight="1">
      <c r="E695" s="7"/>
      <c r="F695" s="7"/>
    </row>
    <row r="696" spans="5:6" ht="15.75" customHeight="1">
      <c r="E696" s="7"/>
      <c r="F696" s="7"/>
    </row>
    <row r="697" spans="5:6" ht="15.75" customHeight="1">
      <c r="E697" s="7"/>
      <c r="F697" s="7"/>
    </row>
    <row r="698" spans="5:6" ht="15.75" customHeight="1">
      <c r="E698" s="7"/>
      <c r="F698" s="7"/>
    </row>
    <row r="699" spans="5:6" ht="15.75" customHeight="1">
      <c r="E699" s="7"/>
      <c r="F699" s="7"/>
    </row>
    <row r="700" spans="5:6" ht="15.75" customHeight="1">
      <c r="E700" s="7"/>
      <c r="F700" s="7"/>
    </row>
    <row r="701" spans="5:6" ht="15.75" customHeight="1">
      <c r="E701" s="7"/>
      <c r="F701" s="7"/>
    </row>
    <row r="702" spans="5:6" ht="15.75" customHeight="1">
      <c r="E702" s="7"/>
      <c r="F702" s="7"/>
    </row>
    <row r="703" spans="5:6" ht="15.75" customHeight="1">
      <c r="E703" s="7"/>
      <c r="F703" s="7"/>
    </row>
    <row r="704" spans="5:6" ht="15.75" customHeight="1">
      <c r="E704" s="7"/>
      <c r="F704" s="7"/>
    </row>
    <row r="705" spans="5:6" ht="15.75" customHeight="1">
      <c r="E705" s="7"/>
      <c r="F705" s="7"/>
    </row>
    <row r="706" spans="5:6" ht="15.75" customHeight="1">
      <c r="E706" s="7"/>
      <c r="F706" s="7"/>
    </row>
    <row r="707" spans="5:6" ht="15.75" customHeight="1">
      <c r="E707" s="7"/>
      <c r="F707" s="7"/>
    </row>
    <row r="708" spans="5:6" ht="15.75" customHeight="1">
      <c r="E708" s="7"/>
      <c r="F708" s="7"/>
    </row>
    <row r="709" spans="5:6" ht="15.75" customHeight="1">
      <c r="E709" s="7"/>
      <c r="F709" s="7"/>
    </row>
    <row r="710" spans="5:6" ht="15.75" customHeight="1">
      <c r="E710" s="7"/>
      <c r="F710" s="7"/>
    </row>
    <row r="711" spans="5:6" ht="15.75" customHeight="1">
      <c r="E711" s="7"/>
      <c r="F711" s="7"/>
    </row>
    <row r="712" spans="5:6" ht="15.75" customHeight="1">
      <c r="E712" s="7"/>
      <c r="F712" s="7"/>
    </row>
    <row r="713" spans="5:6" ht="15.75" customHeight="1">
      <c r="E713" s="7"/>
      <c r="F713" s="7"/>
    </row>
    <row r="714" spans="5:6" ht="15.75" customHeight="1">
      <c r="E714" s="7"/>
      <c r="F714" s="7"/>
    </row>
    <row r="715" spans="5:6" ht="15.75" customHeight="1">
      <c r="E715" s="7"/>
      <c r="F715" s="7"/>
    </row>
    <row r="716" spans="5:6" ht="15.75" customHeight="1">
      <c r="E716" s="7"/>
      <c r="F716" s="7"/>
    </row>
    <row r="717" spans="5:6" ht="15.75" customHeight="1">
      <c r="E717" s="7"/>
      <c r="F717" s="7"/>
    </row>
    <row r="718" spans="5:6" ht="15.75" customHeight="1">
      <c r="E718" s="7"/>
      <c r="F718" s="7"/>
    </row>
    <row r="719" spans="5:6" ht="15.75" customHeight="1">
      <c r="E719" s="7"/>
      <c r="F719" s="7"/>
    </row>
    <row r="720" spans="5:6" ht="15.75" customHeight="1">
      <c r="E720" s="7"/>
      <c r="F720" s="7"/>
    </row>
    <row r="721" spans="5:6" ht="15.75" customHeight="1">
      <c r="E721" s="7"/>
      <c r="F721" s="7"/>
    </row>
    <row r="722" spans="5:6" ht="15.75" customHeight="1">
      <c r="E722" s="7"/>
      <c r="F722" s="7"/>
    </row>
    <row r="723" spans="5:6" ht="15.75" customHeight="1">
      <c r="E723" s="7"/>
      <c r="F723" s="7"/>
    </row>
    <row r="724" spans="5:6" ht="15.75" customHeight="1">
      <c r="E724" s="7"/>
      <c r="F724" s="7"/>
    </row>
    <row r="725" spans="5:6" ht="15.75" customHeight="1">
      <c r="E725" s="7"/>
      <c r="F725" s="7"/>
    </row>
    <row r="726" spans="5:6" ht="15.75" customHeight="1">
      <c r="E726" s="7"/>
      <c r="F726" s="7"/>
    </row>
    <row r="727" spans="5:6" ht="15.75" customHeight="1">
      <c r="E727" s="7"/>
      <c r="F727" s="7"/>
    </row>
    <row r="728" spans="5:6" ht="15.75" customHeight="1">
      <c r="E728" s="7"/>
      <c r="F728" s="7"/>
    </row>
    <row r="729" spans="5:6" ht="15.75" customHeight="1">
      <c r="E729" s="7"/>
      <c r="F729" s="7"/>
    </row>
    <row r="730" spans="5:6" ht="15.75" customHeight="1">
      <c r="E730" s="7"/>
      <c r="F730" s="7"/>
    </row>
    <row r="731" spans="5:6" ht="15.75" customHeight="1">
      <c r="E731" s="7"/>
      <c r="F731" s="7"/>
    </row>
    <row r="732" spans="5:6" ht="15.75" customHeight="1">
      <c r="E732" s="7"/>
      <c r="F732" s="7"/>
    </row>
    <row r="733" spans="5:6" ht="15.75" customHeight="1">
      <c r="E733" s="7"/>
      <c r="F733" s="7"/>
    </row>
    <row r="734" spans="5:6" ht="15.75" customHeight="1">
      <c r="E734" s="7"/>
      <c r="F734" s="7"/>
    </row>
    <row r="735" spans="5:6" ht="15.75" customHeight="1">
      <c r="E735" s="7"/>
      <c r="F735" s="7"/>
    </row>
    <row r="736" spans="5:6" ht="15.75" customHeight="1">
      <c r="E736" s="7"/>
      <c r="F736" s="7"/>
    </row>
    <row r="737" spans="5:6" ht="15.75" customHeight="1">
      <c r="E737" s="7"/>
      <c r="F737" s="7"/>
    </row>
    <row r="738" spans="5:6" ht="15.75" customHeight="1">
      <c r="E738" s="7"/>
      <c r="F738" s="7"/>
    </row>
    <row r="739" spans="5:6" ht="15.75" customHeight="1">
      <c r="E739" s="7"/>
      <c r="F739" s="7"/>
    </row>
    <row r="740" spans="5:6" ht="15.75" customHeight="1">
      <c r="E740" s="7"/>
      <c r="F740" s="7"/>
    </row>
    <row r="741" spans="5:6" ht="15.75" customHeight="1">
      <c r="E741" s="7"/>
      <c r="F741" s="7"/>
    </row>
    <row r="742" spans="5:6" ht="15.75" customHeight="1">
      <c r="E742" s="7"/>
      <c r="F742" s="7"/>
    </row>
    <row r="743" spans="5:6" ht="15.75" customHeight="1">
      <c r="E743" s="7"/>
      <c r="F743" s="7"/>
    </row>
    <row r="744" spans="5:6" ht="15.75" customHeight="1">
      <c r="E744" s="7"/>
      <c r="F744" s="7"/>
    </row>
    <row r="745" spans="5:6" ht="15.75" customHeight="1">
      <c r="E745" s="7"/>
      <c r="F745" s="7"/>
    </row>
    <row r="746" spans="5:6" ht="15.75" customHeight="1">
      <c r="E746" s="7"/>
      <c r="F746" s="7"/>
    </row>
    <row r="747" spans="5:6" ht="15.75" customHeight="1">
      <c r="E747" s="7"/>
      <c r="F747" s="7"/>
    </row>
    <row r="748" spans="5:6" ht="15.75" customHeight="1">
      <c r="E748" s="7"/>
      <c r="F748" s="7"/>
    </row>
    <row r="749" spans="5:6" ht="15.75" customHeight="1">
      <c r="E749" s="7"/>
      <c r="F749" s="7"/>
    </row>
    <row r="750" spans="5:6" ht="15.75" customHeight="1">
      <c r="E750" s="7"/>
      <c r="F750" s="7"/>
    </row>
    <row r="751" spans="5:6" ht="15.75" customHeight="1">
      <c r="E751" s="7"/>
      <c r="F751" s="7"/>
    </row>
    <row r="752" spans="5:6" ht="15.75" customHeight="1">
      <c r="E752" s="7"/>
      <c r="F752" s="7"/>
    </row>
    <row r="753" spans="5:6" ht="15.75" customHeight="1">
      <c r="E753" s="7"/>
      <c r="F753" s="7"/>
    </row>
    <row r="754" spans="5:6" ht="15.75" customHeight="1">
      <c r="E754" s="7"/>
      <c r="F754" s="7"/>
    </row>
    <row r="755" spans="5:6" ht="15.75" customHeight="1">
      <c r="E755" s="7"/>
      <c r="F755" s="7"/>
    </row>
    <row r="756" spans="5:6" ht="15.75" customHeight="1">
      <c r="E756" s="7"/>
      <c r="F756" s="7"/>
    </row>
    <row r="757" spans="5:6" ht="15.75" customHeight="1">
      <c r="E757" s="7"/>
      <c r="F757" s="7"/>
    </row>
    <row r="758" spans="5:6" ht="15.75" customHeight="1">
      <c r="E758" s="7"/>
      <c r="F758" s="7"/>
    </row>
    <row r="759" spans="5:6" ht="15.75" customHeight="1">
      <c r="E759" s="7"/>
      <c r="F759" s="7"/>
    </row>
    <row r="760" spans="5:6" ht="15.75" customHeight="1">
      <c r="E760" s="7"/>
      <c r="F760" s="7"/>
    </row>
    <row r="761" spans="5:6" ht="15.75" customHeight="1">
      <c r="E761" s="7"/>
      <c r="F761" s="7"/>
    </row>
    <row r="762" spans="5:6" ht="15.75" customHeight="1">
      <c r="E762" s="7"/>
      <c r="F762" s="7"/>
    </row>
    <row r="763" spans="5:6" ht="15.75" customHeight="1">
      <c r="E763" s="7"/>
      <c r="F763" s="7"/>
    </row>
    <row r="764" spans="5:6" ht="15.75" customHeight="1">
      <c r="E764" s="7"/>
      <c r="F764" s="7"/>
    </row>
    <row r="765" spans="5:6" ht="15.75" customHeight="1">
      <c r="E765" s="7"/>
      <c r="F765" s="7"/>
    </row>
    <row r="766" spans="5:6" ht="15.75" customHeight="1">
      <c r="E766" s="7"/>
      <c r="F766" s="7"/>
    </row>
    <row r="767" spans="5:6" ht="15.75" customHeight="1">
      <c r="E767" s="7"/>
      <c r="F767" s="7"/>
    </row>
    <row r="768" spans="5:6" ht="15.75" customHeight="1">
      <c r="E768" s="7"/>
      <c r="F768" s="7"/>
    </row>
    <row r="769" spans="5:6" ht="15.75" customHeight="1">
      <c r="E769" s="7"/>
      <c r="F769" s="7"/>
    </row>
    <row r="770" spans="5:6" ht="15.75" customHeight="1">
      <c r="E770" s="7"/>
      <c r="F770" s="7"/>
    </row>
    <row r="771" spans="5:6" ht="15.75" customHeight="1">
      <c r="E771" s="7"/>
      <c r="F771" s="7"/>
    </row>
    <row r="772" spans="5:6" ht="15.75" customHeight="1">
      <c r="E772" s="7"/>
      <c r="F772" s="7"/>
    </row>
    <row r="773" spans="5:6" ht="15.75" customHeight="1">
      <c r="E773" s="7"/>
      <c r="F773" s="7"/>
    </row>
    <row r="774" spans="5:6" ht="15.75" customHeight="1">
      <c r="E774" s="7"/>
      <c r="F774" s="7"/>
    </row>
    <row r="775" spans="5:6" ht="15.75" customHeight="1">
      <c r="E775" s="7"/>
      <c r="F775" s="7"/>
    </row>
    <row r="776" spans="5:6" ht="15.75" customHeight="1">
      <c r="E776" s="7"/>
      <c r="F776" s="7"/>
    </row>
    <row r="777" spans="5:6" ht="15.75" customHeight="1">
      <c r="E777" s="7"/>
      <c r="F777" s="7"/>
    </row>
    <row r="778" spans="5:6" ht="15.75" customHeight="1">
      <c r="E778" s="7"/>
      <c r="F778" s="7"/>
    </row>
    <row r="779" spans="5:6" ht="15.75" customHeight="1">
      <c r="E779" s="7"/>
      <c r="F779" s="7"/>
    </row>
    <row r="780" spans="5:6" ht="15.75" customHeight="1">
      <c r="E780" s="7"/>
      <c r="F780" s="7"/>
    </row>
    <row r="781" spans="5:6" ht="15.75" customHeight="1">
      <c r="E781" s="7"/>
      <c r="F781" s="7"/>
    </row>
    <row r="782" spans="5:6" ht="15.75" customHeight="1">
      <c r="E782" s="7"/>
      <c r="F782" s="7"/>
    </row>
    <row r="783" spans="5:6" ht="15.75" customHeight="1">
      <c r="E783" s="7"/>
      <c r="F783" s="7"/>
    </row>
    <row r="784" spans="5:6" ht="15.75" customHeight="1">
      <c r="E784" s="7"/>
      <c r="F784" s="7"/>
    </row>
    <row r="785" spans="5:6" ht="15.75" customHeight="1">
      <c r="E785" s="7"/>
      <c r="F785" s="7"/>
    </row>
    <row r="786" spans="5:6" ht="15.75" customHeight="1">
      <c r="E786" s="7"/>
      <c r="F786" s="7"/>
    </row>
    <row r="787" spans="5:6" ht="15.75" customHeight="1">
      <c r="E787" s="7"/>
      <c r="F787" s="7"/>
    </row>
    <row r="788" spans="5:6" ht="15.75" customHeight="1">
      <c r="E788" s="7"/>
      <c r="F788" s="7"/>
    </row>
    <row r="789" spans="5:6" ht="15.75" customHeight="1">
      <c r="E789" s="7"/>
      <c r="F789" s="7"/>
    </row>
    <row r="790" spans="5:6" ht="15.75" customHeight="1">
      <c r="E790" s="7"/>
      <c r="F790" s="7"/>
    </row>
    <row r="791" spans="5:6" ht="15.75" customHeight="1">
      <c r="E791" s="7"/>
      <c r="F791" s="7"/>
    </row>
    <row r="792" spans="5:6" ht="15.75" customHeight="1">
      <c r="E792" s="7"/>
      <c r="F792" s="7"/>
    </row>
    <row r="793" spans="5:6" ht="15.75" customHeight="1">
      <c r="E793" s="7"/>
      <c r="F793" s="7"/>
    </row>
    <row r="794" spans="5:6" ht="15.75" customHeight="1">
      <c r="E794" s="7"/>
      <c r="F794" s="7"/>
    </row>
    <row r="795" spans="5:6" ht="15.75" customHeight="1">
      <c r="E795" s="7"/>
      <c r="F795" s="7"/>
    </row>
    <row r="796" spans="5:6" ht="15.75" customHeight="1">
      <c r="E796" s="7"/>
      <c r="F796" s="7"/>
    </row>
    <row r="797" spans="5:6" ht="15.75" customHeight="1">
      <c r="E797" s="7"/>
      <c r="F797" s="7"/>
    </row>
    <row r="798" spans="5:6" ht="15.75" customHeight="1">
      <c r="E798" s="7"/>
      <c r="F798" s="7"/>
    </row>
    <row r="799" spans="5:6" ht="15.75" customHeight="1">
      <c r="E799" s="7"/>
      <c r="F799" s="7"/>
    </row>
    <row r="800" spans="5:6" ht="15.75" customHeight="1">
      <c r="E800" s="7"/>
      <c r="F800" s="7"/>
    </row>
    <row r="801" spans="5:6" ht="15.75" customHeight="1">
      <c r="E801" s="7"/>
      <c r="F801" s="7"/>
    </row>
    <row r="802" spans="5:6" ht="15.75" customHeight="1">
      <c r="E802" s="7"/>
      <c r="F802" s="7"/>
    </row>
    <row r="803" spans="5:6" ht="15.75" customHeight="1">
      <c r="E803" s="7"/>
      <c r="F803" s="7"/>
    </row>
    <row r="804" spans="5:6" ht="15.75" customHeight="1">
      <c r="E804" s="7"/>
      <c r="F804" s="7"/>
    </row>
    <row r="805" spans="5:6" ht="15.75" customHeight="1">
      <c r="E805" s="7"/>
      <c r="F805" s="7"/>
    </row>
    <row r="806" spans="5:6" ht="15.75" customHeight="1">
      <c r="E806" s="7"/>
      <c r="F806" s="7"/>
    </row>
    <row r="807" spans="5:6" ht="15.75" customHeight="1">
      <c r="E807" s="7"/>
      <c r="F807" s="7"/>
    </row>
    <row r="808" spans="5:6" ht="15.75" customHeight="1">
      <c r="E808" s="7"/>
      <c r="F808" s="7"/>
    </row>
    <row r="809" spans="5:6" ht="15.75" customHeight="1">
      <c r="E809" s="7"/>
      <c r="F809" s="7"/>
    </row>
    <row r="810" spans="5:6" ht="15.75" customHeight="1">
      <c r="E810" s="7"/>
      <c r="F810" s="7"/>
    </row>
    <row r="811" spans="5:6" ht="15.75" customHeight="1">
      <c r="E811" s="7"/>
      <c r="F811" s="7"/>
    </row>
    <row r="812" spans="5:6" ht="15.75" customHeight="1">
      <c r="E812" s="7"/>
      <c r="F812" s="7"/>
    </row>
    <row r="813" spans="5:6" ht="15.75" customHeight="1">
      <c r="E813" s="7"/>
      <c r="F813" s="7"/>
    </row>
    <row r="814" spans="5:6" ht="15.75" customHeight="1">
      <c r="E814" s="7"/>
      <c r="F814" s="7"/>
    </row>
    <row r="815" spans="5:6" ht="15.75" customHeight="1">
      <c r="E815" s="7"/>
      <c r="F815" s="7"/>
    </row>
    <row r="816" spans="5:6" ht="15.75" customHeight="1">
      <c r="E816" s="7"/>
      <c r="F816" s="7"/>
    </row>
    <row r="817" spans="5:6" ht="15.75" customHeight="1">
      <c r="E817" s="7"/>
      <c r="F817" s="7"/>
    </row>
    <row r="818" spans="5:6" ht="15.75" customHeight="1">
      <c r="E818" s="7"/>
      <c r="F818" s="7"/>
    </row>
    <row r="819" spans="5:6" ht="15.75" customHeight="1">
      <c r="E819" s="7"/>
      <c r="F819" s="7"/>
    </row>
    <row r="820" spans="5:6" ht="15.75" customHeight="1">
      <c r="E820" s="7"/>
      <c r="F820" s="7"/>
    </row>
    <row r="821" spans="5:6" ht="15.75" customHeight="1">
      <c r="E821" s="7"/>
      <c r="F821" s="7"/>
    </row>
    <row r="822" spans="5:6" ht="15.75" customHeight="1">
      <c r="E822" s="7"/>
      <c r="F822" s="7"/>
    </row>
    <row r="823" spans="5:6" ht="15.75" customHeight="1">
      <c r="E823" s="7"/>
      <c r="F823" s="7"/>
    </row>
    <row r="824" spans="5:6" ht="15.75" customHeight="1">
      <c r="E824" s="7"/>
      <c r="F824" s="7"/>
    </row>
    <row r="825" spans="5:6" ht="15.75" customHeight="1">
      <c r="E825" s="7"/>
      <c r="F825" s="7"/>
    </row>
    <row r="826" spans="5:6" ht="15.75" customHeight="1">
      <c r="E826" s="7"/>
      <c r="F826" s="7"/>
    </row>
    <row r="827" spans="5:6" ht="15.75" customHeight="1">
      <c r="E827" s="7"/>
      <c r="F827" s="7"/>
    </row>
    <row r="828" spans="5:6" ht="15.75" customHeight="1">
      <c r="E828" s="7"/>
      <c r="F828" s="7"/>
    </row>
    <row r="829" spans="5:6" ht="15.75" customHeight="1">
      <c r="E829" s="7"/>
      <c r="F829" s="7"/>
    </row>
    <row r="830" spans="5:6" ht="15.75" customHeight="1">
      <c r="E830" s="7"/>
      <c r="F830" s="7"/>
    </row>
    <row r="831" spans="5:6" ht="15.75" customHeight="1">
      <c r="E831" s="7"/>
      <c r="F831" s="7"/>
    </row>
    <row r="832" spans="5:6" ht="15.75" customHeight="1">
      <c r="E832" s="7"/>
      <c r="F832" s="7"/>
    </row>
    <row r="833" spans="5:6" ht="15.75" customHeight="1">
      <c r="E833" s="7"/>
      <c r="F833" s="7"/>
    </row>
    <row r="834" spans="5:6" ht="15.75" customHeight="1">
      <c r="E834" s="7"/>
      <c r="F834" s="7"/>
    </row>
    <row r="835" spans="5:6" ht="15.75" customHeight="1">
      <c r="E835" s="7"/>
      <c r="F835" s="7"/>
    </row>
    <row r="836" spans="5:6" ht="15.75" customHeight="1">
      <c r="E836" s="7"/>
      <c r="F836" s="7"/>
    </row>
    <row r="837" spans="5:6" ht="15.75" customHeight="1">
      <c r="E837" s="7"/>
      <c r="F837" s="7"/>
    </row>
    <row r="838" spans="5:6" ht="15.75" customHeight="1">
      <c r="E838" s="7"/>
      <c r="F838" s="7"/>
    </row>
    <row r="839" spans="5:6" ht="15.75" customHeight="1">
      <c r="E839" s="7"/>
      <c r="F839" s="7"/>
    </row>
    <row r="840" spans="5:6" ht="15.75" customHeight="1">
      <c r="E840" s="7"/>
      <c r="F840" s="7"/>
    </row>
    <row r="841" spans="5:6" ht="15.75" customHeight="1">
      <c r="E841" s="7"/>
      <c r="F841" s="7"/>
    </row>
    <row r="842" spans="5:6" ht="15.75" customHeight="1">
      <c r="E842" s="7"/>
      <c r="F842" s="7"/>
    </row>
    <row r="843" spans="5:6" ht="15.75" customHeight="1">
      <c r="E843" s="7"/>
      <c r="F843" s="7"/>
    </row>
    <row r="844" spans="5:6" ht="15.75" customHeight="1">
      <c r="E844" s="7"/>
      <c r="F844" s="7"/>
    </row>
    <row r="845" spans="5:6" ht="15.75" customHeight="1">
      <c r="E845" s="7"/>
      <c r="F845" s="7"/>
    </row>
    <row r="846" spans="5:6" ht="15.75" customHeight="1">
      <c r="E846" s="7"/>
      <c r="F846" s="7"/>
    </row>
    <row r="847" spans="5:6" ht="15.75" customHeight="1">
      <c r="E847" s="7"/>
      <c r="F847" s="7"/>
    </row>
    <row r="848" spans="5:6" ht="15.75" customHeight="1">
      <c r="E848" s="7"/>
      <c r="F848" s="7"/>
    </row>
    <row r="849" spans="5:6" ht="15.75" customHeight="1">
      <c r="E849" s="7"/>
      <c r="F849" s="7"/>
    </row>
    <row r="850" spans="5:6" ht="15.75" customHeight="1">
      <c r="E850" s="7"/>
      <c r="F850" s="7"/>
    </row>
    <row r="851" spans="5:6" ht="15.75" customHeight="1">
      <c r="E851" s="7"/>
      <c r="F851" s="7"/>
    </row>
    <row r="852" spans="5:6" ht="15.75" customHeight="1">
      <c r="E852" s="7"/>
      <c r="F852" s="7"/>
    </row>
    <row r="853" spans="5:6" ht="15.75" customHeight="1">
      <c r="E853" s="7"/>
      <c r="F853" s="7"/>
    </row>
    <row r="854" spans="5:6" ht="15.75" customHeight="1">
      <c r="E854" s="7"/>
      <c r="F854" s="7"/>
    </row>
    <row r="855" spans="5:6" ht="15.75" customHeight="1">
      <c r="E855" s="7"/>
      <c r="F855" s="7"/>
    </row>
    <row r="856" spans="5:6" ht="15.75" customHeight="1">
      <c r="E856" s="7"/>
      <c r="F856" s="7"/>
    </row>
    <row r="857" spans="5:6" ht="15.75" customHeight="1">
      <c r="E857" s="7"/>
      <c r="F857" s="7"/>
    </row>
    <row r="858" spans="5:6" ht="15.75" customHeight="1">
      <c r="E858" s="7"/>
      <c r="F858" s="7"/>
    </row>
    <row r="859" spans="5:6" ht="15.75" customHeight="1">
      <c r="E859" s="7"/>
      <c r="F859" s="7"/>
    </row>
    <row r="860" spans="5:6" ht="15.75" customHeight="1">
      <c r="E860" s="7"/>
      <c r="F860" s="7"/>
    </row>
    <row r="861" spans="5:6" ht="15.75" customHeight="1">
      <c r="E861" s="7"/>
      <c r="F861" s="7"/>
    </row>
    <row r="862" spans="5:6" ht="15.75" customHeight="1">
      <c r="E862" s="7"/>
      <c r="F862" s="7"/>
    </row>
    <row r="863" spans="5:6" ht="15.75" customHeight="1">
      <c r="E863" s="7"/>
      <c r="F863" s="7"/>
    </row>
    <row r="864" spans="5:6" ht="15.75" customHeight="1">
      <c r="E864" s="7"/>
      <c r="F864" s="7"/>
    </row>
    <row r="865" spans="5:6" ht="15.75" customHeight="1">
      <c r="E865" s="7"/>
      <c r="F865" s="7"/>
    </row>
    <row r="866" spans="5:6" ht="15.75" customHeight="1">
      <c r="E866" s="7"/>
      <c r="F866" s="7"/>
    </row>
    <row r="867" spans="5:6" ht="15.75" customHeight="1">
      <c r="E867" s="7"/>
      <c r="F867" s="7"/>
    </row>
    <row r="868" spans="5:6" ht="15.75" customHeight="1">
      <c r="E868" s="7"/>
      <c r="F868" s="7"/>
    </row>
    <row r="869" spans="5:6" ht="15.75" customHeight="1">
      <c r="E869" s="7"/>
      <c r="F869" s="7"/>
    </row>
    <row r="870" spans="5:6" ht="15.75" customHeight="1">
      <c r="E870" s="7"/>
      <c r="F870" s="7"/>
    </row>
    <row r="871" spans="5:6" ht="15.75" customHeight="1">
      <c r="E871" s="7"/>
      <c r="F871" s="7"/>
    </row>
    <row r="872" spans="5:6" ht="15.75" customHeight="1">
      <c r="E872" s="7"/>
      <c r="F872" s="7"/>
    </row>
    <row r="873" spans="5:6" ht="15.75" customHeight="1">
      <c r="E873" s="7"/>
      <c r="F873" s="7"/>
    </row>
    <row r="874" spans="5:6" ht="15.75" customHeight="1">
      <c r="E874" s="7"/>
      <c r="F874" s="7"/>
    </row>
    <row r="875" spans="5:6" ht="15.75" customHeight="1">
      <c r="E875" s="7"/>
      <c r="F875" s="7"/>
    </row>
    <row r="876" spans="5:6" ht="15.75" customHeight="1">
      <c r="E876" s="7"/>
      <c r="F876" s="7"/>
    </row>
    <row r="877" spans="5:6" ht="15.75" customHeight="1">
      <c r="E877" s="7"/>
      <c r="F877" s="7"/>
    </row>
    <row r="878" spans="5:6" ht="15.75" customHeight="1">
      <c r="E878" s="7"/>
      <c r="F878" s="7"/>
    </row>
    <row r="879" spans="5:6" ht="15.75" customHeight="1">
      <c r="E879" s="7"/>
      <c r="F879" s="7"/>
    </row>
    <row r="880" spans="5:6" ht="15.75" customHeight="1">
      <c r="E880" s="7"/>
      <c r="F880" s="7"/>
    </row>
    <row r="881" spans="5:6" ht="15.75" customHeight="1">
      <c r="E881" s="7"/>
      <c r="F881" s="7"/>
    </row>
    <row r="882" spans="5:6" ht="15.75" customHeight="1">
      <c r="E882" s="7"/>
      <c r="F882" s="7"/>
    </row>
    <row r="883" spans="5:6" ht="15.75" customHeight="1">
      <c r="E883" s="7"/>
      <c r="F883" s="7"/>
    </row>
    <row r="884" spans="5:6" ht="15.75" customHeight="1">
      <c r="E884" s="7"/>
      <c r="F884" s="7"/>
    </row>
    <row r="885" spans="5:6" ht="15.75" customHeight="1">
      <c r="E885" s="7"/>
      <c r="F885" s="7"/>
    </row>
    <row r="886" spans="5:6" ht="15.75" customHeight="1">
      <c r="E886" s="7"/>
      <c r="F886" s="7"/>
    </row>
    <row r="887" spans="5:6" ht="15.75" customHeight="1">
      <c r="E887" s="7"/>
      <c r="F887" s="7"/>
    </row>
    <row r="888" spans="5:6" ht="15.75" customHeight="1">
      <c r="E888" s="7"/>
      <c r="F888" s="7"/>
    </row>
    <row r="889" spans="5:6" ht="15.75" customHeight="1">
      <c r="E889" s="7"/>
      <c r="F889" s="7"/>
    </row>
    <row r="890" spans="5:6" ht="15.75" customHeight="1">
      <c r="E890" s="7"/>
      <c r="F890" s="7"/>
    </row>
    <row r="891" spans="5:6" ht="15.75" customHeight="1">
      <c r="E891" s="7"/>
      <c r="F891" s="7"/>
    </row>
    <row r="892" spans="5:6" ht="15.75" customHeight="1">
      <c r="E892" s="7"/>
      <c r="F892" s="7"/>
    </row>
    <row r="893" spans="5:6" ht="15.75" customHeight="1">
      <c r="E893" s="7"/>
      <c r="F893" s="7"/>
    </row>
    <row r="894" spans="5:6" ht="15.75" customHeight="1">
      <c r="E894" s="7"/>
      <c r="F894" s="7"/>
    </row>
    <row r="895" spans="5:6" ht="15.75" customHeight="1">
      <c r="E895" s="7"/>
      <c r="F895" s="7"/>
    </row>
    <row r="896" spans="5:6" ht="15.75" customHeight="1">
      <c r="E896" s="7"/>
      <c r="F896" s="7"/>
    </row>
    <row r="897" spans="5:6" ht="15.75" customHeight="1">
      <c r="E897" s="7"/>
      <c r="F897" s="7"/>
    </row>
    <row r="898" spans="5:6" ht="15.75" customHeight="1">
      <c r="E898" s="7"/>
      <c r="F898" s="7"/>
    </row>
    <row r="899" spans="5:6" ht="15.75" customHeight="1">
      <c r="E899" s="7"/>
      <c r="F899" s="7"/>
    </row>
    <row r="900" spans="5:6" ht="15.75" customHeight="1">
      <c r="E900" s="7"/>
      <c r="F900" s="7"/>
    </row>
    <row r="901" spans="5:6" ht="15.75" customHeight="1">
      <c r="E901" s="7"/>
      <c r="F901" s="7"/>
    </row>
    <row r="902" spans="5:6" ht="15.75" customHeight="1">
      <c r="E902" s="7"/>
      <c r="F902" s="7"/>
    </row>
    <row r="903" spans="5:6" ht="15.75" customHeight="1">
      <c r="E903" s="7"/>
      <c r="F903" s="7"/>
    </row>
    <row r="904" spans="5:6" ht="15.75" customHeight="1">
      <c r="E904" s="7"/>
      <c r="F904" s="7"/>
    </row>
    <row r="905" spans="5:6" ht="15.75" customHeight="1">
      <c r="E905" s="7"/>
      <c r="F905" s="7"/>
    </row>
    <row r="906" spans="5:6" ht="15.75" customHeight="1">
      <c r="E906" s="7"/>
      <c r="F906" s="7"/>
    </row>
    <row r="907" spans="5:6" ht="15.75" customHeight="1">
      <c r="E907" s="7"/>
      <c r="F907" s="7"/>
    </row>
    <row r="908" spans="5:6" ht="15.75" customHeight="1">
      <c r="E908" s="7"/>
      <c r="F908" s="7"/>
    </row>
    <row r="909" spans="5:6" ht="15.75" customHeight="1">
      <c r="E909" s="7"/>
      <c r="F909" s="7"/>
    </row>
    <row r="910" spans="5:6" ht="15.75" customHeight="1">
      <c r="E910" s="7"/>
      <c r="F910" s="7"/>
    </row>
    <row r="911" spans="5:6" ht="15.75" customHeight="1">
      <c r="E911" s="7"/>
      <c r="F911" s="7"/>
    </row>
    <row r="912" spans="5:6" ht="15.75" customHeight="1">
      <c r="E912" s="7"/>
      <c r="F912" s="7"/>
    </row>
    <row r="913" spans="5:6" ht="15.75" customHeight="1">
      <c r="E913" s="7"/>
      <c r="F913" s="7"/>
    </row>
    <row r="914" spans="5:6" ht="15.75" customHeight="1">
      <c r="E914" s="7"/>
      <c r="F914" s="7"/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U917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5" customWidth="1"/>
    <col min="5" max="5" width="6.28515625" customWidth="1"/>
    <col min="6" max="6" width="5.8554687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2.5703125" customWidth="1"/>
    <col min="13" max="13" width="10.85546875" customWidth="1"/>
    <col min="14" max="14" width="11.140625" customWidth="1"/>
    <col min="15" max="15" width="8.42578125" customWidth="1"/>
    <col min="16" max="16" width="11.140625" customWidth="1"/>
    <col min="17" max="21" width="12.5703125" customWidth="1"/>
  </cols>
  <sheetData>
    <row r="1" spans="1:21" ht="24" customHeight="1">
      <c r="A1" s="358" t="s">
        <v>70</v>
      </c>
      <c r="B1" s="359"/>
      <c r="C1" s="359"/>
      <c r="D1" s="360" t="s">
        <v>71</v>
      </c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144"/>
    </row>
    <row r="2" spans="1:21" ht="27.75" customHeight="1">
      <c r="A2" s="356"/>
      <c r="B2" s="356"/>
      <c r="C2" s="356"/>
      <c r="D2" s="361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145"/>
    </row>
    <row r="3" spans="1:21" ht="24" customHeight="1">
      <c r="A3" s="356"/>
      <c r="B3" s="356"/>
      <c r="C3" s="356"/>
      <c r="D3" s="362" t="s">
        <v>72</v>
      </c>
      <c r="E3" s="363"/>
      <c r="F3" s="363"/>
      <c r="G3" s="364"/>
      <c r="H3" s="146">
        <f t="shared" ref="H3:U3" ca="1" si="0">SUBTOTAL(9,H6:H931)</f>
        <v>0</v>
      </c>
      <c r="I3" s="146">
        <f t="shared" ca="1" si="0"/>
        <v>3268.7999999999993</v>
      </c>
      <c r="J3" s="146">
        <f t="shared" ca="1" si="0"/>
        <v>682690</v>
      </c>
      <c r="K3" s="146">
        <f t="shared" ca="1" si="0"/>
        <v>293645.7999999997</v>
      </c>
      <c r="L3" s="146">
        <f t="shared" ca="1" si="0"/>
        <v>12917.2</v>
      </c>
      <c r="M3" s="146">
        <f t="shared" ca="1" si="0"/>
        <v>0</v>
      </c>
      <c r="N3" s="146">
        <f t="shared" ca="1" si="0"/>
        <v>0</v>
      </c>
      <c r="O3" s="146">
        <f t="shared" ca="1" si="0"/>
        <v>98934.399999999878</v>
      </c>
      <c r="P3" s="146">
        <f t="shared" ca="1" si="0"/>
        <v>66422.399999999892</v>
      </c>
      <c r="Q3" s="146">
        <f t="shared" ca="1" si="0"/>
        <v>605610</v>
      </c>
      <c r="R3" s="146">
        <f t="shared" ca="1" si="0"/>
        <v>55375.399999999972</v>
      </c>
      <c r="S3" s="146">
        <f t="shared" ca="1" si="0"/>
        <v>304640</v>
      </c>
      <c r="T3" s="146">
        <f t="shared" ca="1" si="0"/>
        <v>57818.199999999852</v>
      </c>
      <c r="U3" s="146">
        <f t="shared" ca="1" si="0"/>
        <v>2181322.1999999997</v>
      </c>
    </row>
    <row r="4" spans="1:21" ht="56.25" customHeight="1">
      <c r="A4" s="147" t="s">
        <v>5</v>
      </c>
      <c r="B4" s="147" t="s">
        <v>6</v>
      </c>
      <c r="C4" s="147" t="str">
        <f ca="1">"UNIDADES EXECUTORAS = " &amp; COUNTA(C6:C931)</f>
        <v>UNIDADES EXECUTORAS = 411</v>
      </c>
      <c r="D4" s="147" t="s">
        <v>9</v>
      </c>
      <c r="E4" s="148" t="s">
        <v>1</v>
      </c>
      <c r="F4" s="148" t="s">
        <v>2</v>
      </c>
      <c r="G4" s="149" t="s">
        <v>3</v>
      </c>
      <c r="H4" s="150" t="s">
        <v>10</v>
      </c>
      <c r="I4" s="150" t="s">
        <v>11</v>
      </c>
      <c r="J4" s="150" t="s">
        <v>12</v>
      </c>
      <c r="K4" s="150" t="s">
        <v>13</v>
      </c>
      <c r="L4" s="150" t="s">
        <v>73</v>
      </c>
      <c r="M4" s="151" t="s">
        <v>14</v>
      </c>
      <c r="N4" s="151" t="s">
        <v>15</v>
      </c>
      <c r="O4" s="150" t="s">
        <v>16</v>
      </c>
      <c r="P4" s="150" t="s">
        <v>17</v>
      </c>
      <c r="Q4" s="150" t="s">
        <v>18</v>
      </c>
      <c r="R4" s="150" t="s">
        <v>19</v>
      </c>
      <c r="S4" s="150" t="s">
        <v>20</v>
      </c>
      <c r="T4" s="150" t="s">
        <v>21</v>
      </c>
      <c r="U4" s="152" t="s">
        <v>74</v>
      </c>
    </row>
    <row r="5" spans="1:21" ht="14.25" customHeight="1">
      <c r="A5" s="153" t="str">
        <f ca="1">IFERROR(__xludf.DUMMYFUNCTION("QUERY(REP_FNDE!A6:W917,""select A,B,C,D,E,F,G,H,I,J,K,L,M,N,O,P,Q,R,S,T"")"),"REGIONAL ")</f>
        <v xml:space="preserve">REGIONAL </v>
      </c>
      <c r="B5" s="154" t="str">
        <f ca="1">IFERROR(__xludf.DUMMYFUNCTION("""COMPUTED_VALUE"""),"MUNICÍPIO")</f>
        <v>MUNICÍPIO</v>
      </c>
      <c r="C5" s="154" t="str">
        <f ca="1">IFERROR(__xludf.DUMMYFUNCTION("""COMPUTED_VALUE"""),"")</f>
        <v/>
      </c>
      <c r="D5" s="154" t="str">
        <f ca="1">IFERROR(__xludf.DUMMYFUNCTION("""COMPUTED_VALUE"""),"CNPJ")</f>
        <v>CNPJ</v>
      </c>
      <c r="E5" s="154" t="str">
        <f ca="1">IFERROR(__xludf.DUMMYFUNCTION("""COMPUTED_VALUE"""),"BANCO")</f>
        <v>BANCO</v>
      </c>
      <c r="F5" s="154" t="str">
        <f ca="1">IFERROR(__xludf.DUMMYFUNCTION("""COMPUTED_VALUE"""),"AGENCIA")</f>
        <v>AGENCIA</v>
      </c>
      <c r="G5" s="154" t="str">
        <f ca="1">IFERROR(__xludf.DUMMYFUNCTION("""COMPUTED_VALUE"""),"C. CORRENTE")</f>
        <v>C. CORRENTE</v>
      </c>
      <c r="H5" s="154" t="str">
        <f ca="1">IFERROR(__xludf.DUMMYFUNCTION("""COMPUTED_VALUE"""),"product(ED. INF. CRECHE27.4())")</f>
        <v>product(ED. INF. CRECHE27.4())</v>
      </c>
      <c r="I5" s="155" t="str">
        <f ca="1">IFERROR(__xludf.DUMMYFUNCTION("""COMPUTED_VALUE"""),"product(ED. INF. PRÉ ESCOLA14.4())")</f>
        <v>product(ED. INF. PRÉ ESCOLA14.4())</v>
      </c>
      <c r="J5" s="155" t="str">
        <f ca="1">IFERROR(__xludf.DUMMYFUNCTION("""COMPUTED_VALUE"""),"product(E. F.  PARCIAL10())")</f>
        <v>product(E. F.  PARCIAL10())</v>
      </c>
      <c r="K5" s="155" t="str">
        <f ca="1">IFERROR(__xludf.DUMMYFUNCTION("""COMPUTED_VALUE"""),"product(E. F. INTEGRAL27.4())")</f>
        <v>product(E. F. INTEGRAL27.4())</v>
      </c>
      <c r="L5" s="155" t="str">
        <f ca="1">IFERROR(__xludf.DUMMYFUNCTION("""COMPUTED_VALUE"""),"product(FUND/MÉDIO
Quilombola 
(parcial)17.2())")</f>
        <v>product(FUND/MÉDIO
Quilombola 
(parcial)17.2())</v>
      </c>
      <c r="M5" s="155" t="str">
        <f ca="1">IFERROR(__xludf.DUMMYFUNCTION("""COMPUTED_VALUE"""),"product(FUND/MÉDIO
QUILOMBOLA INTEGRAL27.4())")</f>
        <v>product(FUND/MÉDIO
QUILOMBOLA INTEGRAL27.4())</v>
      </c>
      <c r="N5" s="155" t="str">
        <f ca="1">IFERROR(__xludf.DUMMYFUNCTION("""COMPUTED_VALUE"""),"product(FUND/MÉDIO
INDÍGENA INTEGRAL27.4())")</f>
        <v>product(FUND/MÉDIO
INDÍGENA INTEGRAL27.4())</v>
      </c>
      <c r="O5" s="155" t="str">
        <f ca="1">IFERROR(__xludf.DUMMYFUNCTION("""COMPUTED_VALUE"""),"product(FUND/MÉDIO
INDIGENA (parcial)17.2())")</f>
        <v>product(FUND/MÉDIO
INDIGENA (parcial)17.2())</v>
      </c>
      <c r="P5" s="154" t="str">
        <f ca="1">IFERROR(__xludf.DUMMYFUNCTION("""COMPUTED_VALUE"""),"product(AEE13.6())")</f>
        <v>product(AEE13.6())</v>
      </c>
      <c r="Q5" s="154" t="str">
        <f ca="1">IFERROR(__xludf.DUMMYFUNCTION("""COMPUTED_VALUE"""),"product(E. M. PARCIAL 10())")</f>
        <v>product(E. M. PARCIAL 10())</v>
      </c>
      <c r="R5" s="154" t="str">
        <f ca="1">IFERROR(__xludf.DUMMYFUNCTION("""COMPUTED_VALUE"""),"product(E. M. INTEGRAL27.4())")</f>
        <v>product(E. M. INTEGRAL27.4())</v>
      </c>
      <c r="S5" s="154" t="str">
        <f ca="1">IFERROR(__xludf.DUMMYFUNCTION("""COMPUTED_VALUE"""),"product(E. M. JOVEM EM AÇÃO51.2())")</f>
        <v>product(E. M. JOVEM EM AÇÃO51.2())</v>
      </c>
      <c r="T5" s="154" t="str">
        <f ca="1">IFERROR(__xludf.DUMMYFUNCTION("""COMPUTED_VALUE"""),"product(EJA 1º E 2º SEGM8.2())")</f>
        <v>product(EJA 1º E 2º SEGM8.2())</v>
      </c>
      <c r="U5" s="154" t="str">
        <f t="array" ref="U5:U917">IF(ROW(A5:A917)=5,"TOTAL",H5:H917+I5:I917+J5:J917+K5:K917+L5:L917+M5:M917+N5:N917+O5:O917+P5:P917+Q5:Q917+R5:R917+S5:S917+T5:T917)</f>
        <v>TOTAL</v>
      </c>
    </row>
    <row r="6" spans="1:21" ht="12.75">
      <c r="A6" s="156" t="str">
        <f ca="1">IFERROR(__xludf.DUMMYFUNCTION("""COMPUTED_VALUE"""),"Araguaina")</f>
        <v>Araguaina</v>
      </c>
      <c r="B6" s="156" t="str">
        <f ca="1">IFERROR(__xludf.DUMMYFUNCTION("""COMPUTED_VALUE"""),"Ananas")</f>
        <v>Ananas</v>
      </c>
      <c r="C6" s="157" t="str">
        <f ca="1">IFERROR(__xludf.DUMMYFUNCTION("""COMPUTED_VALUE"""),"ASSOC. DE APOIO DO CENTRO DE ENSINO MÉDIO CABO APARICIO ARAÚJO PAZ")</f>
        <v>ASSOC. DE APOIO DO CENTRO DE ENSINO MÉDIO CABO APARICIO ARAÚJO PAZ</v>
      </c>
      <c r="D6" s="158" t="str">
        <f ca="1">IFERROR(__xludf.DUMMYFUNCTION("""COMPUTED_VALUE"""),"05537116000188")</f>
        <v>05537116000188</v>
      </c>
      <c r="E6" s="159" t="str">
        <f ca="1">IFERROR(__xludf.DUMMYFUNCTION("""COMPUTED_VALUE"""),"001")</f>
        <v>001</v>
      </c>
      <c r="F6" s="159" t="str">
        <f ca="1">IFERROR(__xludf.DUMMYFUNCTION("""COMPUTED_VALUE"""),"3973")</f>
        <v>3973</v>
      </c>
      <c r="G6" s="159" t="str">
        <f ca="1">IFERROR(__xludf.DUMMYFUNCTION("""COMPUTED_VALUE"""),"114510")</f>
        <v>114510</v>
      </c>
      <c r="H6" s="159">
        <f ca="1">IFERROR(__xludf.DUMMYFUNCTION("""COMPUTED_VALUE"""),0)</f>
        <v>0</v>
      </c>
      <c r="I6" s="159">
        <f ca="1">IFERROR(__xludf.DUMMYFUNCTION("""COMPUTED_VALUE"""),0)</f>
        <v>0</v>
      </c>
      <c r="J6" s="159">
        <f ca="1">IFERROR(__xludf.DUMMYFUNCTION("""COMPUTED_VALUE"""),0)</f>
        <v>0</v>
      </c>
      <c r="K6" s="159">
        <f ca="1">IFERROR(__xludf.DUMMYFUNCTION("""COMPUTED_VALUE"""),0)</f>
        <v>0</v>
      </c>
      <c r="L6" s="159">
        <f ca="1">IFERROR(__xludf.DUMMYFUNCTION("""COMPUTED_VALUE"""),0)</f>
        <v>0</v>
      </c>
      <c r="M6" s="159">
        <f ca="1">IFERROR(__xludf.DUMMYFUNCTION("""COMPUTED_VALUE"""),0)</f>
        <v>0</v>
      </c>
      <c r="N6" s="159">
        <f ca="1">IFERROR(__xludf.DUMMYFUNCTION("""COMPUTED_VALUE"""),0)</f>
        <v>0</v>
      </c>
      <c r="O6" s="159">
        <f ca="1">IFERROR(__xludf.DUMMYFUNCTION("""COMPUTED_VALUE"""),0)</f>
        <v>0</v>
      </c>
      <c r="P6" s="159">
        <f ca="1">IFERROR(__xludf.DUMMYFUNCTION("""COMPUTED_VALUE"""),0)</f>
        <v>0</v>
      </c>
      <c r="Q6" s="159">
        <f ca="1">IFERROR(__xludf.DUMMYFUNCTION("""COMPUTED_VALUE"""),3940)</f>
        <v>3940</v>
      </c>
      <c r="R6" s="159">
        <f ca="1">IFERROR(__xludf.DUMMYFUNCTION("""COMPUTED_VALUE"""),0)</f>
        <v>0</v>
      </c>
      <c r="S6" s="159">
        <f ca="1">IFERROR(__xludf.DUMMYFUNCTION("""COMPUTED_VALUE"""),0)</f>
        <v>0</v>
      </c>
      <c r="T6" s="160">
        <f ca="1">IFERROR(__xludf.DUMMYFUNCTION("""COMPUTED_VALUE"""),0)</f>
        <v>0</v>
      </c>
      <c r="U6" s="161">
        <f ca="1"/>
        <v>3940</v>
      </c>
    </row>
    <row r="7" spans="1:21" ht="12.75">
      <c r="A7" s="162" t="str">
        <f ca="1">IFERROR(__xludf.DUMMYFUNCTION("""COMPUTED_VALUE"""),"Araguaina")</f>
        <v>Araguaina</v>
      </c>
      <c r="B7" s="162" t="str">
        <f ca="1">IFERROR(__xludf.DUMMYFUNCTION("""COMPUTED_VALUE"""),"Ananas")</f>
        <v>Ananas</v>
      </c>
      <c r="C7" s="163" t="str">
        <f ca="1">IFERROR(__xludf.DUMMYFUNCTION("""COMPUTED_VALUE"""),"ASS. APOIO COL. EST. GETULIO VARGAS")</f>
        <v>ASS. APOIO COL. EST. GETULIO VARGAS</v>
      </c>
      <c r="D7" s="164" t="str">
        <f ca="1">IFERROR(__xludf.DUMMYFUNCTION("""COMPUTED_VALUE"""),"01296368000101")</f>
        <v>01296368000101</v>
      </c>
      <c r="E7" s="165" t="str">
        <f ca="1">IFERROR(__xludf.DUMMYFUNCTION("""COMPUTED_VALUE"""),"001")</f>
        <v>001</v>
      </c>
      <c r="F7" s="165" t="str">
        <f ca="1">IFERROR(__xludf.DUMMYFUNCTION("""COMPUTED_VALUE"""),"3973")</f>
        <v>3973</v>
      </c>
      <c r="G7" s="165" t="str">
        <f ca="1">IFERROR(__xludf.DUMMYFUNCTION("""COMPUTED_VALUE"""),"55778")</f>
        <v>55778</v>
      </c>
      <c r="H7" s="165">
        <f ca="1">IFERROR(__xludf.DUMMYFUNCTION("""COMPUTED_VALUE"""),0)</f>
        <v>0</v>
      </c>
      <c r="I7" s="165">
        <f ca="1">IFERROR(__xludf.DUMMYFUNCTION("""COMPUTED_VALUE"""),0)</f>
        <v>0</v>
      </c>
      <c r="J7" s="165">
        <f ca="1">IFERROR(__xludf.DUMMYFUNCTION("""COMPUTED_VALUE"""),3060)</f>
        <v>3060</v>
      </c>
      <c r="K7" s="165">
        <f ca="1">IFERROR(__xludf.DUMMYFUNCTION("""COMPUTED_VALUE"""),0)</f>
        <v>0</v>
      </c>
      <c r="L7" s="165">
        <f ca="1">IFERROR(__xludf.DUMMYFUNCTION("""COMPUTED_VALUE"""),0)</f>
        <v>0</v>
      </c>
      <c r="M7" s="165">
        <f ca="1">IFERROR(__xludf.DUMMYFUNCTION("""COMPUTED_VALUE"""),0)</f>
        <v>0</v>
      </c>
      <c r="N7" s="165">
        <f ca="1">IFERROR(__xludf.DUMMYFUNCTION("""COMPUTED_VALUE"""),0)</f>
        <v>0</v>
      </c>
      <c r="O7" s="165">
        <f ca="1">IFERROR(__xludf.DUMMYFUNCTION("""COMPUTED_VALUE"""),0)</f>
        <v>0</v>
      </c>
      <c r="P7" s="165">
        <f ca="1">IFERROR(__xludf.DUMMYFUNCTION("""COMPUTED_VALUE"""),190.4)</f>
        <v>190.4</v>
      </c>
      <c r="Q7" s="165">
        <f ca="1">IFERROR(__xludf.DUMMYFUNCTION("""COMPUTED_VALUE"""),0)</f>
        <v>0</v>
      </c>
      <c r="R7" s="165">
        <f ca="1">IFERROR(__xludf.DUMMYFUNCTION("""COMPUTED_VALUE"""),0)</f>
        <v>0</v>
      </c>
      <c r="S7" s="165">
        <f ca="1">IFERROR(__xludf.DUMMYFUNCTION("""COMPUTED_VALUE"""),0)</f>
        <v>0</v>
      </c>
      <c r="T7" s="165">
        <f ca="1">IFERROR(__xludf.DUMMYFUNCTION("""COMPUTED_VALUE"""),262.4)</f>
        <v>262.39999999999998</v>
      </c>
      <c r="U7" s="166">
        <f ca="1"/>
        <v>3512.8</v>
      </c>
    </row>
    <row r="8" spans="1:21" ht="12.75">
      <c r="A8" s="167" t="str">
        <f ca="1">IFERROR(__xludf.DUMMYFUNCTION("""COMPUTED_VALUE"""),"Araguaina")</f>
        <v>Araguaina</v>
      </c>
      <c r="B8" s="167" t="str">
        <f ca="1">IFERROR(__xludf.DUMMYFUNCTION("""COMPUTED_VALUE"""),"Ananas")</f>
        <v>Ananas</v>
      </c>
      <c r="C8" s="168" t="str">
        <f ca="1">IFERROR(__xludf.DUMMYFUNCTION("""COMPUTED_VALUE"""),"A.A. ESC. EST. PRES. COSTA E SILVA")</f>
        <v>A.A. ESC. EST. PRES. COSTA E SILVA</v>
      </c>
      <c r="D8" s="169" t="str">
        <f ca="1">IFERROR(__xludf.DUMMYFUNCTION("""COMPUTED_VALUE"""),"02026325000179")</f>
        <v>02026325000179</v>
      </c>
      <c r="E8" s="170" t="str">
        <f ca="1">IFERROR(__xludf.DUMMYFUNCTION("""COMPUTED_VALUE"""),"001")</f>
        <v>001</v>
      </c>
      <c r="F8" s="170" t="str">
        <f ca="1">IFERROR(__xludf.DUMMYFUNCTION("""COMPUTED_VALUE"""),"3973")</f>
        <v>3973</v>
      </c>
      <c r="G8" s="170" t="str">
        <f ca="1">IFERROR(__xludf.DUMMYFUNCTION("""COMPUTED_VALUE"""),"55786")</f>
        <v>55786</v>
      </c>
      <c r="H8" s="170">
        <f ca="1">IFERROR(__xludf.DUMMYFUNCTION("""COMPUTED_VALUE"""),0)</f>
        <v>0</v>
      </c>
      <c r="I8" s="170">
        <f ca="1">IFERROR(__xludf.DUMMYFUNCTION("""COMPUTED_VALUE"""),0)</f>
        <v>0</v>
      </c>
      <c r="J8" s="170">
        <f ca="1">IFERROR(__xludf.DUMMYFUNCTION("""COMPUTED_VALUE"""),470)</f>
        <v>470</v>
      </c>
      <c r="K8" s="170">
        <f ca="1">IFERROR(__xludf.DUMMYFUNCTION("""COMPUTED_VALUE"""),0)</f>
        <v>0</v>
      </c>
      <c r="L8" s="170">
        <f ca="1">IFERROR(__xludf.DUMMYFUNCTION("""COMPUTED_VALUE"""),0)</f>
        <v>0</v>
      </c>
      <c r="M8" s="170">
        <f ca="1">IFERROR(__xludf.DUMMYFUNCTION("""COMPUTED_VALUE"""),0)</f>
        <v>0</v>
      </c>
      <c r="N8" s="170">
        <f ca="1">IFERROR(__xludf.DUMMYFUNCTION("""COMPUTED_VALUE"""),0)</f>
        <v>0</v>
      </c>
      <c r="O8" s="170">
        <f ca="1">IFERROR(__xludf.DUMMYFUNCTION("""COMPUTED_VALUE"""),0)</f>
        <v>0</v>
      </c>
      <c r="P8" s="170">
        <f ca="1">IFERROR(__xludf.DUMMYFUNCTION("""COMPUTED_VALUE"""),0)</f>
        <v>0</v>
      </c>
      <c r="Q8" s="170">
        <f ca="1">IFERROR(__xludf.DUMMYFUNCTION("""COMPUTED_VALUE"""),320)</f>
        <v>320</v>
      </c>
      <c r="R8" s="170">
        <f ca="1">IFERROR(__xludf.DUMMYFUNCTION("""COMPUTED_VALUE"""),0)</f>
        <v>0</v>
      </c>
      <c r="S8" s="170">
        <f ca="1">IFERROR(__xludf.DUMMYFUNCTION("""COMPUTED_VALUE"""),0)</f>
        <v>0</v>
      </c>
      <c r="T8" s="170">
        <f ca="1">IFERROR(__xludf.DUMMYFUNCTION("""COMPUTED_VALUE"""),0)</f>
        <v>0</v>
      </c>
      <c r="U8" s="170">
        <f ca="1"/>
        <v>790</v>
      </c>
    </row>
    <row r="9" spans="1:21" ht="12.75">
      <c r="A9" s="162" t="str">
        <f ca="1">IFERROR(__xludf.DUMMYFUNCTION("""COMPUTED_VALUE"""),"Araguaina")</f>
        <v>Araguaina</v>
      </c>
      <c r="B9" s="162" t="str">
        <f ca="1">IFERROR(__xludf.DUMMYFUNCTION("""COMPUTED_VALUE"""),"Ananas")</f>
        <v>Ananas</v>
      </c>
      <c r="C9" s="163" t="str">
        <f ca="1">IFERROR(__xludf.DUMMYFUNCTION("""COMPUTED_VALUE"""),"A.A. DA ESC.PAR.SAO PEDRO/CONVENIADA")</f>
        <v>A.A. DA ESC.PAR.SAO PEDRO/CONVENIADA</v>
      </c>
      <c r="D9" s="164" t="str">
        <f ca="1">IFERROR(__xludf.DUMMYFUNCTION("""COMPUTED_VALUE"""),"01911081000144")</f>
        <v>01911081000144</v>
      </c>
      <c r="E9" s="165" t="str">
        <f ca="1">IFERROR(__xludf.DUMMYFUNCTION("""COMPUTED_VALUE"""),"001")</f>
        <v>001</v>
      </c>
      <c r="F9" s="165" t="str">
        <f ca="1">IFERROR(__xludf.DUMMYFUNCTION("""COMPUTED_VALUE"""),"3973")</f>
        <v>3973</v>
      </c>
      <c r="G9" s="165" t="str">
        <f ca="1">IFERROR(__xludf.DUMMYFUNCTION("""COMPUTED_VALUE"""),"67350")</f>
        <v>67350</v>
      </c>
      <c r="H9" s="165">
        <f ca="1">IFERROR(__xludf.DUMMYFUNCTION("""COMPUTED_VALUE"""),0)</f>
        <v>0</v>
      </c>
      <c r="I9" s="165">
        <f ca="1">IFERROR(__xludf.DUMMYFUNCTION("""COMPUTED_VALUE"""),0)</f>
        <v>0</v>
      </c>
      <c r="J9" s="165">
        <f ca="1">IFERROR(__xludf.DUMMYFUNCTION("""COMPUTED_VALUE"""),3320)</f>
        <v>3320</v>
      </c>
      <c r="K9" s="165">
        <f ca="1">IFERROR(__xludf.DUMMYFUNCTION("""COMPUTED_VALUE"""),0)</f>
        <v>0</v>
      </c>
      <c r="L9" s="165">
        <f ca="1">IFERROR(__xludf.DUMMYFUNCTION("""COMPUTED_VALUE"""),0)</f>
        <v>0</v>
      </c>
      <c r="M9" s="165">
        <f ca="1">IFERROR(__xludf.DUMMYFUNCTION("""COMPUTED_VALUE"""),0)</f>
        <v>0</v>
      </c>
      <c r="N9" s="165">
        <f ca="1">IFERROR(__xludf.DUMMYFUNCTION("""COMPUTED_VALUE"""),0)</f>
        <v>0</v>
      </c>
      <c r="O9" s="165">
        <f ca="1">IFERROR(__xludf.DUMMYFUNCTION("""COMPUTED_VALUE"""),0)</f>
        <v>0</v>
      </c>
      <c r="P9" s="165">
        <f ca="1">IFERROR(__xludf.DUMMYFUNCTION("""COMPUTED_VALUE"""),285.599999999999)</f>
        <v>285.599999999999</v>
      </c>
      <c r="Q9" s="165">
        <f ca="1">IFERROR(__xludf.DUMMYFUNCTION("""COMPUTED_VALUE"""),0)</f>
        <v>0</v>
      </c>
      <c r="R9" s="165">
        <f ca="1">IFERROR(__xludf.DUMMYFUNCTION("""COMPUTED_VALUE"""),0)</f>
        <v>0</v>
      </c>
      <c r="S9" s="165">
        <f ca="1">IFERROR(__xludf.DUMMYFUNCTION("""COMPUTED_VALUE"""),0)</f>
        <v>0</v>
      </c>
      <c r="T9" s="165">
        <f ca="1">IFERROR(__xludf.DUMMYFUNCTION("""COMPUTED_VALUE"""),0)</f>
        <v>0</v>
      </c>
      <c r="U9" s="166">
        <f ca="1"/>
        <v>3605.599999999999</v>
      </c>
    </row>
    <row r="10" spans="1:21" ht="12.75">
      <c r="A10" s="167" t="str">
        <f ca="1">IFERROR(__xludf.DUMMYFUNCTION("""COMPUTED_VALUE"""),"Araguaina")</f>
        <v>Araguaina</v>
      </c>
      <c r="B10" s="167" t="str">
        <f ca="1">IFERROR(__xludf.DUMMYFUNCTION("""COMPUTED_VALUE"""),"Aragominas")</f>
        <v>Aragominas</v>
      </c>
      <c r="C10" s="168" t="str">
        <f ca="1">IFERROR(__xludf.DUMMYFUNCTION("""COMPUTED_VALUE"""),"ASSOCIAÇÃO DE APOIO DO COL. EST.GETULIO VARGAS")</f>
        <v>ASSOCIAÇÃO DE APOIO DO COL. EST.GETULIO VARGAS</v>
      </c>
      <c r="D10" s="169" t="str">
        <f ca="1">IFERROR(__xludf.DUMMYFUNCTION("""COMPUTED_VALUE"""),"01918914000107")</f>
        <v>01918914000107</v>
      </c>
      <c r="E10" s="170" t="str">
        <f ca="1">IFERROR(__xludf.DUMMYFUNCTION("""COMPUTED_VALUE"""),"001")</f>
        <v>001</v>
      </c>
      <c r="F10" s="170" t="str">
        <f ca="1">IFERROR(__xludf.DUMMYFUNCTION("""COMPUTED_VALUE"""),"0638")</f>
        <v>0638</v>
      </c>
      <c r="G10" s="170" t="str">
        <f ca="1">IFERROR(__xludf.DUMMYFUNCTION("""COMPUTED_VALUE"""),"83224")</f>
        <v>83224</v>
      </c>
      <c r="H10" s="170">
        <f ca="1">IFERROR(__xludf.DUMMYFUNCTION("""COMPUTED_VALUE"""),0)</f>
        <v>0</v>
      </c>
      <c r="I10" s="170">
        <f ca="1">IFERROR(__xludf.DUMMYFUNCTION("""COMPUTED_VALUE"""),0)</f>
        <v>0</v>
      </c>
      <c r="J10" s="170">
        <f ca="1">IFERROR(__xludf.DUMMYFUNCTION("""COMPUTED_VALUE"""),1590)</f>
        <v>1590</v>
      </c>
      <c r="K10" s="170">
        <f ca="1">IFERROR(__xludf.DUMMYFUNCTION("""COMPUTED_VALUE"""),0)</f>
        <v>0</v>
      </c>
      <c r="L10" s="170">
        <f ca="1">IFERROR(__xludf.DUMMYFUNCTION("""COMPUTED_VALUE"""),0)</f>
        <v>0</v>
      </c>
      <c r="M10" s="170">
        <f ca="1">IFERROR(__xludf.DUMMYFUNCTION("""COMPUTED_VALUE"""),0)</f>
        <v>0</v>
      </c>
      <c r="N10" s="170">
        <f ca="1">IFERROR(__xludf.DUMMYFUNCTION("""COMPUTED_VALUE"""),0)</f>
        <v>0</v>
      </c>
      <c r="O10" s="170">
        <f ca="1">IFERROR(__xludf.DUMMYFUNCTION("""COMPUTED_VALUE"""),0)</f>
        <v>0</v>
      </c>
      <c r="P10" s="170">
        <f ca="1">IFERROR(__xludf.DUMMYFUNCTION("""COMPUTED_VALUE"""),176.799999999999)</f>
        <v>176.79999999999899</v>
      </c>
      <c r="Q10" s="170">
        <f ca="1">IFERROR(__xludf.DUMMYFUNCTION("""COMPUTED_VALUE"""),1100)</f>
        <v>1100</v>
      </c>
      <c r="R10" s="170">
        <f ca="1">IFERROR(__xludf.DUMMYFUNCTION("""COMPUTED_VALUE"""),0)</f>
        <v>0</v>
      </c>
      <c r="S10" s="170">
        <f ca="1">IFERROR(__xludf.DUMMYFUNCTION("""COMPUTED_VALUE"""),0)</f>
        <v>0</v>
      </c>
      <c r="T10" s="170">
        <f ca="1">IFERROR(__xludf.DUMMYFUNCTION("""COMPUTED_VALUE"""),0)</f>
        <v>0</v>
      </c>
      <c r="U10" s="170">
        <f ca="1"/>
        <v>2866.7999999999993</v>
      </c>
    </row>
    <row r="11" spans="1:21" ht="12.75">
      <c r="A11" s="162" t="str">
        <f ca="1">IFERROR(__xludf.DUMMYFUNCTION("""COMPUTED_VALUE"""),"Araguaina")</f>
        <v>Araguaina</v>
      </c>
      <c r="B11" s="162" t="str">
        <f ca="1">IFERROR(__xludf.DUMMYFUNCTION("""COMPUTED_VALUE"""),"Aragominas")</f>
        <v>Aragominas</v>
      </c>
      <c r="C11" s="163" t="str">
        <f ca="1">IFERROR(__xludf.DUMMYFUNCTION("""COMPUTED_VALUE"""),"A.A.DA ESCOLA EST. JOSÉ DOMINGOS CARVALHO BARBOSA")</f>
        <v>A.A.DA ESCOLA EST. JOSÉ DOMINGOS CARVALHO BARBOSA</v>
      </c>
      <c r="D11" s="164" t="str">
        <f ca="1">IFERROR(__xludf.DUMMYFUNCTION("""COMPUTED_VALUE"""),"43927472000105")</f>
        <v>43927472000105</v>
      </c>
      <c r="E11" s="165" t="str">
        <f ca="1">IFERROR(__xludf.DUMMYFUNCTION("""COMPUTED_VALUE"""),"001")</f>
        <v>001</v>
      </c>
      <c r="F11" s="165" t="str">
        <f ca="1">IFERROR(__xludf.DUMMYFUNCTION("""COMPUTED_VALUE"""),"0638")</f>
        <v>0638</v>
      </c>
      <c r="G11" s="165" t="str">
        <f ca="1">IFERROR(__xludf.DUMMYFUNCTION("""COMPUTED_VALUE"""),"1098985")</f>
        <v>1098985</v>
      </c>
      <c r="H11" s="165">
        <f ca="1">IFERROR(__xludf.DUMMYFUNCTION("""COMPUTED_VALUE"""),0)</f>
        <v>0</v>
      </c>
      <c r="I11" s="165">
        <f ca="1">IFERROR(__xludf.DUMMYFUNCTION("""COMPUTED_VALUE"""),0)</f>
        <v>0</v>
      </c>
      <c r="J11" s="165">
        <f ca="1">IFERROR(__xludf.DUMMYFUNCTION("""COMPUTED_VALUE"""),0)</f>
        <v>0</v>
      </c>
      <c r="K11" s="165">
        <f ca="1">IFERROR(__xludf.DUMMYFUNCTION("""COMPUTED_VALUE"""),0)</f>
        <v>0</v>
      </c>
      <c r="L11" s="165">
        <f ca="1">IFERROR(__xludf.DUMMYFUNCTION("""COMPUTED_VALUE"""),0)</f>
        <v>0</v>
      </c>
      <c r="M11" s="165">
        <f ca="1">IFERROR(__xludf.DUMMYFUNCTION("""COMPUTED_VALUE"""),0)</f>
        <v>0</v>
      </c>
      <c r="N11" s="165">
        <f ca="1">IFERROR(__xludf.DUMMYFUNCTION("""COMPUTED_VALUE"""),0)</f>
        <v>0</v>
      </c>
      <c r="O11" s="165">
        <f ca="1">IFERROR(__xludf.DUMMYFUNCTION("""COMPUTED_VALUE"""),0)</f>
        <v>0</v>
      </c>
      <c r="P11" s="165">
        <f ca="1">IFERROR(__xludf.DUMMYFUNCTION("""COMPUTED_VALUE"""),0)</f>
        <v>0</v>
      </c>
      <c r="Q11" s="165">
        <f ca="1">IFERROR(__xludf.DUMMYFUNCTION("""COMPUTED_VALUE"""),0)</f>
        <v>0</v>
      </c>
      <c r="R11" s="165">
        <f ca="1">IFERROR(__xludf.DUMMYFUNCTION("""COMPUTED_VALUE"""),0)</f>
        <v>0</v>
      </c>
      <c r="S11" s="165">
        <f ca="1">IFERROR(__xludf.DUMMYFUNCTION("""COMPUTED_VALUE"""),0)</f>
        <v>0</v>
      </c>
      <c r="T11" s="165">
        <f ca="1">IFERROR(__xludf.DUMMYFUNCTION("""COMPUTED_VALUE"""),0)</f>
        <v>0</v>
      </c>
      <c r="U11" s="165">
        <f ca="1"/>
        <v>0</v>
      </c>
    </row>
    <row r="12" spans="1:21" ht="12.75">
      <c r="A12" s="167" t="str">
        <f ca="1">IFERROR(__xludf.DUMMYFUNCTION("""COMPUTED_VALUE"""),"Araguaina")</f>
        <v>Araguaina</v>
      </c>
      <c r="B12" s="167" t="str">
        <f ca="1">IFERROR(__xludf.DUMMYFUNCTION("""COMPUTED_VALUE"""),"Araguaina")</f>
        <v>Araguaina</v>
      </c>
      <c r="C12" s="168" t="str">
        <f ca="1">IFERROR(__xludf.DUMMYFUNCTION("""COMPUTED_VALUE"""),"A.A. DAS ESCOLAS ISOLADAS E REUNIDAS DA DRE ARAGUAINA")</f>
        <v>A.A. DAS ESCOLAS ISOLADAS E REUNIDAS DA DRE ARAGUAINA</v>
      </c>
      <c r="D12" s="169" t="str">
        <f ca="1">IFERROR(__xludf.DUMMYFUNCTION("""COMPUTED_VALUE"""),"02629601000193")</f>
        <v>02629601000193</v>
      </c>
      <c r="E12" s="170" t="str">
        <f ca="1">IFERROR(__xludf.DUMMYFUNCTION("""COMPUTED_VALUE"""),"001")</f>
        <v>001</v>
      </c>
      <c r="F12" s="170" t="str">
        <f ca="1">IFERROR(__xludf.DUMMYFUNCTION("""COMPUTED_VALUE"""),"0638")</f>
        <v>0638</v>
      </c>
      <c r="G12" s="170" t="str">
        <f ca="1">IFERROR(__xludf.DUMMYFUNCTION("""COMPUTED_VALUE"""),"352403")</f>
        <v>352403</v>
      </c>
      <c r="H12" s="170">
        <f ca="1">IFERROR(__xludf.DUMMYFUNCTION("""COMPUTED_VALUE"""),0)</f>
        <v>0</v>
      </c>
      <c r="I12" s="170">
        <f ca="1">IFERROR(__xludf.DUMMYFUNCTION("""COMPUTED_VALUE"""),0)</f>
        <v>0</v>
      </c>
      <c r="J12" s="170">
        <f ca="1">IFERROR(__xludf.DUMMYFUNCTION("""COMPUTED_VALUE"""),0)</f>
        <v>0</v>
      </c>
      <c r="K12" s="170">
        <f ca="1">IFERROR(__xludf.DUMMYFUNCTION("""COMPUTED_VALUE"""),0)</f>
        <v>0</v>
      </c>
      <c r="L12" s="170">
        <f ca="1">IFERROR(__xludf.DUMMYFUNCTION("""COMPUTED_VALUE"""),0)</f>
        <v>0</v>
      </c>
      <c r="M12" s="170">
        <f ca="1">IFERROR(__xludf.DUMMYFUNCTION("""COMPUTED_VALUE"""),0)</f>
        <v>0</v>
      </c>
      <c r="N12" s="170">
        <f ca="1">IFERROR(__xludf.DUMMYFUNCTION("""COMPUTED_VALUE"""),0)</f>
        <v>0</v>
      </c>
      <c r="O12" s="170">
        <f ca="1">IFERROR(__xludf.DUMMYFUNCTION("""COMPUTED_VALUE"""),8858)</f>
        <v>8858</v>
      </c>
      <c r="P12" s="170">
        <f ca="1">IFERROR(__xludf.DUMMYFUNCTION("""COMPUTED_VALUE"""),0)</f>
        <v>0</v>
      </c>
      <c r="Q12" s="170">
        <f ca="1">IFERROR(__xludf.DUMMYFUNCTION("""COMPUTED_VALUE"""),0)</f>
        <v>0</v>
      </c>
      <c r="R12" s="170">
        <f ca="1">IFERROR(__xludf.DUMMYFUNCTION("""COMPUTED_VALUE"""),0)</f>
        <v>0</v>
      </c>
      <c r="S12" s="170">
        <f ca="1">IFERROR(__xludf.DUMMYFUNCTION("""COMPUTED_VALUE"""),0)</f>
        <v>0</v>
      </c>
      <c r="T12" s="170">
        <f ca="1">IFERROR(__xludf.DUMMYFUNCTION("""COMPUTED_VALUE"""),0)</f>
        <v>0</v>
      </c>
      <c r="U12" s="170">
        <f ca="1"/>
        <v>8858</v>
      </c>
    </row>
    <row r="13" spans="1:21" ht="12.75">
      <c r="A13" s="162" t="str">
        <f ca="1">IFERROR(__xludf.DUMMYFUNCTION("""COMPUTED_VALUE"""),"Araguaina")</f>
        <v>Araguaina</v>
      </c>
      <c r="B13" s="162" t="str">
        <f ca="1">IFERROR(__xludf.DUMMYFUNCTION("""COMPUTED_VALUE"""),"Araguaina")</f>
        <v>Araguaina</v>
      </c>
      <c r="C13" s="163" t="str">
        <f ca="1">IFERROR(__xludf.DUMMYFUNCTION("""COMPUTED_VALUE"""),"A.A. DO CAIC JORGE HUMBERTO CAMARGO")</f>
        <v>A.A. DO CAIC JORGE HUMBERTO CAMARGO</v>
      </c>
      <c r="D13" s="164" t="str">
        <f ca="1">IFERROR(__xludf.DUMMYFUNCTION("""COMPUTED_VALUE"""),"01071395000186")</f>
        <v>01071395000186</v>
      </c>
      <c r="E13" s="165" t="str">
        <f ca="1">IFERROR(__xludf.DUMMYFUNCTION("""COMPUTED_VALUE"""),"001")</f>
        <v>001</v>
      </c>
      <c r="F13" s="165" t="str">
        <f ca="1">IFERROR(__xludf.DUMMYFUNCTION("""COMPUTED_VALUE"""),"0638")</f>
        <v>0638</v>
      </c>
      <c r="G13" s="165" t="str">
        <f ca="1">IFERROR(__xludf.DUMMYFUNCTION("""COMPUTED_VALUE"""),"55099X")</f>
        <v>55099X</v>
      </c>
      <c r="H13" s="165">
        <f ca="1">IFERROR(__xludf.DUMMYFUNCTION("""COMPUTED_VALUE"""),0)</f>
        <v>0</v>
      </c>
      <c r="I13" s="165">
        <f ca="1">IFERROR(__xludf.DUMMYFUNCTION("""COMPUTED_VALUE"""),0)</f>
        <v>0</v>
      </c>
      <c r="J13" s="165">
        <f ca="1">IFERROR(__xludf.DUMMYFUNCTION("""COMPUTED_VALUE"""),0)</f>
        <v>0</v>
      </c>
      <c r="K13" s="165">
        <f ca="1">IFERROR(__xludf.DUMMYFUNCTION("""COMPUTED_VALUE"""),36990)</f>
        <v>36990</v>
      </c>
      <c r="L13" s="165">
        <f ca="1">IFERROR(__xludf.DUMMYFUNCTION("""COMPUTED_VALUE"""),0)</f>
        <v>0</v>
      </c>
      <c r="M13" s="165">
        <f ca="1">IFERROR(__xludf.DUMMYFUNCTION("""COMPUTED_VALUE"""),0)</f>
        <v>0</v>
      </c>
      <c r="N13" s="165">
        <f ca="1">IFERROR(__xludf.DUMMYFUNCTION("""COMPUTED_VALUE"""),0)</f>
        <v>0</v>
      </c>
      <c r="O13" s="165">
        <f ca="1">IFERROR(__xludf.DUMMYFUNCTION("""COMPUTED_VALUE"""),0)</f>
        <v>0</v>
      </c>
      <c r="P13" s="165">
        <f ca="1">IFERROR(__xludf.DUMMYFUNCTION("""COMPUTED_VALUE"""),598.4)</f>
        <v>598.4</v>
      </c>
      <c r="Q13" s="165">
        <f ca="1">IFERROR(__xludf.DUMMYFUNCTION("""COMPUTED_VALUE"""),0)</f>
        <v>0</v>
      </c>
      <c r="R13" s="165">
        <f ca="1">IFERROR(__xludf.DUMMYFUNCTION("""COMPUTED_VALUE"""),0)</f>
        <v>0</v>
      </c>
      <c r="S13" s="165">
        <f ca="1">IFERROR(__xludf.DUMMYFUNCTION("""COMPUTED_VALUE"""),0)</f>
        <v>0</v>
      </c>
      <c r="T13" s="165">
        <f ca="1">IFERROR(__xludf.DUMMYFUNCTION("""COMPUTED_VALUE"""),0)</f>
        <v>0</v>
      </c>
      <c r="U13" s="165">
        <f ca="1"/>
        <v>37588.400000000001</v>
      </c>
    </row>
    <row r="14" spans="1:21" ht="12.75">
      <c r="A14" s="167" t="str">
        <f ca="1">IFERROR(__xludf.DUMMYFUNCTION("""COMPUTED_VALUE"""),"Araguaina")</f>
        <v>Araguaina</v>
      </c>
      <c r="B14" s="167" t="str">
        <f ca="1">IFERROR(__xludf.DUMMYFUNCTION("""COMPUTED_VALUE"""),"Araguaina")</f>
        <v>Araguaina</v>
      </c>
      <c r="C14" s="168" t="str">
        <f ca="1">IFERROR(__xludf.DUMMYFUNCTION("""COMPUTED_VALUE"""),"ASSOC. A. COL. EST. BENJAMIM JOSÉ DE ALMEIDA")</f>
        <v>ASSOC. A. COL. EST. BENJAMIM JOSÉ DE ALMEIDA</v>
      </c>
      <c r="D14" s="169" t="str">
        <f ca="1">IFERROR(__xludf.DUMMYFUNCTION("""COMPUTED_VALUE"""),"01136023000190")</f>
        <v>01136023000190</v>
      </c>
      <c r="E14" s="170" t="str">
        <f ca="1">IFERROR(__xludf.DUMMYFUNCTION("""COMPUTED_VALUE"""),"001")</f>
        <v>001</v>
      </c>
      <c r="F14" s="170" t="str">
        <f ca="1">IFERROR(__xludf.DUMMYFUNCTION("""COMPUTED_VALUE"""),"0638")</f>
        <v>0638</v>
      </c>
      <c r="G14" s="170" t="str">
        <f ca="1">IFERROR(__xludf.DUMMYFUNCTION("""COMPUTED_VALUE"""),"55149X")</f>
        <v>55149X</v>
      </c>
      <c r="H14" s="170">
        <f ca="1">IFERROR(__xludf.DUMMYFUNCTION("""COMPUTED_VALUE"""),0)</f>
        <v>0</v>
      </c>
      <c r="I14" s="170">
        <f ca="1">IFERROR(__xludf.DUMMYFUNCTION("""COMPUTED_VALUE"""),0)</f>
        <v>0</v>
      </c>
      <c r="J14" s="170">
        <f ca="1">IFERROR(__xludf.DUMMYFUNCTION("""COMPUTED_VALUE"""),0)</f>
        <v>0</v>
      </c>
      <c r="K14" s="170">
        <f ca="1">IFERROR(__xludf.DUMMYFUNCTION("""COMPUTED_VALUE"""),0)</f>
        <v>0</v>
      </c>
      <c r="L14" s="170">
        <f ca="1">IFERROR(__xludf.DUMMYFUNCTION("""COMPUTED_VALUE"""),0)</f>
        <v>0</v>
      </c>
      <c r="M14" s="170">
        <f ca="1">IFERROR(__xludf.DUMMYFUNCTION("""COMPUTED_VALUE"""),0)</f>
        <v>0</v>
      </c>
      <c r="N14" s="170">
        <f ca="1">IFERROR(__xludf.DUMMYFUNCTION("""COMPUTED_VALUE"""),0)</f>
        <v>0</v>
      </c>
      <c r="O14" s="170">
        <f ca="1">IFERROR(__xludf.DUMMYFUNCTION("""COMPUTED_VALUE"""),0)</f>
        <v>0</v>
      </c>
      <c r="P14" s="170">
        <f ca="1">IFERROR(__xludf.DUMMYFUNCTION("""COMPUTED_VALUE"""),176.799999999999)</f>
        <v>176.79999999999899</v>
      </c>
      <c r="Q14" s="170">
        <f ca="1">IFERROR(__xludf.DUMMYFUNCTION("""COMPUTED_VALUE"""),0)</f>
        <v>0</v>
      </c>
      <c r="R14" s="170">
        <f ca="1">IFERROR(__xludf.DUMMYFUNCTION("""COMPUTED_VALUE"""),0)</f>
        <v>0</v>
      </c>
      <c r="S14" s="170">
        <f ca="1">IFERROR(__xludf.DUMMYFUNCTION("""COMPUTED_VALUE"""),11571.2)</f>
        <v>11571.2</v>
      </c>
      <c r="T14" s="170">
        <f ca="1">IFERROR(__xludf.DUMMYFUNCTION("""COMPUTED_VALUE"""),0)</f>
        <v>0</v>
      </c>
      <c r="U14" s="170">
        <f ca="1"/>
        <v>11748</v>
      </c>
    </row>
    <row r="15" spans="1:21" ht="12.75">
      <c r="A15" s="162" t="str">
        <f ca="1">IFERROR(__xludf.DUMMYFUNCTION("""COMPUTED_VALUE"""),"Araguaina")</f>
        <v>Araguaina</v>
      </c>
      <c r="B15" s="162" t="str">
        <f ca="1">IFERROR(__xludf.DUMMYFUNCTION("""COMPUTED_VALUE"""),"Araguaina")</f>
        <v>Araguaina</v>
      </c>
      <c r="C15" s="163" t="str">
        <f ca="1">IFERROR(__xludf.DUMMYFUNCTION("""COMPUTED_VALUE"""),"ASSOC. DE PAIS, ALUNOS E MESTRES COL. EST. POLIVALENTE CASTELO BRANCO")</f>
        <v>ASSOC. DE PAIS, ALUNOS E MESTRES COL. EST. POLIVALENTE CASTELO BRANCO</v>
      </c>
      <c r="D15" s="164" t="str">
        <f ca="1">IFERROR(__xludf.DUMMYFUNCTION("""COMPUTED_VALUE"""),"00918900000112")</f>
        <v>00918900000112</v>
      </c>
      <c r="E15" s="165" t="str">
        <f ca="1">IFERROR(__xludf.DUMMYFUNCTION("""COMPUTED_VALUE"""),"001")</f>
        <v>001</v>
      </c>
      <c r="F15" s="165" t="str">
        <f ca="1">IFERROR(__xludf.DUMMYFUNCTION("""COMPUTED_VALUE"""),"0638")</f>
        <v>0638</v>
      </c>
      <c r="G15" s="165" t="str">
        <f ca="1">IFERROR(__xludf.DUMMYFUNCTION("""COMPUTED_VALUE"""),"12599")</f>
        <v>12599</v>
      </c>
      <c r="H15" s="165">
        <f ca="1">IFERROR(__xludf.DUMMYFUNCTION("""COMPUTED_VALUE"""),0)</f>
        <v>0</v>
      </c>
      <c r="I15" s="165">
        <f ca="1">IFERROR(__xludf.DUMMYFUNCTION("""COMPUTED_VALUE"""),0)</f>
        <v>0</v>
      </c>
      <c r="J15" s="165">
        <f ca="1">IFERROR(__xludf.DUMMYFUNCTION("""COMPUTED_VALUE"""),0)</f>
        <v>0</v>
      </c>
      <c r="K15" s="165">
        <f ca="1">IFERROR(__xludf.DUMMYFUNCTION("""COMPUTED_VALUE"""),0)</f>
        <v>0</v>
      </c>
      <c r="L15" s="165">
        <f ca="1">IFERROR(__xludf.DUMMYFUNCTION("""COMPUTED_VALUE"""),0)</f>
        <v>0</v>
      </c>
      <c r="M15" s="165">
        <f ca="1">IFERROR(__xludf.DUMMYFUNCTION("""COMPUTED_VALUE"""),0)</f>
        <v>0</v>
      </c>
      <c r="N15" s="165">
        <f ca="1">IFERROR(__xludf.DUMMYFUNCTION("""COMPUTED_VALUE"""),0)</f>
        <v>0</v>
      </c>
      <c r="O15" s="165">
        <f ca="1">IFERROR(__xludf.DUMMYFUNCTION("""COMPUTED_VALUE"""),0)</f>
        <v>0</v>
      </c>
      <c r="P15" s="165">
        <f ca="1">IFERROR(__xludf.DUMMYFUNCTION("""COMPUTED_VALUE"""),176.799999999999)</f>
        <v>176.79999999999899</v>
      </c>
      <c r="Q15" s="165">
        <f ca="1">IFERROR(__xludf.DUMMYFUNCTION("""COMPUTED_VALUE"""),0)</f>
        <v>0</v>
      </c>
      <c r="R15" s="165">
        <f ca="1">IFERROR(__xludf.DUMMYFUNCTION("""COMPUTED_VALUE"""),0)</f>
        <v>0</v>
      </c>
      <c r="S15" s="165">
        <f ca="1">IFERROR(__xludf.DUMMYFUNCTION("""COMPUTED_VALUE"""),7065.6)</f>
        <v>7065.6</v>
      </c>
      <c r="T15" s="165">
        <f ca="1">IFERROR(__xludf.DUMMYFUNCTION("""COMPUTED_VALUE"""),0)</f>
        <v>0</v>
      </c>
      <c r="U15" s="165">
        <f ca="1"/>
        <v>7242.4</v>
      </c>
    </row>
    <row r="16" spans="1:21" ht="12.75">
      <c r="A16" s="167" t="str">
        <f ca="1">IFERROR(__xludf.DUMMYFUNCTION("""COMPUTED_VALUE"""),"Araguaina")</f>
        <v>Araguaina</v>
      </c>
      <c r="B16" s="167" t="str">
        <f ca="1">IFERROR(__xludf.DUMMYFUNCTION("""COMPUTED_VALUE"""),"Araguaina")</f>
        <v>Araguaina</v>
      </c>
      <c r="C16" s="168" t="str">
        <f ca="1">IFERROR(__xludf.DUMMYFUNCTION("""COMPUTED_VALUE"""),"ASSOC. A.  DO COLÉGIO DA POLICIA MILITAR - UNIDADE III")</f>
        <v>ASSOC. A.  DO COLÉGIO DA POLICIA MILITAR - UNIDADE III</v>
      </c>
      <c r="D16" s="169" t="str">
        <f ca="1">IFERROR(__xludf.DUMMYFUNCTION("""COMPUTED_VALUE"""),"02480178000102")</f>
        <v>02480178000102</v>
      </c>
      <c r="E16" s="170" t="str">
        <f ca="1">IFERROR(__xludf.DUMMYFUNCTION("""COMPUTED_VALUE"""),"001")</f>
        <v>001</v>
      </c>
      <c r="F16" s="170" t="str">
        <f ca="1">IFERROR(__xludf.DUMMYFUNCTION("""COMPUTED_VALUE"""),"0638")</f>
        <v>0638</v>
      </c>
      <c r="G16" s="170" t="str">
        <f ca="1">IFERROR(__xludf.DUMMYFUNCTION("""COMPUTED_VALUE"""),"552291")</f>
        <v>552291</v>
      </c>
      <c r="H16" s="170">
        <f ca="1">IFERROR(__xludf.DUMMYFUNCTION("""COMPUTED_VALUE"""),0)</f>
        <v>0</v>
      </c>
      <c r="I16" s="170">
        <f ca="1">IFERROR(__xludf.DUMMYFUNCTION("""COMPUTED_VALUE"""),0)</f>
        <v>0</v>
      </c>
      <c r="J16" s="170">
        <f ca="1">IFERROR(__xludf.DUMMYFUNCTION("""COMPUTED_VALUE"""),0)</f>
        <v>0</v>
      </c>
      <c r="K16" s="170">
        <f ca="1">IFERROR(__xludf.DUMMYFUNCTION("""COMPUTED_VALUE"""),0)</f>
        <v>0</v>
      </c>
      <c r="L16" s="170">
        <f ca="1">IFERROR(__xludf.DUMMYFUNCTION("""COMPUTED_VALUE"""),0)</f>
        <v>0</v>
      </c>
      <c r="M16" s="170">
        <f ca="1">IFERROR(__xludf.DUMMYFUNCTION("""COMPUTED_VALUE"""),0)</f>
        <v>0</v>
      </c>
      <c r="N16" s="170">
        <f ca="1">IFERROR(__xludf.DUMMYFUNCTION("""COMPUTED_VALUE"""),0)</f>
        <v>0</v>
      </c>
      <c r="O16" s="170">
        <f ca="1">IFERROR(__xludf.DUMMYFUNCTION("""COMPUTED_VALUE"""),0)</f>
        <v>0</v>
      </c>
      <c r="P16" s="170">
        <f ca="1">IFERROR(__xludf.DUMMYFUNCTION("""COMPUTED_VALUE"""),0)</f>
        <v>0</v>
      </c>
      <c r="Q16" s="170">
        <f ca="1">IFERROR(__xludf.DUMMYFUNCTION("""COMPUTED_VALUE"""),16400)</f>
        <v>16400</v>
      </c>
      <c r="R16" s="170">
        <f ca="1">IFERROR(__xludf.DUMMYFUNCTION("""COMPUTED_VALUE"""),0)</f>
        <v>0</v>
      </c>
      <c r="S16" s="170">
        <f ca="1">IFERROR(__xludf.DUMMYFUNCTION("""COMPUTED_VALUE"""),0)</f>
        <v>0</v>
      </c>
      <c r="T16" s="170">
        <f ca="1">IFERROR(__xludf.DUMMYFUNCTION("""COMPUTED_VALUE"""),0)</f>
        <v>0</v>
      </c>
      <c r="U16" s="170">
        <f ca="1"/>
        <v>16400</v>
      </c>
    </row>
    <row r="17" spans="1:21" ht="12.75">
      <c r="A17" s="162" t="str">
        <f ca="1">IFERROR(__xludf.DUMMYFUNCTION("""COMPUTED_VALUE"""),"Araguaina")</f>
        <v>Araguaina</v>
      </c>
      <c r="B17" s="162" t="str">
        <f ca="1">IFERROR(__xludf.DUMMYFUNCTION("""COMPUTED_VALUE"""),"Araguaina")</f>
        <v>Araguaina</v>
      </c>
      <c r="C17" s="163" t="str">
        <f ca="1">IFERROR(__xludf.DUMMYFUNCTION("""COMPUTED_VALUE"""),"ASSOC. APOIO COL. EST. CEM PAULO FREIRE")</f>
        <v>ASSOC. APOIO COL. EST. CEM PAULO FREIRE</v>
      </c>
      <c r="D17" s="164" t="str">
        <f ca="1">IFERROR(__xludf.DUMMYFUNCTION("""COMPUTED_VALUE"""),"01738420000132")</f>
        <v>01738420000132</v>
      </c>
      <c r="E17" s="165" t="str">
        <f ca="1">IFERROR(__xludf.DUMMYFUNCTION("""COMPUTED_VALUE"""),"001")</f>
        <v>001</v>
      </c>
      <c r="F17" s="165" t="str">
        <f ca="1">IFERROR(__xludf.DUMMYFUNCTION("""COMPUTED_VALUE"""),"0638")</f>
        <v>0638</v>
      </c>
      <c r="G17" s="165" t="str">
        <f ca="1">IFERROR(__xludf.DUMMYFUNCTION("""COMPUTED_VALUE"""),"551589")</f>
        <v>551589</v>
      </c>
      <c r="H17" s="165">
        <f ca="1">IFERROR(__xludf.DUMMYFUNCTION("""COMPUTED_VALUE"""),0)</f>
        <v>0</v>
      </c>
      <c r="I17" s="165">
        <f ca="1">IFERROR(__xludf.DUMMYFUNCTION("""COMPUTED_VALUE"""),0)</f>
        <v>0</v>
      </c>
      <c r="J17" s="165">
        <f ca="1">IFERROR(__xludf.DUMMYFUNCTION("""COMPUTED_VALUE"""),0)</f>
        <v>0</v>
      </c>
      <c r="K17" s="165">
        <f ca="1">IFERROR(__xludf.DUMMYFUNCTION("""COMPUTED_VALUE"""),0)</f>
        <v>0</v>
      </c>
      <c r="L17" s="165">
        <f ca="1">IFERROR(__xludf.DUMMYFUNCTION("""COMPUTED_VALUE"""),0)</f>
        <v>0</v>
      </c>
      <c r="M17" s="165">
        <f ca="1">IFERROR(__xludf.DUMMYFUNCTION("""COMPUTED_VALUE"""),0)</f>
        <v>0</v>
      </c>
      <c r="N17" s="165">
        <f ca="1">IFERROR(__xludf.DUMMYFUNCTION("""COMPUTED_VALUE"""),0)</f>
        <v>0</v>
      </c>
      <c r="O17" s="165">
        <f ca="1">IFERROR(__xludf.DUMMYFUNCTION("""COMPUTED_VALUE"""),0)</f>
        <v>0</v>
      </c>
      <c r="P17" s="165">
        <f ca="1">IFERROR(__xludf.DUMMYFUNCTION("""COMPUTED_VALUE"""),136)</f>
        <v>136</v>
      </c>
      <c r="Q17" s="165">
        <f ca="1">IFERROR(__xludf.DUMMYFUNCTION("""COMPUTED_VALUE"""),0)</f>
        <v>0</v>
      </c>
      <c r="R17" s="165">
        <f ca="1">IFERROR(__xludf.DUMMYFUNCTION("""COMPUTED_VALUE"""),0)</f>
        <v>0</v>
      </c>
      <c r="S17" s="165">
        <f ca="1">IFERROR(__xludf.DUMMYFUNCTION("""COMPUTED_VALUE"""),10649.6)</f>
        <v>10649.6</v>
      </c>
      <c r="T17" s="165">
        <f ca="1">IFERROR(__xludf.DUMMYFUNCTION("""COMPUTED_VALUE"""),0)</f>
        <v>0</v>
      </c>
      <c r="U17" s="165">
        <f ca="1"/>
        <v>10785.6</v>
      </c>
    </row>
    <row r="18" spans="1:21" ht="12.75">
      <c r="A18" s="167" t="str">
        <f ca="1">IFERROR(__xludf.DUMMYFUNCTION("""COMPUTED_VALUE"""),"Araguaina")</f>
        <v>Araguaina</v>
      </c>
      <c r="B18" s="167" t="str">
        <f ca="1">IFERROR(__xludf.DUMMYFUNCTION("""COMPUTED_VALUE"""),"Araguaina")</f>
        <v>Araguaina</v>
      </c>
      <c r="C18" s="168" t="str">
        <f ca="1">IFERROR(__xludf.DUMMYFUNCTION("""COMPUTED_VALUE"""),"A. APOIO DO COLEGIO DE APLICACAO")</f>
        <v>A. APOIO DO COLEGIO DE APLICACAO</v>
      </c>
      <c r="D18" s="169" t="str">
        <f ca="1">IFERROR(__xludf.DUMMYFUNCTION("""COMPUTED_VALUE"""),"01086986000127")</f>
        <v>01086986000127</v>
      </c>
      <c r="E18" s="170" t="str">
        <f ca="1">IFERROR(__xludf.DUMMYFUNCTION("""COMPUTED_VALUE"""),"001")</f>
        <v>001</v>
      </c>
      <c r="F18" s="170" t="str">
        <f ca="1">IFERROR(__xludf.DUMMYFUNCTION("""COMPUTED_VALUE"""),"0638")</f>
        <v>0638</v>
      </c>
      <c r="G18" s="170" t="str">
        <f ca="1">IFERROR(__xludf.DUMMYFUNCTION("""COMPUTED_VALUE"""),"0465275")</f>
        <v>0465275</v>
      </c>
      <c r="H18" s="170">
        <f ca="1">IFERROR(__xludf.DUMMYFUNCTION("""COMPUTED_VALUE"""),0)</f>
        <v>0</v>
      </c>
      <c r="I18" s="170">
        <f ca="1">IFERROR(__xludf.DUMMYFUNCTION("""COMPUTED_VALUE"""),0)</f>
        <v>0</v>
      </c>
      <c r="J18" s="170">
        <f ca="1">IFERROR(__xludf.DUMMYFUNCTION("""COMPUTED_VALUE"""),5240)</f>
        <v>5240</v>
      </c>
      <c r="K18" s="170">
        <f ca="1">IFERROR(__xludf.DUMMYFUNCTION("""COMPUTED_VALUE"""),0)</f>
        <v>0</v>
      </c>
      <c r="L18" s="170">
        <f ca="1">IFERROR(__xludf.DUMMYFUNCTION("""COMPUTED_VALUE"""),0)</f>
        <v>0</v>
      </c>
      <c r="M18" s="170">
        <f ca="1">IFERROR(__xludf.DUMMYFUNCTION("""COMPUTED_VALUE"""),0)</f>
        <v>0</v>
      </c>
      <c r="N18" s="170">
        <f ca="1">IFERROR(__xludf.DUMMYFUNCTION("""COMPUTED_VALUE"""),0)</f>
        <v>0</v>
      </c>
      <c r="O18" s="170">
        <f ca="1">IFERROR(__xludf.DUMMYFUNCTION("""COMPUTED_VALUE"""),0)</f>
        <v>0</v>
      </c>
      <c r="P18" s="170">
        <f ca="1">IFERROR(__xludf.DUMMYFUNCTION("""COMPUTED_VALUE"""),326.4)</f>
        <v>326.39999999999998</v>
      </c>
      <c r="Q18" s="170">
        <f ca="1">IFERROR(__xludf.DUMMYFUNCTION("""COMPUTED_VALUE"""),5080)</f>
        <v>5080</v>
      </c>
      <c r="R18" s="170">
        <f ca="1">IFERROR(__xludf.DUMMYFUNCTION("""COMPUTED_VALUE"""),0)</f>
        <v>0</v>
      </c>
      <c r="S18" s="170">
        <f ca="1">IFERROR(__xludf.DUMMYFUNCTION("""COMPUTED_VALUE"""),0)</f>
        <v>0</v>
      </c>
      <c r="T18" s="170">
        <f ca="1">IFERROR(__xludf.DUMMYFUNCTION("""COMPUTED_VALUE"""),0)</f>
        <v>0</v>
      </c>
      <c r="U18" s="170">
        <f ca="1"/>
        <v>10646.4</v>
      </c>
    </row>
    <row r="19" spans="1:21" ht="12.75">
      <c r="A19" s="162" t="str">
        <f ca="1">IFERROR(__xludf.DUMMYFUNCTION("""COMPUTED_VALUE"""),"Araguaina")</f>
        <v>Araguaina</v>
      </c>
      <c r="B19" s="162" t="str">
        <f ca="1">IFERROR(__xludf.DUMMYFUNCTION("""COMPUTED_VALUE"""),"Araguaina")</f>
        <v>Araguaina</v>
      </c>
      <c r="C19" s="163" t="str">
        <f ca="1">IFERROR(__xludf.DUMMYFUNCTION("""COMPUTED_VALUE"""),"A.A. C.E. ADEMAR V. FERREIRA SOBRINHO")</f>
        <v>A.A. C.E. ADEMAR V. FERREIRA SOBRINHO</v>
      </c>
      <c r="D19" s="164" t="str">
        <f ca="1">IFERROR(__xludf.DUMMYFUNCTION("""COMPUTED_VALUE"""),"01143808000190")</f>
        <v>01143808000190</v>
      </c>
      <c r="E19" s="165" t="str">
        <f ca="1">IFERROR(__xludf.DUMMYFUNCTION("""COMPUTED_VALUE"""),"001")</f>
        <v>001</v>
      </c>
      <c r="F19" s="165" t="str">
        <f ca="1">IFERROR(__xludf.DUMMYFUNCTION("""COMPUTED_VALUE"""),"0638")</f>
        <v>0638</v>
      </c>
      <c r="G19" s="165" t="str">
        <f ca="1">IFERROR(__xludf.DUMMYFUNCTION("""COMPUTED_VALUE"""),"0464244")</f>
        <v>0464244</v>
      </c>
      <c r="H19" s="165">
        <f ca="1">IFERROR(__xludf.DUMMYFUNCTION("""COMPUTED_VALUE"""),0)</f>
        <v>0</v>
      </c>
      <c r="I19" s="165">
        <f ca="1">IFERROR(__xludf.DUMMYFUNCTION("""COMPUTED_VALUE"""),0)</f>
        <v>0</v>
      </c>
      <c r="J19" s="165">
        <f ca="1">IFERROR(__xludf.DUMMYFUNCTION("""COMPUTED_VALUE"""),4120)</f>
        <v>4120</v>
      </c>
      <c r="K19" s="165">
        <f ca="1">IFERROR(__xludf.DUMMYFUNCTION("""COMPUTED_VALUE"""),0)</f>
        <v>0</v>
      </c>
      <c r="L19" s="165">
        <f ca="1">IFERROR(__xludf.DUMMYFUNCTION("""COMPUTED_VALUE"""),0)</f>
        <v>0</v>
      </c>
      <c r="M19" s="165">
        <f ca="1">IFERROR(__xludf.DUMMYFUNCTION("""COMPUTED_VALUE"""),0)</f>
        <v>0</v>
      </c>
      <c r="N19" s="165">
        <f ca="1">IFERROR(__xludf.DUMMYFUNCTION("""COMPUTED_VALUE"""),0)</f>
        <v>0</v>
      </c>
      <c r="O19" s="165">
        <f ca="1">IFERROR(__xludf.DUMMYFUNCTION("""COMPUTED_VALUE"""),0)</f>
        <v>0</v>
      </c>
      <c r="P19" s="165">
        <f ca="1">IFERROR(__xludf.DUMMYFUNCTION("""COMPUTED_VALUE"""),272)</f>
        <v>272</v>
      </c>
      <c r="Q19" s="165">
        <f ca="1">IFERROR(__xludf.DUMMYFUNCTION("""COMPUTED_VALUE"""),0)</f>
        <v>0</v>
      </c>
      <c r="R19" s="165">
        <f ca="1">IFERROR(__xludf.DUMMYFUNCTION("""COMPUTED_VALUE"""),0)</f>
        <v>0</v>
      </c>
      <c r="S19" s="165">
        <f ca="1">IFERROR(__xludf.DUMMYFUNCTION("""COMPUTED_VALUE"""),0)</f>
        <v>0</v>
      </c>
      <c r="T19" s="165">
        <f ca="1">IFERROR(__xludf.DUMMYFUNCTION("""COMPUTED_VALUE"""),0)</f>
        <v>0</v>
      </c>
      <c r="U19" s="165">
        <f ca="1"/>
        <v>4392</v>
      </c>
    </row>
    <row r="20" spans="1:21" ht="12.75">
      <c r="A20" s="167" t="str">
        <f ca="1">IFERROR(__xludf.DUMMYFUNCTION("""COMPUTED_VALUE"""),"Araguaina")</f>
        <v>Araguaina</v>
      </c>
      <c r="B20" s="167" t="str">
        <f ca="1">IFERROR(__xludf.DUMMYFUNCTION("""COMPUTED_VALUE"""),"Araguaina")</f>
        <v>Araguaina</v>
      </c>
      <c r="C20" s="168" t="str">
        <f ca="1">IFERROR(__xludf.DUMMYFUNCTION("""COMPUTED_VALUE"""),"A.A. C.E.  ADOLFO BEZERRA DE MENEZES")</f>
        <v>A.A. C.E.  ADOLFO BEZERRA DE MENEZES</v>
      </c>
      <c r="D20" s="169" t="str">
        <f ca="1">IFERROR(__xludf.DUMMYFUNCTION("""COMPUTED_VALUE"""),"01071435000190")</f>
        <v>01071435000190</v>
      </c>
      <c r="E20" s="170" t="str">
        <f ca="1">IFERROR(__xludf.DUMMYFUNCTION("""COMPUTED_VALUE"""),"001")</f>
        <v>001</v>
      </c>
      <c r="F20" s="170" t="str">
        <f ca="1">IFERROR(__xludf.DUMMYFUNCTION("""COMPUTED_VALUE"""),"0638")</f>
        <v>0638</v>
      </c>
      <c r="G20" s="170" t="str">
        <f ca="1">IFERROR(__xludf.DUMMYFUNCTION("""COMPUTED_VALUE"""),"463426")</f>
        <v>463426</v>
      </c>
      <c r="H20" s="170">
        <f ca="1">IFERROR(__xludf.DUMMYFUNCTION("""COMPUTED_VALUE"""),0)</f>
        <v>0</v>
      </c>
      <c r="I20" s="170">
        <f ca="1">IFERROR(__xludf.DUMMYFUNCTION("""COMPUTED_VALUE"""),0)</f>
        <v>0</v>
      </c>
      <c r="J20" s="170">
        <f ca="1">IFERROR(__xludf.DUMMYFUNCTION("""COMPUTED_VALUE"""),5510)</f>
        <v>5510</v>
      </c>
      <c r="K20" s="170">
        <f ca="1">IFERROR(__xludf.DUMMYFUNCTION("""COMPUTED_VALUE"""),0)</f>
        <v>0</v>
      </c>
      <c r="L20" s="170">
        <f ca="1">IFERROR(__xludf.DUMMYFUNCTION("""COMPUTED_VALUE"""),0)</f>
        <v>0</v>
      </c>
      <c r="M20" s="170">
        <f ca="1">IFERROR(__xludf.DUMMYFUNCTION("""COMPUTED_VALUE"""),0)</f>
        <v>0</v>
      </c>
      <c r="N20" s="170">
        <f ca="1">IFERROR(__xludf.DUMMYFUNCTION("""COMPUTED_VALUE"""),0)</f>
        <v>0</v>
      </c>
      <c r="O20" s="170">
        <f ca="1">IFERROR(__xludf.DUMMYFUNCTION("""COMPUTED_VALUE"""),0)</f>
        <v>0</v>
      </c>
      <c r="P20" s="170">
        <f ca="1">IFERROR(__xludf.DUMMYFUNCTION("""COMPUTED_VALUE"""),299.2)</f>
        <v>299.2</v>
      </c>
      <c r="Q20" s="170">
        <f ca="1">IFERROR(__xludf.DUMMYFUNCTION("""COMPUTED_VALUE"""),4370)</f>
        <v>4370</v>
      </c>
      <c r="R20" s="170">
        <f ca="1">IFERROR(__xludf.DUMMYFUNCTION("""COMPUTED_VALUE"""),0)</f>
        <v>0</v>
      </c>
      <c r="S20" s="170">
        <f ca="1">IFERROR(__xludf.DUMMYFUNCTION("""COMPUTED_VALUE"""),0)</f>
        <v>0</v>
      </c>
      <c r="T20" s="170">
        <f ca="1">IFERROR(__xludf.DUMMYFUNCTION("""COMPUTED_VALUE"""),1016.8)</f>
        <v>1016.8</v>
      </c>
      <c r="U20" s="170">
        <f ca="1"/>
        <v>11196</v>
      </c>
    </row>
    <row r="21" spans="1:21" ht="12.75">
      <c r="A21" s="162" t="str">
        <f ca="1">IFERROR(__xludf.DUMMYFUNCTION("""COMPUTED_VALUE"""),"Araguaina")</f>
        <v>Araguaina</v>
      </c>
      <c r="B21" s="162" t="str">
        <f ca="1">IFERROR(__xludf.DUMMYFUNCTION("""COMPUTED_VALUE"""),"Araguaina")</f>
        <v>Araguaina</v>
      </c>
      <c r="C21" s="163" t="str">
        <f ca="1">IFERROR(__xludf.DUMMYFUNCTION("""COMPUTED_VALUE"""),"A. APOIO ESCOLA EST. CAMPOS BRASIL")</f>
        <v>A. APOIO ESCOLA EST. CAMPOS BRASIL</v>
      </c>
      <c r="D21" s="164" t="str">
        <f ca="1">IFERROR(__xludf.DUMMYFUNCTION("""COMPUTED_VALUE"""),"01291177000157")</f>
        <v>01291177000157</v>
      </c>
      <c r="E21" s="165" t="str">
        <f ca="1">IFERROR(__xludf.DUMMYFUNCTION("""COMPUTED_VALUE"""),"001")</f>
        <v>001</v>
      </c>
      <c r="F21" s="165" t="str">
        <f ca="1">IFERROR(__xludf.DUMMYFUNCTION("""COMPUTED_VALUE"""),"0638")</f>
        <v>0638</v>
      </c>
      <c r="G21" s="165" t="str">
        <f ca="1">IFERROR(__xludf.DUMMYFUNCTION("""COMPUTED_VALUE"""),"466093")</f>
        <v>466093</v>
      </c>
      <c r="H21" s="165">
        <f ca="1">IFERROR(__xludf.DUMMYFUNCTION("""COMPUTED_VALUE"""),0)</f>
        <v>0</v>
      </c>
      <c r="I21" s="165">
        <f ca="1">IFERROR(__xludf.DUMMYFUNCTION("""COMPUTED_VALUE"""),0)</f>
        <v>0</v>
      </c>
      <c r="J21" s="165">
        <f ca="1">IFERROR(__xludf.DUMMYFUNCTION("""COMPUTED_VALUE"""),5590)</f>
        <v>5590</v>
      </c>
      <c r="K21" s="165">
        <f ca="1">IFERROR(__xludf.DUMMYFUNCTION("""COMPUTED_VALUE"""),0)</f>
        <v>0</v>
      </c>
      <c r="L21" s="165">
        <f ca="1">IFERROR(__xludf.DUMMYFUNCTION("""COMPUTED_VALUE"""),0)</f>
        <v>0</v>
      </c>
      <c r="M21" s="165">
        <f ca="1">IFERROR(__xludf.DUMMYFUNCTION("""COMPUTED_VALUE"""),0)</f>
        <v>0</v>
      </c>
      <c r="N21" s="165">
        <f ca="1">IFERROR(__xludf.DUMMYFUNCTION("""COMPUTED_VALUE"""),0)</f>
        <v>0</v>
      </c>
      <c r="O21" s="165">
        <f ca="1">IFERROR(__xludf.DUMMYFUNCTION("""COMPUTED_VALUE"""),0)</f>
        <v>0</v>
      </c>
      <c r="P21" s="165">
        <f ca="1">IFERROR(__xludf.DUMMYFUNCTION("""COMPUTED_VALUE"""),489.599999999999)</f>
        <v>489.599999999999</v>
      </c>
      <c r="Q21" s="165">
        <f ca="1">IFERROR(__xludf.DUMMYFUNCTION("""COMPUTED_VALUE"""),5960)</f>
        <v>5960</v>
      </c>
      <c r="R21" s="165">
        <f ca="1">IFERROR(__xludf.DUMMYFUNCTION("""COMPUTED_VALUE"""),0)</f>
        <v>0</v>
      </c>
      <c r="S21" s="165">
        <f ca="1">IFERROR(__xludf.DUMMYFUNCTION("""COMPUTED_VALUE"""),0)</f>
        <v>0</v>
      </c>
      <c r="T21" s="165">
        <f ca="1">IFERROR(__xludf.DUMMYFUNCTION("""COMPUTED_VALUE"""),0)</f>
        <v>0</v>
      </c>
      <c r="U21" s="165">
        <f ca="1"/>
        <v>12039.599999999999</v>
      </c>
    </row>
    <row r="22" spans="1:21" ht="12.75">
      <c r="A22" s="167" t="str">
        <f ca="1">IFERROR(__xludf.DUMMYFUNCTION("""COMPUTED_VALUE"""),"Araguaina")</f>
        <v>Araguaina</v>
      </c>
      <c r="B22" s="167" t="str">
        <f ca="1">IFERROR(__xludf.DUMMYFUNCTION("""COMPUTED_VALUE"""),"Araguaina")</f>
        <v>Araguaina</v>
      </c>
      <c r="C22" s="168" t="str">
        <f ca="1">IFERROR(__xludf.DUMMYFUNCTION("""COMPUTED_VALUE"""),"A.A. COL. ESTADUAL GUILHERME DOURADO")</f>
        <v>A.A. COL. ESTADUAL GUILHERME DOURADO</v>
      </c>
      <c r="D22" s="169" t="str">
        <f ca="1">IFERROR(__xludf.DUMMYFUNCTION("""COMPUTED_VALUE"""),"01257074000170")</f>
        <v>01257074000170</v>
      </c>
      <c r="E22" s="170" t="str">
        <f ca="1">IFERROR(__xludf.DUMMYFUNCTION("""COMPUTED_VALUE"""),"001")</f>
        <v>001</v>
      </c>
      <c r="F22" s="170" t="str">
        <f ca="1">IFERROR(__xludf.DUMMYFUNCTION("""COMPUTED_VALUE"""),"0638")</f>
        <v>0638</v>
      </c>
      <c r="G22" s="170" t="str">
        <f ca="1">IFERROR(__xludf.DUMMYFUNCTION("""COMPUTED_VALUE"""),"0068659")</f>
        <v>0068659</v>
      </c>
      <c r="H22" s="170">
        <f ca="1">IFERROR(__xludf.DUMMYFUNCTION("""COMPUTED_VALUE"""),0)</f>
        <v>0</v>
      </c>
      <c r="I22" s="170">
        <f ca="1">IFERROR(__xludf.DUMMYFUNCTION("""COMPUTED_VALUE"""),0)</f>
        <v>0</v>
      </c>
      <c r="J22" s="170">
        <f ca="1">IFERROR(__xludf.DUMMYFUNCTION("""COMPUTED_VALUE"""),0)</f>
        <v>0</v>
      </c>
      <c r="K22" s="170">
        <f ca="1">IFERROR(__xludf.DUMMYFUNCTION("""COMPUTED_VALUE"""),0)</f>
        <v>0</v>
      </c>
      <c r="L22" s="170">
        <f ca="1">IFERROR(__xludf.DUMMYFUNCTION("""COMPUTED_VALUE"""),0)</f>
        <v>0</v>
      </c>
      <c r="M22" s="170">
        <f ca="1">IFERROR(__xludf.DUMMYFUNCTION("""COMPUTED_VALUE"""),0)</f>
        <v>0</v>
      </c>
      <c r="N22" s="170">
        <f ca="1">IFERROR(__xludf.DUMMYFUNCTION("""COMPUTED_VALUE"""),0)</f>
        <v>0</v>
      </c>
      <c r="O22" s="170">
        <f ca="1">IFERROR(__xludf.DUMMYFUNCTION("""COMPUTED_VALUE"""),0)</f>
        <v>0</v>
      </c>
      <c r="P22" s="170">
        <f ca="1">IFERROR(__xludf.DUMMYFUNCTION("""COMPUTED_VALUE"""),108.8)</f>
        <v>108.8</v>
      </c>
      <c r="Q22" s="170">
        <f ca="1">IFERROR(__xludf.DUMMYFUNCTION("""COMPUTED_VALUE"""),14690)</f>
        <v>14690</v>
      </c>
      <c r="R22" s="170">
        <f ca="1">IFERROR(__xludf.DUMMYFUNCTION("""COMPUTED_VALUE"""),0)</f>
        <v>0</v>
      </c>
      <c r="S22" s="170">
        <f ca="1">IFERROR(__xludf.DUMMYFUNCTION("""COMPUTED_VALUE"""),0)</f>
        <v>0</v>
      </c>
      <c r="T22" s="170">
        <f ca="1">IFERROR(__xludf.DUMMYFUNCTION("""COMPUTED_VALUE"""),0)</f>
        <v>0</v>
      </c>
      <c r="U22" s="170">
        <f ca="1"/>
        <v>14798.8</v>
      </c>
    </row>
    <row r="23" spans="1:21" ht="12.75">
      <c r="A23" s="162" t="str">
        <f ca="1">IFERROR(__xludf.DUMMYFUNCTION("""COMPUTED_VALUE"""),"Araguaina")</f>
        <v>Araguaina</v>
      </c>
      <c r="B23" s="162" t="str">
        <f ca="1">IFERROR(__xludf.DUMMYFUNCTION("""COMPUTED_VALUE"""),"Araguaina")</f>
        <v>Araguaina</v>
      </c>
      <c r="C23" s="163" t="str">
        <f ca="1">IFERROR(__xludf.DUMMYFUNCTION("""COMPUTED_VALUE"""),"ASS. APOIO COL. EST. JARDIM PAULISTA")</f>
        <v>ASS. APOIO COL. EST. JARDIM PAULISTA</v>
      </c>
      <c r="D23" s="164" t="str">
        <f ca="1">IFERROR(__xludf.DUMMYFUNCTION("""COMPUTED_VALUE"""),"05502542000186")</f>
        <v>05502542000186</v>
      </c>
      <c r="E23" s="165" t="str">
        <f ca="1">IFERROR(__xludf.DUMMYFUNCTION("""COMPUTED_VALUE"""),"001")</f>
        <v>001</v>
      </c>
      <c r="F23" s="165" t="str">
        <f ca="1">IFERROR(__xludf.DUMMYFUNCTION("""COMPUTED_VALUE"""),"0638")</f>
        <v>0638</v>
      </c>
      <c r="G23" s="165" t="str">
        <f ca="1">IFERROR(__xludf.DUMMYFUNCTION("""COMPUTED_VALUE"""),"243876")</f>
        <v>243876</v>
      </c>
      <c r="H23" s="165">
        <f ca="1">IFERROR(__xludf.DUMMYFUNCTION("""COMPUTED_VALUE"""),0)</f>
        <v>0</v>
      </c>
      <c r="I23" s="165">
        <f ca="1">IFERROR(__xludf.DUMMYFUNCTION("""COMPUTED_VALUE"""),0)</f>
        <v>0</v>
      </c>
      <c r="J23" s="165">
        <f ca="1">IFERROR(__xludf.DUMMYFUNCTION("""COMPUTED_VALUE"""),4350)</f>
        <v>4350</v>
      </c>
      <c r="K23" s="165">
        <f ca="1">IFERROR(__xludf.DUMMYFUNCTION("""COMPUTED_VALUE"""),0)</f>
        <v>0</v>
      </c>
      <c r="L23" s="165">
        <f ca="1">IFERROR(__xludf.DUMMYFUNCTION("""COMPUTED_VALUE"""),0)</f>
        <v>0</v>
      </c>
      <c r="M23" s="165">
        <f ca="1">IFERROR(__xludf.DUMMYFUNCTION("""COMPUTED_VALUE"""),0)</f>
        <v>0</v>
      </c>
      <c r="N23" s="165">
        <f ca="1">IFERROR(__xludf.DUMMYFUNCTION("""COMPUTED_VALUE"""),0)</f>
        <v>0</v>
      </c>
      <c r="O23" s="165">
        <f ca="1">IFERROR(__xludf.DUMMYFUNCTION("""COMPUTED_VALUE"""),0)</f>
        <v>0</v>
      </c>
      <c r="P23" s="165">
        <f ca="1">IFERROR(__xludf.DUMMYFUNCTION("""COMPUTED_VALUE"""),217.6)</f>
        <v>217.6</v>
      </c>
      <c r="Q23" s="165">
        <f ca="1">IFERROR(__xludf.DUMMYFUNCTION("""COMPUTED_VALUE"""),4590)</f>
        <v>4590</v>
      </c>
      <c r="R23" s="165">
        <f ca="1">IFERROR(__xludf.DUMMYFUNCTION("""COMPUTED_VALUE"""),0)</f>
        <v>0</v>
      </c>
      <c r="S23" s="165">
        <f ca="1">IFERROR(__xludf.DUMMYFUNCTION("""COMPUTED_VALUE"""),0)</f>
        <v>0</v>
      </c>
      <c r="T23" s="165">
        <f ca="1">IFERROR(__xludf.DUMMYFUNCTION("""COMPUTED_VALUE"""),0)</f>
        <v>0</v>
      </c>
      <c r="U23" s="165">
        <f ca="1"/>
        <v>9157.6</v>
      </c>
    </row>
    <row r="24" spans="1:21" ht="12.75">
      <c r="A24" s="167" t="str">
        <f ca="1">IFERROR(__xludf.DUMMYFUNCTION("""COMPUTED_VALUE"""),"Araguaina")</f>
        <v>Araguaina</v>
      </c>
      <c r="B24" s="167" t="str">
        <f ca="1">IFERROR(__xludf.DUMMYFUNCTION("""COMPUTED_VALUE"""),"Araguaina")</f>
        <v>Araguaina</v>
      </c>
      <c r="C24" s="168" t="str">
        <f ca="1">IFERROR(__xludf.DUMMYFUNCTION("""COMPUTED_VALUE"""),"A.APOIO COL. ESTADUAL JORGE AMADO")</f>
        <v>A.APOIO COL. ESTADUAL JORGE AMADO</v>
      </c>
      <c r="D24" s="169" t="str">
        <f ca="1">IFERROR(__xludf.DUMMYFUNCTION("""COMPUTED_VALUE"""),"01291218000105")</f>
        <v>01291218000105</v>
      </c>
      <c r="E24" s="170" t="str">
        <f ca="1">IFERROR(__xludf.DUMMYFUNCTION("""COMPUTED_VALUE"""),"001")</f>
        <v>001</v>
      </c>
      <c r="F24" s="170" t="str">
        <f ca="1">IFERROR(__xludf.DUMMYFUNCTION("""COMPUTED_VALUE"""),"0638")</f>
        <v>0638</v>
      </c>
      <c r="G24" s="170" t="str">
        <f ca="1">IFERROR(__xludf.DUMMYFUNCTION("""COMPUTED_VALUE"""),"0467006")</f>
        <v>0467006</v>
      </c>
      <c r="H24" s="170">
        <f ca="1">IFERROR(__xludf.DUMMYFUNCTION("""COMPUTED_VALUE"""),0)</f>
        <v>0</v>
      </c>
      <c r="I24" s="170">
        <f ca="1">IFERROR(__xludf.DUMMYFUNCTION("""COMPUTED_VALUE"""),0)</f>
        <v>0</v>
      </c>
      <c r="J24" s="170">
        <f ca="1">IFERROR(__xludf.DUMMYFUNCTION("""COMPUTED_VALUE"""),2250)</f>
        <v>2250</v>
      </c>
      <c r="K24" s="170">
        <f ca="1">IFERROR(__xludf.DUMMYFUNCTION("""COMPUTED_VALUE"""),0)</f>
        <v>0</v>
      </c>
      <c r="L24" s="170">
        <f ca="1">IFERROR(__xludf.DUMMYFUNCTION("""COMPUTED_VALUE"""),0)</f>
        <v>0</v>
      </c>
      <c r="M24" s="170">
        <f ca="1">IFERROR(__xludf.DUMMYFUNCTION("""COMPUTED_VALUE"""),0)</f>
        <v>0</v>
      </c>
      <c r="N24" s="170">
        <f ca="1">IFERROR(__xludf.DUMMYFUNCTION("""COMPUTED_VALUE"""),0)</f>
        <v>0</v>
      </c>
      <c r="O24" s="170">
        <f ca="1">IFERROR(__xludf.DUMMYFUNCTION("""COMPUTED_VALUE"""),0)</f>
        <v>0</v>
      </c>
      <c r="P24" s="170">
        <f ca="1">IFERROR(__xludf.DUMMYFUNCTION("""COMPUTED_VALUE"""),244.799999999999)</f>
        <v>244.79999999999899</v>
      </c>
      <c r="Q24" s="170">
        <f ca="1">IFERROR(__xludf.DUMMYFUNCTION("""COMPUTED_VALUE"""),2970)</f>
        <v>2970</v>
      </c>
      <c r="R24" s="170">
        <f ca="1">IFERROR(__xludf.DUMMYFUNCTION("""COMPUTED_VALUE"""),0)</f>
        <v>0</v>
      </c>
      <c r="S24" s="170">
        <f ca="1">IFERROR(__xludf.DUMMYFUNCTION("""COMPUTED_VALUE"""),0)</f>
        <v>0</v>
      </c>
      <c r="T24" s="170">
        <f ca="1">IFERROR(__xludf.DUMMYFUNCTION("""COMPUTED_VALUE"""),0)</f>
        <v>0</v>
      </c>
      <c r="U24" s="170">
        <f ca="1"/>
        <v>5464.7999999999993</v>
      </c>
    </row>
    <row r="25" spans="1:21" ht="12.75">
      <c r="A25" s="162" t="str">
        <f ca="1">IFERROR(__xludf.DUMMYFUNCTION("""COMPUTED_VALUE"""),"Araguaina")</f>
        <v>Araguaina</v>
      </c>
      <c r="B25" s="162" t="str">
        <f ca="1">IFERROR(__xludf.DUMMYFUNCTION("""COMPUTED_VALUE"""),"Araguaina")</f>
        <v>Araguaina</v>
      </c>
      <c r="C25" s="163" t="str">
        <f ca="1">IFERROR(__xludf.DUMMYFUNCTION("""COMPUTED_VALUE"""),"A.A. C.E.  PROF. SILVANDIRA SOUSA LIMA")</f>
        <v>A.A. C.E.  PROF. SILVANDIRA SOUSA LIMA</v>
      </c>
      <c r="D25" s="164" t="str">
        <f ca="1">IFERROR(__xludf.DUMMYFUNCTION("""COMPUTED_VALUE"""),"01071403000194")</f>
        <v>01071403000194</v>
      </c>
      <c r="E25" s="165" t="str">
        <f ca="1">IFERROR(__xludf.DUMMYFUNCTION("""COMPUTED_VALUE"""),"001")</f>
        <v>001</v>
      </c>
      <c r="F25" s="165" t="str">
        <f ca="1">IFERROR(__xludf.DUMMYFUNCTION("""COMPUTED_VALUE"""),"0638")</f>
        <v>0638</v>
      </c>
      <c r="G25" s="165" t="str">
        <f ca="1">IFERROR(__xludf.DUMMYFUNCTION("""COMPUTED_VALUE"""),"0463922")</f>
        <v>0463922</v>
      </c>
      <c r="H25" s="165">
        <f ca="1">IFERROR(__xludf.DUMMYFUNCTION("""COMPUTED_VALUE"""),0)</f>
        <v>0</v>
      </c>
      <c r="I25" s="165">
        <f ca="1">IFERROR(__xludf.DUMMYFUNCTION("""COMPUTED_VALUE"""),0)</f>
        <v>0</v>
      </c>
      <c r="J25" s="165">
        <f ca="1">IFERROR(__xludf.DUMMYFUNCTION("""COMPUTED_VALUE"""),5980)</f>
        <v>5980</v>
      </c>
      <c r="K25" s="165">
        <f ca="1">IFERROR(__xludf.DUMMYFUNCTION("""COMPUTED_VALUE"""),0)</f>
        <v>0</v>
      </c>
      <c r="L25" s="165">
        <f ca="1">IFERROR(__xludf.DUMMYFUNCTION("""COMPUTED_VALUE"""),0)</f>
        <v>0</v>
      </c>
      <c r="M25" s="165">
        <f ca="1">IFERROR(__xludf.DUMMYFUNCTION("""COMPUTED_VALUE"""),0)</f>
        <v>0</v>
      </c>
      <c r="N25" s="165">
        <f ca="1">IFERROR(__xludf.DUMMYFUNCTION("""COMPUTED_VALUE"""),0)</f>
        <v>0</v>
      </c>
      <c r="O25" s="165">
        <f ca="1">IFERROR(__xludf.DUMMYFUNCTION("""COMPUTED_VALUE"""),0)</f>
        <v>0</v>
      </c>
      <c r="P25" s="165">
        <f ca="1">IFERROR(__xludf.DUMMYFUNCTION("""COMPUTED_VALUE"""),272)</f>
        <v>272</v>
      </c>
      <c r="Q25" s="165">
        <f ca="1">IFERROR(__xludf.DUMMYFUNCTION("""COMPUTED_VALUE"""),8560)</f>
        <v>8560</v>
      </c>
      <c r="R25" s="165">
        <f ca="1">IFERROR(__xludf.DUMMYFUNCTION("""COMPUTED_VALUE"""),0)</f>
        <v>0</v>
      </c>
      <c r="S25" s="165">
        <f ca="1">IFERROR(__xludf.DUMMYFUNCTION("""COMPUTED_VALUE"""),0)</f>
        <v>0</v>
      </c>
      <c r="T25" s="165">
        <f ca="1">IFERROR(__xludf.DUMMYFUNCTION("""COMPUTED_VALUE"""),0)</f>
        <v>0</v>
      </c>
      <c r="U25" s="165">
        <f ca="1"/>
        <v>14812</v>
      </c>
    </row>
    <row r="26" spans="1:21" ht="12.75">
      <c r="A26" s="171" t="str">
        <f ca="1">IFERROR(__xludf.DUMMYFUNCTION("""COMPUTED_VALUE"""),"Araguaina")</f>
        <v>Araguaina</v>
      </c>
      <c r="B26" s="171" t="str">
        <f ca="1">IFERROR(__xludf.DUMMYFUNCTION("""COMPUTED_VALUE"""),"Araguaina")</f>
        <v>Araguaina</v>
      </c>
      <c r="C26" s="172" t="str">
        <f ca="1">IFERROR(__xludf.DUMMYFUNCTION("""COMPUTED_VALUE"""),"A.A. COLEGIO ESTADUAL RUI BARBOSA")</f>
        <v>A.A. COLEGIO ESTADUAL RUI BARBOSA</v>
      </c>
      <c r="D26" s="169" t="str">
        <f ca="1">IFERROR(__xludf.DUMMYFUNCTION("""COMPUTED_VALUE"""),"01071440000100")</f>
        <v>01071440000100</v>
      </c>
      <c r="E26" s="170" t="str">
        <f ca="1">IFERROR(__xludf.DUMMYFUNCTION("""COMPUTED_VALUE"""),"001")</f>
        <v>001</v>
      </c>
      <c r="F26" s="170" t="str">
        <f ca="1">IFERROR(__xludf.DUMMYFUNCTION("""COMPUTED_VALUE"""),"0638")</f>
        <v>0638</v>
      </c>
      <c r="G26" s="170" t="str">
        <f ca="1">IFERROR(__xludf.DUMMYFUNCTION("""COMPUTED_VALUE"""),"0463787")</f>
        <v>0463787</v>
      </c>
      <c r="H26" s="170">
        <f ca="1">IFERROR(__xludf.DUMMYFUNCTION("""COMPUTED_VALUE"""),0)</f>
        <v>0</v>
      </c>
      <c r="I26" s="170">
        <f ca="1">IFERROR(__xludf.DUMMYFUNCTION("""COMPUTED_VALUE"""),0)</f>
        <v>0</v>
      </c>
      <c r="J26" s="170">
        <f ca="1">IFERROR(__xludf.DUMMYFUNCTION("""COMPUTED_VALUE"""),0)</f>
        <v>0</v>
      </c>
      <c r="K26" s="170">
        <f ca="1">IFERROR(__xludf.DUMMYFUNCTION("""COMPUTED_VALUE"""),0)</f>
        <v>0</v>
      </c>
      <c r="L26" s="170">
        <f ca="1">IFERROR(__xludf.DUMMYFUNCTION("""COMPUTED_VALUE"""),0)</f>
        <v>0</v>
      </c>
      <c r="M26" s="170">
        <f ca="1">IFERROR(__xludf.DUMMYFUNCTION("""COMPUTED_VALUE"""),0)</f>
        <v>0</v>
      </c>
      <c r="N26" s="170">
        <f ca="1">IFERROR(__xludf.DUMMYFUNCTION("""COMPUTED_VALUE"""),0)</f>
        <v>0</v>
      </c>
      <c r="O26" s="170">
        <f ca="1">IFERROR(__xludf.DUMMYFUNCTION("""COMPUTED_VALUE"""),0)</f>
        <v>0</v>
      </c>
      <c r="P26" s="173">
        <f ca="1">IFERROR(__xludf.DUMMYFUNCTION("""COMPUTED_VALUE"""),176.799999999999)</f>
        <v>176.79999999999899</v>
      </c>
      <c r="Q26" s="173">
        <f ca="1">IFERROR(__xludf.DUMMYFUNCTION("""COMPUTED_VALUE"""),0)</f>
        <v>0</v>
      </c>
      <c r="R26" s="173">
        <f ca="1">IFERROR(__xludf.DUMMYFUNCTION("""COMPUTED_VALUE"""),0)</f>
        <v>0</v>
      </c>
      <c r="S26" s="173">
        <f ca="1">IFERROR(__xludf.DUMMYFUNCTION("""COMPUTED_VALUE"""),7014.4)</f>
        <v>7014.4</v>
      </c>
      <c r="T26" s="173">
        <f ca="1">IFERROR(__xludf.DUMMYFUNCTION("""COMPUTED_VALUE"""),0)</f>
        <v>0</v>
      </c>
      <c r="U26" s="170">
        <f ca="1"/>
        <v>7191.1999999999989</v>
      </c>
    </row>
    <row r="27" spans="1:21" ht="12.75">
      <c r="A27" s="162" t="str">
        <f ca="1">IFERROR(__xludf.DUMMYFUNCTION("""COMPUTED_VALUE"""),"Araguaina")</f>
        <v>Araguaina</v>
      </c>
      <c r="B27" s="162" t="str">
        <f ca="1">IFERROR(__xludf.DUMMYFUNCTION("""COMPUTED_VALUE"""),"Araguaina")</f>
        <v>Araguaina</v>
      </c>
      <c r="C27" s="163" t="str">
        <f ca="1">IFERROR(__xludf.DUMMYFUNCTION("""COMPUTED_VALUE"""),"A.A.ESCOLA TEMPO INTEGRAL JARDENIR JORGE FREDERICO")</f>
        <v>A.A.ESCOLA TEMPO INTEGRAL JARDENIR JORGE FREDERICO</v>
      </c>
      <c r="D27" s="164" t="str">
        <f ca="1">IFERROR(__xludf.DUMMYFUNCTION("""COMPUTED_VALUE"""),"43361835000180")</f>
        <v>43361835000180</v>
      </c>
      <c r="E27" s="165" t="str">
        <f ca="1">IFERROR(__xludf.DUMMYFUNCTION("""COMPUTED_VALUE"""),"001")</f>
        <v>001</v>
      </c>
      <c r="F27" s="165" t="str">
        <f ca="1">IFERROR(__xludf.DUMMYFUNCTION("""COMPUTED_VALUE"""),"4348")</f>
        <v>4348</v>
      </c>
      <c r="G27" s="165" t="str">
        <f ca="1">IFERROR(__xludf.DUMMYFUNCTION("""COMPUTED_VALUE"""),"434795")</f>
        <v>434795</v>
      </c>
      <c r="H27" s="165">
        <f ca="1">IFERROR(__xludf.DUMMYFUNCTION("""COMPUTED_VALUE"""),0)</f>
        <v>0</v>
      </c>
      <c r="I27" s="165">
        <f ca="1">IFERROR(__xludf.DUMMYFUNCTION("""COMPUTED_VALUE"""),0)</f>
        <v>0</v>
      </c>
      <c r="J27" s="165">
        <f ca="1">IFERROR(__xludf.DUMMYFUNCTION("""COMPUTED_VALUE"""),0)</f>
        <v>0</v>
      </c>
      <c r="K27" s="165">
        <f ca="1">IFERROR(__xludf.DUMMYFUNCTION("""COMPUTED_VALUE"""),21015.8)</f>
        <v>21015.8</v>
      </c>
      <c r="L27" s="165">
        <f ca="1">IFERROR(__xludf.DUMMYFUNCTION("""COMPUTED_VALUE"""),0)</f>
        <v>0</v>
      </c>
      <c r="M27" s="165">
        <f ca="1">IFERROR(__xludf.DUMMYFUNCTION("""COMPUTED_VALUE"""),0)</f>
        <v>0</v>
      </c>
      <c r="N27" s="165">
        <f ca="1">IFERROR(__xludf.DUMMYFUNCTION("""COMPUTED_VALUE"""),0)</f>
        <v>0</v>
      </c>
      <c r="O27" s="165">
        <f ca="1">IFERROR(__xludf.DUMMYFUNCTION("""COMPUTED_VALUE"""),0)</f>
        <v>0</v>
      </c>
      <c r="P27" s="165">
        <f ca="1">IFERROR(__xludf.DUMMYFUNCTION("""COMPUTED_VALUE"""),204)</f>
        <v>204</v>
      </c>
      <c r="Q27" s="165">
        <f ca="1">IFERROR(__xludf.DUMMYFUNCTION("""COMPUTED_VALUE"""),0)</f>
        <v>0</v>
      </c>
      <c r="R27" s="165">
        <f ca="1">IFERROR(__xludf.DUMMYFUNCTION("""COMPUTED_VALUE"""),0)</f>
        <v>0</v>
      </c>
      <c r="S27" s="165">
        <f ca="1">IFERROR(__xludf.DUMMYFUNCTION("""COMPUTED_VALUE"""),0)</f>
        <v>0</v>
      </c>
      <c r="T27" s="165">
        <f ca="1">IFERROR(__xludf.DUMMYFUNCTION("""COMPUTED_VALUE"""),0)</f>
        <v>0</v>
      </c>
      <c r="U27" s="165">
        <f ca="1"/>
        <v>21219.8</v>
      </c>
    </row>
    <row r="28" spans="1:21" ht="12.75">
      <c r="A28" s="167" t="str">
        <f ca="1">IFERROR(__xludf.DUMMYFUNCTION("""COMPUTED_VALUE"""),"Araguaina")</f>
        <v>Araguaina</v>
      </c>
      <c r="B28" s="167" t="str">
        <f ca="1">IFERROR(__xludf.DUMMYFUNCTION("""COMPUTED_VALUE"""),"Araguaina")</f>
        <v>Araguaina</v>
      </c>
      <c r="C28" s="168" t="str">
        <f ca="1">IFERROR(__xludf.DUMMYFUNCTION("""COMPUTED_VALUE"""),"A.A. ESCOLA TEMPO INTEGRAL DOMINGOS DA CRUZ MACHADO")</f>
        <v>A.A. ESCOLA TEMPO INTEGRAL DOMINGOS DA CRUZ MACHADO</v>
      </c>
      <c r="D28" s="169" t="str">
        <f ca="1">IFERROR(__xludf.DUMMYFUNCTION("""COMPUTED_VALUE"""),"49868761000159")</f>
        <v>49868761000159</v>
      </c>
      <c r="E28" s="170" t="str">
        <f ca="1">IFERROR(__xludf.DUMMYFUNCTION("""COMPUTED_VALUE"""),"001")</f>
        <v>001</v>
      </c>
      <c r="F28" s="170" t="str">
        <f ca="1">IFERROR(__xludf.DUMMYFUNCTION("""COMPUTED_VALUE"""),"4348")</f>
        <v>4348</v>
      </c>
      <c r="G28" s="170" t="str">
        <f ca="1">IFERROR(__xludf.DUMMYFUNCTION("""COMPUTED_VALUE"""),"460192")</f>
        <v>460192</v>
      </c>
      <c r="H28" s="170">
        <f ca="1">IFERROR(__xludf.DUMMYFUNCTION("""COMPUTED_VALUE"""),0)</f>
        <v>0</v>
      </c>
      <c r="I28" s="170">
        <f ca="1">IFERROR(__xludf.DUMMYFUNCTION("""COMPUTED_VALUE"""),0)</f>
        <v>0</v>
      </c>
      <c r="J28" s="170">
        <f ca="1">IFERROR(__xludf.DUMMYFUNCTION("""COMPUTED_VALUE"""),0)</f>
        <v>0</v>
      </c>
      <c r="K28" s="170">
        <f ca="1">IFERROR(__xludf.DUMMYFUNCTION("""COMPUTED_VALUE"""),11097)</f>
        <v>11097</v>
      </c>
      <c r="L28" s="170">
        <f ca="1">IFERROR(__xludf.DUMMYFUNCTION("""COMPUTED_VALUE"""),0)</f>
        <v>0</v>
      </c>
      <c r="M28" s="170">
        <f ca="1">IFERROR(__xludf.DUMMYFUNCTION("""COMPUTED_VALUE"""),0)</f>
        <v>0</v>
      </c>
      <c r="N28" s="170">
        <f ca="1">IFERROR(__xludf.DUMMYFUNCTION("""COMPUTED_VALUE"""),0)</f>
        <v>0</v>
      </c>
      <c r="O28" s="170">
        <f ca="1">IFERROR(__xludf.DUMMYFUNCTION("""COMPUTED_VALUE"""),0)</f>
        <v>0</v>
      </c>
      <c r="P28" s="170">
        <f ca="1">IFERROR(__xludf.DUMMYFUNCTION("""COMPUTED_VALUE"""),408)</f>
        <v>408</v>
      </c>
      <c r="Q28" s="170">
        <f ca="1">IFERROR(__xludf.DUMMYFUNCTION("""COMPUTED_VALUE"""),0)</f>
        <v>0</v>
      </c>
      <c r="R28" s="170">
        <f ca="1">IFERROR(__xludf.DUMMYFUNCTION("""COMPUTED_VALUE"""),1123.39999999999)</f>
        <v>1123.3999999999901</v>
      </c>
      <c r="S28" s="170">
        <f ca="1">IFERROR(__xludf.DUMMYFUNCTION("""COMPUTED_VALUE"""),0)</f>
        <v>0</v>
      </c>
      <c r="T28" s="170">
        <f ca="1">IFERROR(__xludf.DUMMYFUNCTION("""COMPUTED_VALUE"""),0)</f>
        <v>0</v>
      </c>
      <c r="U28" s="170">
        <f ca="1"/>
        <v>12628.399999999991</v>
      </c>
    </row>
    <row r="29" spans="1:21" ht="12.75">
      <c r="A29" s="162" t="str">
        <f ca="1">IFERROR(__xludf.DUMMYFUNCTION("""COMPUTED_VALUE"""),"Araguaina")</f>
        <v>Araguaina</v>
      </c>
      <c r="B29" s="162" t="str">
        <f ca="1">IFERROR(__xludf.DUMMYFUNCTION("""COMPUTED_VALUE"""),"Araguaina")</f>
        <v>Araguaina</v>
      </c>
      <c r="C29" s="163" t="str">
        <f ca="1">IFERROR(__xludf.DUMMYFUNCTION("""COMPUTED_VALUE"""),"A.A. ESC. EST. DEP.FED.JOSE A. DE ASSIS")</f>
        <v>A.A. ESC. EST. DEP.FED.JOSE A. DE ASSIS</v>
      </c>
      <c r="D29" s="164" t="str">
        <f ca="1">IFERROR(__xludf.DUMMYFUNCTION("""COMPUTED_VALUE"""),"01186464000105")</f>
        <v>01186464000105</v>
      </c>
      <c r="E29" s="165" t="str">
        <f ca="1">IFERROR(__xludf.DUMMYFUNCTION("""COMPUTED_VALUE"""),"001")</f>
        <v>001</v>
      </c>
      <c r="F29" s="165" t="str">
        <f ca="1">IFERROR(__xludf.DUMMYFUNCTION("""COMPUTED_VALUE"""),"0638")</f>
        <v>0638</v>
      </c>
      <c r="G29" s="165" t="str">
        <f ca="1">IFERROR(__xludf.DUMMYFUNCTION("""COMPUTED_VALUE"""),"465089")</f>
        <v>465089</v>
      </c>
      <c r="H29" s="165">
        <f ca="1">IFERROR(__xludf.DUMMYFUNCTION("""COMPUTED_VALUE"""),0)</f>
        <v>0</v>
      </c>
      <c r="I29" s="165">
        <f ca="1">IFERROR(__xludf.DUMMYFUNCTION("""COMPUTED_VALUE"""),0)</f>
        <v>0</v>
      </c>
      <c r="J29" s="165">
        <f ca="1">IFERROR(__xludf.DUMMYFUNCTION("""COMPUTED_VALUE"""),1780)</f>
        <v>1780</v>
      </c>
      <c r="K29" s="165">
        <f ca="1">IFERROR(__xludf.DUMMYFUNCTION("""COMPUTED_VALUE"""),0)</f>
        <v>0</v>
      </c>
      <c r="L29" s="165">
        <f ca="1">IFERROR(__xludf.DUMMYFUNCTION("""COMPUTED_VALUE"""),0)</f>
        <v>0</v>
      </c>
      <c r="M29" s="165">
        <f ca="1">IFERROR(__xludf.DUMMYFUNCTION("""COMPUTED_VALUE"""),0)</f>
        <v>0</v>
      </c>
      <c r="N29" s="165">
        <f ca="1">IFERROR(__xludf.DUMMYFUNCTION("""COMPUTED_VALUE"""),0)</f>
        <v>0</v>
      </c>
      <c r="O29" s="165">
        <f ca="1">IFERROR(__xludf.DUMMYFUNCTION("""COMPUTED_VALUE"""),0)</f>
        <v>0</v>
      </c>
      <c r="P29" s="165">
        <f ca="1">IFERROR(__xludf.DUMMYFUNCTION("""COMPUTED_VALUE"""),204)</f>
        <v>204</v>
      </c>
      <c r="Q29" s="165">
        <f ca="1">IFERROR(__xludf.DUMMYFUNCTION("""COMPUTED_VALUE"""),4230)</f>
        <v>4230</v>
      </c>
      <c r="R29" s="165">
        <f ca="1">IFERROR(__xludf.DUMMYFUNCTION("""COMPUTED_VALUE"""),0)</f>
        <v>0</v>
      </c>
      <c r="S29" s="165">
        <f ca="1">IFERROR(__xludf.DUMMYFUNCTION("""COMPUTED_VALUE"""),0)</f>
        <v>0</v>
      </c>
      <c r="T29" s="165">
        <f ca="1">IFERROR(__xludf.DUMMYFUNCTION("""COMPUTED_VALUE"""),0)</f>
        <v>0</v>
      </c>
      <c r="U29" s="165">
        <f ca="1"/>
        <v>6214</v>
      </c>
    </row>
    <row r="30" spans="1:21" ht="12.75">
      <c r="A30" s="167" t="str">
        <f ca="1">IFERROR(__xludf.DUMMYFUNCTION("""COMPUTED_VALUE"""),"Araguaina")</f>
        <v>Araguaina</v>
      </c>
      <c r="B30" s="167" t="str">
        <f ca="1">IFERROR(__xludf.DUMMYFUNCTION("""COMPUTED_VALUE"""),"Araguaina")</f>
        <v>Araguaina</v>
      </c>
      <c r="C30" s="168" t="str">
        <f ca="1">IFERROR(__xludf.DUMMYFUNCTION("""COMPUTED_VALUE"""),"ASSOCIAÇÃO DE APOIO DA ESCOLA ESPECIAL RAIO DE LUZ APAE ARAGUAÍNA")</f>
        <v>ASSOCIAÇÃO DE APOIO DA ESCOLA ESPECIAL RAIO DE LUZ APAE ARAGUAÍNA</v>
      </c>
      <c r="D30" s="169" t="str">
        <f ca="1">IFERROR(__xludf.DUMMYFUNCTION("""COMPUTED_VALUE"""),"07953043000130")</f>
        <v>07953043000130</v>
      </c>
      <c r="E30" s="170" t="str">
        <f ca="1">IFERROR(__xludf.DUMMYFUNCTION("""COMPUTED_VALUE"""),"001")</f>
        <v>001</v>
      </c>
      <c r="F30" s="170" t="str">
        <f ca="1">IFERROR(__xludf.DUMMYFUNCTION("""COMPUTED_VALUE"""),"0638")</f>
        <v>0638</v>
      </c>
      <c r="G30" s="170" t="str">
        <f ca="1">IFERROR(__xludf.DUMMYFUNCTION("""COMPUTED_VALUE"""),"379921")</f>
        <v>379921</v>
      </c>
      <c r="H30" s="170">
        <f ca="1">IFERROR(__xludf.DUMMYFUNCTION("""COMPUTED_VALUE"""),0)</f>
        <v>0</v>
      </c>
      <c r="I30" s="170">
        <f ca="1">IFERROR(__xludf.DUMMYFUNCTION("""COMPUTED_VALUE"""),288)</f>
        <v>288</v>
      </c>
      <c r="J30" s="170">
        <f ca="1">IFERROR(__xludf.DUMMYFUNCTION("""COMPUTED_VALUE"""),220)</f>
        <v>220</v>
      </c>
      <c r="K30" s="170">
        <f ca="1">IFERROR(__xludf.DUMMYFUNCTION("""COMPUTED_VALUE"""),0)</f>
        <v>0</v>
      </c>
      <c r="L30" s="170">
        <f ca="1">IFERROR(__xludf.DUMMYFUNCTION("""COMPUTED_VALUE"""),0)</f>
        <v>0</v>
      </c>
      <c r="M30" s="170">
        <f ca="1">IFERROR(__xludf.DUMMYFUNCTION("""COMPUTED_VALUE"""),0)</f>
        <v>0</v>
      </c>
      <c r="N30" s="170">
        <f ca="1">IFERROR(__xludf.DUMMYFUNCTION("""COMPUTED_VALUE"""),0)</f>
        <v>0</v>
      </c>
      <c r="O30" s="170">
        <f ca="1">IFERROR(__xludf.DUMMYFUNCTION("""COMPUTED_VALUE"""),0)</f>
        <v>0</v>
      </c>
      <c r="P30" s="170">
        <f ca="1">IFERROR(__xludf.DUMMYFUNCTION("""COMPUTED_VALUE"""),734.4)</f>
        <v>734.4</v>
      </c>
      <c r="Q30" s="170">
        <f ca="1">IFERROR(__xludf.DUMMYFUNCTION("""COMPUTED_VALUE"""),0)</f>
        <v>0</v>
      </c>
      <c r="R30" s="170">
        <f ca="1">IFERROR(__xludf.DUMMYFUNCTION("""COMPUTED_VALUE"""),0)</f>
        <v>0</v>
      </c>
      <c r="S30" s="170">
        <f ca="1">IFERROR(__xludf.DUMMYFUNCTION("""COMPUTED_VALUE"""),0)</f>
        <v>0</v>
      </c>
      <c r="T30" s="170">
        <f ca="1">IFERROR(__xludf.DUMMYFUNCTION("""COMPUTED_VALUE"""),1418.6)</f>
        <v>1418.6</v>
      </c>
      <c r="U30" s="170">
        <f ca="1"/>
        <v>2661</v>
      </c>
    </row>
    <row r="31" spans="1:21" ht="12.75">
      <c r="A31" s="162" t="str">
        <f ca="1">IFERROR(__xludf.DUMMYFUNCTION("""COMPUTED_VALUE"""),"Araguaina")</f>
        <v>Araguaina</v>
      </c>
      <c r="B31" s="162" t="str">
        <f ca="1">IFERROR(__xludf.DUMMYFUNCTION("""COMPUTED_VALUE"""),"Araguaina")</f>
        <v>Araguaina</v>
      </c>
      <c r="C31" s="163" t="str">
        <f ca="1">IFERROR(__xludf.DUMMYFUNCTION("""COMPUTED_VALUE"""),"A.A.  ESCOLA ESPIRITA ANDRE LUIZ")</f>
        <v>A.A.  ESCOLA ESPIRITA ANDRE LUIZ</v>
      </c>
      <c r="D31" s="164" t="str">
        <f ca="1">IFERROR(__xludf.DUMMYFUNCTION("""COMPUTED_VALUE"""),"01066416000175")</f>
        <v>01066416000175</v>
      </c>
      <c r="E31" s="165" t="str">
        <f ca="1">IFERROR(__xludf.DUMMYFUNCTION("""COMPUTED_VALUE"""),"001")</f>
        <v>001</v>
      </c>
      <c r="F31" s="165" t="str">
        <f ca="1">IFERROR(__xludf.DUMMYFUNCTION("""COMPUTED_VALUE"""),"0638")</f>
        <v>0638</v>
      </c>
      <c r="G31" s="165" t="str">
        <f ca="1">IFERROR(__xludf.DUMMYFUNCTION("""COMPUTED_VALUE"""),"463582")</f>
        <v>463582</v>
      </c>
      <c r="H31" s="165">
        <f ca="1">IFERROR(__xludf.DUMMYFUNCTION("""COMPUTED_VALUE"""),0)</f>
        <v>0</v>
      </c>
      <c r="I31" s="165">
        <f ca="1">IFERROR(__xludf.DUMMYFUNCTION("""COMPUTED_VALUE"""),0)</f>
        <v>0</v>
      </c>
      <c r="J31" s="165">
        <f ca="1">IFERROR(__xludf.DUMMYFUNCTION("""COMPUTED_VALUE"""),0)</f>
        <v>0</v>
      </c>
      <c r="K31" s="165">
        <f ca="1">IFERROR(__xludf.DUMMYFUNCTION("""COMPUTED_VALUE"""),5754)</f>
        <v>5754</v>
      </c>
      <c r="L31" s="165">
        <f ca="1">IFERROR(__xludf.DUMMYFUNCTION("""COMPUTED_VALUE"""),0)</f>
        <v>0</v>
      </c>
      <c r="M31" s="165">
        <f ca="1">IFERROR(__xludf.DUMMYFUNCTION("""COMPUTED_VALUE"""),0)</f>
        <v>0</v>
      </c>
      <c r="N31" s="165">
        <f ca="1">IFERROR(__xludf.DUMMYFUNCTION("""COMPUTED_VALUE"""),0)</f>
        <v>0</v>
      </c>
      <c r="O31" s="165">
        <f ca="1">IFERROR(__xludf.DUMMYFUNCTION("""COMPUTED_VALUE"""),0)</f>
        <v>0</v>
      </c>
      <c r="P31" s="165">
        <f ca="1">IFERROR(__xludf.DUMMYFUNCTION("""COMPUTED_VALUE"""),244.799999999999)</f>
        <v>244.79999999999899</v>
      </c>
      <c r="Q31" s="165">
        <f ca="1">IFERROR(__xludf.DUMMYFUNCTION("""COMPUTED_VALUE"""),0)</f>
        <v>0</v>
      </c>
      <c r="R31" s="165">
        <f ca="1">IFERROR(__xludf.DUMMYFUNCTION("""COMPUTED_VALUE"""),0)</f>
        <v>0</v>
      </c>
      <c r="S31" s="165">
        <f ca="1">IFERROR(__xludf.DUMMYFUNCTION("""COMPUTED_VALUE"""),0)</f>
        <v>0</v>
      </c>
      <c r="T31" s="165">
        <f ca="1">IFERROR(__xludf.DUMMYFUNCTION("""COMPUTED_VALUE"""),0)</f>
        <v>0</v>
      </c>
      <c r="U31" s="165">
        <f ca="1"/>
        <v>5998.7999999999993</v>
      </c>
    </row>
    <row r="32" spans="1:21" ht="12.75">
      <c r="A32" s="167" t="str">
        <f ca="1">IFERROR(__xludf.DUMMYFUNCTION("""COMPUTED_VALUE"""),"Araguaina")</f>
        <v>Araguaina</v>
      </c>
      <c r="B32" s="167" t="str">
        <f ca="1">IFERROR(__xludf.DUMMYFUNCTION("""COMPUTED_VALUE"""),"Araguaina")</f>
        <v>Araguaina</v>
      </c>
      <c r="C32" s="168" t="str">
        <f ca="1">IFERROR(__xludf.DUMMYFUNCTION("""COMPUTED_VALUE"""),"A.A. ESC. E.FRANCISCO MAXIMO DE SOUZA")</f>
        <v>A.A. ESC. E.FRANCISCO MAXIMO DE SOUZA</v>
      </c>
      <c r="D32" s="169" t="str">
        <f ca="1">IFERROR(__xludf.DUMMYFUNCTION("""COMPUTED_VALUE"""),"01345127000105")</f>
        <v>01345127000105</v>
      </c>
      <c r="E32" s="170" t="str">
        <f ca="1">IFERROR(__xludf.DUMMYFUNCTION("""COMPUTED_VALUE"""),"001")</f>
        <v>001</v>
      </c>
      <c r="F32" s="170" t="str">
        <f ca="1">IFERROR(__xludf.DUMMYFUNCTION("""COMPUTED_VALUE"""),"0638")</f>
        <v>0638</v>
      </c>
      <c r="G32" s="170" t="str">
        <f ca="1">IFERROR(__xludf.DUMMYFUNCTION("""COMPUTED_VALUE"""),"0463167")</f>
        <v>0463167</v>
      </c>
      <c r="H32" s="170">
        <f ca="1">IFERROR(__xludf.DUMMYFUNCTION("""COMPUTED_VALUE"""),0)</f>
        <v>0</v>
      </c>
      <c r="I32" s="170">
        <f ca="1">IFERROR(__xludf.DUMMYFUNCTION("""COMPUTED_VALUE"""),0)</f>
        <v>0</v>
      </c>
      <c r="J32" s="170">
        <f ca="1">IFERROR(__xludf.DUMMYFUNCTION("""COMPUTED_VALUE"""),3300)</f>
        <v>3300</v>
      </c>
      <c r="K32" s="170">
        <f ca="1">IFERROR(__xludf.DUMMYFUNCTION("""COMPUTED_VALUE"""),0)</f>
        <v>0</v>
      </c>
      <c r="L32" s="170">
        <f ca="1">IFERROR(__xludf.DUMMYFUNCTION("""COMPUTED_VALUE"""),0)</f>
        <v>0</v>
      </c>
      <c r="M32" s="170">
        <f ca="1">IFERROR(__xludf.DUMMYFUNCTION("""COMPUTED_VALUE"""),0)</f>
        <v>0</v>
      </c>
      <c r="N32" s="170">
        <f ca="1">IFERROR(__xludf.DUMMYFUNCTION("""COMPUTED_VALUE"""),0)</f>
        <v>0</v>
      </c>
      <c r="O32" s="170">
        <f ca="1">IFERROR(__xludf.DUMMYFUNCTION("""COMPUTED_VALUE"""),0)</f>
        <v>0</v>
      </c>
      <c r="P32" s="170">
        <f ca="1">IFERROR(__xludf.DUMMYFUNCTION("""COMPUTED_VALUE"""),516.8)</f>
        <v>516.79999999999995</v>
      </c>
      <c r="Q32" s="170">
        <f ca="1">IFERROR(__xludf.DUMMYFUNCTION("""COMPUTED_VALUE"""),2840)</f>
        <v>2840</v>
      </c>
      <c r="R32" s="170">
        <f ca="1">IFERROR(__xludf.DUMMYFUNCTION("""COMPUTED_VALUE"""),0)</f>
        <v>0</v>
      </c>
      <c r="S32" s="170">
        <f ca="1">IFERROR(__xludf.DUMMYFUNCTION("""COMPUTED_VALUE"""),0)</f>
        <v>0</v>
      </c>
      <c r="T32" s="170">
        <f ca="1">IFERROR(__xludf.DUMMYFUNCTION("""COMPUTED_VALUE"""),1197.19999999999)</f>
        <v>1197.19999999999</v>
      </c>
      <c r="U32" s="170">
        <f ca="1"/>
        <v>7853.99999999999</v>
      </c>
    </row>
    <row r="33" spans="1:21" ht="12.75">
      <c r="A33" s="162" t="str">
        <f ca="1">IFERROR(__xludf.DUMMYFUNCTION("""COMPUTED_VALUE"""),"Araguaina")</f>
        <v>Araguaina</v>
      </c>
      <c r="B33" s="162" t="str">
        <f ca="1">IFERROR(__xludf.DUMMYFUNCTION("""COMPUTED_VALUE"""),"Araguaina")</f>
        <v>Araguaina</v>
      </c>
      <c r="C33" s="163" t="str">
        <f ca="1">IFERROR(__xludf.DUMMYFUNCTION("""COMPUTED_VALUE"""),"ASS. COM. COL EST. SANCHA FERREIRA")</f>
        <v>ASS. COM. COL EST. SANCHA FERREIRA</v>
      </c>
      <c r="D33" s="164" t="str">
        <f ca="1">IFERROR(__xludf.DUMMYFUNCTION("""COMPUTED_VALUE"""),"01338702000142")</f>
        <v>01338702000142</v>
      </c>
      <c r="E33" s="165" t="str">
        <f ca="1">IFERROR(__xludf.DUMMYFUNCTION("""COMPUTED_VALUE"""),"001")</f>
        <v>001</v>
      </c>
      <c r="F33" s="165" t="str">
        <f ca="1">IFERROR(__xludf.DUMMYFUNCTION("""COMPUTED_VALUE"""),"0638")</f>
        <v>0638</v>
      </c>
      <c r="G33" s="165" t="str">
        <f ca="1">IFERROR(__xludf.DUMMYFUNCTION("""COMPUTED_VALUE"""),"0466913")</f>
        <v>0466913</v>
      </c>
      <c r="H33" s="165">
        <f ca="1">IFERROR(__xludf.DUMMYFUNCTION("""COMPUTED_VALUE"""),0)</f>
        <v>0</v>
      </c>
      <c r="I33" s="165">
        <f ca="1">IFERROR(__xludf.DUMMYFUNCTION("""COMPUTED_VALUE"""),0)</f>
        <v>0</v>
      </c>
      <c r="J33" s="165">
        <f ca="1">IFERROR(__xludf.DUMMYFUNCTION("""COMPUTED_VALUE"""),0)</f>
        <v>0</v>
      </c>
      <c r="K33" s="165">
        <f ca="1">IFERROR(__xludf.DUMMYFUNCTION("""COMPUTED_VALUE"""),4904.59999999999)</f>
        <v>4904.5999999999904</v>
      </c>
      <c r="L33" s="165">
        <f ca="1">IFERROR(__xludf.DUMMYFUNCTION("""COMPUTED_VALUE"""),0)</f>
        <v>0</v>
      </c>
      <c r="M33" s="165">
        <f ca="1">IFERROR(__xludf.DUMMYFUNCTION("""COMPUTED_VALUE"""),0)</f>
        <v>0</v>
      </c>
      <c r="N33" s="165">
        <f ca="1">IFERROR(__xludf.DUMMYFUNCTION("""COMPUTED_VALUE"""),0)</f>
        <v>0</v>
      </c>
      <c r="O33" s="165">
        <f ca="1">IFERROR(__xludf.DUMMYFUNCTION("""COMPUTED_VALUE"""),0)</f>
        <v>0</v>
      </c>
      <c r="P33" s="165">
        <f ca="1">IFERROR(__xludf.DUMMYFUNCTION("""COMPUTED_VALUE"""),149.6)</f>
        <v>149.6</v>
      </c>
      <c r="Q33" s="165">
        <f ca="1">IFERROR(__xludf.DUMMYFUNCTION("""COMPUTED_VALUE"""),0)</f>
        <v>0</v>
      </c>
      <c r="R33" s="165">
        <f ca="1">IFERROR(__xludf.DUMMYFUNCTION("""COMPUTED_VALUE"""),0)</f>
        <v>0</v>
      </c>
      <c r="S33" s="165">
        <f ca="1">IFERROR(__xludf.DUMMYFUNCTION("""COMPUTED_VALUE"""),0)</f>
        <v>0</v>
      </c>
      <c r="T33" s="165">
        <f ca="1">IFERROR(__xludf.DUMMYFUNCTION("""COMPUTED_VALUE"""),0)</f>
        <v>0</v>
      </c>
      <c r="U33" s="165">
        <f ca="1"/>
        <v>5054.1999999999907</v>
      </c>
    </row>
    <row r="34" spans="1:21" ht="12.75">
      <c r="A34" s="167" t="str">
        <f ca="1">IFERROR(__xludf.DUMMYFUNCTION("""COMPUTED_VALUE"""),"Araguaina")</f>
        <v>Araguaina</v>
      </c>
      <c r="B34" s="167" t="str">
        <f ca="1">IFERROR(__xludf.DUMMYFUNCTION("""COMPUTED_VALUE"""),"Araguaina")</f>
        <v>Araguaina</v>
      </c>
      <c r="C34" s="168" t="str">
        <f ca="1">IFERROR(__xludf.DUMMYFUNCTION("""COMPUTED_VALUE"""),"A.A. ESC. HENRIQUE CIRQUEIRA AMORIM")</f>
        <v>A.A. ESC. HENRIQUE CIRQUEIRA AMORIM</v>
      </c>
      <c r="D34" s="169" t="str">
        <f ca="1">IFERROR(__xludf.DUMMYFUNCTION("""COMPUTED_VALUE"""),"01088234000103")</f>
        <v>01088234000103</v>
      </c>
      <c r="E34" s="170" t="str">
        <f ca="1">IFERROR(__xludf.DUMMYFUNCTION("""COMPUTED_VALUE"""),"001")</f>
        <v>001</v>
      </c>
      <c r="F34" s="170" t="str">
        <f ca="1">IFERROR(__xludf.DUMMYFUNCTION("""COMPUTED_VALUE"""),"0638")</f>
        <v>0638</v>
      </c>
      <c r="G34" s="170" t="str">
        <f ca="1">IFERROR(__xludf.DUMMYFUNCTION("""COMPUTED_VALUE"""),"0465194")</f>
        <v>0465194</v>
      </c>
      <c r="H34" s="170">
        <f ca="1">IFERROR(__xludf.DUMMYFUNCTION("""COMPUTED_VALUE"""),0)</f>
        <v>0</v>
      </c>
      <c r="I34" s="170">
        <f ca="1">IFERROR(__xludf.DUMMYFUNCTION("""COMPUTED_VALUE"""),0)</f>
        <v>0</v>
      </c>
      <c r="J34" s="170">
        <f ca="1">IFERROR(__xludf.DUMMYFUNCTION("""COMPUTED_VALUE"""),3080)</f>
        <v>3080</v>
      </c>
      <c r="K34" s="170">
        <f ca="1">IFERROR(__xludf.DUMMYFUNCTION("""COMPUTED_VALUE"""),0)</f>
        <v>0</v>
      </c>
      <c r="L34" s="170">
        <f ca="1">IFERROR(__xludf.DUMMYFUNCTION("""COMPUTED_VALUE"""),0)</f>
        <v>0</v>
      </c>
      <c r="M34" s="170">
        <f ca="1">IFERROR(__xludf.DUMMYFUNCTION("""COMPUTED_VALUE"""),0)</f>
        <v>0</v>
      </c>
      <c r="N34" s="170">
        <f ca="1">IFERROR(__xludf.DUMMYFUNCTION("""COMPUTED_VALUE"""),0)</f>
        <v>0</v>
      </c>
      <c r="O34" s="170">
        <f ca="1">IFERROR(__xludf.DUMMYFUNCTION("""COMPUTED_VALUE"""),0)</f>
        <v>0</v>
      </c>
      <c r="P34" s="170">
        <f ca="1">IFERROR(__xludf.DUMMYFUNCTION("""COMPUTED_VALUE"""),0)</f>
        <v>0</v>
      </c>
      <c r="Q34" s="170">
        <f ca="1">IFERROR(__xludf.DUMMYFUNCTION("""COMPUTED_VALUE"""),2260)</f>
        <v>2260</v>
      </c>
      <c r="R34" s="170">
        <f ca="1">IFERROR(__xludf.DUMMYFUNCTION("""COMPUTED_VALUE"""),0)</f>
        <v>0</v>
      </c>
      <c r="S34" s="170">
        <f ca="1">IFERROR(__xludf.DUMMYFUNCTION("""COMPUTED_VALUE"""),0)</f>
        <v>0</v>
      </c>
      <c r="T34" s="170">
        <f ca="1">IFERROR(__xludf.DUMMYFUNCTION("""COMPUTED_VALUE"""),0)</f>
        <v>0</v>
      </c>
      <c r="U34" s="170">
        <f ca="1"/>
        <v>5340</v>
      </c>
    </row>
    <row r="35" spans="1:21" ht="12.75">
      <c r="A35" s="162" t="str">
        <f ca="1">IFERROR(__xludf.DUMMYFUNCTION("""COMPUTED_VALUE"""),"Araguaina")</f>
        <v>Araguaina</v>
      </c>
      <c r="B35" s="162" t="str">
        <f ca="1">IFERROR(__xludf.DUMMYFUNCTION("""COMPUTED_VALUE"""),"Araguaina")</f>
        <v>Araguaina</v>
      </c>
      <c r="C35" s="163" t="str">
        <f ca="1">IFERROR(__xludf.DUMMYFUNCTION("""COMPUTED_VALUE"""),"A.A. ESC. EST. JOAO GUILHERME L. KUNZE")</f>
        <v>A.A. ESC. EST. JOAO GUILHERME L. KUNZE</v>
      </c>
      <c r="D35" s="164" t="str">
        <f ca="1">IFERROR(__xludf.DUMMYFUNCTION("""COMPUTED_VALUE"""),"01071400000150")</f>
        <v>01071400000150</v>
      </c>
      <c r="E35" s="165" t="str">
        <f ca="1">IFERROR(__xludf.DUMMYFUNCTION("""COMPUTED_VALUE"""),"001")</f>
        <v>001</v>
      </c>
      <c r="F35" s="165" t="str">
        <f ca="1">IFERROR(__xludf.DUMMYFUNCTION("""COMPUTED_VALUE"""),"0638")</f>
        <v>0638</v>
      </c>
      <c r="G35" s="165" t="str">
        <f ca="1">IFERROR(__xludf.DUMMYFUNCTION("""COMPUTED_VALUE"""),"0463639")</f>
        <v>0463639</v>
      </c>
      <c r="H35" s="165">
        <f ca="1">IFERROR(__xludf.DUMMYFUNCTION("""COMPUTED_VALUE"""),0)</f>
        <v>0</v>
      </c>
      <c r="I35" s="165">
        <f ca="1">IFERROR(__xludf.DUMMYFUNCTION("""COMPUTED_VALUE"""),0)</f>
        <v>0</v>
      </c>
      <c r="J35" s="165">
        <f ca="1">IFERROR(__xludf.DUMMYFUNCTION("""COMPUTED_VALUE"""),3170)</f>
        <v>3170</v>
      </c>
      <c r="K35" s="165">
        <f ca="1">IFERROR(__xludf.DUMMYFUNCTION("""COMPUTED_VALUE"""),0)</f>
        <v>0</v>
      </c>
      <c r="L35" s="165">
        <f ca="1">IFERROR(__xludf.DUMMYFUNCTION("""COMPUTED_VALUE"""),0)</f>
        <v>0</v>
      </c>
      <c r="M35" s="165">
        <f ca="1">IFERROR(__xludf.DUMMYFUNCTION("""COMPUTED_VALUE"""),0)</f>
        <v>0</v>
      </c>
      <c r="N35" s="165">
        <f ca="1">IFERROR(__xludf.DUMMYFUNCTION("""COMPUTED_VALUE"""),0)</f>
        <v>0</v>
      </c>
      <c r="O35" s="165">
        <f ca="1">IFERROR(__xludf.DUMMYFUNCTION("""COMPUTED_VALUE"""),0)</f>
        <v>0</v>
      </c>
      <c r="P35" s="165">
        <f ca="1">IFERROR(__xludf.DUMMYFUNCTION("""COMPUTED_VALUE"""),217.6)</f>
        <v>217.6</v>
      </c>
      <c r="Q35" s="165">
        <f ca="1">IFERROR(__xludf.DUMMYFUNCTION("""COMPUTED_VALUE"""),0)</f>
        <v>0</v>
      </c>
      <c r="R35" s="165">
        <f ca="1">IFERROR(__xludf.DUMMYFUNCTION("""COMPUTED_VALUE"""),0)</f>
        <v>0</v>
      </c>
      <c r="S35" s="165">
        <f ca="1">IFERROR(__xludf.DUMMYFUNCTION("""COMPUTED_VALUE"""),0)</f>
        <v>0</v>
      </c>
      <c r="T35" s="165">
        <f ca="1">IFERROR(__xludf.DUMMYFUNCTION("""COMPUTED_VALUE"""),0)</f>
        <v>0</v>
      </c>
      <c r="U35" s="165">
        <f ca="1"/>
        <v>3387.6</v>
      </c>
    </row>
    <row r="36" spans="1:21" ht="12.75">
      <c r="A36" s="167" t="str">
        <f ca="1">IFERROR(__xludf.DUMMYFUNCTION("""COMPUTED_VALUE"""),"Araguaina")</f>
        <v>Araguaina</v>
      </c>
      <c r="B36" s="167" t="str">
        <f ca="1">IFERROR(__xludf.DUMMYFUNCTION("""COMPUTED_VALUE"""),"Araguaina")</f>
        <v>Araguaina</v>
      </c>
      <c r="C36" s="168" t="str">
        <f ca="1">IFERROR(__xludf.DUMMYFUNCTION("""COMPUTED_VALUE"""),"A.A. ESC. EST. MANOEL GOMES DA CUNHA")</f>
        <v>A.A. ESC. EST. MANOEL GOMES DA CUNHA</v>
      </c>
      <c r="D36" s="169" t="str">
        <f ca="1">IFERROR(__xludf.DUMMYFUNCTION("""COMPUTED_VALUE"""),"01443216000194")</f>
        <v>01443216000194</v>
      </c>
      <c r="E36" s="170" t="str">
        <f ca="1">IFERROR(__xludf.DUMMYFUNCTION("""COMPUTED_VALUE"""),"001")</f>
        <v>001</v>
      </c>
      <c r="F36" s="170" t="str">
        <f ca="1">IFERROR(__xludf.DUMMYFUNCTION("""COMPUTED_VALUE"""),"0638")</f>
        <v>0638</v>
      </c>
      <c r="G36" s="170" t="str">
        <f ca="1">IFERROR(__xludf.DUMMYFUNCTION("""COMPUTED_VALUE"""),"0468355")</f>
        <v>0468355</v>
      </c>
      <c r="H36" s="170">
        <f ca="1">IFERROR(__xludf.DUMMYFUNCTION("""COMPUTED_VALUE"""),0)</f>
        <v>0</v>
      </c>
      <c r="I36" s="170">
        <f ca="1">IFERROR(__xludf.DUMMYFUNCTION("""COMPUTED_VALUE"""),0)</f>
        <v>0</v>
      </c>
      <c r="J36" s="170">
        <f ca="1">IFERROR(__xludf.DUMMYFUNCTION("""COMPUTED_VALUE"""),1890)</f>
        <v>1890</v>
      </c>
      <c r="K36" s="170">
        <f ca="1">IFERROR(__xludf.DUMMYFUNCTION("""COMPUTED_VALUE"""),0)</f>
        <v>0</v>
      </c>
      <c r="L36" s="170">
        <f ca="1">IFERROR(__xludf.DUMMYFUNCTION("""COMPUTED_VALUE"""),0)</f>
        <v>0</v>
      </c>
      <c r="M36" s="170">
        <f ca="1">IFERROR(__xludf.DUMMYFUNCTION("""COMPUTED_VALUE"""),0)</f>
        <v>0</v>
      </c>
      <c r="N36" s="170">
        <f ca="1">IFERROR(__xludf.DUMMYFUNCTION("""COMPUTED_VALUE"""),0)</f>
        <v>0</v>
      </c>
      <c r="O36" s="170">
        <f ca="1">IFERROR(__xludf.DUMMYFUNCTION("""COMPUTED_VALUE"""),0)</f>
        <v>0</v>
      </c>
      <c r="P36" s="170">
        <f ca="1">IFERROR(__xludf.DUMMYFUNCTION("""COMPUTED_VALUE"""),149.6)</f>
        <v>149.6</v>
      </c>
      <c r="Q36" s="170">
        <f ca="1">IFERROR(__xludf.DUMMYFUNCTION("""COMPUTED_VALUE"""),1760)</f>
        <v>1760</v>
      </c>
      <c r="R36" s="170">
        <f ca="1">IFERROR(__xludf.DUMMYFUNCTION("""COMPUTED_VALUE"""),0)</f>
        <v>0</v>
      </c>
      <c r="S36" s="170">
        <f ca="1">IFERROR(__xludf.DUMMYFUNCTION("""COMPUTED_VALUE"""),0)</f>
        <v>0</v>
      </c>
      <c r="T36" s="170">
        <f ca="1">IFERROR(__xludf.DUMMYFUNCTION("""COMPUTED_VALUE"""),0)</f>
        <v>0</v>
      </c>
      <c r="U36" s="170">
        <f ca="1"/>
        <v>3799.6</v>
      </c>
    </row>
    <row r="37" spans="1:21" ht="12.75">
      <c r="A37" s="162" t="str">
        <f ca="1">IFERROR(__xludf.DUMMYFUNCTION("""COMPUTED_VALUE"""),"Araguaina")</f>
        <v>Araguaina</v>
      </c>
      <c r="B37" s="162" t="str">
        <f ca="1">IFERROR(__xludf.DUMMYFUNCTION("""COMPUTED_VALUE"""),"Araguaina")</f>
        <v>Araguaina</v>
      </c>
      <c r="C37" s="163" t="str">
        <f ca="1">IFERROR(__xludf.DUMMYFUNCTION("""COMPUTED_VALUE"""),"A.A. ESCOLA ESTADUAL MAL. RONDON")</f>
        <v>A.A. ESCOLA ESTADUAL MAL. RONDON</v>
      </c>
      <c r="D37" s="164" t="str">
        <f ca="1">IFERROR(__xludf.DUMMYFUNCTION("""COMPUTED_VALUE"""),"01068349000128")</f>
        <v>01068349000128</v>
      </c>
      <c r="E37" s="165" t="str">
        <f ca="1">IFERROR(__xludf.DUMMYFUNCTION("""COMPUTED_VALUE"""),"001")</f>
        <v>001</v>
      </c>
      <c r="F37" s="165" t="str">
        <f ca="1">IFERROR(__xludf.DUMMYFUNCTION("""COMPUTED_VALUE"""),"0638")</f>
        <v>0638</v>
      </c>
      <c r="G37" s="165" t="str">
        <f ca="1">IFERROR(__xludf.DUMMYFUNCTION("""COMPUTED_VALUE"""),"046368X")</f>
        <v>046368X</v>
      </c>
      <c r="H37" s="165">
        <f ca="1">IFERROR(__xludf.DUMMYFUNCTION("""COMPUTED_VALUE"""),0)</f>
        <v>0</v>
      </c>
      <c r="I37" s="165">
        <f ca="1">IFERROR(__xludf.DUMMYFUNCTION("""COMPUTED_VALUE"""),0)</f>
        <v>0</v>
      </c>
      <c r="J37" s="165">
        <f ca="1">IFERROR(__xludf.DUMMYFUNCTION("""COMPUTED_VALUE"""),4860)</f>
        <v>4860</v>
      </c>
      <c r="K37" s="165">
        <f ca="1">IFERROR(__xludf.DUMMYFUNCTION("""COMPUTED_VALUE"""),0)</f>
        <v>0</v>
      </c>
      <c r="L37" s="165">
        <f ca="1">IFERROR(__xludf.DUMMYFUNCTION("""COMPUTED_VALUE"""),0)</f>
        <v>0</v>
      </c>
      <c r="M37" s="165">
        <f ca="1">IFERROR(__xludf.DUMMYFUNCTION("""COMPUTED_VALUE"""),0)</f>
        <v>0</v>
      </c>
      <c r="N37" s="165">
        <f ca="1">IFERROR(__xludf.DUMMYFUNCTION("""COMPUTED_VALUE"""),0)</f>
        <v>0</v>
      </c>
      <c r="O37" s="165">
        <f ca="1">IFERROR(__xludf.DUMMYFUNCTION("""COMPUTED_VALUE"""),0)</f>
        <v>0</v>
      </c>
      <c r="P37" s="165">
        <f ca="1">IFERROR(__xludf.DUMMYFUNCTION("""COMPUTED_VALUE"""),258.4)</f>
        <v>258.39999999999998</v>
      </c>
      <c r="Q37" s="165">
        <f ca="1">IFERROR(__xludf.DUMMYFUNCTION("""COMPUTED_VALUE"""),0)</f>
        <v>0</v>
      </c>
      <c r="R37" s="165">
        <f ca="1">IFERROR(__xludf.DUMMYFUNCTION("""COMPUTED_VALUE"""),0)</f>
        <v>0</v>
      </c>
      <c r="S37" s="165">
        <f ca="1">IFERROR(__xludf.DUMMYFUNCTION("""COMPUTED_VALUE"""),0)</f>
        <v>0</v>
      </c>
      <c r="T37" s="165">
        <f ca="1">IFERROR(__xludf.DUMMYFUNCTION("""COMPUTED_VALUE"""),844.599999999999)</f>
        <v>844.599999999999</v>
      </c>
      <c r="U37" s="165">
        <f ca="1"/>
        <v>5962.9999999999982</v>
      </c>
    </row>
    <row r="38" spans="1:21" ht="12.75">
      <c r="A38" s="167" t="str">
        <f ca="1">IFERROR(__xludf.DUMMYFUNCTION("""COMPUTED_VALUE"""),"Araguaina")</f>
        <v>Araguaina</v>
      </c>
      <c r="B38" s="167" t="str">
        <f ca="1">IFERROR(__xludf.DUMMYFUNCTION("""COMPUTED_VALUE"""),"Araguaina")</f>
        <v>Araguaina</v>
      </c>
      <c r="C38" s="168" t="str">
        <f ca="1">IFERROR(__xludf.DUMMYFUNCTION("""COMPUTED_VALUE"""),"A. DE A.DA ESCOLA ESTADUAL MODELO")</f>
        <v>A. DE A.DA ESCOLA ESTADUAL MODELO</v>
      </c>
      <c r="D38" s="169" t="str">
        <f ca="1">IFERROR(__xludf.DUMMYFUNCTION("""COMPUTED_VALUE"""),"01133696000197")</f>
        <v>01133696000197</v>
      </c>
      <c r="E38" s="170" t="str">
        <f ca="1">IFERROR(__xludf.DUMMYFUNCTION("""COMPUTED_VALUE"""),"001")</f>
        <v>001</v>
      </c>
      <c r="F38" s="170" t="str">
        <f ca="1">IFERROR(__xludf.DUMMYFUNCTION("""COMPUTED_VALUE"""),"0638")</f>
        <v>0638</v>
      </c>
      <c r="G38" s="170" t="str">
        <f ca="1">IFERROR(__xludf.DUMMYFUNCTION("""COMPUTED_VALUE"""),"484520")</f>
        <v>484520</v>
      </c>
      <c r="H38" s="170">
        <f ca="1">IFERROR(__xludf.DUMMYFUNCTION("""COMPUTED_VALUE"""),0)</f>
        <v>0</v>
      </c>
      <c r="I38" s="170">
        <f ca="1">IFERROR(__xludf.DUMMYFUNCTION("""COMPUTED_VALUE"""),0)</f>
        <v>0</v>
      </c>
      <c r="J38" s="170">
        <f ca="1">IFERROR(__xludf.DUMMYFUNCTION("""COMPUTED_VALUE"""),9800)</f>
        <v>9800</v>
      </c>
      <c r="K38" s="170">
        <f ca="1">IFERROR(__xludf.DUMMYFUNCTION("""COMPUTED_VALUE"""),0)</f>
        <v>0</v>
      </c>
      <c r="L38" s="170">
        <f ca="1">IFERROR(__xludf.DUMMYFUNCTION("""COMPUTED_VALUE"""),0)</f>
        <v>0</v>
      </c>
      <c r="M38" s="170">
        <f ca="1">IFERROR(__xludf.DUMMYFUNCTION("""COMPUTED_VALUE"""),0)</f>
        <v>0</v>
      </c>
      <c r="N38" s="170">
        <f ca="1">IFERROR(__xludf.DUMMYFUNCTION("""COMPUTED_VALUE"""),0)</f>
        <v>0</v>
      </c>
      <c r="O38" s="170">
        <f ca="1">IFERROR(__xludf.DUMMYFUNCTION("""COMPUTED_VALUE"""),0)</f>
        <v>0</v>
      </c>
      <c r="P38" s="170">
        <f ca="1">IFERROR(__xludf.DUMMYFUNCTION("""COMPUTED_VALUE"""),734.4)</f>
        <v>734.4</v>
      </c>
      <c r="Q38" s="170">
        <f ca="1">IFERROR(__xludf.DUMMYFUNCTION("""COMPUTED_VALUE"""),0)</f>
        <v>0</v>
      </c>
      <c r="R38" s="170">
        <f ca="1">IFERROR(__xludf.DUMMYFUNCTION("""COMPUTED_VALUE"""),0)</f>
        <v>0</v>
      </c>
      <c r="S38" s="170">
        <f ca="1">IFERROR(__xludf.DUMMYFUNCTION("""COMPUTED_VALUE"""),0)</f>
        <v>0</v>
      </c>
      <c r="T38" s="170">
        <f ca="1">IFERROR(__xludf.DUMMYFUNCTION("""COMPUTED_VALUE"""),0)</f>
        <v>0</v>
      </c>
      <c r="U38" s="170">
        <f ca="1"/>
        <v>10534.4</v>
      </c>
    </row>
    <row r="39" spans="1:21" ht="12.75">
      <c r="A39" s="162" t="str">
        <f ca="1">IFERROR(__xludf.DUMMYFUNCTION("""COMPUTED_VALUE"""),"Araguaina")</f>
        <v>Araguaina</v>
      </c>
      <c r="B39" s="162" t="str">
        <f ca="1">IFERROR(__xludf.DUMMYFUNCTION("""COMPUTED_VALUE"""),"Araguaina")</f>
        <v>Araguaina</v>
      </c>
      <c r="C39" s="163" t="str">
        <f ca="1">IFERROR(__xludf.DUMMYFUNCTION("""COMPUTED_VALUE"""),"A.A. ESC. E.NORTE GOIANO DE ARAGUAINA")</f>
        <v>A.A. ESC. E.NORTE GOIANO DE ARAGUAINA</v>
      </c>
      <c r="D39" s="164" t="str">
        <f ca="1">IFERROR(__xludf.DUMMYFUNCTION("""COMPUTED_VALUE"""),"01195483000190")</f>
        <v>01195483000190</v>
      </c>
      <c r="E39" s="165" t="str">
        <f ca="1">IFERROR(__xludf.DUMMYFUNCTION("""COMPUTED_VALUE"""),"001")</f>
        <v>001</v>
      </c>
      <c r="F39" s="165" t="str">
        <f ca="1">IFERROR(__xludf.DUMMYFUNCTION("""COMPUTED_VALUE"""),"0638")</f>
        <v>0638</v>
      </c>
      <c r="G39" s="165" t="str">
        <f ca="1">IFERROR(__xludf.DUMMYFUNCTION("""COMPUTED_VALUE"""),"0464724")</f>
        <v>0464724</v>
      </c>
      <c r="H39" s="165">
        <f ca="1">IFERROR(__xludf.DUMMYFUNCTION("""COMPUTED_VALUE"""),0)</f>
        <v>0</v>
      </c>
      <c r="I39" s="165">
        <f ca="1">IFERROR(__xludf.DUMMYFUNCTION("""COMPUTED_VALUE"""),0)</f>
        <v>0</v>
      </c>
      <c r="J39" s="165">
        <f ca="1">IFERROR(__xludf.DUMMYFUNCTION("""COMPUTED_VALUE"""),2630)</f>
        <v>2630</v>
      </c>
      <c r="K39" s="165">
        <f ca="1">IFERROR(__xludf.DUMMYFUNCTION("""COMPUTED_VALUE"""),0)</f>
        <v>0</v>
      </c>
      <c r="L39" s="165">
        <f ca="1">IFERROR(__xludf.DUMMYFUNCTION("""COMPUTED_VALUE"""),0)</f>
        <v>0</v>
      </c>
      <c r="M39" s="165">
        <f ca="1">IFERROR(__xludf.DUMMYFUNCTION("""COMPUTED_VALUE"""),0)</f>
        <v>0</v>
      </c>
      <c r="N39" s="165">
        <f ca="1">IFERROR(__xludf.DUMMYFUNCTION("""COMPUTED_VALUE"""),0)</f>
        <v>0</v>
      </c>
      <c r="O39" s="165">
        <f ca="1">IFERROR(__xludf.DUMMYFUNCTION("""COMPUTED_VALUE"""),0)</f>
        <v>0</v>
      </c>
      <c r="P39" s="165">
        <f ca="1">IFERROR(__xludf.DUMMYFUNCTION("""COMPUTED_VALUE"""),163.2)</f>
        <v>163.19999999999999</v>
      </c>
      <c r="Q39" s="165">
        <f ca="1">IFERROR(__xludf.DUMMYFUNCTION("""COMPUTED_VALUE"""),0)</f>
        <v>0</v>
      </c>
      <c r="R39" s="165">
        <f ca="1">IFERROR(__xludf.DUMMYFUNCTION("""COMPUTED_VALUE"""),0)</f>
        <v>0</v>
      </c>
      <c r="S39" s="165">
        <f ca="1">IFERROR(__xludf.DUMMYFUNCTION("""COMPUTED_VALUE"""),0)</f>
        <v>0</v>
      </c>
      <c r="T39" s="165">
        <f ca="1">IFERROR(__xludf.DUMMYFUNCTION("""COMPUTED_VALUE"""),0)</f>
        <v>0</v>
      </c>
      <c r="U39" s="165">
        <f ca="1"/>
        <v>2793.2</v>
      </c>
    </row>
    <row r="40" spans="1:21" ht="12.75">
      <c r="A40" s="167" t="str">
        <f ca="1">IFERROR(__xludf.DUMMYFUNCTION("""COMPUTED_VALUE"""),"Araguaina")</f>
        <v>Araguaina</v>
      </c>
      <c r="B40" s="167" t="str">
        <f ca="1">IFERROR(__xludf.DUMMYFUNCTION("""COMPUTED_VALUE"""),"Araguaina")</f>
        <v>Araguaina</v>
      </c>
      <c r="C40" s="168" t="str">
        <f ca="1">IFERROR(__xludf.DUMMYFUNCTION("""COMPUTED_VALUE"""),"A.A. ESCOLA EST.PROF.ALFREDO NASSER")</f>
        <v>A.A. ESCOLA EST.PROF.ALFREDO NASSER</v>
      </c>
      <c r="D40" s="169" t="str">
        <f ca="1">IFERROR(__xludf.DUMMYFUNCTION("""COMPUTED_VALUE"""),"01223632000187")</f>
        <v>01223632000187</v>
      </c>
      <c r="E40" s="170" t="str">
        <f ca="1">IFERROR(__xludf.DUMMYFUNCTION("""COMPUTED_VALUE"""),"001")</f>
        <v>001</v>
      </c>
      <c r="F40" s="170" t="str">
        <f ca="1">IFERROR(__xludf.DUMMYFUNCTION("""COMPUTED_VALUE"""),"0638")</f>
        <v>0638</v>
      </c>
      <c r="G40" s="170" t="str">
        <f ca="1">IFERROR(__xludf.DUMMYFUNCTION("""COMPUTED_VALUE"""),"0465135")</f>
        <v>0465135</v>
      </c>
      <c r="H40" s="170">
        <f ca="1">IFERROR(__xludf.DUMMYFUNCTION("""COMPUTED_VALUE"""),0)</f>
        <v>0</v>
      </c>
      <c r="I40" s="170">
        <f ca="1">IFERROR(__xludf.DUMMYFUNCTION("""COMPUTED_VALUE"""),0)</f>
        <v>0</v>
      </c>
      <c r="J40" s="170">
        <f ca="1">IFERROR(__xludf.DUMMYFUNCTION("""COMPUTED_VALUE"""),7310)</f>
        <v>7310</v>
      </c>
      <c r="K40" s="170">
        <f ca="1">IFERROR(__xludf.DUMMYFUNCTION("""COMPUTED_VALUE"""),0)</f>
        <v>0</v>
      </c>
      <c r="L40" s="170">
        <f ca="1">IFERROR(__xludf.DUMMYFUNCTION("""COMPUTED_VALUE"""),0)</f>
        <v>0</v>
      </c>
      <c r="M40" s="170">
        <f ca="1">IFERROR(__xludf.DUMMYFUNCTION("""COMPUTED_VALUE"""),0)</f>
        <v>0</v>
      </c>
      <c r="N40" s="170">
        <f ca="1">IFERROR(__xludf.DUMMYFUNCTION("""COMPUTED_VALUE"""),0)</f>
        <v>0</v>
      </c>
      <c r="O40" s="170">
        <f ca="1">IFERROR(__xludf.DUMMYFUNCTION("""COMPUTED_VALUE"""),0)</f>
        <v>0</v>
      </c>
      <c r="P40" s="170">
        <f ca="1">IFERROR(__xludf.DUMMYFUNCTION("""COMPUTED_VALUE"""),0)</f>
        <v>0</v>
      </c>
      <c r="Q40" s="170">
        <f ca="1">IFERROR(__xludf.DUMMYFUNCTION("""COMPUTED_VALUE"""),0)</f>
        <v>0</v>
      </c>
      <c r="R40" s="170">
        <f ca="1">IFERROR(__xludf.DUMMYFUNCTION("""COMPUTED_VALUE"""),0)</f>
        <v>0</v>
      </c>
      <c r="S40" s="170">
        <f ca="1">IFERROR(__xludf.DUMMYFUNCTION("""COMPUTED_VALUE"""),0)</f>
        <v>0</v>
      </c>
      <c r="T40" s="170">
        <f ca="1">IFERROR(__xludf.DUMMYFUNCTION("""COMPUTED_VALUE"""),0)</f>
        <v>0</v>
      </c>
      <c r="U40" s="170">
        <f ca="1"/>
        <v>7310</v>
      </c>
    </row>
    <row r="41" spans="1:21" ht="12.75">
      <c r="A41" s="162" t="str">
        <f ca="1">IFERROR(__xludf.DUMMYFUNCTION("""COMPUTED_VALUE"""),"Araguaina")</f>
        <v>Araguaina</v>
      </c>
      <c r="B41" s="162" t="str">
        <f ca="1">IFERROR(__xludf.DUMMYFUNCTION("""COMPUTED_VALUE"""),"Araguaina")</f>
        <v>Araguaina</v>
      </c>
      <c r="C41" s="163" t="str">
        <f ca="1">IFERROR(__xludf.DUMMYFUNCTION("""COMPUTED_VALUE"""),"A.A. ESC. EST. DE ARAGUAINA / PROF. JOÃO ALVES BATISTA")</f>
        <v>A.A. ESC. EST. DE ARAGUAINA / PROF. JOÃO ALVES BATISTA</v>
      </c>
      <c r="D41" s="164" t="str">
        <f ca="1">IFERROR(__xludf.DUMMYFUNCTION("""COMPUTED_VALUE"""),"25062332000121")</f>
        <v>25062332000121</v>
      </c>
      <c r="E41" s="165" t="str">
        <f ca="1">IFERROR(__xludf.DUMMYFUNCTION("""COMPUTED_VALUE"""),"001")</f>
        <v>001</v>
      </c>
      <c r="F41" s="165" t="str">
        <f ca="1">IFERROR(__xludf.DUMMYFUNCTION("""COMPUTED_VALUE"""),"0638")</f>
        <v>0638</v>
      </c>
      <c r="G41" s="165" t="str">
        <f ca="1">IFERROR(__xludf.DUMMYFUNCTION("""COMPUTED_VALUE"""),"463116")</f>
        <v>463116</v>
      </c>
      <c r="H41" s="165">
        <f ca="1">IFERROR(__xludf.DUMMYFUNCTION("""COMPUTED_VALUE"""),0)</f>
        <v>0</v>
      </c>
      <c r="I41" s="165">
        <f ca="1">IFERROR(__xludf.DUMMYFUNCTION("""COMPUTED_VALUE"""),0)</f>
        <v>0</v>
      </c>
      <c r="J41" s="165">
        <f ca="1">IFERROR(__xludf.DUMMYFUNCTION("""COMPUTED_VALUE"""),2960)</f>
        <v>2960</v>
      </c>
      <c r="K41" s="165">
        <f ca="1">IFERROR(__xludf.DUMMYFUNCTION("""COMPUTED_VALUE"""),0)</f>
        <v>0</v>
      </c>
      <c r="L41" s="165">
        <f ca="1">IFERROR(__xludf.DUMMYFUNCTION("""COMPUTED_VALUE"""),0)</f>
        <v>0</v>
      </c>
      <c r="M41" s="165">
        <f ca="1">IFERROR(__xludf.DUMMYFUNCTION("""COMPUTED_VALUE"""),0)</f>
        <v>0</v>
      </c>
      <c r="N41" s="165">
        <f ca="1">IFERROR(__xludf.DUMMYFUNCTION("""COMPUTED_VALUE"""),0)</f>
        <v>0</v>
      </c>
      <c r="O41" s="165">
        <f ca="1">IFERROR(__xludf.DUMMYFUNCTION("""COMPUTED_VALUE"""),0)</f>
        <v>0</v>
      </c>
      <c r="P41" s="165">
        <f ca="1">IFERROR(__xludf.DUMMYFUNCTION("""COMPUTED_VALUE"""),149.6)</f>
        <v>149.6</v>
      </c>
      <c r="Q41" s="165">
        <f ca="1">IFERROR(__xludf.DUMMYFUNCTION("""COMPUTED_VALUE"""),0)</f>
        <v>0</v>
      </c>
      <c r="R41" s="165">
        <f ca="1">IFERROR(__xludf.DUMMYFUNCTION("""COMPUTED_VALUE"""),0)</f>
        <v>0</v>
      </c>
      <c r="S41" s="165">
        <f ca="1">IFERROR(__xludf.DUMMYFUNCTION("""COMPUTED_VALUE"""),0)</f>
        <v>0</v>
      </c>
      <c r="T41" s="165">
        <f ca="1">IFERROR(__xludf.DUMMYFUNCTION("""COMPUTED_VALUE"""),0)</f>
        <v>0</v>
      </c>
      <c r="U41" s="165">
        <f ca="1"/>
        <v>3109.6</v>
      </c>
    </row>
    <row r="42" spans="1:21" ht="12.75">
      <c r="A42" s="167" t="str">
        <f ca="1">IFERROR(__xludf.DUMMYFUNCTION("""COMPUTED_VALUE"""),"Araguaina")</f>
        <v>Araguaina</v>
      </c>
      <c r="B42" s="167" t="str">
        <f ca="1">IFERROR(__xludf.DUMMYFUNCTION("""COMPUTED_VALUE"""),"Araguaina")</f>
        <v>Araguaina</v>
      </c>
      <c r="C42" s="168" t="str">
        <f ca="1">IFERROR(__xludf.DUMMYFUNCTION("""COMPUTED_VALUE"""),"A.A. ESCOLA ESTADUAL VILA NOVA")</f>
        <v>A.A. ESCOLA ESTADUAL VILA NOVA</v>
      </c>
      <c r="D42" s="169" t="str">
        <f ca="1">IFERROR(__xludf.DUMMYFUNCTION("""COMPUTED_VALUE"""),"01071404000139")</f>
        <v>01071404000139</v>
      </c>
      <c r="E42" s="170" t="str">
        <f ca="1">IFERROR(__xludf.DUMMYFUNCTION("""COMPUTED_VALUE"""),"001")</f>
        <v>001</v>
      </c>
      <c r="F42" s="170" t="str">
        <f ca="1">IFERROR(__xludf.DUMMYFUNCTION("""COMPUTED_VALUE"""),"0638")</f>
        <v>0638</v>
      </c>
      <c r="G42" s="170" t="str">
        <f ca="1">IFERROR(__xludf.DUMMYFUNCTION("""COMPUTED_VALUE"""),"0463744")</f>
        <v>0463744</v>
      </c>
      <c r="H42" s="170">
        <f ca="1">IFERROR(__xludf.DUMMYFUNCTION("""COMPUTED_VALUE"""),0)</f>
        <v>0</v>
      </c>
      <c r="I42" s="170">
        <f ca="1">IFERROR(__xludf.DUMMYFUNCTION("""COMPUTED_VALUE"""),0)</f>
        <v>0</v>
      </c>
      <c r="J42" s="170">
        <f ca="1">IFERROR(__xludf.DUMMYFUNCTION("""COMPUTED_VALUE"""),0)</f>
        <v>0</v>
      </c>
      <c r="K42" s="170">
        <f ca="1">IFERROR(__xludf.DUMMYFUNCTION("""COMPUTED_VALUE"""),0)</f>
        <v>0</v>
      </c>
      <c r="L42" s="170">
        <f ca="1">IFERROR(__xludf.DUMMYFUNCTION("""COMPUTED_VALUE"""),0)</f>
        <v>0</v>
      </c>
      <c r="M42" s="170">
        <f ca="1">IFERROR(__xludf.DUMMYFUNCTION("""COMPUTED_VALUE"""),0)</f>
        <v>0</v>
      </c>
      <c r="N42" s="170">
        <f ca="1">IFERROR(__xludf.DUMMYFUNCTION("""COMPUTED_VALUE"""),0)</f>
        <v>0</v>
      </c>
      <c r="O42" s="170">
        <f ca="1">IFERROR(__xludf.DUMMYFUNCTION("""COMPUTED_VALUE"""),0)</f>
        <v>0</v>
      </c>
      <c r="P42" s="170">
        <f ca="1">IFERROR(__xludf.DUMMYFUNCTION("""COMPUTED_VALUE"""),0)</f>
        <v>0</v>
      </c>
      <c r="Q42" s="170">
        <f ca="1">IFERROR(__xludf.DUMMYFUNCTION("""COMPUTED_VALUE"""),0)</f>
        <v>0</v>
      </c>
      <c r="R42" s="170">
        <f ca="1">IFERROR(__xludf.DUMMYFUNCTION("""COMPUTED_VALUE"""),0)</f>
        <v>0</v>
      </c>
      <c r="S42" s="170">
        <f ca="1">IFERROR(__xludf.DUMMYFUNCTION("""COMPUTED_VALUE"""),0)</f>
        <v>0</v>
      </c>
      <c r="T42" s="170">
        <f ca="1">IFERROR(__xludf.DUMMYFUNCTION("""COMPUTED_VALUE"""),1057.8)</f>
        <v>1057.8</v>
      </c>
      <c r="U42" s="170">
        <f ca="1"/>
        <v>1057.8</v>
      </c>
    </row>
    <row r="43" spans="1:21" ht="12.75">
      <c r="A43" s="162" t="str">
        <f ca="1">IFERROR(__xludf.DUMMYFUNCTION("""COMPUTED_VALUE"""),"Araguaina")</f>
        <v>Araguaina</v>
      </c>
      <c r="B43" s="162" t="str">
        <f ca="1">IFERROR(__xludf.DUMMYFUNCTION("""COMPUTED_VALUE"""),"Araguaina")</f>
        <v>Araguaina</v>
      </c>
      <c r="C43" s="163" t="str">
        <f ca="1">IFERROR(__xludf.DUMMYFUNCTION("""COMPUTED_VALUE"""),"A.A. ESC. EST.WELDER M.ABREU SALES")</f>
        <v>A.A. ESC. EST.WELDER M.ABREU SALES</v>
      </c>
      <c r="D43" s="164" t="str">
        <f ca="1">IFERROR(__xludf.DUMMYFUNCTION("""COMPUTED_VALUE"""),"01190182000173")</f>
        <v>01190182000173</v>
      </c>
      <c r="E43" s="165" t="str">
        <f ca="1">IFERROR(__xludf.DUMMYFUNCTION("""COMPUTED_VALUE"""),"001")</f>
        <v>001</v>
      </c>
      <c r="F43" s="165" t="str">
        <f ca="1">IFERROR(__xludf.DUMMYFUNCTION("""COMPUTED_VALUE"""),"0638")</f>
        <v>0638</v>
      </c>
      <c r="G43" s="165" t="str">
        <f ca="1">IFERROR(__xludf.DUMMYFUNCTION("""COMPUTED_VALUE"""),"0465054")</f>
        <v>0465054</v>
      </c>
      <c r="H43" s="165">
        <f ca="1">IFERROR(__xludf.DUMMYFUNCTION("""COMPUTED_VALUE"""),0)</f>
        <v>0</v>
      </c>
      <c r="I43" s="165">
        <f ca="1">IFERROR(__xludf.DUMMYFUNCTION("""COMPUTED_VALUE"""),0)</f>
        <v>0</v>
      </c>
      <c r="J43" s="165">
        <f ca="1">IFERROR(__xludf.DUMMYFUNCTION("""COMPUTED_VALUE"""),5210)</f>
        <v>5210</v>
      </c>
      <c r="K43" s="165">
        <f ca="1">IFERROR(__xludf.DUMMYFUNCTION("""COMPUTED_VALUE"""),0)</f>
        <v>0</v>
      </c>
      <c r="L43" s="165">
        <f ca="1">IFERROR(__xludf.DUMMYFUNCTION("""COMPUTED_VALUE"""),0)</f>
        <v>0</v>
      </c>
      <c r="M43" s="165">
        <f ca="1">IFERROR(__xludf.DUMMYFUNCTION("""COMPUTED_VALUE"""),0)</f>
        <v>0</v>
      </c>
      <c r="N43" s="165">
        <f ca="1">IFERROR(__xludf.DUMMYFUNCTION("""COMPUTED_VALUE"""),0)</f>
        <v>0</v>
      </c>
      <c r="O43" s="165">
        <f ca="1">IFERROR(__xludf.DUMMYFUNCTION("""COMPUTED_VALUE"""),0)</f>
        <v>0</v>
      </c>
      <c r="P43" s="165">
        <f ca="1">IFERROR(__xludf.DUMMYFUNCTION("""COMPUTED_VALUE"""),190.4)</f>
        <v>190.4</v>
      </c>
      <c r="Q43" s="165">
        <f ca="1">IFERROR(__xludf.DUMMYFUNCTION("""COMPUTED_VALUE"""),0)</f>
        <v>0</v>
      </c>
      <c r="R43" s="165">
        <f ca="1">IFERROR(__xludf.DUMMYFUNCTION("""COMPUTED_VALUE"""),0)</f>
        <v>0</v>
      </c>
      <c r="S43" s="165">
        <f ca="1">IFERROR(__xludf.DUMMYFUNCTION("""COMPUTED_VALUE"""),0)</f>
        <v>0</v>
      </c>
      <c r="T43" s="165">
        <f ca="1">IFERROR(__xludf.DUMMYFUNCTION("""COMPUTED_VALUE"""),0)</f>
        <v>0</v>
      </c>
      <c r="U43" s="165">
        <f ca="1"/>
        <v>5400.4</v>
      </c>
    </row>
    <row r="44" spans="1:21" ht="12.75">
      <c r="A44" s="167" t="str">
        <f ca="1">IFERROR(__xludf.DUMMYFUNCTION("""COMPUTED_VALUE"""),"Araguaina")</f>
        <v>Araguaina</v>
      </c>
      <c r="B44" s="167" t="str">
        <f ca="1">IFERROR(__xludf.DUMMYFUNCTION("""COMPUTED_VALUE"""),"Araguaina")</f>
        <v>Araguaina</v>
      </c>
      <c r="C44" s="168" t="str">
        <f ca="1">IFERROR(__xludf.DUMMYFUNCTION("""COMPUTED_VALUE"""),"A. DE AP. DA E.PAROQUIAL LUIZ AUGUSTO")</f>
        <v>A. DE AP. DA E.PAROQUIAL LUIZ AUGUSTO</v>
      </c>
      <c r="D44" s="169" t="str">
        <f ca="1">IFERROR(__xludf.DUMMYFUNCTION("""COMPUTED_VALUE"""),"01912262000195")</f>
        <v>01912262000195</v>
      </c>
      <c r="E44" s="170" t="str">
        <f ca="1">IFERROR(__xludf.DUMMYFUNCTION("""COMPUTED_VALUE"""),"001")</f>
        <v>001</v>
      </c>
      <c r="F44" s="170" t="str">
        <f ca="1">IFERROR(__xludf.DUMMYFUNCTION("""COMPUTED_VALUE"""),"0638")</f>
        <v>0638</v>
      </c>
      <c r="G44" s="170" t="str">
        <f ca="1">IFERROR(__xludf.DUMMYFUNCTION("""COMPUTED_VALUE"""),"486000")</f>
        <v>486000</v>
      </c>
      <c r="H44" s="170">
        <f ca="1">IFERROR(__xludf.DUMMYFUNCTION("""COMPUTED_VALUE"""),0)</f>
        <v>0</v>
      </c>
      <c r="I44" s="170">
        <f ca="1">IFERROR(__xludf.DUMMYFUNCTION("""COMPUTED_VALUE"""),0)</f>
        <v>0</v>
      </c>
      <c r="J44" s="170">
        <f ca="1">IFERROR(__xludf.DUMMYFUNCTION("""COMPUTED_VALUE"""),16340)</f>
        <v>16340</v>
      </c>
      <c r="K44" s="170">
        <f ca="1">IFERROR(__xludf.DUMMYFUNCTION("""COMPUTED_VALUE"""),0)</f>
        <v>0</v>
      </c>
      <c r="L44" s="170">
        <f ca="1">IFERROR(__xludf.DUMMYFUNCTION("""COMPUTED_VALUE"""),0)</f>
        <v>0</v>
      </c>
      <c r="M44" s="170">
        <f ca="1">IFERROR(__xludf.DUMMYFUNCTION("""COMPUTED_VALUE"""),0)</f>
        <v>0</v>
      </c>
      <c r="N44" s="170">
        <f ca="1">IFERROR(__xludf.DUMMYFUNCTION("""COMPUTED_VALUE"""),0)</f>
        <v>0</v>
      </c>
      <c r="O44" s="170">
        <f ca="1">IFERROR(__xludf.DUMMYFUNCTION("""COMPUTED_VALUE"""),0)</f>
        <v>0</v>
      </c>
      <c r="P44" s="170">
        <f ca="1">IFERROR(__xludf.DUMMYFUNCTION("""COMPUTED_VALUE"""),571.199999999999)</f>
        <v>571.19999999999902</v>
      </c>
      <c r="Q44" s="170">
        <f ca="1">IFERROR(__xludf.DUMMYFUNCTION("""COMPUTED_VALUE"""),0)</f>
        <v>0</v>
      </c>
      <c r="R44" s="170">
        <f ca="1">IFERROR(__xludf.DUMMYFUNCTION("""COMPUTED_VALUE"""),0)</f>
        <v>0</v>
      </c>
      <c r="S44" s="170">
        <f ca="1">IFERROR(__xludf.DUMMYFUNCTION("""COMPUTED_VALUE"""),0)</f>
        <v>0</v>
      </c>
      <c r="T44" s="170">
        <f ca="1">IFERROR(__xludf.DUMMYFUNCTION("""COMPUTED_VALUE"""),0)</f>
        <v>0</v>
      </c>
      <c r="U44" s="170">
        <f ca="1"/>
        <v>16911.2</v>
      </c>
    </row>
    <row r="45" spans="1:21" ht="12.75">
      <c r="A45" s="162" t="str">
        <f ca="1">IFERROR(__xludf.DUMMYFUNCTION("""COMPUTED_VALUE"""),"Araguaina")</f>
        <v>Araguaina</v>
      </c>
      <c r="B45" s="162" t="str">
        <f ca="1">IFERROR(__xludf.DUMMYFUNCTION("""COMPUTED_VALUE"""),"Araguana")</f>
        <v>Araguana</v>
      </c>
      <c r="C45" s="163" t="str">
        <f ca="1">IFERROR(__xludf.DUMMYFUNCTION("""COMPUTED_VALUE"""),"ASS. APOIO ESC. EST. MACHADO DE ASSIS")</f>
        <v>ASS. APOIO ESC. EST. MACHADO DE ASSIS</v>
      </c>
      <c r="D45" s="164" t="str">
        <f ca="1">IFERROR(__xludf.DUMMYFUNCTION("""COMPUTED_VALUE"""),"01243663000108")</f>
        <v>01243663000108</v>
      </c>
      <c r="E45" s="165" t="str">
        <f ca="1">IFERROR(__xludf.DUMMYFUNCTION("""COMPUTED_VALUE"""),"001")</f>
        <v>001</v>
      </c>
      <c r="F45" s="165" t="str">
        <f ca="1">IFERROR(__xludf.DUMMYFUNCTION("""COMPUTED_VALUE"""),"3773")</f>
        <v>3773</v>
      </c>
      <c r="G45" s="165" t="str">
        <f ca="1">IFERROR(__xludf.DUMMYFUNCTION("""COMPUTED_VALUE"""),"322091")</f>
        <v>322091</v>
      </c>
      <c r="H45" s="165">
        <f ca="1">IFERROR(__xludf.DUMMYFUNCTION("""COMPUTED_VALUE"""),0)</f>
        <v>0</v>
      </c>
      <c r="I45" s="165">
        <f ca="1">IFERROR(__xludf.DUMMYFUNCTION("""COMPUTED_VALUE"""),0)</f>
        <v>0</v>
      </c>
      <c r="J45" s="165">
        <f ca="1">IFERROR(__xludf.DUMMYFUNCTION("""COMPUTED_VALUE"""),2160)</f>
        <v>2160</v>
      </c>
      <c r="K45" s="165">
        <f ca="1">IFERROR(__xludf.DUMMYFUNCTION("""COMPUTED_VALUE"""),0)</f>
        <v>0</v>
      </c>
      <c r="L45" s="165">
        <f ca="1">IFERROR(__xludf.DUMMYFUNCTION("""COMPUTED_VALUE"""),0)</f>
        <v>0</v>
      </c>
      <c r="M45" s="165">
        <f ca="1">IFERROR(__xludf.DUMMYFUNCTION("""COMPUTED_VALUE"""),0)</f>
        <v>0</v>
      </c>
      <c r="N45" s="165">
        <f ca="1">IFERROR(__xludf.DUMMYFUNCTION("""COMPUTED_VALUE"""),0)</f>
        <v>0</v>
      </c>
      <c r="O45" s="165">
        <f ca="1">IFERROR(__xludf.DUMMYFUNCTION("""COMPUTED_VALUE"""),0)</f>
        <v>0</v>
      </c>
      <c r="P45" s="165">
        <f ca="1">IFERROR(__xludf.DUMMYFUNCTION("""COMPUTED_VALUE"""),108.8)</f>
        <v>108.8</v>
      </c>
      <c r="Q45" s="165">
        <f ca="1">IFERROR(__xludf.DUMMYFUNCTION("""COMPUTED_VALUE"""),2170)</f>
        <v>2170</v>
      </c>
      <c r="R45" s="165">
        <f ca="1">IFERROR(__xludf.DUMMYFUNCTION("""COMPUTED_VALUE"""),0)</f>
        <v>0</v>
      </c>
      <c r="S45" s="165">
        <f ca="1">IFERROR(__xludf.DUMMYFUNCTION("""COMPUTED_VALUE"""),0)</f>
        <v>0</v>
      </c>
      <c r="T45" s="165">
        <f ca="1">IFERROR(__xludf.DUMMYFUNCTION("""COMPUTED_VALUE"""),0)</f>
        <v>0</v>
      </c>
      <c r="U45" s="165">
        <f ca="1"/>
        <v>4438.8</v>
      </c>
    </row>
    <row r="46" spans="1:21" ht="12.75">
      <c r="A46" s="167" t="str">
        <f ca="1">IFERROR(__xludf.DUMMYFUNCTION("""COMPUTED_VALUE"""),"Araguaina")</f>
        <v>Araguaina</v>
      </c>
      <c r="B46" s="167" t="str">
        <f ca="1">IFERROR(__xludf.DUMMYFUNCTION("""COMPUTED_VALUE"""),"Araguana")</f>
        <v>Araguana</v>
      </c>
      <c r="C46" s="168" t="str">
        <f ca="1">IFERROR(__xludf.DUMMYFUNCTION("""COMPUTED_VALUE"""),"A.A. ESC. EST. SAO PEDRO")</f>
        <v>A.A. ESC. EST. SAO PEDRO</v>
      </c>
      <c r="D46" s="169" t="str">
        <f ca="1">IFERROR(__xludf.DUMMYFUNCTION("""COMPUTED_VALUE"""),"01230353000140")</f>
        <v>01230353000140</v>
      </c>
      <c r="E46" s="170" t="str">
        <f ca="1">IFERROR(__xludf.DUMMYFUNCTION("""COMPUTED_VALUE"""),"001")</f>
        <v>001</v>
      </c>
      <c r="F46" s="170" t="str">
        <f ca="1">IFERROR(__xludf.DUMMYFUNCTION("""COMPUTED_VALUE"""),"0638")</f>
        <v>0638</v>
      </c>
      <c r="G46" s="170" t="str">
        <f ca="1">IFERROR(__xludf.DUMMYFUNCTION("""COMPUTED_VALUE"""),"73903")</f>
        <v>73903</v>
      </c>
      <c r="H46" s="170">
        <f ca="1">IFERROR(__xludf.DUMMYFUNCTION("""COMPUTED_VALUE"""),0)</f>
        <v>0</v>
      </c>
      <c r="I46" s="170">
        <f ca="1">IFERROR(__xludf.DUMMYFUNCTION("""COMPUTED_VALUE"""),0)</f>
        <v>0</v>
      </c>
      <c r="J46" s="170">
        <f ca="1">IFERROR(__xludf.DUMMYFUNCTION("""COMPUTED_VALUE"""),620)</f>
        <v>620</v>
      </c>
      <c r="K46" s="170">
        <f ca="1">IFERROR(__xludf.DUMMYFUNCTION("""COMPUTED_VALUE"""),0)</f>
        <v>0</v>
      </c>
      <c r="L46" s="170">
        <f ca="1">IFERROR(__xludf.DUMMYFUNCTION("""COMPUTED_VALUE"""),0)</f>
        <v>0</v>
      </c>
      <c r="M46" s="170">
        <f ca="1">IFERROR(__xludf.DUMMYFUNCTION("""COMPUTED_VALUE"""),0)</f>
        <v>0</v>
      </c>
      <c r="N46" s="170">
        <f ca="1">IFERROR(__xludf.DUMMYFUNCTION("""COMPUTED_VALUE"""),0)</f>
        <v>0</v>
      </c>
      <c r="O46" s="170">
        <f ca="1">IFERROR(__xludf.DUMMYFUNCTION("""COMPUTED_VALUE"""),0)</f>
        <v>0</v>
      </c>
      <c r="P46" s="170">
        <f ca="1">IFERROR(__xludf.DUMMYFUNCTION("""COMPUTED_VALUE"""),0)</f>
        <v>0</v>
      </c>
      <c r="Q46" s="170">
        <f ca="1">IFERROR(__xludf.DUMMYFUNCTION("""COMPUTED_VALUE"""),510)</f>
        <v>510</v>
      </c>
      <c r="R46" s="170">
        <f ca="1">IFERROR(__xludf.DUMMYFUNCTION("""COMPUTED_VALUE"""),0)</f>
        <v>0</v>
      </c>
      <c r="S46" s="170">
        <f ca="1">IFERROR(__xludf.DUMMYFUNCTION("""COMPUTED_VALUE"""),0)</f>
        <v>0</v>
      </c>
      <c r="T46" s="170">
        <f ca="1">IFERROR(__xludf.DUMMYFUNCTION("""COMPUTED_VALUE"""),0)</f>
        <v>0</v>
      </c>
      <c r="U46" s="170">
        <f ca="1"/>
        <v>1130</v>
      </c>
    </row>
    <row r="47" spans="1:21" ht="12.75">
      <c r="A47" s="162" t="str">
        <f ca="1">IFERROR(__xludf.DUMMYFUNCTION("""COMPUTED_VALUE"""),"Araguaina")</f>
        <v>Araguaina</v>
      </c>
      <c r="B47" s="162" t="str">
        <f ca="1">IFERROR(__xludf.DUMMYFUNCTION("""COMPUTED_VALUE"""),"Babaculandia")</f>
        <v>Babaculandia</v>
      </c>
      <c r="C47" s="163" t="str">
        <f ca="1">IFERROR(__xludf.DUMMYFUNCTION("""COMPUTED_VALUE"""),"A.PAIS E M.C.E.LEOPOLDO DE BULHOES")</f>
        <v>A.PAIS E M.C.E.LEOPOLDO DE BULHOES</v>
      </c>
      <c r="D47" s="164" t="str">
        <f ca="1">IFERROR(__xludf.DUMMYFUNCTION("""COMPUTED_VALUE"""),"01146116000104")</f>
        <v>01146116000104</v>
      </c>
      <c r="E47" s="165" t="str">
        <f ca="1">IFERROR(__xludf.DUMMYFUNCTION("""COMPUTED_VALUE"""),"001")</f>
        <v>001</v>
      </c>
      <c r="F47" s="165" t="str">
        <f ca="1">IFERROR(__xludf.DUMMYFUNCTION("""COMPUTED_VALUE"""),"0638")</f>
        <v>0638</v>
      </c>
      <c r="G47" s="165" t="str">
        <f ca="1">IFERROR(__xludf.DUMMYFUNCTION("""COMPUTED_VALUE"""),"465232")</f>
        <v>465232</v>
      </c>
      <c r="H47" s="165">
        <f ca="1">IFERROR(__xludf.DUMMYFUNCTION("""COMPUTED_VALUE"""),0)</f>
        <v>0</v>
      </c>
      <c r="I47" s="165">
        <f ca="1">IFERROR(__xludf.DUMMYFUNCTION("""COMPUTED_VALUE"""),0)</f>
        <v>0</v>
      </c>
      <c r="J47" s="165">
        <f ca="1">IFERROR(__xludf.DUMMYFUNCTION("""COMPUTED_VALUE"""),2640)</f>
        <v>2640</v>
      </c>
      <c r="K47" s="165">
        <f ca="1">IFERROR(__xludf.DUMMYFUNCTION("""COMPUTED_VALUE"""),0)</f>
        <v>0</v>
      </c>
      <c r="L47" s="165">
        <f ca="1">IFERROR(__xludf.DUMMYFUNCTION("""COMPUTED_VALUE"""),0)</f>
        <v>0</v>
      </c>
      <c r="M47" s="165">
        <f ca="1">IFERROR(__xludf.DUMMYFUNCTION("""COMPUTED_VALUE"""),0)</f>
        <v>0</v>
      </c>
      <c r="N47" s="165">
        <f ca="1">IFERROR(__xludf.DUMMYFUNCTION("""COMPUTED_VALUE"""),0)</f>
        <v>0</v>
      </c>
      <c r="O47" s="165">
        <f ca="1">IFERROR(__xludf.DUMMYFUNCTION("""COMPUTED_VALUE"""),0)</f>
        <v>0</v>
      </c>
      <c r="P47" s="165">
        <f ca="1">IFERROR(__xludf.DUMMYFUNCTION("""COMPUTED_VALUE"""),435.2)</f>
        <v>435.2</v>
      </c>
      <c r="Q47" s="165">
        <f ca="1">IFERROR(__xludf.DUMMYFUNCTION("""COMPUTED_VALUE"""),4660)</f>
        <v>4660</v>
      </c>
      <c r="R47" s="165">
        <f ca="1">IFERROR(__xludf.DUMMYFUNCTION("""COMPUTED_VALUE"""),0)</f>
        <v>0</v>
      </c>
      <c r="S47" s="165">
        <f ca="1">IFERROR(__xludf.DUMMYFUNCTION("""COMPUTED_VALUE"""),0)</f>
        <v>0</v>
      </c>
      <c r="T47" s="165">
        <f ca="1">IFERROR(__xludf.DUMMYFUNCTION("""COMPUTED_VALUE"""),0)</f>
        <v>0</v>
      </c>
      <c r="U47" s="165">
        <f ca="1"/>
        <v>7735.2</v>
      </c>
    </row>
    <row r="48" spans="1:21" ht="12.75">
      <c r="A48" s="167" t="str">
        <f ca="1">IFERROR(__xludf.DUMMYFUNCTION("""COMPUTED_VALUE"""),"Araguaina")</f>
        <v>Araguaina</v>
      </c>
      <c r="B48" s="167" t="str">
        <f ca="1">IFERROR(__xludf.DUMMYFUNCTION("""COMPUTED_VALUE"""),"Babaculandia")</f>
        <v>Babaculandia</v>
      </c>
      <c r="C48" s="168" t="str">
        <f ca="1">IFERROR(__xludf.DUMMYFUNCTION("""COMPUTED_VALUE"""),"A.A. ESCOLA ESTADUAL RUI BARBOSA")</f>
        <v>A.A. ESCOLA ESTADUAL RUI BARBOSA</v>
      </c>
      <c r="D48" s="169" t="str">
        <f ca="1">IFERROR(__xludf.DUMMYFUNCTION("""COMPUTED_VALUE"""),"01181184000104")</f>
        <v>01181184000104</v>
      </c>
      <c r="E48" s="170" t="str">
        <f ca="1">IFERROR(__xludf.DUMMYFUNCTION("""COMPUTED_VALUE"""),"001")</f>
        <v>001</v>
      </c>
      <c r="F48" s="170" t="str">
        <f ca="1">IFERROR(__xludf.DUMMYFUNCTION("""COMPUTED_VALUE"""),"0638")</f>
        <v>0638</v>
      </c>
      <c r="G48" s="170" t="str">
        <f ca="1">IFERROR(__xludf.DUMMYFUNCTION("""COMPUTED_VALUE"""),"477117")</f>
        <v>477117</v>
      </c>
      <c r="H48" s="170">
        <f ca="1">IFERROR(__xludf.DUMMYFUNCTION("""COMPUTED_VALUE"""),0)</f>
        <v>0</v>
      </c>
      <c r="I48" s="170">
        <f ca="1">IFERROR(__xludf.DUMMYFUNCTION("""COMPUTED_VALUE"""),0)</f>
        <v>0</v>
      </c>
      <c r="J48" s="170">
        <f ca="1">IFERROR(__xludf.DUMMYFUNCTION("""COMPUTED_VALUE"""),1550)</f>
        <v>1550</v>
      </c>
      <c r="K48" s="170">
        <f ca="1">IFERROR(__xludf.DUMMYFUNCTION("""COMPUTED_VALUE"""),0)</f>
        <v>0</v>
      </c>
      <c r="L48" s="170">
        <f ca="1">IFERROR(__xludf.DUMMYFUNCTION("""COMPUTED_VALUE"""),0)</f>
        <v>0</v>
      </c>
      <c r="M48" s="170">
        <f ca="1">IFERROR(__xludf.DUMMYFUNCTION("""COMPUTED_VALUE"""),0)</f>
        <v>0</v>
      </c>
      <c r="N48" s="170">
        <f ca="1">IFERROR(__xludf.DUMMYFUNCTION("""COMPUTED_VALUE"""),0)</f>
        <v>0</v>
      </c>
      <c r="O48" s="170">
        <f ca="1">IFERROR(__xludf.DUMMYFUNCTION("""COMPUTED_VALUE"""),0)</f>
        <v>0</v>
      </c>
      <c r="P48" s="170">
        <f ca="1">IFERROR(__xludf.DUMMYFUNCTION("""COMPUTED_VALUE"""),258.4)</f>
        <v>258.39999999999998</v>
      </c>
      <c r="Q48" s="170">
        <f ca="1">IFERROR(__xludf.DUMMYFUNCTION("""COMPUTED_VALUE"""),1030)</f>
        <v>1030</v>
      </c>
      <c r="R48" s="170">
        <f ca="1">IFERROR(__xludf.DUMMYFUNCTION("""COMPUTED_VALUE"""),0)</f>
        <v>0</v>
      </c>
      <c r="S48" s="170">
        <f ca="1">IFERROR(__xludf.DUMMYFUNCTION("""COMPUTED_VALUE"""),0)</f>
        <v>0</v>
      </c>
      <c r="T48" s="170">
        <f ca="1">IFERROR(__xludf.DUMMYFUNCTION("""COMPUTED_VALUE"""),0)</f>
        <v>0</v>
      </c>
      <c r="U48" s="170">
        <f ca="1"/>
        <v>2838.4</v>
      </c>
    </row>
    <row r="49" spans="1:21" ht="12.75">
      <c r="A49" s="162" t="str">
        <f ca="1">IFERROR(__xludf.DUMMYFUNCTION("""COMPUTED_VALUE"""),"Araguaina")</f>
        <v>Araguaina</v>
      </c>
      <c r="B49" s="162" t="str">
        <f ca="1">IFERROR(__xludf.DUMMYFUNCTION("""COMPUTED_VALUE"""),"Barra do Ouro")</f>
        <v>Barra do Ouro</v>
      </c>
      <c r="C49" s="163" t="str">
        <f ca="1">IFERROR(__xludf.DUMMYFUNCTION("""COMPUTED_VALUE"""),"A.A. A ESCOLA ESTADUAL BREJAO")</f>
        <v>A.A. A ESCOLA ESTADUAL BREJAO</v>
      </c>
      <c r="D49" s="164" t="str">
        <f ca="1">IFERROR(__xludf.DUMMYFUNCTION("""COMPUTED_VALUE"""),"02392799000134")</f>
        <v>02392799000134</v>
      </c>
      <c r="E49" s="165" t="str">
        <f ca="1">IFERROR(__xludf.DUMMYFUNCTION("""COMPUTED_VALUE"""),"001")</f>
        <v>001</v>
      </c>
      <c r="F49" s="165" t="str">
        <f ca="1">IFERROR(__xludf.DUMMYFUNCTION("""COMPUTED_VALUE"""),"0638")</f>
        <v>0638</v>
      </c>
      <c r="G49" s="165" t="str">
        <f ca="1">IFERROR(__xludf.DUMMYFUNCTION("""COMPUTED_VALUE"""),"83615")</f>
        <v>83615</v>
      </c>
      <c r="H49" s="165">
        <f ca="1">IFERROR(__xludf.DUMMYFUNCTION("""COMPUTED_VALUE"""),0)</f>
        <v>0</v>
      </c>
      <c r="I49" s="165">
        <f ca="1">IFERROR(__xludf.DUMMYFUNCTION("""COMPUTED_VALUE"""),0)</f>
        <v>0</v>
      </c>
      <c r="J49" s="165">
        <f ca="1">IFERROR(__xludf.DUMMYFUNCTION("""COMPUTED_VALUE"""),1290)</f>
        <v>1290</v>
      </c>
      <c r="K49" s="165">
        <f ca="1">IFERROR(__xludf.DUMMYFUNCTION("""COMPUTED_VALUE"""),0)</f>
        <v>0</v>
      </c>
      <c r="L49" s="165">
        <f ca="1">IFERROR(__xludf.DUMMYFUNCTION("""COMPUTED_VALUE"""),0)</f>
        <v>0</v>
      </c>
      <c r="M49" s="165">
        <f ca="1">IFERROR(__xludf.DUMMYFUNCTION("""COMPUTED_VALUE"""),0)</f>
        <v>0</v>
      </c>
      <c r="N49" s="165">
        <f ca="1">IFERROR(__xludf.DUMMYFUNCTION("""COMPUTED_VALUE"""),0)</f>
        <v>0</v>
      </c>
      <c r="O49" s="165">
        <f ca="1">IFERROR(__xludf.DUMMYFUNCTION("""COMPUTED_VALUE"""),0)</f>
        <v>0</v>
      </c>
      <c r="P49" s="165">
        <f ca="1">IFERROR(__xludf.DUMMYFUNCTION("""COMPUTED_VALUE"""),136)</f>
        <v>136</v>
      </c>
      <c r="Q49" s="165">
        <f ca="1">IFERROR(__xludf.DUMMYFUNCTION("""COMPUTED_VALUE"""),720)</f>
        <v>720</v>
      </c>
      <c r="R49" s="165">
        <f ca="1">IFERROR(__xludf.DUMMYFUNCTION("""COMPUTED_VALUE"""),0)</f>
        <v>0</v>
      </c>
      <c r="S49" s="165">
        <f ca="1">IFERROR(__xludf.DUMMYFUNCTION("""COMPUTED_VALUE"""),0)</f>
        <v>0</v>
      </c>
      <c r="T49" s="165">
        <f ca="1">IFERROR(__xludf.DUMMYFUNCTION("""COMPUTED_VALUE"""),0)</f>
        <v>0</v>
      </c>
      <c r="U49" s="165">
        <f ca="1"/>
        <v>2146</v>
      </c>
    </row>
    <row r="50" spans="1:21" ht="12.75">
      <c r="A50" s="167" t="str">
        <f ca="1">IFERROR(__xludf.DUMMYFUNCTION("""COMPUTED_VALUE"""),"Araguaina")</f>
        <v>Araguaina</v>
      </c>
      <c r="B50" s="167" t="str">
        <f ca="1">IFERROR(__xludf.DUMMYFUNCTION("""COMPUTED_VALUE"""),"Barra do Ouro")</f>
        <v>Barra do Ouro</v>
      </c>
      <c r="C50" s="168" t="str">
        <f ca="1">IFERROR(__xludf.DUMMYFUNCTION("""COMPUTED_VALUE"""),"A.COM. ESC. EST. BARRA DO OURO/PROF. VICENTE JOSÉ VIEIRA")</f>
        <v>A.COM. ESC. EST. BARRA DO OURO/PROF. VICENTE JOSÉ VIEIRA</v>
      </c>
      <c r="D50" s="169" t="str">
        <f ca="1">IFERROR(__xludf.DUMMYFUNCTION("""COMPUTED_VALUE"""),"01341481000161")</f>
        <v>01341481000161</v>
      </c>
      <c r="E50" s="170" t="str">
        <f ca="1">IFERROR(__xludf.DUMMYFUNCTION("""COMPUTED_VALUE"""),"001")</f>
        <v>001</v>
      </c>
      <c r="F50" s="170" t="str">
        <f ca="1">IFERROR(__xludf.DUMMYFUNCTION("""COMPUTED_VALUE"""),"0638")</f>
        <v>0638</v>
      </c>
      <c r="G50" s="170" t="str">
        <f ca="1">IFERROR(__xludf.DUMMYFUNCTION("""COMPUTED_VALUE"""),"0069973")</f>
        <v>0069973</v>
      </c>
      <c r="H50" s="170">
        <f ca="1">IFERROR(__xludf.DUMMYFUNCTION("""COMPUTED_VALUE"""),0)</f>
        <v>0</v>
      </c>
      <c r="I50" s="170">
        <f ca="1">IFERROR(__xludf.DUMMYFUNCTION("""COMPUTED_VALUE"""),0)</f>
        <v>0</v>
      </c>
      <c r="J50" s="170">
        <f ca="1">IFERROR(__xludf.DUMMYFUNCTION("""COMPUTED_VALUE"""),2550)</f>
        <v>2550</v>
      </c>
      <c r="K50" s="170">
        <f ca="1">IFERROR(__xludf.DUMMYFUNCTION("""COMPUTED_VALUE"""),0)</f>
        <v>0</v>
      </c>
      <c r="L50" s="170">
        <f ca="1">IFERROR(__xludf.DUMMYFUNCTION("""COMPUTED_VALUE"""),0)</f>
        <v>0</v>
      </c>
      <c r="M50" s="170">
        <f ca="1">IFERROR(__xludf.DUMMYFUNCTION("""COMPUTED_VALUE"""),0)</f>
        <v>0</v>
      </c>
      <c r="N50" s="170">
        <f ca="1">IFERROR(__xludf.DUMMYFUNCTION("""COMPUTED_VALUE"""),0)</f>
        <v>0</v>
      </c>
      <c r="O50" s="170">
        <f ca="1">IFERROR(__xludf.DUMMYFUNCTION("""COMPUTED_VALUE"""),0)</f>
        <v>0</v>
      </c>
      <c r="P50" s="170">
        <f ca="1">IFERROR(__xludf.DUMMYFUNCTION("""COMPUTED_VALUE"""),0)</f>
        <v>0</v>
      </c>
      <c r="Q50" s="170">
        <f ca="1">IFERROR(__xludf.DUMMYFUNCTION("""COMPUTED_VALUE"""),1270)</f>
        <v>1270</v>
      </c>
      <c r="R50" s="170">
        <f ca="1">IFERROR(__xludf.DUMMYFUNCTION("""COMPUTED_VALUE"""),0)</f>
        <v>0</v>
      </c>
      <c r="S50" s="170">
        <f ca="1">IFERROR(__xludf.DUMMYFUNCTION("""COMPUTED_VALUE"""),0)</f>
        <v>0</v>
      </c>
      <c r="T50" s="170">
        <f ca="1">IFERROR(__xludf.DUMMYFUNCTION("""COMPUTED_VALUE"""),0)</f>
        <v>0</v>
      </c>
      <c r="U50" s="170">
        <f ca="1"/>
        <v>3820</v>
      </c>
    </row>
    <row r="51" spans="1:21" ht="12.75">
      <c r="A51" s="162" t="str">
        <f ca="1">IFERROR(__xludf.DUMMYFUNCTION("""COMPUTED_VALUE"""),"Araguaina")</f>
        <v>Araguaina</v>
      </c>
      <c r="B51" s="162" t="str">
        <f ca="1">IFERROR(__xludf.DUMMYFUNCTION("""COMPUTED_VALUE"""),"Campos Lindos")</f>
        <v>Campos Lindos</v>
      </c>
      <c r="C51" s="163" t="str">
        <f ca="1">IFERROR(__xludf.DUMMYFUNCTION("""COMPUTED_VALUE"""),"A.A. DA ESC. EST. MANOEL ALVES GRANDE")</f>
        <v>A.A. DA ESC. EST. MANOEL ALVES GRANDE</v>
      </c>
      <c r="D51" s="164" t="str">
        <f ca="1">IFERROR(__xludf.DUMMYFUNCTION("""COMPUTED_VALUE"""),"02199744000102")</f>
        <v>02199744000102</v>
      </c>
      <c r="E51" s="165" t="str">
        <f ca="1">IFERROR(__xludf.DUMMYFUNCTION("""COMPUTED_VALUE"""),"001")</f>
        <v>001</v>
      </c>
      <c r="F51" s="165" t="str">
        <f ca="1">IFERROR(__xludf.DUMMYFUNCTION("""COMPUTED_VALUE"""),"2064")</f>
        <v>2064</v>
      </c>
      <c r="G51" s="165" t="str">
        <f ca="1">IFERROR(__xludf.DUMMYFUNCTION("""COMPUTED_VALUE"""),"0130117")</f>
        <v>0130117</v>
      </c>
      <c r="H51" s="165">
        <f ca="1">IFERROR(__xludf.DUMMYFUNCTION("""COMPUTED_VALUE"""),0)</f>
        <v>0</v>
      </c>
      <c r="I51" s="165">
        <f ca="1">IFERROR(__xludf.DUMMYFUNCTION("""COMPUTED_VALUE"""),0)</f>
        <v>0</v>
      </c>
      <c r="J51" s="165">
        <f ca="1">IFERROR(__xludf.DUMMYFUNCTION("""COMPUTED_VALUE"""),1710)</f>
        <v>1710</v>
      </c>
      <c r="K51" s="165">
        <f ca="1">IFERROR(__xludf.DUMMYFUNCTION("""COMPUTED_VALUE"""),0)</f>
        <v>0</v>
      </c>
      <c r="L51" s="165">
        <f ca="1">IFERROR(__xludf.DUMMYFUNCTION("""COMPUTED_VALUE"""),0)</f>
        <v>0</v>
      </c>
      <c r="M51" s="165">
        <f ca="1">IFERROR(__xludf.DUMMYFUNCTION("""COMPUTED_VALUE"""),0)</f>
        <v>0</v>
      </c>
      <c r="N51" s="165">
        <f ca="1">IFERROR(__xludf.DUMMYFUNCTION("""COMPUTED_VALUE"""),0)</f>
        <v>0</v>
      </c>
      <c r="O51" s="165">
        <f ca="1">IFERROR(__xludf.DUMMYFUNCTION("""COMPUTED_VALUE"""),0)</f>
        <v>0</v>
      </c>
      <c r="P51" s="165">
        <f ca="1">IFERROR(__xludf.DUMMYFUNCTION("""COMPUTED_VALUE"""),0)</f>
        <v>0</v>
      </c>
      <c r="Q51" s="165">
        <f ca="1">IFERROR(__xludf.DUMMYFUNCTION("""COMPUTED_VALUE"""),4600)</f>
        <v>4600</v>
      </c>
      <c r="R51" s="165">
        <f ca="1">IFERROR(__xludf.DUMMYFUNCTION("""COMPUTED_VALUE"""),0)</f>
        <v>0</v>
      </c>
      <c r="S51" s="165">
        <f ca="1">IFERROR(__xludf.DUMMYFUNCTION("""COMPUTED_VALUE"""),0)</f>
        <v>0</v>
      </c>
      <c r="T51" s="165">
        <f ca="1">IFERROR(__xludf.DUMMYFUNCTION("""COMPUTED_VALUE"""),98.3999999999999)</f>
        <v>98.399999999999906</v>
      </c>
      <c r="U51" s="165">
        <f ca="1"/>
        <v>6408.4</v>
      </c>
    </row>
    <row r="52" spans="1:21" ht="12.75">
      <c r="A52" s="167" t="str">
        <f ca="1">IFERROR(__xludf.DUMMYFUNCTION("""COMPUTED_VALUE"""),"Araguaina")</f>
        <v>Araguaina</v>
      </c>
      <c r="B52" s="167" t="str">
        <f ca="1">IFERROR(__xludf.DUMMYFUNCTION("""COMPUTED_VALUE"""),"Carmolandia")</f>
        <v>Carmolandia</v>
      </c>
      <c r="C52" s="168" t="str">
        <f ca="1">IFERROR(__xludf.DUMMYFUNCTION("""COMPUTED_VALUE"""),"A.A. E. EST. BARTOLOMEU BUENO DA SILVA")</f>
        <v>A.A. E. EST. BARTOLOMEU BUENO DA SILVA</v>
      </c>
      <c r="D52" s="169" t="str">
        <f ca="1">IFERROR(__xludf.DUMMYFUNCTION("""COMPUTED_VALUE"""),"01181172000171")</f>
        <v>01181172000171</v>
      </c>
      <c r="E52" s="170" t="str">
        <f ca="1">IFERROR(__xludf.DUMMYFUNCTION("""COMPUTED_VALUE"""),"001")</f>
        <v>001</v>
      </c>
      <c r="F52" s="170" t="str">
        <f ca="1">IFERROR(__xludf.DUMMYFUNCTION("""COMPUTED_VALUE"""),"0638")</f>
        <v>0638</v>
      </c>
      <c r="G52" s="170" t="str">
        <f ca="1">IFERROR(__xludf.DUMMYFUNCTION("""COMPUTED_VALUE"""),"0465038")</f>
        <v>0465038</v>
      </c>
      <c r="H52" s="170">
        <f ca="1">IFERROR(__xludf.DUMMYFUNCTION("""COMPUTED_VALUE"""),0)</f>
        <v>0</v>
      </c>
      <c r="I52" s="170">
        <f ca="1">IFERROR(__xludf.DUMMYFUNCTION("""COMPUTED_VALUE"""),0)</f>
        <v>0</v>
      </c>
      <c r="J52" s="170">
        <f ca="1">IFERROR(__xludf.DUMMYFUNCTION("""COMPUTED_VALUE"""),290)</f>
        <v>290</v>
      </c>
      <c r="K52" s="170">
        <f ca="1">IFERROR(__xludf.DUMMYFUNCTION("""COMPUTED_VALUE"""),0)</f>
        <v>0</v>
      </c>
      <c r="L52" s="170">
        <f ca="1">IFERROR(__xludf.DUMMYFUNCTION("""COMPUTED_VALUE"""),0)</f>
        <v>0</v>
      </c>
      <c r="M52" s="170">
        <f ca="1">IFERROR(__xludf.DUMMYFUNCTION("""COMPUTED_VALUE"""),0)</f>
        <v>0</v>
      </c>
      <c r="N52" s="170">
        <f ca="1">IFERROR(__xludf.DUMMYFUNCTION("""COMPUTED_VALUE"""),0)</f>
        <v>0</v>
      </c>
      <c r="O52" s="170">
        <f ca="1">IFERROR(__xludf.DUMMYFUNCTION("""COMPUTED_VALUE"""),0)</f>
        <v>0</v>
      </c>
      <c r="P52" s="170">
        <f ca="1">IFERROR(__xludf.DUMMYFUNCTION("""COMPUTED_VALUE"""),0)</f>
        <v>0</v>
      </c>
      <c r="Q52" s="170">
        <f ca="1">IFERROR(__xludf.DUMMYFUNCTION("""COMPUTED_VALUE"""),870)</f>
        <v>870</v>
      </c>
      <c r="R52" s="170">
        <f ca="1">IFERROR(__xludf.DUMMYFUNCTION("""COMPUTED_VALUE"""),0)</f>
        <v>0</v>
      </c>
      <c r="S52" s="170">
        <f ca="1">IFERROR(__xludf.DUMMYFUNCTION("""COMPUTED_VALUE"""),0)</f>
        <v>0</v>
      </c>
      <c r="T52" s="170">
        <f ca="1">IFERROR(__xludf.DUMMYFUNCTION("""COMPUTED_VALUE"""),65.6)</f>
        <v>65.599999999999994</v>
      </c>
      <c r="U52" s="170">
        <f ca="1"/>
        <v>1225.5999999999999</v>
      </c>
    </row>
    <row r="53" spans="1:21" ht="12.75">
      <c r="A53" s="162" t="str">
        <f ca="1">IFERROR(__xludf.DUMMYFUNCTION("""COMPUTED_VALUE"""),"Araguaina")</f>
        <v>Araguaina</v>
      </c>
      <c r="B53" s="162" t="str">
        <f ca="1">IFERROR(__xludf.DUMMYFUNCTION("""COMPUTED_VALUE"""),"Filadelfia")</f>
        <v>Filadelfia</v>
      </c>
      <c r="C53" s="163" t="str">
        <f ca="1">IFERROR(__xludf.DUMMYFUNCTION("""COMPUTED_VALUE"""),"A.A. DO COL.MUNICIPAL DE FILADELFIA")</f>
        <v>A.A. DO COL.MUNICIPAL DE FILADELFIA</v>
      </c>
      <c r="D53" s="164" t="str">
        <f ca="1">IFERROR(__xludf.DUMMYFUNCTION("""COMPUTED_VALUE"""),"02189621000190")</f>
        <v>02189621000190</v>
      </c>
      <c r="E53" s="165" t="str">
        <f ca="1">IFERROR(__xludf.DUMMYFUNCTION("""COMPUTED_VALUE"""),"001")</f>
        <v>001</v>
      </c>
      <c r="F53" s="165" t="str">
        <f ca="1">IFERROR(__xludf.DUMMYFUNCTION("""COMPUTED_VALUE"""),"2064")</f>
        <v>2064</v>
      </c>
      <c r="G53" s="165" t="str">
        <f ca="1">IFERROR(__xludf.DUMMYFUNCTION("""COMPUTED_VALUE"""),"54127")</f>
        <v>54127</v>
      </c>
      <c r="H53" s="165">
        <f ca="1">IFERROR(__xludf.DUMMYFUNCTION("""COMPUTED_VALUE"""),0)</f>
        <v>0</v>
      </c>
      <c r="I53" s="165">
        <f ca="1">IFERROR(__xludf.DUMMYFUNCTION("""COMPUTED_VALUE"""),0)</f>
        <v>0</v>
      </c>
      <c r="J53" s="165">
        <f ca="1">IFERROR(__xludf.DUMMYFUNCTION("""COMPUTED_VALUE"""),0)</f>
        <v>0</v>
      </c>
      <c r="K53" s="165">
        <f ca="1">IFERROR(__xludf.DUMMYFUNCTION("""COMPUTED_VALUE"""),0)</f>
        <v>0</v>
      </c>
      <c r="L53" s="165">
        <f ca="1">IFERROR(__xludf.DUMMYFUNCTION("""COMPUTED_VALUE"""),0)</f>
        <v>0</v>
      </c>
      <c r="M53" s="165">
        <f ca="1">IFERROR(__xludf.DUMMYFUNCTION("""COMPUTED_VALUE"""),0)</f>
        <v>0</v>
      </c>
      <c r="N53" s="165">
        <f ca="1">IFERROR(__xludf.DUMMYFUNCTION("""COMPUTED_VALUE"""),0)</f>
        <v>0</v>
      </c>
      <c r="O53" s="165">
        <f ca="1">IFERROR(__xludf.DUMMYFUNCTION("""COMPUTED_VALUE"""),0)</f>
        <v>0</v>
      </c>
      <c r="P53" s="165">
        <f ca="1">IFERROR(__xludf.DUMMYFUNCTION("""COMPUTED_VALUE"""),272)</f>
        <v>272</v>
      </c>
      <c r="Q53" s="165">
        <f ca="1">IFERROR(__xludf.DUMMYFUNCTION("""COMPUTED_VALUE"""),2140)</f>
        <v>2140</v>
      </c>
      <c r="R53" s="165">
        <f ca="1">IFERROR(__xludf.DUMMYFUNCTION("""COMPUTED_VALUE"""),0)</f>
        <v>0</v>
      </c>
      <c r="S53" s="165">
        <f ca="1">IFERROR(__xludf.DUMMYFUNCTION("""COMPUTED_VALUE"""),0)</f>
        <v>0</v>
      </c>
      <c r="T53" s="165">
        <f ca="1">IFERROR(__xludf.DUMMYFUNCTION("""COMPUTED_VALUE"""),0)</f>
        <v>0</v>
      </c>
      <c r="U53" s="165">
        <f ca="1"/>
        <v>2412</v>
      </c>
    </row>
    <row r="54" spans="1:21" ht="12.75">
      <c r="A54" s="167" t="str">
        <f ca="1">IFERROR(__xludf.DUMMYFUNCTION("""COMPUTED_VALUE"""),"Araguaina")</f>
        <v>Araguaina</v>
      </c>
      <c r="B54" s="167" t="str">
        <f ca="1">IFERROR(__xludf.DUMMYFUNCTION("""COMPUTED_VALUE"""),"Filadelfia")</f>
        <v>Filadelfia</v>
      </c>
      <c r="C54" s="168" t="str">
        <f ca="1">IFERROR(__xludf.DUMMYFUNCTION("""COMPUTED_VALUE"""),"A.P. E M. ESC. EST. ADEUVALDO O.MORAES")</f>
        <v>A.P. E M. ESC. EST. ADEUVALDO O.MORAES</v>
      </c>
      <c r="D54" s="169" t="str">
        <f ca="1">IFERROR(__xludf.DUMMYFUNCTION("""COMPUTED_VALUE"""),"01912087000136")</f>
        <v>01912087000136</v>
      </c>
      <c r="E54" s="170" t="str">
        <f ca="1">IFERROR(__xludf.DUMMYFUNCTION("""COMPUTED_VALUE"""),"001")</f>
        <v>001</v>
      </c>
      <c r="F54" s="170" t="str">
        <f ca="1">IFERROR(__xludf.DUMMYFUNCTION("""COMPUTED_VALUE"""),"2064")</f>
        <v>2064</v>
      </c>
      <c r="G54" s="170" t="str">
        <f ca="1">IFERROR(__xludf.DUMMYFUNCTION("""COMPUTED_VALUE"""),"127434")</f>
        <v>127434</v>
      </c>
      <c r="H54" s="170">
        <f ca="1">IFERROR(__xludf.DUMMYFUNCTION("""COMPUTED_VALUE"""),0)</f>
        <v>0</v>
      </c>
      <c r="I54" s="170">
        <f ca="1">IFERROR(__xludf.DUMMYFUNCTION("""COMPUTED_VALUE"""),0)</f>
        <v>0</v>
      </c>
      <c r="J54" s="170">
        <f ca="1">IFERROR(__xludf.DUMMYFUNCTION("""COMPUTED_VALUE"""),2800)</f>
        <v>2800</v>
      </c>
      <c r="K54" s="170">
        <f ca="1">IFERROR(__xludf.DUMMYFUNCTION("""COMPUTED_VALUE"""),0)</f>
        <v>0</v>
      </c>
      <c r="L54" s="170">
        <f ca="1">IFERROR(__xludf.DUMMYFUNCTION("""COMPUTED_VALUE"""),0)</f>
        <v>0</v>
      </c>
      <c r="M54" s="170">
        <f ca="1">IFERROR(__xludf.DUMMYFUNCTION("""COMPUTED_VALUE"""),0)</f>
        <v>0</v>
      </c>
      <c r="N54" s="170">
        <f ca="1">IFERROR(__xludf.DUMMYFUNCTION("""COMPUTED_VALUE"""),0)</f>
        <v>0</v>
      </c>
      <c r="O54" s="170">
        <f ca="1">IFERROR(__xludf.DUMMYFUNCTION("""COMPUTED_VALUE"""),0)</f>
        <v>0</v>
      </c>
      <c r="P54" s="170">
        <f ca="1">IFERROR(__xludf.DUMMYFUNCTION("""COMPUTED_VALUE"""),435.2)</f>
        <v>435.2</v>
      </c>
      <c r="Q54" s="170">
        <f ca="1">IFERROR(__xludf.DUMMYFUNCTION("""COMPUTED_VALUE"""),0)</f>
        <v>0</v>
      </c>
      <c r="R54" s="170">
        <f ca="1">IFERROR(__xludf.DUMMYFUNCTION("""COMPUTED_VALUE"""),0)</f>
        <v>0</v>
      </c>
      <c r="S54" s="170">
        <f ca="1">IFERROR(__xludf.DUMMYFUNCTION("""COMPUTED_VALUE"""),0)</f>
        <v>0</v>
      </c>
      <c r="T54" s="170">
        <f ca="1">IFERROR(__xludf.DUMMYFUNCTION("""COMPUTED_VALUE"""),0)</f>
        <v>0</v>
      </c>
      <c r="U54" s="170">
        <f ca="1"/>
        <v>3235.2</v>
      </c>
    </row>
    <row r="55" spans="1:21" ht="12.75">
      <c r="A55" s="162" t="str">
        <f ca="1">IFERROR(__xludf.DUMMYFUNCTION("""COMPUTED_VALUE"""),"Araguaina")</f>
        <v>Araguaina</v>
      </c>
      <c r="B55" s="162" t="str">
        <f ca="1">IFERROR(__xludf.DUMMYFUNCTION("""COMPUTED_VALUE"""),"Filadelfia")</f>
        <v>Filadelfia</v>
      </c>
      <c r="C55" s="163" t="str">
        <f ca="1">IFERROR(__xludf.DUMMYFUNCTION("""COMPUTED_VALUE"""),"A.A. ESC EST PROFESSOR JOSÉ FRANCISCO DOS MONTES")</f>
        <v>A.A. ESC EST PROFESSOR JOSÉ FRANCISCO DOS MONTES</v>
      </c>
      <c r="D55" s="164" t="str">
        <f ca="1">IFERROR(__xludf.DUMMYFUNCTION("""COMPUTED_VALUE"""),"27853677000129")</f>
        <v>27853677000129</v>
      </c>
      <c r="E55" s="165" t="str">
        <f ca="1">IFERROR(__xludf.DUMMYFUNCTION("""COMPUTED_VALUE"""),"001")</f>
        <v>001</v>
      </c>
      <c r="F55" s="165" t="str">
        <f ca="1">IFERROR(__xludf.DUMMYFUNCTION("""COMPUTED_VALUE"""),"2064")</f>
        <v>2064</v>
      </c>
      <c r="G55" s="165" t="str">
        <f ca="1">IFERROR(__xludf.DUMMYFUNCTION("""COMPUTED_VALUE"""),"198315")</f>
        <v>198315</v>
      </c>
      <c r="H55" s="165">
        <f ca="1">IFERROR(__xludf.DUMMYFUNCTION("""COMPUTED_VALUE"""),0)</f>
        <v>0</v>
      </c>
      <c r="I55" s="165">
        <f ca="1">IFERROR(__xludf.DUMMYFUNCTION("""COMPUTED_VALUE"""),0)</f>
        <v>0</v>
      </c>
      <c r="J55" s="165">
        <f ca="1">IFERROR(__xludf.DUMMYFUNCTION("""COMPUTED_VALUE"""),530)</f>
        <v>530</v>
      </c>
      <c r="K55" s="165">
        <f ca="1">IFERROR(__xludf.DUMMYFUNCTION("""COMPUTED_VALUE"""),0)</f>
        <v>0</v>
      </c>
      <c r="L55" s="165">
        <f ca="1">IFERROR(__xludf.DUMMYFUNCTION("""COMPUTED_VALUE"""),0)</f>
        <v>0</v>
      </c>
      <c r="M55" s="165">
        <f ca="1">IFERROR(__xludf.DUMMYFUNCTION("""COMPUTED_VALUE"""),0)</f>
        <v>0</v>
      </c>
      <c r="N55" s="165">
        <f ca="1">IFERROR(__xludf.DUMMYFUNCTION("""COMPUTED_VALUE"""),0)</f>
        <v>0</v>
      </c>
      <c r="O55" s="165">
        <f ca="1">IFERROR(__xludf.DUMMYFUNCTION("""COMPUTED_VALUE"""),0)</f>
        <v>0</v>
      </c>
      <c r="P55" s="165">
        <f ca="1">IFERROR(__xludf.DUMMYFUNCTION("""COMPUTED_VALUE"""),0)</f>
        <v>0</v>
      </c>
      <c r="Q55" s="165">
        <f ca="1">IFERROR(__xludf.DUMMYFUNCTION("""COMPUTED_VALUE"""),970)</f>
        <v>970</v>
      </c>
      <c r="R55" s="165">
        <f ca="1">IFERROR(__xludf.DUMMYFUNCTION("""COMPUTED_VALUE"""),0)</f>
        <v>0</v>
      </c>
      <c r="S55" s="165">
        <f ca="1">IFERROR(__xludf.DUMMYFUNCTION("""COMPUTED_VALUE"""),0)</f>
        <v>0</v>
      </c>
      <c r="T55" s="165">
        <f ca="1">IFERROR(__xludf.DUMMYFUNCTION("""COMPUTED_VALUE"""),180.399999999999)</f>
        <v>180.39999999999901</v>
      </c>
      <c r="U55" s="165">
        <f ca="1"/>
        <v>1680.399999999999</v>
      </c>
    </row>
    <row r="56" spans="1:21" ht="12.75">
      <c r="A56" s="167" t="str">
        <f ca="1">IFERROR(__xludf.DUMMYFUNCTION("""COMPUTED_VALUE"""),"Araguaina")</f>
        <v>Araguaina</v>
      </c>
      <c r="B56" s="167" t="str">
        <f ca="1">IFERROR(__xludf.DUMMYFUNCTION("""COMPUTED_VALUE"""),"Goiatins")</f>
        <v>Goiatins</v>
      </c>
      <c r="C56" s="168" t="str">
        <f ca="1">IFERROR(__xludf.DUMMYFUNCTION("""COMPUTED_VALUE"""),"ASS. COM.COL. EST. ADA ASSIS TEIXEIRA")</f>
        <v>ASS. COM.COL. EST. ADA ASSIS TEIXEIRA</v>
      </c>
      <c r="D56" s="169" t="str">
        <f ca="1">IFERROR(__xludf.DUMMYFUNCTION("""COMPUTED_VALUE"""),"01440731000110")</f>
        <v>01440731000110</v>
      </c>
      <c r="E56" s="170" t="str">
        <f ca="1">IFERROR(__xludf.DUMMYFUNCTION("""COMPUTED_VALUE"""),"001")</f>
        <v>001</v>
      </c>
      <c r="F56" s="170" t="str">
        <f ca="1">IFERROR(__xludf.DUMMYFUNCTION("""COMPUTED_VALUE"""),"2064")</f>
        <v>2064</v>
      </c>
      <c r="G56" s="170" t="str">
        <f ca="1">IFERROR(__xludf.DUMMYFUNCTION("""COMPUTED_VALUE"""),"0013323")</f>
        <v>0013323</v>
      </c>
      <c r="H56" s="170">
        <f ca="1">IFERROR(__xludf.DUMMYFUNCTION("""COMPUTED_VALUE"""),0)</f>
        <v>0</v>
      </c>
      <c r="I56" s="170">
        <f ca="1">IFERROR(__xludf.DUMMYFUNCTION("""COMPUTED_VALUE"""),0)</f>
        <v>0</v>
      </c>
      <c r="J56" s="170">
        <f ca="1">IFERROR(__xludf.DUMMYFUNCTION("""COMPUTED_VALUE"""),2110)</f>
        <v>2110</v>
      </c>
      <c r="K56" s="170">
        <f ca="1">IFERROR(__xludf.DUMMYFUNCTION("""COMPUTED_VALUE"""),0)</f>
        <v>0</v>
      </c>
      <c r="L56" s="170">
        <f ca="1">IFERROR(__xludf.DUMMYFUNCTION("""COMPUTED_VALUE"""),0)</f>
        <v>0</v>
      </c>
      <c r="M56" s="170">
        <f ca="1">IFERROR(__xludf.DUMMYFUNCTION("""COMPUTED_VALUE"""),0)</f>
        <v>0</v>
      </c>
      <c r="N56" s="170">
        <f ca="1">IFERROR(__xludf.DUMMYFUNCTION("""COMPUTED_VALUE"""),0)</f>
        <v>0</v>
      </c>
      <c r="O56" s="170">
        <f ca="1">IFERROR(__xludf.DUMMYFUNCTION("""COMPUTED_VALUE"""),0)</f>
        <v>0</v>
      </c>
      <c r="P56" s="170">
        <f ca="1">IFERROR(__xludf.DUMMYFUNCTION("""COMPUTED_VALUE"""),190.4)</f>
        <v>190.4</v>
      </c>
      <c r="Q56" s="170">
        <f ca="1">IFERROR(__xludf.DUMMYFUNCTION("""COMPUTED_VALUE"""),4630)</f>
        <v>4630</v>
      </c>
      <c r="R56" s="170">
        <f ca="1">IFERROR(__xludf.DUMMYFUNCTION("""COMPUTED_VALUE"""),0)</f>
        <v>0</v>
      </c>
      <c r="S56" s="170">
        <f ca="1">IFERROR(__xludf.DUMMYFUNCTION("""COMPUTED_VALUE"""),0)</f>
        <v>0</v>
      </c>
      <c r="T56" s="170">
        <f ca="1">IFERROR(__xludf.DUMMYFUNCTION("""COMPUTED_VALUE"""),0)</f>
        <v>0</v>
      </c>
      <c r="U56" s="170">
        <f ca="1"/>
        <v>6930.4</v>
      </c>
    </row>
    <row r="57" spans="1:21" ht="12.75">
      <c r="A57" s="162" t="str">
        <f ca="1">IFERROR(__xludf.DUMMYFUNCTION("""COMPUTED_VALUE"""),"Araguaina")</f>
        <v>Araguaina</v>
      </c>
      <c r="B57" s="162" t="str">
        <f ca="1">IFERROR(__xludf.DUMMYFUNCTION("""COMPUTED_VALUE"""),"Muricilandia")</f>
        <v>Muricilandia</v>
      </c>
      <c r="C57" s="163" t="str">
        <f ca="1">IFERROR(__xludf.DUMMYFUNCTION("""COMPUTED_VALUE"""),"A.A. DA ESC. EST. MAL. COSTA E SILVA")</f>
        <v>A.A. DA ESC. EST. MAL. COSTA E SILVA</v>
      </c>
      <c r="D57" s="164" t="str">
        <f ca="1">IFERROR(__xludf.DUMMYFUNCTION("""COMPUTED_VALUE"""),"02032269000185")</f>
        <v>02032269000185</v>
      </c>
      <c r="E57" s="165" t="str">
        <f ca="1">IFERROR(__xludf.DUMMYFUNCTION("""COMPUTED_VALUE"""),"001")</f>
        <v>001</v>
      </c>
      <c r="F57" s="165" t="str">
        <f ca="1">IFERROR(__xludf.DUMMYFUNCTION("""COMPUTED_VALUE"""),"0638")</f>
        <v>0638</v>
      </c>
      <c r="G57" s="165" t="str">
        <f ca="1">IFERROR(__xludf.DUMMYFUNCTION("""COMPUTED_VALUE"""),"83550")</f>
        <v>83550</v>
      </c>
      <c r="H57" s="165">
        <f ca="1">IFERROR(__xludf.DUMMYFUNCTION("""COMPUTED_VALUE"""),0)</f>
        <v>0</v>
      </c>
      <c r="I57" s="165">
        <f ca="1">IFERROR(__xludf.DUMMYFUNCTION("""COMPUTED_VALUE"""),0)</f>
        <v>0</v>
      </c>
      <c r="J57" s="165">
        <f ca="1">IFERROR(__xludf.DUMMYFUNCTION("""COMPUTED_VALUE"""),0)</f>
        <v>0</v>
      </c>
      <c r="K57" s="165">
        <f ca="1">IFERROR(__xludf.DUMMYFUNCTION("""COMPUTED_VALUE"""),0)</f>
        <v>0</v>
      </c>
      <c r="L57" s="165">
        <f ca="1">IFERROR(__xludf.DUMMYFUNCTION("""COMPUTED_VALUE"""),4128)</f>
        <v>4128</v>
      </c>
      <c r="M57" s="165">
        <f ca="1">IFERROR(__xludf.DUMMYFUNCTION("""COMPUTED_VALUE"""),0)</f>
        <v>0</v>
      </c>
      <c r="N57" s="165">
        <f ca="1">IFERROR(__xludf.DUMMYFUNCTION("""COMPUTED_VALUE"""),0)</f>
        <v>0</v>
      </c>
      <c r="O57" s="165">
        <f ca="1">IFERROR(__xludf.DUMMYFUNCTION("""COMPUTED_VALUE"""),0)</f>
        <v>0</v>
      </c>
      <c r="P57" s="165">
        <f ca="1">IFERROR(__xludf.DUMMYFUNCTION("""COMPUTED_VALUE"""),0)</f>
        <v>0</v>
      </c>
      <c r="Q57" s="165">
        <f ca="1">IFERROR(__xludf.DUMMYFUNCTION("""COMPUTED_VALUE"""),0)</f>
        <v>0</v>
      </c>
      <c r="R57" s="165">
        <f ca="1">IFERROR(__xludf.DUMMYFUNCTION("""COMPUTED_VALUE"""),0)</f>
        <v>0</v>
      </c>
      <c r="S57" s="165">
        <f ca="1">IFERROR(__xludf.DUMMYFUNCTION("""COMPUTED_VALUE"""),0)</f>
        <v>0</v>
      </c>
      <c r="T57" s="165">
        <f ca="1">IFERROR(__xludf.DUMMYFUNCTION("""COMPUTED_VALUE"""),0)</f>
        <v>0</v>
      </c>
      <c r="U57" s="165">
        <f ca="1"/>
        <v>4128</v>
      </c>
    </row>
    <row r="58" spans="1:21" ht="12.75">
      <c r="A58" s="167" t="str">
        <f ca="1">IFERROR(__xludf.DUMMYFUNCTION("""COMPUTED_VALUE"""),"Araguaina")</f>
        <v>Araguaina</v>
      </c>
      <c r="B58" s="167" t="str">
        <f ca="1">IFERROR(__xludf.DUMMYFUNCTION("""COMPUTED_VALUE"""),"Muricilandia")</f>
        <v>Muricilandia</v>
      </c>
      <c r="C58" s="168" t="str">
        <f ca="1">IFERROR(__xludf.DUMMYFUNCTION("""COMPUTED_VALUE"""),"A.COM. DE AP. COL. EST. DE MURICILANDIA")</f>
        <v>A.COM. DE AP. COL. EST. DE MURICILANDIA</v>
      </c>
      <c r="D58" s="169" t="str">
        <f ca="1">IFERROR(__xludf.DUMMYFUNCTION("""COMPUTED_VALUE"""),"01911084000188")</f>
        <v>01911084000188</v>
      </c>
      <c r="E58" s="170" t="str">
        <f ca="1">IFERROR(__xludf.DUMMYFUNCTION("""COMPUTED_VALUE"""),"001")</f>
        <v>001</v>
      </c>
      <c r="F58" s="170" t="str">
        <f ca="1">IFERROR(__xludf.DUMMYFUNCTION("""COMPUTED_VALUE"""),"0638")</f>
        <v>0638</v>
      </c>
      <c r="G58" s="170" t="str">
        <f ca="1">IFERROR(__xludf.DUMMYFUNCTION("""COMPUTED_VALUE"""),"8350X")</f>
        <v>8350X</v>
      </c>
      <c r="H58" s="170">
        <f ca="1">IFERROR(__xludf.DUMMYFUNCTION("""COMPUTED_VALUE"""),0)</f>
        <v>0</v>
      </c>
      <c r="I58" s="170">
        <f ca="1">IFERROR(__xludf.DUMMYFUNCTION("""COMPUTED_VALUE"""),0)</f>
        <v>0</v>
      </c>
      <c r="J58" s="170">
        <f ca="1">IFERROR(__xludf.DUMMYFUNCTION("""COMPUTED_VALUE"""),0)</f>
        <v>0</v>
      </c>
      <c r="K58" s="170">
        <f ca="1">IFERROR(__xludf.DUMMYFUNCTION("""COMPUTED_VALUE"""),0)</f>
        <v>0</v>
      </c>
      <c r="L58" s="170">
        <f ca="1">IFERROR(__xludf.DUMMYFUNCTION("""COMPUTED_VALUE"""),1892)</f>
        <v>1892</v>
      </c>
      <c r="M58" s="170">
        <f ca="1">IFERROR(__xludf.DUMMYFUNCTION("""COMPUTED_VALUE"""),0)</f>
        <v>0</v>
      </c>
      <c r="N58" s="170">
        <f ca="1">IFERROR(__xludf.DUMMYFUNCTION("""COMPUTED_VALUE"""),0)</f>
        <v>0</v>
      </c>
      <c r="O58" s="170">
        <f ca="1">IFERROR(__xludf.DUMMYFUNCTION("""COMPUTED_VALUE"""),0)</f>
        <v>0</v>
      </c>
      <c r="P58" s="170">
        <f ca="1">IFERROR(__xludf.DUMMYFUNCTION("""COMPUTED_VALUE"""),190.4)</f>
        <v>190.4</v>
      </c>
      <c r="Q58" s="170">
        <f ca="1">IFERROR(__xludf.DUMMYFUNCTION("""COMPUTED_VALUE"""),0)</f>
        <v>0</v>
      </c>
      <c r="R58" s="170">
        <f ca="1">IFERROR(__xludf.DUMMYFUNCTION("""COMPUTED_VALUE"""),0)</f>
        <v>0</v>
      </c>
      <c r="S58" s="170">
        <f ca="1">IFERROR(__xludf.DUMMYFUNCTION("""COMPUTED_VALUE"""),0)</f>
        <v>0</v>
      </c>
      <c r="T58" s="170">
        <f ca="1">IFERROR(__xludf.DUMMYFUNCTION("""COMPUTED_VALUE"""),0)</f>
        <v>0</v>
      </c>
      <c r="U58" s="170">
        <f ca="1"/>
        <v>2082.4</v>
      </c>
    </row>
    <row r="59" spans="1:21" ht="12.75">
      <c r="A59" s="162" t="str">
        <f ca="1">IFERROR(__xludf.DUMMYFUNCTION("""COMPUTED_VALUE"""),"Araguaina")</f>
        <v>Araguaina</v>
      </c>
      <c r="B59" s="162" t="str">
        <f ca="1">IFERROR(__xludf.DUMMYFUNCTION("""COMPUTED_VALUE"""),"Nova Olinda")</f>
        <v>Nova Olinda</v>
      </c>
      <c r="C59" s="163" t="str">
        <f ca="1">IFERROR(__xludf.DUMMYFUNCTION("""COMPUTED_VALUE"""),"A.A. ESC. COL. E. HELIO DE SOUZA BUENO")</f>
        <v>A.A. ESC. COL. E. HELIO DE SOUZA BUENO</v>
      </c>
      <c r="D59" s="164" t="str">
        <f ca="1">IFERROR(__xludf.DUMMYFUNCTION("""COMPUTED_VALUE"""),"01186466000196")</f>
        <v>01186466000196</v>
      </c>
      <c r="E59" s="165" t="str">
        <f ca="1">IFERROR(__xludf.DUMMYFUNCTION("""COMPUTED_VALUE"""),"001")</f>
        <v>001</v>
      </c>
      <c r="F59" s="165" t="str">
        <f ca="1">IFERROR(__xludf.DUMMYFUNCTION("""COMPUTED_VALUE"""),"0638")</f>
        <v>0638</v>
      </c>
      <c r="G59" s="165" t="str">
        <f ca="1">IFERROR(__xludf.DUMMYFUNCTION("""COMPUTED_VALUE"""),"0462985")</f>
        <v>0462985</v>
      </c>
      <c r="H59" s="165">
        <f ca="1">IFERROR(__xludf.DUMMYFUNCTION("""COMPUTED_VALUE"""),0)</f>
        <v>0</v>
      </c>
      <c r="I59" s="165">
        <f ca="1">IFERROR(__xludf.DUMMYFUNCTION("""COMPUTED_VALUE"""),0)</f>
        <v>0</v>
      </c>
      <c r="J59" s="165">
        <f ca="1">IFERROR(__xludf.DUMMYFUNCTION("""COMPUTED_VALUE"""),6220)</f>
        <v>6220</v>
      </c>
      <c r="K59" s="165">
        <f ca="1">IFERROR(__xludf.DUMMYFUNCTION("""COMPUTED_VALUE"""),0)</f>
        <v>0</v>
      </c>
      <c r="L59" s="165">
        <f ca="1">IFERROR(__xludf.DUMMYFUNCTION("""COMPUTED_VALUE"""),0)</f>
        <v>0</v>
      </c>
      <c r="M59" s="165">
        <f ca="1">IFERROR(__xludf.DUMMYFUNCTION("""COMPUTED_VALUE"""),0)</f>
        <v>0</v>
      </c>
      <c r="N59" s="165">
        <f ca="1">IFERROR(__xludf.DUMMYFUNCTION("""COMPUTED_VALUE"""),0)</f>
        <v>0</v>
      </c>
      <c r="O59" s="165">
        <f ca="1">IFERROR(__xludf.DUMMYFUNCTION("""COMPUTED_VALUE"""),0)</f>
        <v>0</v>
      </c>
      <c r="P59" s="165">
        <f ca="1">IFERROR(__xludf.DUMMYFUNCTION("""COMPUTED_VALUE"""),598.4)</f>
        <v>598.4</v>
      </c>
      <c r="Q59" s="165">
        <f ca="1">IFERROR(__xludf.DUMMYFUNCTION("""COMPUTED_VALUE"""),7480)</f>
        <v>7480</v>
      </c>
      <c r="R59" s="165">
        <f ca="1">IFERROR(__xludf.DUMMYFUNCTION("""COMPUTED_VALUE"""),0)</f>
        <v>0</v>
      </c>
      <c r="S59" s="165">
        <f ca="1">IFERROR(__xludf.DUMMYFUNCTION("""COMPUTED_VALUE"""),0)</f>
        <v>0</v>
      </c>
      <c r="T59" s="165">
        <f ca="1">IFERROR(__xludf.DUMMYFUNCTION("""COMPUTED_VALUE"""),852.8)</f>
        <v>852.8</v>
      </c>
      <c r="U59" s="165">
        <f ca="1"/>
        <v>15151.199999999999</v>
      </c>
    </row>
    <row r="60" spans="1:21" ht="12.75">
      <c r="A60" s="167" t="str">
        <f ca="1">IFERROR(__xludf.DUMMYFUNCTION("""COMPUTED_VALUE"""),"Araguaina")</f>
        <v>Araguaina</v>
      </c>
      <c r="B60" s="167" t="str">
        <f ca="1">IFERROR(__xludf.DUMMYFUNCTION("""COMPUTED_VALUE"""),"Nova Olinda")</f>
        <v>Nova Olinda</v>
      </c>
      <c r="C60" s="168" t="str">
        <f ca="1">IFERROR(__xludf.DUMMYFUNCTION("""COMPUTED_VALUE"""),"ASSOCIAÇÃO DE APOIO A ESCOLA ESPECIAL RENASCER")</f>
        <v>ASSOCIAÇÃO DE APOIO A ESCOLA ESPECIAL RENASCER</v>
      </c>
      <c r="D60" s="169" t="str">
        <f ca="1">IFERROR(__xludf.DUMMYFUNCTION("""COMPUTED_VALUE"""),"07951646000101")</f>
        <v>07951646000101</v>
      </c>
      <c r="E60" s="170" t="str">
        <f ca="1">IFERROR(__xludf.DUMMYFUNCTION("""COMPUTED_VALUE"""),"001")</f>
        <v>001</v>
      </c>
      <c r="F60" s="170" t="str">
        <f ca="1">IFERROR(__xludf.DUMMYFUNCTION("""COMPUTED_VALUE"""),"0638")</f>
        <v>0638</v>
      </c>
      <c r="G60" s="170" t="str">
        <f ca="1">IFERROR(__xludf.DUMMYFUNCTION("""COMPUTED_VALUE"""),"541028")</f>
        <v>541028</v>
      </c>
      <c r="H60" s="170">
        <f ca="1">IFERROR(__xludf.DUMMYFUNCTION("""COMPUTED_VALUE"""),0)</f>
        <v>0</v>
      </c>
      <c r="I60" s="170">
        <f ca="1">IFERROR(__xludf.DUMMYFUNCTION("""COMPUTED_VALUE"""),0)</f>
        <v>0</v>
      </c>
      <c r="J60" s="170">
        <f ca="1">IFERROR(__xludf.DUMMYFUNCTION("""COMPUTED_VALUE"""),100)</f>
        <v>100</v>
      </c>
      <c r="K60" s="170">
        <f ca="1">IFERROR(__xludf.DUMMYFUNCTION("""COMPUTED_VALUE"""),0)</f>
        <v>0</v>
      </c>
      <c r="L60" s="170">
        <f ca="1">IFERROR(__xludf.DUMMYFUNCTION("""COMPUTED_VALUE"""),0)</f>
        <v>0</v>
      </c>
      <c r="M60" s="170">
        <f ca="1">IFERROR(__xludf.DUMMYFUNCTION("""COMPUTED_VALUE"""),0)</f>
        <v>0</v>
      </c>
      <c r="N60" s="170">
        <f ca="1">IFERROR(__xludf.DUMMYFUNCTION("""COMPUTED_VALUE"""),0)</f>
        <v>0</v>
      </c>
      <c r="O60" s="170">
        <f ca="1">IFERROR(__xludf.DUMMYFUNCTION("""COMPUTED_VALUE"""),0)</f>
        <v>0</v>
      </c>
      <c r="P60" s="170">
        <f ca="1">IFERROR(__xludf.DUMMYFUNCTION("""COMPUTED_VALUE"""),136)</f>
        <v>136</v>
      </c>
      <c r="Q60" s="170">
        <f ca="1">IFERROR(__xludf.DUMMYFUNCTION("""COMPUTED_VALUE"""),0)</f>
        <v>0</v>
      </c>
      <c r="R60" s="170">
        <f ca="1">IFERROR(__xludf.DUMMYFUNCTION("""COMPUTED_VALUE"""),0)</f>
        <v>0</v>
      </c>
      <c r="S60" s="170">
        <f ca="1">IFERROR(__xludf.DUMMYFUNCTION("""COMPUTED_VALUE"""),0)</f>
        <v>0</v>
      </c>
      <c r="T60" s="170">
        <f ca="1">IFERROR(__xludf.DUMMYFUNCTION("""COMPUTED_VALUE"""),393.599999999999)</f>
        <v>393.599999999999</v>
      </c>
      <c r="U60" s="170">
        <f ca="1"/>
        <v>629.599999999999</v>
      </c>
    </row>
    <row r="61" spans="1:21" ht="12.75">
      <c r="A61" s="162" t="str">
        <f ca="1">IFERROR(__xludf.DUMMYFUNCTION("""COMPUTED_VALUE"""),"Araguaina")</f>
        <v>Araguaina</v>
      </c>
      <c r="B61" s="162" t="str">
        <f ca="1">IFERROR(__xludf.DUMMYFUNCTION("""COMPUTED_VALUE"""),"Nova Olinda")</f>
        <v>Nova Olinda</v>
      </c>
      <c r="C61" s="163" t="str">
        <f ca="1">IFERROR(__xludf.DUMMYFUNCTION("""COMPUTED_VALUE"""),"A.A. E. E. PROFA. HAMEDY CURY QUEIROZ")</f>
        <v>A.A. E. E. PROFA. HAMEDY CURY QUEIROZ</v>
      </c>
      <c r="D61" s="164" t="str">
        <f ca="1">IFERROR(__xludf.DUMMYFUNCTION("""COMPUTED_VALUE"""),"01431375000179")</f>
        <v>01431375000179</v>
      </c>
      <c r="E61" s="165" t="str">
        <f ca="1">IFERROR(__xludf.DUMMYFUNCTION("""COMPUTED_VALUE"""),"001")</f>
        <v>001</v>
      </c>
      <c r="F61" s="165" t="str">
        <f ca="1">IFERROR(__xludf.DUMMYFUNCTION("""COMPUTED_VALUE"""),"0638")</f>
        <v>0638</v>
      </c>
      <c r="G61" s="165" t="str">
        <f ca="1">IFERROR(__xludf.DUMMYFUNCTION("""COMPUTED_VALUE"""),"0468010")</f>
        <v>0468010</v>
      </c>
      <c r="H61" s="165">
        <f ca="1">IFERROR(__xludf.DUMMYFUNCTION("""COMPUTED_VALUE"""),0)</f>
        <v>0</v>
      </c>
      <c r="I61" s="165">
        <f ca="1">IFERROR(__xludf.DUMMYFUNCTION("""COMPUTED_VALUE"""),0)</f>
        <v>0</v>
      </c>
      <c r="J61" s="165">
        <f ca="1">IFERROR(__xludf.DUMMYFUNCTION("""COMPUTED_VALUE"""),4100)</f>
        <v>4100</v>
      </c>
      <c r="K61" s="165">
        <f ca="1">IFERROR(__xludf.DUMMYFUNCTION("""COMPUTED_VALUE"""),0)</f>
        <v>0</v>
      </c>
      <c r="L61" s="165">
        <f ca="1">IFERROR(__xludf.DUMMYFUNCTION("""COMPUTED_VALUE"""),0)</f>
        <v>0</v>
      </c>
      <c r="M61" s="165">
        <f ca="1">IFERROR(__xludf.DUMMYFUNCTION("""COMPUTED_VALUE"""),0)</f>
        <v>0</v>
      </c>
      <c r="N61" s="165">
        <f ca="1">IFERROR(__xludf.DUMMYFUNCTION("""COMPUTED_VALUE"""),0)</f>
        <v>0</v>
      </c>
      <c r="O61" s="165">
        <f ca="1">IFERROR(__xludf.DUMMYFUNCTION("""COMPUTED_VALUE"""),0)</f>
        <v>0</v>
      </c>
      <c r="P61" s="165">
        <f ca="1">IFERROR(__xludf.DUMMYFUNCTION("""COMPUTED_VALUE"""),353.599999999999)</f>
        <v>353.599999999999</v>
      </c>
      <c r="Q61" s="165">
        <f ca="1">IFERROR(__xludf.DUMMYFUNCTION("""COMPUTED_VALUE"""),0)</f>
        <v>0</v>
      </c>
      <c r="R61" s="165">
        <f ca="1">IFERROR(__xludf.DUMMYFUNCTION("""COMPUTED_VALUE"""),0)</f>
        <v>0</v>
      </c>
      <c r="S61" s="165">
        <f ca="1">IFERROR(__xludf.DUMMYFUNCTION("""COMPUTED_VALUE"""),0)</f>
        <v>0</v>
      </c>
      <c r="T61" s="165">
        <f ca="1">IFERROR(__xludf.DUMMYFUNCTION("""COMPUTED_VALUE"""),0)</f>
        <v>0</v>
      </c>
      <c r="U61" s="165">
        <f ca="1"/>
        <v>4453.5999999999985</v>
      </c>
    </row>
    <row r="62" spans="1:21" ht="12.75">
      <c r="A62" s="167" t="str">
        <f ca="1">IFERROR(__xludf.DUMMYFUNCTION("""COMPUTED_VALUE"""),"Araguaina")</f>
        <v>Araguaina</v>
      </c>
      <c r="B62" s="167" t="str">
        <f ca="1">IFERROR(__xludf.DUMMYFUNCTION("""COMPUTED_VALUE"""),"Piraque")</f>
        <v>Piraque</v>
      </c>
      <c r="C62" s="168" t="str">
        <f ca="1">IFERROR(__xludf.DUMMYFUNCTION("""COMPUTED_VALUE"""),"A.A.  ESCOLA ESTADUAL SAO JOSE")</f>
        <v>A.A.  ESCOLA ESTADUAL SAO JOSE</v>
      </c>
      <c r="D62" s="169" t="str">
        <f ca="1">IFERROR(__xludf.DUMMYFUNCTION("""COMPUTED_VALUE"""),"01243654000109")</f>
        <v>01243654000109</v>
      </c>
      <c r="E62" s="170" t="str">
        <f ca="1">IFERROR(__xludf.DUMMYFUNCTION("""COMPUTED_VALUE"""),"001")</f>
        <v>001</v>
      </c>
      <c r="F62" s="170" t="str">
        <f ca="1">IFERROR(__xludf.DUMMYFUNCTION("""COMPUTED_VALUE"""),"0638")</f>
        <v>0638</v>
      </c>
      <c r="G62" s="170" t="str">
        <f ca="1">IFERROR(__xludf.DUMMYFUNCTION("""COMPUTED_VALUE"""),"465283")</f>
        <v>465283</v>
      </c>
      <c r="H62" s="170">
        <f ca="1">IFERROR(__xludf.DUMMYFUNCTION("""COMPUTED_VALUE"""),0)</f>
        <v>0</v>
      </c>
      <c r="I62" s="170">
        <f ca="1">IFERROR(__xludf.DUMMYFUNCTION("""COMPUTED_VALUE"""),0)</f>
        <v>0</v>
      </c>
      <c r="J62" s="170">
        <f ca="1">IFERROR(__xludf.DUMMYFUNCTION("""COMPUTED_VALUE"""),1280)</f>
        <v>1280</v>
      </c>
      <c r="K62" s="170">
        <f ca="1">IFERROR(__xludf.DUMMYFUNCTION("""COMPUTED_VALUE"""),0)</f>
        <v>0</v>
      </c>
      <c r="L62" s="170">
        <f ca="1">IFERROR(__xludf.DUMMYFUNCTION("""COMPUTED_VALUE"""),0)</f>
        <v>0</v>
      </c>
      <c r="M62" s="170">
        <f ca="1">IFERROR(__xludf.DUMMYFUNCTION("""COMPUTED_VALUE"""),0)</f>
        <v>0</v>
      </c>
      <c r="N62" s="170">
        <f ca="1">IFERROR(__xludf.DUMMYFUNCTION("""COMPUTED_VALUE"""),0)</f>
        <v>0</v>
      </c>
      <c r="O62" s="170">
        <f ca="1">IFERROR(__xludf.DUMMYFUNCTION("""COMPUTED_VALUE"""),0)</f>
        <v>0</v>
      </c>
      <c r="P62" s="170">
        <f ca="1">IFERROR(__xludf.DUMMYFUNCTION("""COMPUTED_VALUE"""),0)</f>
        <v>0</v>
      </c>
      <c r="Q62" s="170">
        <f ca="1">IFERROR(__xludf.DUMMYFUNCTION("""COMPUTED_VALUE"""),830)</f>
        <v>830</v>
      </c>
      <c r="R62" s="170">
        <f ca="1">IFERROR(__xludf.DUMMYFUNCTION("""COMPUTED_VALUE"""),0)</f>
        <v>0</v>
      </c>
      <c r="S62" s="170">
        <f ca="1">IFERROR(__xludf.DUMMYFUNCTION("""COMPUTED_VALUE"""),0)</f>
        <v>0</v>
      </c>
      <c r="T62" s="170">
        <f ca="1">IFERROR(__xludf.DUMMYFUNCTION("""COMPUTED_VALUE"""),0)</f>
        <v>0</v>
      </c>
      <c r="U62" s="170">
        <f ca="1"/>
        <v>2110</v>
      </c>
    </row>
    <row r="63" spans="1:21" ht="12.75">
      <c r="A63" s="162" t="str">
        <f ca="1">IFERROR(__xludf.DUMMYFUNCTION("""COMPUTED_VALUE"""),"Araguaina")</f>
        <v>Araguaina</v>
      </c>
      <c r="B63" s="162" t="str">
        <f ca="1">IFERROR(__xludf.DUMMYFUNCTION("""COMPUTED_VALUE"""),"Riachinho")</f>
        <v>Riachinho</v>
      </c>
      <c r="C63" s="163" t="str">
        <f ca="1">IFERROR(__xludf.DUMMYFUNCTION("""COMPUTED_VALUE"""),"ASSOC. DE APOIO ESC. EST. JOAO XXIII")</f>
        <v>ASSOC. DE APOIO ESC. EST. JOAO XXIII</v>
      </c>
      <c r="D63" s="164" t="str">
        <f ca="1">IFERROR(__xludf.DUMMYFUNCTION("""COMPUTED_VALUE"""),"01136006000153")</f>
        <v>01136006000153</v>
      </c>
      <c r="E63" s="165" t="str">
        <f ca="1">IFERROR(__xludf.DUMMYFUNCTION("""COMPUTED_VALUE"""),"001")</f>
        <v>001</v>
      </c>
      <c r="F63" s="165" t="str">
        <f ca="1">IFERROR(__xludf.DUMMYFUNCTION("""COMPUTED_VALUE"""),"3973")</f>
        <v>3973</v>
      </c>
      <c r="G63" s="165" t="str">
        <f ca="1">IFERROR(__xludf.DUMMYFUNCTION("""COMPUTED_VALUE"""),"51969")</f>
        <v>51969</v>
      </c>
      <c r="H63" s="165">
        <f ca="1">IFERROR(__xludf.DUMMYFUNCTION("""COMPUTED_VALUE"""),0)</f>
        <v>0</v>
      </c>
      <c r="I63" s="165">
        <f ca="1">IFERROR(__xludf.DUMMYFUNCTION("""COMPUTED_VALUE"""),0)</f>
        <v>0</v>
      </c>
      <c r="J63" s="165">
        <f ca="1">IFERROR(__xludf.DUMMYFUNCTION("""COMPUTED_VALUE"""),0)</f>
        <v>0</v>
      </c>
      <c r="K63" s="165">
        <f ca="1">IFERROR(__xludf.DUMMYFUNCTION("""COMPUTED_VALUE"""),0)</f>
        <v>0</v>
      </c>
      <c r="L63" s="165">
        <f ca="1">IFERROR(__xludf.DUMMYFUNCTION("""COMPUTED_VALUE"""),0)</f>
        <v>0</v>
      </c>
      <c r="M63" s="165">
        <f ca="1">IFERROR(__xludf.DUMMYFUNCTION("""COMPUTED_VALUE"""),0)</f>
        <v>0</v>
      </c>
      <c r="N63" s="165">
        <f ca="1">IFERROR(__xludf.DUMMYFUNCTION("""COMPUTED_VALUE"""),0)</f>
        <v>0</v>
      </c>
      <c r="O63" s="165">
        <f ca="1">IFERROR(__xludf.DUMMYFUNCTION("""COMPUTED_VALUE"""),0)</f>
        <v>0</v>
      </c>
      <c r="P63" s="165">
        <f ca="1">IFERROR(__xludf.DUMMYFUNCTION("""COMPUTED_VALUE"""),68)</f>
        <v>68</v>
      </c>
      <c r="Q63" s="165">
        <f ca="1">IFERROR(__xludf.DUMMYFUNCTION("""COMPUTED_VALUE"""),1920)</f>
        <v>1920</v>
      </c>
      <c r="R63" s="165">
        <f ca="1">IFERROR(__xludf.DUMMYFUNCTION("""COMPUTED_VALUE"""),0)</f>
        <v>0</v>
      </c>
      <c r="S63" s="165">
        <f ca="1">IFERROR(__xludf.DUMMYFUNCTION("""COMPUTED_VALUE"""),0)</f>
        <v>0</v>
      </c>
      <c r="T63" s="165">
        <f ca="1">IFERROR(__xludf.DUMMYFUNCTION("""COMPUTED_VALUE"""),0)</f>
        <v>0</v>
      </c>
      <c r="U63" s="165">
        <f ca="1"/>
        <v>1988</v>
      </c>
    </row>
    <row r="64" spans="1:21" ht="12.75">
      <c r="A64" s="167" t="str">
        <f ca="1">IFERROR(__xludf.DUMMYFUNCTION("""COMPUTED_VALUE"""),"Araguaina")</f>
        <v>Araguaina</v>
      </c>
      <c r="B64" s="167" t="str">
        <f ca="1">IFERROR(__xludf.DUMMYFUNCTION("""COMPUTED_VALUE"""),"Santa Fe do Araguaia")</f>
        <v>Santa Fe do Araguaia</v>
      </c>
      <c r="C64" s="168" t="str">
        <f ca="1">IFERROR(__xludf.DUMMYFUNCTION("""COMPUTED_VALUE"""),"A.A. ESC. EST. ANAIDES BRITO MIRANDA")</f>
        <v>A.A. ESC. EST. ANAIDES BRITO MIRANDA</v>
      </c>
      <c r="D64" s="169" t="str">
        <f ca="1">IFERROR(__xludf.DUMMYFUNCTION("""COMPUTED_VALUE"""),"01919025000156")</f>
        <v>01919025000156</v>
      </c>
      <c r="E64" s="170" t="str">
        <f ca="1">IFERROR(__xludf.DUMMYFUNCTION("""COMPUTED_VALUE"""),"001")</f>
        <v>001</v>
      </c>
      <c r="F64" s="170" t="str">
        <f ca="1">IFERROR(__xludf.DUMMYFUNCTION("""COMPUTED_VALUE"""),"4791")</f>
        <v>4791</v>
      </c>
      <c r="G64" s="170" t="str">
        <f ca="1">IFERROR(__xludf.DUMMYFUNCTION("""COMPUTED_VALUE"""),"54682")</f>
        <v>54682</v>
      </c>
      <c r="H64" s="170">
        <f ca="1">IFERROR(__xludf.DUMMYFUNCTION("""COMPUTED_VALUE"""),0)</f>
        <v>0</v>
      </c>
      <c r="I64" s="170">
        <f ca="1">IFERROR(__xludf.DUMMYFUNCTION("""COMPUTED_VALUE"""),0)</f>
        <v>0</v>
      </c>
      <c r="J64" s="170">
        <f ca="1">IFERROR(__xludf.DUMMYFUNCTION("""COMPUTED_VALUE"""),0)</f>
        <v>0</v>
      </c>
      <c r="K64" s="170">
        <f ca="1">IFERROR(__xludf.DUMMYFUNCTION("""COMPUTED_VALUE"""),0)</f>
        <v>0</v>
      </c>
      <c r="L64" s="170">
        <f ca="1">IFERROR(__xludf.DUMMYFUNCTION("""COMPUTED_VALUE"""),0)</f>
        <v>0</v>
      </c>
      <c r="M64" s="170">
        <f ca="1">IFERROR(__xludf.DUMMYFUNCTION("""COMPUTED_VALUE"""),0)</f>
        <v>0</v>
      </c>
      <c r="N64" s="170">
        <f ca="1">IFERROR(__xludf.DUMMYFUNCTION("""COMPUTED_VALUE"""),0)</f>
        <v>0</v>
      </c>
      <c r="O64" s="170">
        <f ca="1">IFERROR(__xludf.DUMMYFUNCTION("""COMPUTED_VALUE"""),0)</f>
        <v>0</v>
      </c>
      <c r="P64" s="170">
        <f ca="1">IFERROR(__xludf.DUMMYFUNCTION("""COMPUTED_VALUE"""),0)</f>
        <v>0</v>
      </c>
      <c r="Q64" s="170">
        <f ca="1">IFERROR(__xludf.DUMMYFUNCTION("""COMPUTED_VALUE"""),2280)</f>
        <v>2280</v>
      </c>
      <c r="R64" s="170">
        <f ca="1">IFERROR(__xludf.DUMMYFUNCTION("""COMPUTED_VALUE"""),0)</f>
        <v>0</v>
      </c>
      <c r="S64" s="170">
        <f ca="1">IFERROR(__xludf.DUMMYFUNCTION("""COMPUTED_VALUE"""),0)</f>
        <v>0</v>
      </c>
      <c r="T64" s="170">
        <f ca="1">IFERROR(__xludf.DUMMYFUNCTION("""COMPUTED_VALUE"""),0)</f>
        <v>0</v>
      </c>
      <c r="U64" s="170">
        <f ca="1"/>
        <v>2280</v>
      </c>
    </row>
    <row r="65" spans="1:21" ht="12.75">
      <c r="A65" s="162" t="str">
        <f ca="1">IFERROR(__xludf.DUMMYFUNCTION("""COMPUTED_VALUE"""),"Araguaina")</f>
        <v>Araguaina</v>
      </c>
      <c r="B65" s="162" t="str">
        <f ca="1">IFERROR(__xludf.DUMMYFUNCTION("""COMPUTED_VALUE"""),"Santa Fe do Araguaia")</f>
        <v>Santa Fe do Araguaia</v>
      </c>
      <c r="C65" s="163" t="str">
        <f ca="1">IFERROR(__xludf.DUMMYFUNCTION("""COMPUTED_VALUE"""),"A. DE AP. DA ESCOLA EST. CASTRO ALVES")</f>
        <v>A. DE AP. DA ESCOLA EST. CASTRO ALVES</v>
      </c>
      <c r="D65" s="164" t="str">
        <f ca="1">IFERROR(__xludf.DUMMYFUNCTION("""COMPUTED_VALUE"""),"01673181000180")</f>
        <v>01673181000180</v>
      </c>
      <c r="E65" s="165" t="str">
        <f ca="1">IFERROR(__xludf.DUMMYFUNCTION("""COMPUTED_VALUE"""),"001")</f>
        <v>001</v>
      </c>
      <c r="F65" s="165" t="str">
        <f ca="1">IFERROR(__xludf.DUMMYFUNCTION("""COMPUTED_VALUE"""),"4791")</f>
        <v>4791</v>
      </c>
      <c r="G65" s="165" t="str">
        <f ca="1">IFERROR(__xludf.DUMMYFUNCTION("""COMPUTED_VALUE"""),"54739")</f>
        <v>54739</v>
      </c>
      <c r="H65" s="165">
        <f ca="1">IFERROR(__xludf.DUMMYFUNCTION("""COMPUTED_VALUE"""),0)</f>
        <v>0</v>
      </c>
      <c r="I65" s="165">
        <f ca="1">IFERROR(__xludf.DUMMYFUNCTION("""COMPUTED_VALUE"""),0)</f>
        <v>0</v>
      </c>
      <c r="J65" s="165">
        <f ca="1">IFERROR(__xludf.DUMMYFUNCTION("""COMPUTED_VALUE"""),3760)</f>
        <v>3760</v>
      </c>
      <c r="K65" s="165">
        <f ca="1">IFERROR(__xludf.DUMMYFUNCTION("""COMPUTED_VALUE"""),0)</f>
        <v>0</v>
      </c>
      <c r="L65" s="165">
        <f ca="1">IFERROR(__xludf.DUMMYFUNCTION("""COMPUTED_VALUE"""),0)</f>
        <v>0</v>
      </c>
      <c r="M65" s="165">
        <f ca="1">IFERROR(__xludf.DUMMYFUNCTION("""COMPUTED_VALUE"""),0)</f>
        <v>0</v>
      </c>
      <c r="N65" s="165">
        <f ca="1">IFERROR(__xludf.DUMMYFUNCTION("""COMPUTED_VALUE"""),0)</f>
        <v>0</v>
      </c>
      <c r="O65" s="165">
        <f ca="1">IFERROR(__xludf.DUMMYFUNCTION("""COMPUTED_VALUE"""),0)</f>
        <v>0</v>
      </c>
      <c r="P65" s="165">
        <f ca="1">IFERROR(__xludf.DUMMYFUNCTION("""COMPUTED_VALUE"""),285.599999999999)</f>
        <v>285.599999999999</v>
      </c>
      <c r="Q65" s="165">
        <f ca="1">IFERROR(__xludf.DUMMYFUNCTION("""COMPUTED_VALUE"""),790)</f>
        <v>790</v>
      </c>
      <c r="R65" s="165">
        <f ca="1">IFERROR(__xludf.DUMMYFUNCTION("""COMPUTED_VALUE"""),0)</f>
        <v>0</v>
      </c>
      <c r="S65" s="165">
        <f ca="1">IFERROR(__xludf.DUMMYFUNCTION("""COMPUTED_VALUE"""),0)</f>
        <v>0</v>
      </c>
      <c r="T65" s="165">
        <f ca="1">IFERROR(__xludf.DUMMYFUNCTION("""COMPUTED_VALUE"""),155.799999999999)</f>
        <v>155.79999999999899</v>
      </c>
      <c r="U65" s="165">
        <f ca="1"/>
        <v>4991.3999999999978</v>
      </c>
    </row>
    <row r="66" spans="1:21" ht="12.75">
      <c r="A66" s="167" t="str">
        <f ca="1">IFERROR(__xludf.DUMMYFUNCTION("""COMPUTED_VALUE"""),"Araguaina")</f>
        <v>Araguaina</v>
      </c>
      <c r="B66" s="167" t="str">
        <f ca="1">IFERROR(__xludf.DUMMYFUNCTION("""COMPUTED_VALUE"""),"Wanderlandia")</f>
        <v>Wanderlandia</v>
      </c>
      <c r="C66" s="168" t="str">
        <f ca="1">IFERROR(__xludf.DUMMYFUNCTION("""COMPUTED_VALUE"""),"A.A. COL. ESTADUAL JOSE LUIZ SIQUEIRA")</f>
        <v>A.A. COL. ESTADUAL JOSE LUIZ SIQUEIRA</v>
      </c>
      <c r="D66" s="169" t="str">
        <f ca="1">IFERROR(__xludf.DUMMYFUNCTION("""COMPUTED_VALUE"""),"01257082000117")</f>
        <v>01257082000117</v>
      </c>
      <c r="E66" s="170" t="str">
        <f ca="1">IFERROR(__xludf.DUMMYFUNCTION("""COMPUTED_VALUE"""),"001")</f>
        <v>001</v>
      </c>
      <c r="F66" s="170" t="str">
        <f ca="1">IFERROR(__xludf.DUMMYFUNCTION("""COMPUTED_VALUE"""),"0638")</f>
        <v>0638</v>
      </c>
      <c r="G66" s="170" t="str">
        <f ca="1">IFERROR(__xludf.DUMMYFUNCTION("""COMPUTED_VALUE"""),"0465291")</f>
        <v>0465291</v>
      </c>
      <c r="H66" s="170">
        <f ca="1">IFERROR(__xludf.DUMMYFUNCTION("""COMPUTED_VALUE"""),0)</f>
        <v>0</v>
      </c>
      <c r="I66" s="170">
        <f ca="1">IFERROR(__xludf.DUMMYFUNCTION("""COMPUTED_VALUE"""),0)</f>
        <v>0</v>
      </c>
      <c r="J66" s="170">
        <f ca="1">IFERROR(__xludf.DUMMYFUNCTION("""COMPUTED_VALUE"""),1230)</f>
        <v>1230</v>
      </c>
      <c r="K66" s="170">
        <f ca="1">IFERROR(__xludf.DUMMYFUNCTION("""COMPUTED_VALUE"""),0)</f>
        <v>0</v>
      </c>
      <c r="L66" s="170">
        <f ca="1">IFERROR(__xludf.DUMMYFUNCTION("""COMPUTED_VALUE"""),0)</f>
        <v>0</v>
      </c>
      <c r="M66" s="170">
        <f ca="1">IFERROR(__xludf.DUMMYFUNCTION("""COMPUTED_VALUE"""),0)</f>
        <v>0</v>
      </c>
      <c r="N66" s="170">
        <f ca="1">IFERROR(__xludf.DUMMYFUNCTION("""COMPUTED_VALUE"""),0)</f>
        <v>0</v>
      </c>
      <c r="O66" s="170">
        <f ca="1">IFERROR(__xludf.DUMMYFUNCTION("""COMPUTED_VALUE"""),0)</f>
        <v>0</v>
      </c>
      <c r="P66" s="170">
        <f ca="1">IFERROR(__xludf.DUMMYFUNCTION("""COMPUTED_VALUE"""),312.8)</f>
        <v>312.8</v>
      </c>
      <c r="Q66" s="170">
        <f ca="1">IFERROR(__xludf.DUMMYFUNCTION("""COMPUTED_VALUE"""),2880)</f>
        <v>2880</v>
      </c>
      <c r="R66" s="170">
        <f ca="1">IFERROR(__xludf.DUMMYFUNCTION("""COMPUTED_VALUE"""),0)</f>
        <v>0</v>
      </c>
      <c r="S66" s="170">
        <f ca="1">IFERROR(__xludf.DUMMYFUNCTION("""COMPUTED_VALUE"""),0)</f>
        <v>0</v>
      </c>
      <c r="T66" s="170">
        <f ca="1">IFERROR(__xludf.DUMMYFUNCTION("""COMPUTED_VALUE"""),0)</f>
        <v>0</v>
      </c>
      <c r="U66" s="170">
        <f ca="1"/>
        <v>4422.8</v>
      </c>
    </row>
    <row r="67" spans="1:21" ht="12.75">
      <c r="A67" s="162" t="str">
        <f ca="1">IFERROR(__xludf.DUMMYFUNCTION("""COMPUTED_VALUE"""),"Araguaina")</f>
        <v>Araguaina</v>
      </c>
      <c r="B67" s="162" t="str">
        <f ca="1">IFERROR(__xludf.DUMMYFUNCTION("""COMPUTED_VALUE"""),"Wanderlandia")</f>
        <v>Wanderlandia</v>
      </c>
      <c r="C67" s="163" t="str">
        <f ca="1">IFERROR(__xludf.DUMMYFUNCTION("""COMPUTED_VALUE"""),"ASSOCIAÇÃO DE APOIO DA ESCOLA ESPECIAL MORADA DO SOL")</f>
        <v>ASSOCIAÇÃO DE APOIO DA ESCOLA ESPECIAL MORADA DO SOL</v>
      </c>
      <c r="D67" s="164" t="str">
        <f ca="1">IFERROR(__xludf.DUMMYFUNCTION("""COMPUTED_VALUE"""),"07941368000101")</f>
        <v>07941368000101</v>
      </c>
      <c r="E67" s="165" t="str">
        <f ca="1">IFERROR(__xludf.DUMMYFUNCTION("""COMPUTED_VALUE"""),"001")</f>
        <v>001</v>
      </c>
      <c r="F67" s="165" t="str">
        <f ca="1">IFERROR(__xludf.DUMMYFUNCTION("""COMPUTED_VALUE"""),"0638")</f>
        <v>0638</v>
      </c>
      <c r="G67" s="165" t="str">
        <f ca="1">IFERROR(__xludf.DUMMYFUNCTION("""COMPUTED_VALUE"""),"537349")</f>
        <v>537349</v>
      </c>
      <c r="H67" s="165">
        <f ca="1">IFERROR(__xludf.DUMMYFUNCTION("""COMPUTED_VALUE"""),0)</f>
        <v>0</v>
      </c>
      <c r="I67" s="165">
        <f ca="1">IFERROR(__xludf.DUMMYFUNCTION("""COMPUTED_VALUE"""),0)</f>
        <v>0</v>
      </c>
      <c r="J67" s="165">
        <f ca="1">IFERROR(__xludf.DUMMYFUNCTION("""COMPUTED_VALUE"""),40)</f>
        <v>40</v>
      </c>
      <c r="K67" s="165">
        <f ca="1">IFERROR(__xludf.DUMMYFUNCTION("""COMPUTED_VALUE"""),0)</f>
        <v>0</v>
      </c>
      <c r="L67" s="165">
        <f ca="1">IFERROR(__xludf.DUMMYFUNCTION("""COMPUTED_VALUE"""),0)</f>
        <v>0</v>
      </c>
      <c r="M67" s="165">
        <f ca="1">IFERROR(__xludf.DUMMYFUNCTION("""COMPUTED_VALUE"""),0)</f>
        <v>0</v>
      </c>
      <c r="N67" s="165">
        <f ca="1">IFERROR(__xludf.DUMMYFUNCTION("""COMPUTED_VALUE"""),0)</f>
        <v>0</v>
      </c>
      <c r="O67" s="165">
        <f ca="1">IFERROR(__xludf.DUMMYFUNCTION("""COMPUTED_VALUE"""),0)</f>
        <v>0</v>
      </c>
      <c r="P67" s="165">
        <f ca="1">IFERROR(__xludf.DUMMYFUNCTION("""COMPUTED_VALUE"""),122.399999999999)</f>
        <v>122.399999999999</v>
      </c>
      <c r="Q67" s="165">
        <f ca="1">IFERROR(__xludf.DUMMYFUNCTION("""COMPUTED_VALUE"""),0)</f>
        <v>0</v>
      </c>
      <c r="R67" s="165">
        <f ca="1">IFERROR(__xludf.DUMMYFUNCTION("""COMPUTED_VALUE"""),0)</f>
        <v>0</v>
      </c>
      <c r="S67" s="165">
        <f ca="1">IFERROR(__xludf.DUMMYFUNCTION("""COMPUTED_VALUE"""),0)</f>
        <v>0</v>
      </c>
      <c r="T67" s="165">
        <f ca="1">IFERROR(__xludf.DUMMYFUNCTION("""COMPUTED_VALUE"""),754.4)</f>
        <v>754.4</v>
      </c>
      <c r="U67" s="165">
        <f ca="1"/>
        <v>916.79999999999905</v>
      </c>
    </row>
    <row r="68" spans="1:21" ht="12.75">
      <c r="A68" s="167" t="str">
        <f ca="1">IFERROR(__xludf.DUMMYFUNCTION("""COMPUTED_VALUE"""),"Araguaina")</f>
        <v>Araguaina</v>
      </c>
      <c r="B68" s="167" t="str">
        <f ca="1">IFERROR(__xludf.DUMMYFUNCTION("""COMPUTED_VALUE"""),"Wanderlandia")</f>
        <v>Wanderlandia</v>
      </c>
      <c r="C68" s="168" t="str">
        <f ca="1">IFERROR(__xludf.DUMMYFUNCTION("""COMPUTED_VALUE"""),"A.APOIO ESCOLA ESTADUAL D. PEDRO II")</f>
        <v>A.APOIO ESCOLA ESTADUAL D. PEDRO II</v>
      </c>
      <c r="D68" s="169" t="str">
        <f ca="1">IFERROR(__xludf.DUMMYFUNCTION("""COMPUTED_VALUE"""),"01186465000141")</f>
        <v>01186465000141</v>
      </c>
      <c r="E68" s="170" t="str">
        <f ca="1">IFERROR(__xludf.DUMMYFUNCTION("""COMPUTED_VALUE"""),"001")</f>
        <v>001</v>
      </c>
      <c r="F68" s="170" t="str">
        <f ca="1">IFERROR(__xludf.DUMMYFUNCTION("""COMPUTED_VALUE"""),"0638")</f>
        <v>0638</v>
      </c>
      <c r="G68" s="170" t="str">
        <f ca="1">IFERROR(__xludf.DUMMYFUNCTION("""COMPUTED_VALUE"""),"0463108")</f>
        <v>0463108</v>
      </c>
      <c r="H68" s="170">
        <f ca="1">IFERROR(__xludf.DUMMYFUNCTION("""COMPUTED_VALUE"""),0)</f>
        <v>0</v>
      </c>
      <c r="I68" s="170">
        <f ca="1">IFERROR(__xludf.DUMMYFUNCTION("""COMPUTED_VALUE"""),0)</f>
        <v>0</v>
      </c>
      <c r="J68" s="170">
        <f ca="1">IFERROR(__xludf.DUMMYFUNCTION("""COMPUTED_VALUE"""),2540)</f>
        <v>2540</v>
      </c>
      <c r="K68" s="170">
        <f ca="1">IFERROR(__xludf.DUMMYFUNCTION("""COMPUTED_VALUE"""),0)</f>
        <v>0</v>
      </c>
      <c r="L68" s="170">
        <f ca="1">IFERROR(__xludf.DUMMYFUNCTION("""COMPUTED_VALUE"""),0)</f>
        <v>0</v>
      </c>
      <c r="M68" s="170">
        <f ca="1">IFERROR(__xludf.DUMMYFUNCTION("""COMPUTED_VALUE"""),0)</f>
        <v>0</v>
      </c>
      <c r="N68" s="170">
        <f ca="1">IFERROR(__xludf.DUMMYFUNCTION("""COMPUTED_VALUE"""),0)</f>
        <v>0</v>
      </c>
      <c r="O68" s="170">
        <f ca="1">IFERROR(__xludf.DUMMYFUNCTION("""COMPUTED_VALUE"""),0)</f>
        <v>0</v>
      </c>
      <c r="P68" s="170">
        <f ca="1">IFERROR(__xludf.DUMMYFUNCTION("""COMPUTED_VALUE"""),258.4)</f>
        <v>258.39999999999998</v>
      </c>
      <c r="Q68" s="170">
        <f ca="1">IFERROR(__xludf.DUMMYFUNCTION("""COMPUTED_VALUE"""),0)</f>
        <v>0</v>
      </c>
      <c r="R68" s="170">
        <f ca="1">IFERROR(__xludf.DUMMYFUNCTION("""COMPUTED_VALUE"""),0)</f>
        <v>0</v>
      </c>
      <c r="S68" s="170">
        <f ca="1">IFERROR(__xludf.DUMMYFUNCTION("""COMPUTED_VALUE"""),0)</f>
        <v>0</v>
      </c>
      <c r="T68" s="170">
        <f ca="1">IFERROR(__xludf.DUMMYFUNCTION("""COMPUTED_VALUE"""),508.4)</f>
        <v>508.4</v>
      </c>
      <c r="U68" s="170">
        <f ca="1"/>
        <v>3306.8</v>
      </c>
    </row>
    <row r="69" spans="1:21" ht="12.75">
      <c r="A69" s="162" t="str">
        <f ca="1">IFERROR(__xludf.DUMMYFUNCTION("""COMPUTED_VALUE"""),"Araguaina")</f>
        <v>Araguaina</v>
      </c>
      <c r="B69" s="162" t="str">
        <f ca="1">IFERROR(__xludf.DUMMYFUNCTION("""COMPUTED_VALUE"""),"Xambioa")</f>
        <v>Xambioa</v>
      </c>
      <c r="C69" s="163" t="str">
        <f ca="1">IFERROR(__xludf.DUMMYFUNCTION("""COMPUTED_VALUE"""),"A.A. COL. MUL. PROFA. JULIANA BARROS")</f>
        <v>A.A. COL. MUL. PROFA. JULIANA BARROS</v>
      </c>
      <c r="D69" s="164" t="str">
        <f ca="1">IFERROR(__xludf.DUMMYFUNCTION("""COMPUTED_VALUE"""),"01136047000140")</f>
        <v>01136047000140</v>
      </c>
      <c r="E69" s="165" t="str">
        <f ca="1">IFERROR(__xludf.DUMMYFUNCTION("""COMPUTED_VALUE"""),"001")</f>
        <v>001</v>
      </c>
      <c r="F69" s="165" t="str">
        <f ca="1">IFERROR(__xludf.DUMMYFUNCTION("""COMPUTED_VALUE"""),"3773")</f>
        <v>3773</v>
      </c>
      <c r="G69" s="165" t="str">
        <f ca="1">IFERROR(__xludf.DUMMYFUNCTION("""COMPUTED_VALUE"""),"0330027")</f>
        <v>0330027</v>
      </c>
      <c r="H69" s="165">
        <f ca="1">IFERROR(__xludf.DUMMYFUNCTION("""COMPUTED_VALUE"""),0)</f>
        <v>0</v>
      </c>
      <c r="I69" s="165">
        <f ca="1">IFERROR(__xludf.DUMMYFUNCTION("""COMPUTED_VALUE"""),0)</f>
        <v>0</v>
      </c>
      <c r="J69" s="165">
        <f ca="1">IFERROR(__xludf.DUMMYFUNCTION("""COMPUTED_VALUE"""),1300)</f>
        <v>1300</v>
      </c>
      <c r="K69" s="165">
        <f ca="1">IFERROR(__xludf.DUMMYFUNCTION("""COMPUTED_VALUE"""),0)</f>
        <v>0</v>
      </c>
      <c r="L69" s="165">
        <f ca="1">IFERROR(__xludf.DUMMYFUNCTION("""COMPUTED_VALUE"""),0)</f>
        <v>0</v>
      </c>
      <c r="M69" s="165">
        <f ca="1">IFERROR(__xludf.DUMMYFUNCTION("""COMPUTED_VALUE"""),0)</f>
        <v>0</v>
      </c>
      <c r="N69" s="165">
        <f ca="1">IFERROR(__xludf.DUMMYFUNCTION("""COMPUTED_VALUE"""),0)</f>
        <v>0</v>
      </c>
      <c r="O69" s="165">
        <f ca="1">IFERROR(__xludf.DUMMYFUNCTION("""COMPUTED_VALUE"""),0)</f>
        <v>0</v>
      </c>
      <c r="P69" s="165">
        <f ca="1">IFERROR(__xludf.DUMMYFUNCTION("""COMPUTED_VALUE"""),0)</f>
        <v>0</v>
      </c>
      <c r="Q69" s="165">
        <f ca="1">IFERROR(__xludf.DUMMYFUNCTION("""COMPUTED_VALUE"""),0)</f>
        <v>0</v>
      </c>
      <c r="R69" s="165">
        <f ca="1">IFERROR(__xludf.DUMMYFUNCTION("""COMPUTED_VALUE"""),0)</f>
        <v>0</v>
      </c>
      <c r="S69" s="165">
        <f ca="1">IFERROR(__xludf.DUMMYFUNCTION("""COMPUTED_VALUE"""),0)</f>
        <v>0</v>
      </c>
      <c r="T69" s="165">
        <f ca="1">IFERROR(__xludf.DUMMYFUNCTION("""COMPUTED_VALUE"""),500.199999999999)</f>
        <v>500.19999999999902</v>
      </c>
      <c r="U69" s="165">
        <f ca="1"/>
        <v>1800.1999999999989</v>
      </c>
    </row>
    <row r="70" spans="1:21" ht="12.75">
      <c r="A70" s="167" t="str">
        <f ca="1">IFERROR(__xludf.DUMMYFUNCTION("""COMPUTED_VALUE"""),"Araguaina")</f>
        <v>Araguaina</v>
      </c>
      <c r="B70" s="167" t="str">
        <f ca="1">IFERROR(__xludf.DUMMYFUNCTION("""COMPUTED_VALUE"""),"Xambioa")</f>
        <v>Xambioa</v>
      </c>
      <c r="C70" s="168" t="str">
        <f ca="1">IFERROR(__xludf.DUMMYFUNCTION("""COMPUTED_VALUE"""),"A. COM. DA ESC. EST. EURICO MOTA")</f>
        <v>A. COM. DA ESC. EST. EURICO MOTA</v>
      </c>
      <c r="D70" s="169" t="str">
        <f ca="1">IFERROR(__xludf.DUMMYFUNCTION("""COMPUTED_VALUE"""),"01718086000155")</f>
        <v>01718086000155</v>
      </c>
      <c r="E70" s="170" t="str">
        <f ca="1">IFERROR(__xludf.DUMMYFUNCTION("""COMPUTED_VALUE"""),"001")</f>
        <v>001</v>
      </c>
      <c r="F70" s="170" t="str">
        <f ca="1">IFERROR(__xludf.DUMMYFUNCTION("""COMPUTED_VALUE"""),"3773")</f>
        <v>3773</v>
      </c>
      <c r="G70" s="170" t="str">
        <f ca="1">IFERROR(__xludf.DUMMYFUNCTION("""COMPUTED_VALUE"""),"0324744")</f>
        <v>0324744</v>
      </c>
      <c r="H70" s="170">
        <f ca="1">IFERROR(__xludf.DUMMYFUNCTION("""COMPUTED_VALUE"""),0)</f>
        <v>0</v>
      </c>
      <c r="I70" s="170">
        <f ca="1">IFERROR(__xludf.DUMMYFUNCTION("""COMPUTED_VALUE"""),0)</f>
        <v>0</v>
      </c>
      <c r="J70" s="170">
        <f ca="1">IFERROR(__xludf.DUMMYFUNCTION("""COMPUTED_VALUE"""),0)</f>
        <v>0</v>
      </c>
      <c r="K70" s="170">
        <f ca="1">IFERROR(__xludf.DUMMYFUNCTION("""COMPUTED_VALUE"""),0)</f>
        <v>0</v>
      </c>
      <c r="L70" s="170">
        <f ca="1">IFERROR(__xludf.DUMMYFUNCTION("""COMPUTED_VALUE"""),0)</f>
        <v>0</v>
      </c>
      <c r="M70" s="170">
        <f ca="1">IFERROR(__xludf.DUMMYFUNCTION("""COMPUTED_VALUE"""),0)</f>
        <v>0</v>
      </c>
      <c r="N70" s="170">
        <f ca="1">IFERROR(__xludf.DUMMYFUNCTION("""COMPUTED_VALUE"""),0)</f>
        <v>0</v>
      </c>
      <c r="O70" s="170">
        <f ca="1">IFERROR(__xludf.DUMMYFUNCTION("""COMPUTED_VALUE"""),0)</f>
        <v>0</v>
      </c>
      <c r="P70" s="170">
        <f ca="1">IFERROR(__xludf.DUMMYFUNCTION("""COMPUTED_VALUE"""),0)</f>
        <v>0</v>
      </c>
      <c r="Q70" s="170">
        <f ca="1">IFERROR(__xludf.DUMMYFUNCTION("""COMPUTED_VALUE"""),4630)</f>
        <v>4630</v>
      </c>
      <c r="R70" s="170">
        <f ca="1">IFERROR(__xludf.DUMMYFUNCTION("""COMPUTED_VALUE"""),0)</f>
        <v>0</v>
      </c>
      <c r="S70" s="170">
        <f ca="1">IFERROR(__xludf.DUMMYFUNCTION("""COMPUTED_VALUE"""),0)</f>
        <v>0</v>
      </c>
      <c r="T70" s="170">
        <f ca="1">IFERROR(__xludf.DUMMYFUNCTION("""COMPUTED_VALUE"""),0)</f>
        <v>0</v>
      </c>
      <c r="U70" s="170">
        <f ca="1"/>
        <v>4630</v>
      </c>
    </row>
    <row r="71" spans="1:21" ht="12.75">
      <c r="A71" s="162" t="str">
        <f ca="1">IFERROR(__xludf.DUMMYFUNCTION("""COMPUTED_VALUE"""),"Araguaina")</f>
        <v>Araguaina</v>
      </c>
      <c r="B71" s="162" t="str">
        <f ca="1">IFERROR(__xludf.DUMMYFUNCTION("""COMPUTED_VALUE"""),"Xambioa")</f>
        <v>Xambioa</v>
      </c>
      <c r="C71" s="163" t="str">
        <f ca="1">IFERROR(__xludf.DUMMYFUNCTION("""COMPUTED_VALUE"""),"AS. DE A. A ESC.PAROQUIAL SAO MIGUEL")</f>
        <v>AS. DE A. A ESC.PAROQUIAL SAO MIGUEL</v>
      </c>
      <c r="D71" s="164" t="str">
        <f ca="1">IFERROR(__xludf.DUMMYFUNCTION("""COMPUTED_VALUE"""),"01133698000186")</f>
        <v>01133698000186</v>
      </c>
      <c r="E71" s="165" t="str">
        <f ca="1">IFERROR(__xludf.DUMMYFUNCTION("""COMPUTED_VALUE"""),"001")</f>
        <v>001</v>
      </c>
      <c r="F71" s="165" t="str">
        <f ca="1">IFERROR(__xludf.DUMMYFUNCTION("""COMPUTED_VALUE"""),"3773")</f>
        <v>3773</v>
      </c>
      <c r="G71" s="165" t="str">
        <f ca="1">IFERROR(__xludf.DUMMYFUNCTION("""COMPUTED_VALUE"""),"330035")</f>
        <v>330035</v>
      </c>
      <c r="H71" s="165">
        <f ca="1">IFERROR(__xludf.DUMMYFUNCTION("""COMPUTED_VALUE"""),0)</f>
        <v>0</v>
      </c>
      <c r="I71" s="165">
        <f ca="1">IFERROR(__xludf.DUMMYFUNCTION("""COMPUTED_VALUE"""),0)</f>
        <v>0</v>
      </c>
      <c r="J71" s="165">
        <f ca="1">IFERROR(__xludf.DUMMYFUNCTION("""COMPUTED_VALUE"""),2780)</f>
        <v>2780</v>
      </c>
      <c r="K71" s="165">
        <f ca="1">IFERROR(__xludf.DUMMYFUNCTION("""COMPUTED_VALUE"""),0)</f>
        <v>0</v>
      </c>
      <c r="L71" s="165">
        <f ca="1">IFERROR(__xludf.DUMMYFUNCTION("""COMPUTED_VALUE"""),0)</f>
        <v>0</v>
      </c>
      <c r="M71" s="165">
        <f ca="1">IFERROR(__xludf.DUMMYFUNCTION("""COMPUTED_VALUE"""),0)</f>
        <v>0</v>
      </c>
      <c r="N71" s="165">
        <f ca="1">IFERROR(__xludf.DUMMYFUNCTION("""COMPUTED_VALUE"""),0)</f>
        <v>0</v>
      </c>
      <c r="O71" s="165">
        <f ca="1">IFERROR(__xludf.DUMMYFUNCTION("""COMPUTED_VALUE"""),0)</f>
        <v>0</v>
      </c>
      <c r="P71" s="165">
        <f ca="1">IFERROR(__xludf.DUMMYFUNCTION("""COMPUTED_VALUE"""),136)</f>
        <v>136</v>
      </c>
      <c r="Q71" s="165">
        <f ca="1">IFERROR(__xludf.DUMMYFUNCTION("""COMPUTED_VALUE"""),0)</f>
        <v>0</v>
      </c>
      <c r="R71" s="165">
        <f ca="1">IFERROR(__xludf.DUMMYFUNCTION("""COMPUTED_VALUE"""),0)</f>
        <v>0</v>
      </c>
      <c r="S71" s="165">
        <f ca="1">IFERROR(__xludf.DUMMYFUNCTION("""COMPUTED_VALUE"""),0)</f>
        <v>0</v>
      </c>
      <c r="T71" s="165">
        <f ca="1">IFERROR(__xludf.DUMMYFUNCTION("""COMPUTED_VALUE"""),0)</f>
        <v>0</v>
      </c>
      <c r="U71" s="165">
        <f ca="1"/>
        <v>2916</v>
      </c>
    </row>
    <row r="72" spans="1:21" ht="12.75">
      <c r="A72" s="167" t="str">
        <f ca="1">IFERROR(__xludf.DUMMYFUNCTION("""COMPUTED_VALUE"""),"Araguatins")</f>
        <v>Araguatins</v>
      </c>
      <c r="B72" s="167" t="str">
        <f ca="1">IFERROR(__xludf.DUMMYFUNCTION("""COMPUTED_VALUE"""),"Araguatins")</f>
        <v>Araguatins</v>
      </c>
      <c r="C72" s="168" t="str">
        <f ca="1">IFERROR(__xludf.DUMMYFUNCTION("""COMPUTED_VALUE"""),"ASSOC. APOIO AO CEM PROFESSORA ANTONINA MILHOMEM")</f>
        <v>ASSOC. APOIO AO CEM PROFESSORA ANTONINA MILHOMEM</v>
      </c>
      <c r="D72" s="169" t="str">
        <f ca="1">IFERROR(__xludf.DUMMYFUNCTION("""COMPUTED_VALUE"""),"04675931000140")</f>
        <v>04675931000140</v>
      </c>
      <c r="E72" s="170" t="str">
        <f ca="1">IFERROR(__xludf.DUMMYFUNCTION("""COMPUTED_VALUE"""),"001")</f>
        <v>001</v>
      </c>
      <c r="F72" s="170" t="str">
        <f ca="1">IFERROR(__xludf.DUMMYFUNCTION("""COMPUTED_VALUE"""),"1305")</f>
        <v>1305</v>
      </c>
      <c r="G72" s="170" t="str">
        <f ca="1">IFERROR(__xludf.DUMMYFUNCTION("""COMPUTED_VALUE"""),"209082")</f>
        <v>209082</v>
      </c>
      <c r="H72" s="170">
        <f ca="1">IFERROR(__xludf.DUMMYFUNCTION("""COMPUTED_VALUE"""),0)</f>
        <v>0</v>
      </c>
      <c r="I72" s="170">
        <f ca="1">IFERROR(__xludf.DUMMYFUNCTION("""COMPUTED_VALUE"""),0)</f>
        <v>0</v>
      </c>
      <c r="J72" s="170">
        <f ca="1">IFERROR(__xludf.DUMMYFUNCTION("""COMPUTED_VALUE"""),2030)</f>
        <v>2030</v>
      </c>
      <c r="K72" s="170">
        <f ca="1">IFERROR(__xludf.DUMMYFUNCTION("""COMPUTED_VALUE"""),0)</f>
        <v>0</v>
      </c>
      <c r="L72" s="170">
        <f ca="1">IFERROR(__xludf.DUMMYFUNCTION("""COMPUTED_VALUE"""),0)</f>
        <v>0</v>
      </c>
      <c r="M72" s="170">
        <f ca="1">IFERROR(__xludf.DUMMYFUNCTION("""COMPUTED_VALUE"""),0)</f>
        <v>0</v>
      </c>
      <c r="N72" s="170">
        <f ca="1">IFERROR(__xludf.DUMMYFUNCTION("""COMPUTED_VALUE"""),0)</f>
        <v>0</v>
      </c>
      <c r="O72" s="170">
        <f ca="1">IFERROR(__xludf.DUMMYFUNCTION("""COMPUTED_VALUE"""),0)</f>
        <v>0</v>
      </c>
      <c r="P72" s="170">
        <f ca="1">IFERROR(__xludf.DUMMYFUNCTION("""COMPUTED_VALUE"""),204)</f>
        <v>204</v>
      </c>
      <c r="Q72" s="170">
        <f ca="1">IFERROR(__xludf.DUMMYFUNCTION("""COMPUTED_VALUE"""),3610)</f>
        <v>3610</v>
      </c>
      <c r="R72" s="170">
        <f ca="1">IFERROR(__xludf.DUMMYFUNCTION("""COMPUTED_VALUE"""),0)</f>
        <v>0</v>
      </c>
      <c r="S72" s="170">
        <f ca="1">IFERROR(__xludf.DUMMYFUNCTION("""COMPUTED_VALUE"""),0)</f>
        <v>0</v>
      </c>
      <c r="T72" s="170">
        <f ca="1">IFERROR(__xludf.DUMMYFUNCTION("""COMPUTED_VALUE"""),0)</f>
        <v>0</v>
      </c>
      <c r="U72" s="170">
        <f ca="1"/>
        <v>5844</v>
      </c>
    </row>
    <row r="73" spans="1:21" ht="12.75">
      <c r="A73" s="174" t="str">
        <f ca="1">IFERROR(__xludf.DUMMYFUNCTION("""COMPUTED_VALUE"""),"Araguatins")</f>
        <v>Araguatins</v>
      </c>
      <c r="B73" s="174" t="str">
        <f ca="1">IFERROR(__xludf.DUMMYFUNCTION("""COMPUTED_VALUE"""),"Araguatins")</f>
        <v>Araguatins</v>
      </c>
      <c r="C73" s="175" t="str">
        <f ca="1">IFERROR(__xludf.DUMMYFUNCTION("""COMPUTED_VALUE"""),"A.A. E. EST. ATANAZIO DE MOURA SEIXAS")</f>
        <v>A.A. E. EST. ATANAZIO DE MOURA SEIXAS</v>
      </c>
      <c r="D73" s="176" t="str">
        <f ca="1">IFERROR(__xludf.DUMMYFUNCTION("""COMPUTED_VALUE"""),"01068353000196")</f>
        <v>01068353000196</v>
      </c>
      <c r="E73" s="177" t="str">
        <f ca="1">IFERROR(__xludf.DUMMYFUNCTION("""COMPUTED_VALUE"""),"001")</f>
        <v>001</v>
      </c>
      <c r="F73" s="177" t="str">
        <f ca="1">IFERROR(__xludf.DUMMYFUNCTION("""COMPUTED_VALUE"""),"1305")</f>
        <v>1305</v>
      </c>
      <c r="G73" s="177" t="str">
        <f ca="1">IFERROR(__xludf.DUMMYFUNCTION("""COMPUTED_VALUE"""),"109215")</f>
        <v>109215</v>
      </c>
      <c r="H73" s="177">
        <f ca="1">IFERROR(__xludf.DUMMYFUNCTION("""COMPUTED_VALUE"""),0)</f>
        <v>0</v>
      </c>
      <c r="I73" s="177">
        <f ca="1">IFERROR(__xludf.DUMMYFUNCTION("""COMPUTED_VALUE"""),0)</f>
        <v>0</v>
      </c>
      <c r="J73" s="177">
        <f ca="1">IFERROR(__xludf.DUMMYFUNCTION("""COMPUTED_VALUE"""),720)</f>
        <v>720</v>
      </c>
      <c r="K73" s="177">
        <f ca="1">IFERROR(__xludf.DUMMYFUNCTION("""COMPUTED_VALUE"""),0)</f>
        <v>0</v>
      </c>
      <c r="L73" s="177">
        <f ca="1">IFERROR(__xludf.DUMMYFUNCTION("""COMPUTED_VALUE"""),0)</f>
        <v>0</v>
      </c>
      <c r="M73" s="177">
        <f ca="1">IFERROR(__xludf.DUMMYFUNCTION("""COMPUTED_VALUE"""),0)</f>
        <v>0</v>
      </c>
      <c r="N73" s="177">
        <f ca="1">IFERROR(__xludf.DUMMYFUNCTION("""COMPUTED_VALUE"""),0)</f>
        <v>0</v>
      </c>
      <c r="O73" s="177">
        <f ca="1">IFERROR(__xludf.DUMMYFUNCTION("""COMPUTED_VALUE"""),0)</f>
        <v>0</v>
      </c>
      <c r="P73" s="177">
        <f ca="1">IFERROR(__xludf.DUMMYFUNCTION("""COMPUTED_VALUE"""),0)</f>
        <v>0</v>
      </c>
      <c r="Q73" s="177">
        <f ca="1">IFERROR(__xludf.DUMMYFUNCTION("""COMPUTED_VALUE"""),330)</f>
        <v>330</v>
      </c>
      <c r="R73" s="177">
        <f ca="1">IFERROR(__xludf.DUMMYFUNCTION("""COMPUTED_VALUE"""),0)</f>
        <v>0</v>
      </c>
      <c r="S73" s="177">
        <f ca="1">IFERROR(__xludf.DUMMYFUNCTION("""COMPUTED_VALUE"""),0)</f>
        <v>0</v>
      </c>
      <c r="T73" s="177">
        <f ca="1">IFERROR(__xludf.DUMMYFUNCTION("""COMPUTED_VALUE"""),98.3999999999999)</f>
        <v>98.399999999999906</v>
      </c>
      <c r="U73" s="165">
        <f ca="1"/>
        <v>1148.3999999999999</v>
      </c>
    </row>
    <row r="74" spans="1:21" ht="12.75">
      <c r="A74" s="167" t="str">
        <f ca="1">IFERROR(__xludf.DUMMYFUNCTION("""COMPUTED_VALUE"""),"Araguatins")</f>
        <v>Araguatins</v>
      </c>
      <c r="B74" s="167" t="str">
        <f ca="1">IFERROR(__xludf.DUMMYFUNCTION("""COMPUTED_VALUE"""),"Araguatins")</f>
        <v>Araguatins</v>
      </c>
      <c r="C74" s="168" t="str">
        <f ca="1">IFERROR(__xludf.DUMMYFUNCTION("""COMPUTED_VALUE"""),"A.A. COL. EST. LEONIDAS G. DUARTE")</f>
        <v>A.A. COL. EST. LEONIDAS G. DUARTE</v>
      </c>
      <c r="D74" s="169" t="str">
        <f ca="1">IFERROR(__xludf.DUMMYFUNCTION("""COMPUTED_VALUE"""),"01190189000195")</f>
        <v>01190189000195</v>
      </c>
      <c r="E74" s="170" t="str">
        <f ca="1">IFERROR(__xludf.DUMMYFUNCTION("""COMPUTED_VALUE"""),"001")</f>
        <v>001</v>
      </c>
      <c r="F74" s="170" t="str">
        <f ca="1">IFERROR(__xludf.DUMMYFUNCTION("""COMPUTED_VALUE"""),"1305")</f>
        <v>1305</v>
      </c>
      <c r="G74" s="170" t="str">
        <f ca="1">IFERROR(__xludf.DUMMYFUNCTION("""COMPUTED_VALUE"""),"0019143")</f>
        <v>0019143</v>
      </c>
      <c r="H74" s="170">
        <f ca="1">IFERROR(__xludf.DUMMYFUNCTION("""COMPUTED_VALUE"""),0)</f>
        <v>0</v>
      </c>
      <c r="I74" s="170">
        <f ca="1">IFERROR(__xludf.DUMMYFUNCTION("""COMPUTED_VALUE"""),0)</f>
        <v>0</v>
      </c>
      <c r="J74" s="170">
        <f ca="1">IFERROR(__xludf.DUMMYFUNCTION("""COMPUTED_VALUE"""),4480)</f>
        <v>4480</v>
      </c>
      <c r="K74" s="170">
        <f ca="1">IFERROR(__xludf.DUMMYFUNCTION("""COMPUTED_VALUE"""),0)</f>
        <v>0</v>
      </c>
      <c r="L74" s="170">
        <f ca="1">IFERROR(__xludf.DUMMYFUNCTION("""COMPUTED_VALUE"""),0)</f>
        <v>0</v>
      </c>
      <c r="M74" s="170">
        <f ca="1">IFERROR(__xludf.DUMMYFUNCTION("""COMPUTED_VALUE"""),0)</f>
        <v>0</v>
      </c>
      <c r="N74" s="170">
        <f ca="1">IFERROR(__xludf.DUMMYFUNCTION("""COMPUTED_VALUE"""),0)</f>
        <v>0</v>
      </c>
      <c r="O74" s="170">
        <f ca="1">IFERROR(__xludf.DUMMYFUNCTION("""COMPUTED_VALUE"""),0)</f>
        <v>0</v>
      </c>
      <c r="P74" s="170">
        <f ca="1">IFERROR(__xludf.DUMMYFUNCTION("""COMPUTED_VALUE"""),217.6)</f>
        <v>217.6</v>
      </c>
      <c r="Q74" s="170">
        <f ca="1">IFERROR(__xludf.DUMMYFUNCTION("""COMPUTED_VALUE"""),0)</f>
        <v>0</v>
      </c>
      <c r="R74" s="170">
        <f ca="1">IFERROR(__xludf.DUMMYFUNCTION("""COMPUTED_VALUE"""),0)</f>
        <v>0</v>
      </c>
      <c r="S74" s="170">
        <f ca="1">IFERROR(__xludf.DUMMYFUNCTION("""COMPUTED_VALUE"""),0)</f>
        <v>0</v>
      </c>
      <c r="T74" s="170">
        <f ca="1">IFERROR(__xludf.DUMMYFUNCTION("""COMPUTED_VALUE"""),0)</f>
        <v>0</v>
      </c>
      <c r="U74" s="170">
        <f ca="1"/>
        <v>4697.6000000000004</v>
      </c>
    </row>
    <row r="75" spans="1:21" ht="12.75">
      <c r="A75" s="162" t="str">
        <f ca="1">IFERROR(__xludf.DUMMYFUNCTION("""COMPUTED_VALUE"""),"Araguatins")</f>
        <v>Araguatins</v>
      </c>
      <c r="B75" s="162" t="str">
        <f ca="1">IFERROR(__xludf.DUMMYFUNCTION("""COMPUTED_VALUE"""),"Araguatins")</f>
        <v>Araguatins</v>
      </c>
      <c r="C75" s="163" t="str">
        <f ca="1">IFERROR(__xludf.DUMMYFUNCTION("""COMPUTED_VALUE"""),"A.A. A ESC. EST. OSVALDO FRANCO")</f>
        <v>A.A. A ESC. EST. OSVALDO FRANCO</v>
      </c>
      <c r="D75" s="164" t="str">
        <f ca="1">IFERROR(__xludf.DUMMYFUNCTION("""COMPUTED_VALUE"""),"01392733000181")</f>
        <v>01392733000181</v>
      </c>
      <c r="E75" s="165" t="str">
        <f ca="1">IFERROR(__xludf.DUMMYFUNCTION("""COMPUTED_VALUE"""),"001")</f>
        <v>001</v>
      </c>
      <c r="F75" s="165" t="str">
        <f ca="1">IFERROR(__xludf.DUMMYFUNCTION("""COMPUTED_VALUE"""),"1305")</f>
        <v>1305</v>
      </c>
      <c r="G75" s="165" t="str">
        <f ca="1">IFERROR(__xludf.DUMMYFUNCTION("""COMPUTED_VALUE"""),"109738")</f>
        <v>109738</v>
      </c>
      <c r="H75" s="165">
        <f ca="1">IFERROR(__xludf.DUMMYFUNCTION("""COMPUTED_VALUE"""),0)</f>
        <v>0</v>
      </c>
      <c r="I75" s="165">
        <f ca="1">IFERROR(__xludf.DUMMYFUNCTION("""COMPUTED_VALUE"""),0)</f>
        <v>0</v>
      </c>
      <c r="J75" s="165">
        <f ca="1">IFERROR(__xludf.DUMMYFUNCTION("""COMPUTED_VALUE"""),3530)</f>
        <v>3530</v>
      </c>
      <c r="K75" s="165">
        <f ca="1">IFERROR(__xludf.DUMMYFUNCTION("""COMPUTED_VALUE"""),0)</f>
        <v>0</v>
      </c>
      <c r="L75" s="165">
        <f ca="1">IFERROR(__xludf.DUMMYFUNCTION("""COMPUTED_VALUE"""),0)</f>
        <v>0</v>
      </c>
      <c r="M75" s="165">
        <f ca="1">IFERROR(__xludf.DUMMYFUNCTION("""COMPUTED_VALUE"""),0)</f>
        <v>0</v>
      </c>
      <c r="N75" s="165">
        <f ca="1">IFERROR(__xludf.DUMMYFUNCTION("""COMPUTED_VALUE"""),0)</f>
        <v>0</v>
      </c>
      <c r="O75" s="165">
        <f ca="1">IFERROR(__xludf.DUMMYFUNCTION("""COMPUTED_VALUE"""),0)</f>
        <v>0</v>
      </c>
      <c r="P75" s="165">
        <f ca="1">IFERROR(__xludf.DUMMYFUNCTION("""COMPUTED_VALUE"""),299.2)</f>
        <v>299.2</v>
      </c>
      <c r="Q75" s="165">
        <f ca="1">IFERROR(__xludf.DUMMYFUNCTION("""COMPUTED_VALUE"""),0)</f>
        <v>0</v>
      </c>
      <c r="R75" s="165">
        <f ca="1">IFERROR(__xludf.DUMMYFUNCTION("""COMPUTED_VALUE"""),0)</f>
        <v>0</v>
      </c>
      <c r="S75" s="165">
        <f ca="1">IFERROR(__xludf.DUMMYFUNCTION("""COMPUTED_VALUE"""),0)</f>
        <v>0</v>
      </c>
      <c r="T75" s="165">
        <f ca="1">IFERROR(__xludf.DUMMYFUNCTION("""COMPUTED_VALUE"""),1500.6)</f>
        <v>1500.6</v>
      </c>
      <c r="U75" s="165">
        <f ca="1"/>
        <v>5329.7999999999993</v>
      </c>
    </row>
    <row r="76" spans="1:21" ht="12.75">
      <c r="A76" s="167" t="str">
        <f ca="1">IFERROR(__xludf.DUMMYFUNCTION("""COMPUTED_VALUE"""),"Araguatins")</f>
        <v>Araguatins</v>
      </c>
      <c r="B76" s="167" t="str">
        <f ca="1">IFERROR(__xludf.DUMMYFUNCTION("""COMPUTED_VALUE"""),"Araguatins")</f>
        <v>Araguatins</v>
      </c>
      <c r="C76" s="168" t="str">
        <f ca="1">IFERROR(__xludf.DUMMYFUNCTION("""COMPUTED_VALUE"""),"A.A. ESC. ESTADUAL ALDINAR GONÇALVES DE CARVALHO")</f>
        <v>A.A. ESC. ESTADUAL ALDINAR GONÇALVES DE CARVALHO</v>
      </c>
      <c r="D76" s="169" t="str">
        <f ca="1">IFERROR(__xludf.DUMMYFUNCTION("""COMPUTED_VALUE"""),"09465471000140")</f>
        <v>09465471000140</v>
      </c>
      <c r="E76" s="170" t="str">
        <f ca="1">IFERROR(__xludf.DUMMYFUNCTION("""COMPUTED_VALUE"""),"001")</f>
        <v>001</v>
      </c>
      <c r="F76" s="170" t="str">
        <f ca="1">IFERROR(__xludf.DUMMYFUNCTION("""COMPUTED_VALUE"""),"1305")</f>
        <v>1305</v>
      </c>
      <c r="G76" s="170" t="str">
        <f ca="1">IFERROR(__xludf.DUMMYFUNCTION("""COMPUTED_VALUE"""),"196657")</f>
        <v>196657</v>
      </c>
      <c r="H76" s="170">
        <f ca="1">IFERROR(__xludf.DUMMYFUNCTION("""COMPUTED_VALUE"""),0)</f>
        <v>0</v>
      </c>
      <c r="I76" s="170">
        <f ca="1">IFERROR(__xludf.DUMMYFUNCTION("""COMPUTED_VALUE"""),0)</f>
        <v>0</v>
      </c>
      <c r="J76" s="170">
        <f ca="1">IFERROR(__xludf.DUMMYFUNCTION("""COMPUTED_VALUE"""),0)</f>
        <v>0</v>
      </c>
      <c r="K76" s="170">
        <f ca="1">IFERROR(__xludf.DUMMYFUNCTION("""COMPUTED_VALUE"""),17234.6)</f>
        <v>17234.599999999999</v>
      </c>
      <c r="L76" s="170">
        <f ca="1">IFERROR(__xludf.DUMMYFUNCTION("""COMPUTED_VALUE"""),0)</f>
        <v>0</v>
      </c>
      <c r="M76" s="170">
        <f ca="1">IFERROR(__xludf.DUMMYFUNCTION("""COMPUTED_VALUE"""),0)</f>
        <v>0</v>
      </c>
      <c r="N76" s="170">
        <f ca="1">IFERROR(__xludf.DUMMYFUNCTION("""COMPUTED_VALUE"""),0)</f>
        <v>0</v>
      </c>
      <c r="O76" s="170">
        <f ca="1">IFERROR(__xludf.DUMMYFUNCTION("""COMPUTED_VALUE"""),0)</f>
        <v>0</v>
      </c>
      <c r="P76" s="170">
        <f ca="1">IFERROR(__xludf.DUMMYFUNCTION("""COMPUTED_VALUE"""),408)</f>
        <v>408</v>
      </c>
      <c r="Q76" s="170">
        <f ca="1">IFERROR(__xludf.DUMMYFUNCTION("""COMPUTED_VALUE"""),0)</f>
        <v>0</v>
      </c>
      <c r="R76" s="170">
        <f ca="1">IFERROR(__xludf.DUMMYFUNCTION("""COMPUTED_VALUE"""),1370)</f>
        <v>1370</v>
      </c>
      <c r="S76" s="170">
        <f ca="1">IFERROR(__xludf.DUMMYFUNCTION("""COMPUTED_VALUE"""),0)</f>
        <v>0</v>
      </c>
      <c r="T76" s="170">
        <f ca="1">IFERROR(__xludf.DUMMYFUNCTION("""COMPUTED_VALUE"""),0)</f>
        <v>0</v>
      </c>
      <c r="U76" s="170">
        <f ca="1"/>
        <v>19012.599999999999</v>
      </c>
    </row>
    <row r="77" spans="1:21" ht="12.75">
      <c r="A77" s="162" t="str">
        <f ca="1">IFERROR(__xludf.DUMMYFUNCTION("""COMPUTED_VALUE"""),"Araguatins")</f>
        <v>Araguatins</v>
      </c>
      <c r="B77" s="162" t="str">
        <f ca="1">IFERROR(__xludf.DUMMYFUNCTION("""COMPUTED_VALUE"""),"Araguatins")</f>
        <v>Araguatins</v>
      </c>
      <c r="C77" s="163" t="str">
        <f ca="1">IFERROR(__xludf.DUMMYFUNCTION("""COMPUTED_VALUE"""),"ASSOC. DE APOIO ESC. EST. FREI SAVINO")</f>
        <v>ASSOC. DE APOIO ESC. EST. FREI SAVINO</v>
      </c>
      <c r="D77" s="164" t="str">
        <f ca="1">IFERROR(__xludf.DUMMYFUNCTION("""COMPUTED_VALUE"""),"01181389000181")</f>
        <v>01181389000181</v>
      </c>
      <c r="E77" s="165" t="str">
        <f ca="1">IFERROR(__xludf.DUMMYFUNCTION("""COMPUTED_VALUE"""),"001")</f>
        <v>001</v>
      </c>
      <c r="F77" s="165" t="str">
        <f ca="1">IFERROR(__xludf.DUMMYFUNCTION("""COMPUTED_VALUE"""),"1305")</f>
        <v>1305</v>
      </c>
      <c r="G77" s="165" t="str">
        <f ca="1">IFERROR(__xludf.DUMMYFUNCTION("""COMPUTED_VALUE"""),"0019437")</f>
        <v>0019437</v>
      </c>
      <c r="H77" s="165">
        <f ca="1">IFERROR(__xludf.DUMMYFUNCTION("""COMPUTED_VALUE"""),0)</f>
        <v>0</v>
      </c>
      <c r="I77" s="165">
        <f ca="1">IFERROR(__xludf.DUMMYFUNCTION("""COMPUTED_VALUE"""),0)</f>
        <v>0</v>
      </c>
      <c r="J77" s="165">
        <f ca="1">IFERROR(__xludf.DUMMYFUNCTION("""COMPUTED_VALUE"""),530)</f>
        <v>530</v>
      </c>
      <c r="K77" s="165">
        <f ca="1">IFERROR(__xludf.DUMMYFUNCTION("""COMPUTED_VALUE"""),0)</f>
        <v>0</v>
      </c>
      <c r="L77" s="165">
        <f ca="1">IFERROR(__xludf.DUMMYFUNCTION("""COMPUTED_VALUE"""),0)</f>
        <v>0</v>
      </c>
      <c r="M77" s="165">
        <f ca="1">IFERROR(__xludf.DUMMYFUNCTION("""COMPUTED_VALUE"""),0)</f>
        <v>0</v>
      </c>
      <c r="N77" s="165">
        <f ca="1">IFERROR(__xludf.DUMMYFUNCTION("""COMPUTED_VALUE"""),0)</f>
        <v>0</v>
      </c>
      <c r="O77" s="165">
        <f ca="1">IFERROR(__xludf.DUMMYFUNCTION("""COMPUTED_VALUE"""),0)</f>
        <v>0</v>
      </c>
      <c r="P77" s="165">
        <f ca="1">IFERROR(__xludf.DUMMYFUNCTION("""COMPUTED_VALUE"""),190.4)</f>
        <v>190.4</v>
      </c>
      <c r="Q77" s="165">
        <f ca="1">IFERROR(__xludf.DUMMYFUNCTION("""COMPUTED_VALUE"""),360)</f>
        <v>360</v>
      </c>
      <c r="R77" s="165">
        <f ca="1">IFERROR(__xludf.DUMMYFUNCTION("""COMPUTED_VALUE"""),0)</f>
        <v>0</v>
      </c>
      <c r="S77" s="165">
        <f ca="1">IFERROR(__xludf.DUMMYFUNCTION("""COMPUTED_VALUE"""),0)</f>
        <v>0</v>
      </c>
      <c r="T77" s="165">
        <f ca="1">IFERROR(__xludf.DUMMYFUNCTION("""COMPUTED_VALUE"""),0)</f>
        <v>0</v>
      </c>
      <c r="U77" s="165">
        <f ca="1"/>
        <v>1080.4000000000001</v>
      </c>
    </row>
    <row r="78" spans="1:21" ht="12.75">
      <c r="A78" s="167" t="str">
        <f ca="1">IFERROR(__xludf.DUMMYFUNCTION("""COMPUTED_VALUE"""),"Araguatins")</f>
        <v>Araguatins</v>
      </c>
      <c r="B78" s="167" t="str">
        <f ca="1">IFERROR(__xludf.DUMMYFUNCTION("""COMPUTED_VALUE"""),"Araguatins")</f>
        <v>Araguatins</v>
      </c>
      <c r="C78" s="168" t="str">
        <f ca="1">IFERROR(__xludf.DUMMYFUNCTION("""COMPUTED_VALUE"""),"ASSOC. APOIO ESC. EST. DENISE GOMIDE AMUI")</f>
        <v>ASSOC. APOIO ESC. EST. DENISE GOMIDE AMUI</v>
      </c>
      <c r="D78" s="169" t="str">
        <f ca="1">IFERROR(__xludf.DUMMYFUNCTION("""COMPUTED_VALUE"""),"01136000000186")</f>
        <v>01136000000186</v>
      </c>
      <c r="E78" s="170" t="str">
        <f ca="1">IFERROR(__xludf.DUMMYFUNCTION("""COMPUTED_VALUE"""),"001")</f>
        <v>001</v>
      </c>
      <c r="F78" s="170" t="str">
        <f ca="1">IFERROR(__xludf.DUMMYFUNCTION("""COMPUTED_VALUE"""),"1305")</f>
        <v>1305</v>
      </c>
      <c r="G78" s="170" t="str">
        <f ca="1">IFERROR(__xludf.DUMMYFUNCTION("""COMPUTED_VALUE"""),"0109223")</f>
        <v>0109223</v>
      </c>
      <c r="H78" s="170">
        <f ca="1">IFERROR(__xludf.DUMMYFUNCTION("""COMPUTED_VALUE"""),0)</f>
        <v>0</v>
      </c>
      <c r="I78" s="170">
        <f ca="1">IFERROR(__xludf.DUMMYFUNCTION("""COMPUTED_VALUE"""),0)</f>
        <v>0</v>
      </c>
      <c r="J78" s="170">
        <f ca="1">IFERROR(__xludf.DUMMYFUNCTION("""COMPUTED_VALUE"""),0)</f>
        <v>0</v>
      </c>
      <c r="K78" s="170">
        <f ca="1">IFERROR(__xludf.DUMMYFUNCTION("""COMPUTED_VALUE"""),0)</f>
        <v>0</v>
      </c>
      <c r="L78" s="170">
        <f ca="1">IFERROR(__xludf.DUMMYFUNCTION("""COMPUTED_VALUE"""),0)</f>
        <v>0</v>
      </c>
      <c r="M78" s="170">
        <f ca="1">IFERROR(__xludf.DUMMYFUNCTION("""COMPUTED_VALUE"""),0)</f>
        <v>0</v>
      </c>
      <c r="N78" s="170">
        <f ca="1">IFERROR(__xludf.DUMMYFUNCTION("""COMPUTED_VALUE"""),0)</f>
        <v>0</v>
      </c>
      <c r="O78" s="170">
        <f ca="1">IFERROR(__xludf.DUMMYFUNCTION("""COMPUTED_VALUE"""),0)</f>
        <v>0</v>
      </c>
      <c r="P78" s="170">
        <f ca="1">IFERROR(__xludf.DUMMYFUNCTION("""COMPUTED_VALUE"""),149.6)</f>
        <v>149.6</v>
      </c>
      <c r="Q78" s="170">
        <f ca="1">IFERROR(__xludf.DUMMYFUNCTION("""COMPUTED_VALUE"""),6020)</f>
        <v>6020</v>
      </c>
      <c r="R78" s="170">
        <f ca="1">IFERROR(__xludf.DUMMYFUNCTION("""COMPUTED_VALUE"""),0)</f>
        <v>0</v>
      </c>
      <c r="S78" s="170">
        <f ca="1">IFERROR(__xludf.DUMMYFUNCTION("""COMPUTED_VALUE"""),0)</f>
        <v>0</v>
      </c>
      <c r="T78" s="170">
        <f ca="1">IFERROR(__xludf.DUMMYFUNCTION("""COMPUTED_VALUE"""),0)</f>
        <v>0</v>
      </c>
      <c r="U78" s="170">
        <f ca="1"/>
        <v>6169.6</v>
      </c>
    </row>
    <row r="79" spans="1:21" ht="12.75">
      <c r="A79" s="162" t="str">
        <f ca="1">IFERROR(__xludf.DUMMYFUNCTION("""COMPUTED_VALUE"""),"Araguatins")</f>
        <v>Araguatins</v>
      </c>
      <c r="B79" s="162" t="str">
        <f ca="1">IFERROR(__xludf.DUMMYFUNCTION("""COMPUTED_VALUE"""),"Araguatins")</f>
        <v>Araguatins</v>
      </c>
      <c r="C79" s="163" t="str">
        <f ca="1">IFERROR(__xludf.DUMMYFUNCTION("""COMPUTED_VALUE"""),"A.A.  A ESC. EST. SANTA GERTRUDES")</f>
        <v>A.A.  A ESC. EST. SANTA GERTRUDES</v>
      </c>
      <c r="D79" s="164" t="str">
        <f ca="1">IFERROR(__xludf.DUMMYFUNCTION("""COMPUTED_VALUE"""),"03713455000142")</f>
        <v>03713455000142</v>
      </c>
      <c r="E79" s="165" t="str">
        <f ca="1">IFERROR(__xludf.DUMMYFUNCTION("""COMPUTED_VALUE"""),"001")</f>
        <v>001</v>
      </c>
      <c r="F79" s="165" t="str">
        <f ca="1">IFERROR(__xludf.DUMMYFUNCTION("""COMPUTED_VALUE"""),"1305")</f>
        <v>1305</v>
      </c>
      <c r="G79" s="165" t="str">
        <f ca="1">IFERROR(__xludf.DUMMYFUNCTION("""COMPUTED_VALUE"""),"78271")</f>
        <v>78271</v>
      </c>
      <c r="H79" s="165">
        <f ca="1">IFERROR(__xludf.DUMMYFUNCTION("""COMPUTED_VALUE"""),0)</f>
        <v>0</v>
      </c>
      <c r="I79" s="165">
        <f ca="1">IFERROR(__xludf.DUMMYFUNCTION("""COMPUTED_VALUE"""),0)</f>
        <v>0</v>
      </c>
      <c r="J79" s="165">
        <f ca="1">IFERROR(__xludf.DUMMYFUNCTION("""COMPUTED_VALUE"""),950)</f>
        <v>950</v>
      </c>
      <c r="K79" s="165">
        <f ca="1">IFERROR(__xludf.DUMMYFUNCTION("""COMPUTED_VALUE"""),0)</f>
        <v>0</v>
      </c>
      <c r="L79" s="165">
        <f ca="1">IFERROR(__xludf.DUMMYFUNCTION("""COMPUTED_VALUE"""),0)</f>
        <v>0</v>
      </c>
      <c r="M79" s="165">
        <f ca="1">IFERROR(__xludf.DUMMYFUNCTION("""COMPUTED_VALUE"""),0)</f>
        <v>0</v>
      </c>
      <c r="N79" s="165">
        <f ca="1">IFERROR(__xludf.DUMMYFUNCTION("""COMPUTED_VALUE"""),0)</f>
        <v>0</v>
      </c>
      <c r="O79" s="165">
        <f ca="1">IFERROR(__xludf.DUMMYFUNCTION("""COMPUTED_VALUE"""),0)</f>
        <v>0</v>
      </c>
      <c r="P79" s="165">
        <f ca="1">IFERROR(__xludf.DUMMYFUNCTION("""COMPUTED_VALUE"""),204)</f>
        <v>204</v>
      </c>
      <c r="Q79" s="165">
        <f ca="1">IFERROR(__xludf.DUMMYFUNCTION("""COMPUTED_VALUE"""),520)</f>
        <v>520</v>
      </c>
      <c r="R79" s="165">
        <f ca="1">IFERROR(__xludf.DUMMYFUNCTION("""COMPUTED_VALUE"""),0)</f>
        <v>0</v>
      </c>
      <c r="S79" s="165">
        <f ca="1">IFERROR(__xludf.DUMMYFUNCTION("""COMPUTED_VALUE"""),0)</f>
        <v>0</v>
      </c>
      <c r="T79" s="165">
        <f ca="1">IFERROR(__xludf.DUMMYFUNCTION("""COMPUTED_VALUE"""),0)</f>
        <v>0</v>
      </c>
      <c r="U79" s="165">
        <f ca="1"/>
        <v>1674</v>
      </c>
    </row>
    <row r="80" spans="1:21" ht="12.75">
      <c r="A80" s="167" t="str">
        <f ca="1">IFERROR(__xludf.DUMMYFUNCTION("""COMPUTED_VALUE"""),"Araguatins")</f>
        <v>Araguatins</v>
      </c>
      <c r="B80" s="167" t="str">
        <f ca="1">IFERROR(__xludf.DUMMYFUNCTION("""COMPUTED_VALUE"""),"Araguatins")</f>
        <v>Araguatins</v>
      </c>
      <c r="C80" s="168" t="str">
        <f ca="1">IFERROR(__xludf.DUMMYFUNCTION("""COMPUTED_VALUE"""),"A.A.  A ESCOLA ISOLADA BOA SORTE")</f>
        <v>A.A.  A ESCOLA ISOLADA BOA SORTE</v>
      </c>
      <c r="D80" s="169" t="str">
        <f ca="1">IFERROR(__xludf.DUMMYFUNCTION("""COMPUTED_VALUE"""),"03765304000138")</f>
        <v>03765304000138</v>
      </c>
      <c r="E80" s="170" t="str">
        <f ca="1">IFERROR(__xludf.DUMMYFUNCTION("""COMPUTED_VALUE"""),"001")</f>
        <v>001</v>
      </c>
      <c r="F80" s="170" t="str">
        <f ca="1">IFERROR(__xludf.DUMMYFUNCTION("""COMPUTED_VALUE"""),"1305")</f>
        <v>1305</v>
      </c>
      <c r="G80" s="170" t="str">
        <f ca="1">IFERROR(__xludf.DUMMYFUNCTION("""COMPUTED_VALUE"""),"78964")</f>
        <v>78964</v>
      </c>
      <c r="H80" s="170">
        <f ca="1">IFERROR(__xludf.DUMMYFUNCTION("""COMPUTED_VALUE"""),0)</f>
        <v>0</v>
      </c>
      <c r="I80" s="170">
        <f ca="1">IFERROR(__xludf.DUMMYFUNCTION("""COMPUTED_VALUE"""),0)</f>
        <v>0</v>
      </c>
      <c r="J80" s="170">
        <f ca="1">IFERROR(__xludf.DUMMYFUNCTION("""COMPUTED_VALUE"""),570)</f>
        <v>570</v>
      </c>
      <c r="K80" s="170">
        <f ca="1">IFERROR(__xludf.DUMMYFUNCTION("""COMPUTED_VALUE"""),0)</f>
        <v>0</v>
      </c>
      <c r="L80" s="170">
        <f ca="1">IFERROR(__xludf.DUMMYFUNCTION("""COMPUTED_VALUE"""),0)</f>
        <v>0</v>
      </c>
      <c r="M80" s="170">
        <f ca="1">IFERROR(__xludf.DUMMYFUNCTION("""COMPUTED_VALUE"""),0)</f>
        <v>0</v>
      </c>
      <c r="N80" s="170">
        <f ca="1">IFERROR(__xludf.DUMMYFUNCTION("""COMPUTED_VALUE"""),0)</f>
        <v>0</v>
      </c>
      <c r="O80" s="170">
        <f ca="1">IFERROR(__xludf.DUMMYFUNCTION("""COMPUTED_VALUE"""),0)</f>
        <v>0</v>
      </c>
      <c r="P80" s="170">
        <f ca="1">IFERROR(__xludf.DUMMYFUNCTION("""COMPUTED_VALUE"""),108.8)</f>
        <v>108.8</v>
      </c>
      <c r="Q80" s="170">
        <f ca="1">IFERROR(__xludf.DUMMYFUNCTION("""COMPUTED_VALUE"""),310)</f>
        <v>310</v>
      </c>
      <c r="R80" s="170">
        <f ca="1">IFERROR(__xludf.DUMMYFUNCTION("""COMPUTED_VALUE"""),0)</f>
        <v>0</v>
      </c>
      <c r="S80" s="170">
        <f ca="1">IFERROR(__xludf.DUMMYFUNCTION("""COMPUTED_VALUE"""),0)</f>
        <v>0</v>
      </c>
      <c r="T80" s="170">
        <f ca="1">IFERROR(__xludf.DUMMYFUNCTION("""COMPUTED_VALUE"""),49.1999999999999)</f>
        <v>49.199999999999903</v>
      </c>
      <c r="U80" s="170">
        <f ca="1"/>
        <v>1037.9999999999998</v>
      </c>
    </row>
    <row r="81" spans="1:21" ht="12.75">
      <c r="A81" s="162" t="str">
        <f ca="1">IFERROR(__xludf.DUMMYFUNCTION("""COMPUTED_VALUE"""),"Araguatins")</f>
        <v>Araguatins</v>
      </c>
      <c r="B81" s="162" t="str">
        <f ca="1">IFERROR(__xludf.DUMMYFUNCTION("""COMPUTED_VALUE"""),"Augustinopolis")</f>
        <v>Augustinopolis</v>
      </c>
      <c r="C81" s="163" t="str">
        <f ca="1">IFERROR(__xludf.DUMMYFUNCTION("""COMPUTED_VALUE"""),"A.A. CENTRO EST. DE EDUCACAO LA SALLE")</f>
        <v>A.A. CENTRO EST. DE EDUCACAO LA SALLE</v>
      </c>
      <c r="D81" s="164" t="str">
        <f ca="1">IFERROR(__xludf.DUMMYFUNCTION("""COMPUTED_VALUE"""),"01223753000129")</f>
        <v>01223753000129</v>
      </c>
      <c r="E81" s="165" t="str">
        <f ca="1">IFERROR(__xludf.DUMMYFUNCTION("""COMPUTED_VALUE"""),"001")</f>
        <v>001</v>
      </c>
      <c r="F81" s="165" t="str">
        <f ca="1">IFERROR(__xludf.DUMMYFUNCTION("""COMPUTED_VALUE"""),"3975")</f>
        <v>3975</v>
      </c>
      <c r="G81" s="165" t="str">
        <f ca="1">IFERROR(__xludf.DUMMYFUNCTION("""COMPUTED_VALUE"""),"19216")</f>
        <v>19216</v>
      </c>
      <c r="H81" s="165">
        <f ca="1">IFERROR(__xludf.DUMMYFUNCTION("""COMPUTED_VALUE"""),0)</f>
        <v>0</v>
      </c>
      <c r="I81" s="165">
        <f ca="1">IFERROR(__xludf.DUMMYFUNCTION("""COMPUTED_VALUE"""),0)</f>
        <v>0</v>
      </c>
      <c r="J81" s="165">
        <f ca="1">IFERROR(__xludf.DUMMYFUNCTION("""COMPUTED_VALUE"""),4930)</f>
        <v>4930</v>
      </c>
      <c r="K81" s="165">
        <f ca="1">IFERROR(__xludf.DUMMYFUNCTION("""COMPUTED_VALUE"""),0)</f>
        <v>0</v>
      </c>
      <c r="L81" s="165">
        <f ca="1">IFERROR(__xludf.DUMMYFUNCTION("""COMPUTED_VALUE"""),0)</f>
        <v>0</v>
      </c>
      <c r="M81" s="165">
        <f ca="1">IFERROR(__xludf.DUMMYFUNCTION("""COMPUTED_VALUE"""),0)</f>
        <v>0</v>
      </c>
      <c r="N81" s="165">
        <f ca="1">IFERROR(__xludf.DUMMYFUNCTION("""COMPUTED_VALUE"""),0)</f>
        <v>0</v>
      </c>
      <c r="O81" s="165">
        <f ca="1">IFERROR(__xludf.DUMMYFUNCTION("""COMPUTED_VALUE"""),0)</f>
        <v>0</v>
      </c>
      <c r="P81" s="165">
        <f ca="1">IFERROR(__xludf.DUMMYFUNCTION("""COMPUTED_VALUE"""),544)</f>
        <v>544</v>
      </c>
      <c r="Q81" s="165">
        <f ca="1">IFERROR(__xludf.DUMMYFUNCTION("""COMPUTED_VALUE"""),2200)</f>
        <v>2200</v>
      </c>
      <c r="R81" s="165">
        <f ca="1">IFERROR(__xludf.DUMMYFUNCTION("""COMPUTED_VALUE"""),0)</f>
        <v>0</v>
      </c>
      <c r="S81" s="165">
        <f ca="1">IFERROR(__xludf.DUMMYFUNCTION("""COMPUTED_VALUE"""),0)</f>
        <v>0</v>
      </c>
      <c r="T81" s="165">
        <f ca="1">IFERROR(__xludf.DUMMYFUNCTION("""COMPUTED_VALUE"""),0)</f>
        <v>0</v>
      </c>
      <c r="U81" s="165">
        <f ca="1"/>
        <v>7674</v>
      </c>
    </row>
    <row r="82" spans="1:21" ht="12.75">
      <c r="A82" s="167" t="str">
        <f ca="1">IFERROR(__xludf.DUMMYFUNCTION("""COMPUTED_VALUE"""),"Araguatins")</f>
        <v>Araguatins</v>
      </c>
      <c r="B82" s="167" t="str">
        <f ca="1">IFERROR(__xludf.DUMMYFUNCTION("""COMPUTED_VALUE"""),"Augustinopolis")</f>
        <v>Augustinopolis</v>
      </c>
      <c r="C82" s="168" t="str">
        <f ca="1">IFERROR(__xludf.DUMMYFUNCTION("""COMPUTED_VALUE"""),"ASSOC. DE APOIO COL. EST. MANOEL VICENTE SOUZA")</f>
        <v>ASSOC. DE APOIO COL. EST. MANOEL VICENTE SOUZA</v>
      </c>
      <c r="D82" s="169" t="str">
        <f ca="1">IFERROR(__xludf.DUMMYFUNCTION("""COMPUTED_VALUE"""),"01223642000112")</f>
        <v>01223642000112</v>
      </c>
      <c r="E82" s="170" t="str">
        <f ca="1">IFERROR(__xludf.DUMMYFUNCTION("""COMPUTED_VALUE"""),"001")</f>
        <v>001</v>
      </c>
      <c r="F82" s="170" t="str">
        <f ca="1">IFERROR(__xludf.DUMMYFUNCTION("""COMPUTED_VALUE"""),"3975")</f>
        <v>3975</v>
      </c>
      <c r="G82" s="170" t="str">
        <f ca="1">IFERROR(__xludf.DUMMYFUNCTION("""COMPUTED_VALUE"""),"139297")</f>
        <v>139297</v>
      </c>
      <c r="H82" s="170">
        <f ca="1">IFERROR(__xludf.DUMMYFUNCTION("""COMPUTED_VALUE"""),0)</f>
        <v>0</v>
      </c>
      <c r="I82" s="170">
        <f ca="1">IFERROR(__xludf.DUMMYFUNCTION("""COMPUTED_VALUE"""),0)</f>
        <v>0</v>
      </c>
      <c r="J82" s="170">
        <f ca="1">IFERROR(__xludf.DUMMYFUNCTION("""COMPUTED_VALUE"""),0)</f>
        <v>0</v>
      </c>
      <c r="K82" s="170">
        <f ca="1">IFERROR(__xludf.DUMMYFUNCTION("""COMPUTED_VALUE"""),0)</f>
        <v>0</v>
      </c>
      <c r="L82" s="170">
        <f ca="1">IFERROR(__xludf.DUMMYFUNCTION("""COMPUTED_VALUE"""),0)</f>
        <v>0</v>
      </c>
      <c r="M82" s="170">
        <f ca="1">IFERROR(__xludf.DUMMYFUNCTION("""COMPUTED_VALUE"""),0)</f>
        <v>0</v>
      </c>
      <c r="N82" s="170">
        <f ca="1">IFERROR(__xludf.DUMMYFUNCTION("""COMPUTED_VALUE"""),0)</f>
        <v>0</v>
      </c>
      <c r="O82" s="170">
        <f ca="1">IFERROR(__xludf.DUMMYFUNCTION("""COMPUTED_VALUE"""),0)</f>
        <v>0</v>
      </c>
      <c r="P82" s="170">
        <f ca="1">IFERROR(__xludf.DUMMYFUNCTION("""COMPUTED_VALUE"""),0)</f>
        <v>0</v>
      </c>
      <c r="Q82" s="170">
        <f ca="1">IFERROR(__xludf.DUMMYFUNCTION("""COMPUTED_VALUE"""),1210)</f>
        <v>1210</v>
      </c>
      <c r="R82" s="170">
        <f ca="1">IFERROR(__xludf.DUMMYFUNCTION("""COMPUTED_VALUE"""),0)</f>
        <v>0</v>
      </c>
      <c r="S82" s="170">
        <f ca="1">IFERROR(__xludf.DUMMYFUNCTION("""COMPUTED_VALUE"""),15155.2)</f>
        <v>15155.2</v>
      </c>
      <c r="T82" s="170">
        <f ca="1">IFERROR(__xludf.DUMMYFUNCTION("""COMPUTED_VALUE"""),0)</f>
        <v>0</v>
      </c>
      <c r="U82" s="170">
        <f ca="1"/>
        <v>16365.2</v>
      </c>
    </row>
    <row r="83" spans="1:21" ht="12.75">
      <c r="A83" s="162" t="str">
        <f ca="1">IFERROR(__xludf.DUMMYFUNCTION("""COMPUTED_VALUE"""),"Araguatins")</f>
        <v>Araguatins</v>
      </c>
      <c r="B83" s="162" t="str">
        <f ca="1">IFERROR(__xludf.DUMMYFUNCTION("""COMPUTED_VALUE"""),"Augustinopolis")</f>
        <v>Augustinopolis</v>
      </c>
      <c r="C83" s="163" t="str">
        <f ca="1">IFERROR(__xludf.DUMMYFUNCTION("""COMPUTED_VALUE"""),"A.A. ESCOLA ESTADUAL AUGUSTINOPOLIS")</f>
        <v>A.A. ESCOLA ESTADUAL AUGUSTINOPOLIS</v>
      </c>
      <c r="D83" s="164" t="str">
        <f ca="1">IFERROR(__xludf.DUMMYFUNCTION("""COMPUTED_VALUE"""),"01133692000109")</f>
        <v>01133692000109</v>
      </c>
      <c r="E83" s="165" t="str">
        <f ca="1">IFERROR(__xludf.DUMMYFUNCTION("""COMPUTED_VALUE"""),"001")</f>
        <v>001</v>
      </c>
      <c r="F83" s="165" t="str">
        <f ca="1">IFERROR(__xludf.DUMMYFUNCTION("""COMPUTED_VALUE"""),"3975")</f>
        <v>3975</v>
      </c>
      <c r="G83" s="165" t="str">
        <f ca="1">IFERROR(__xludf.DUMMYFUNCTION("""COMPUTED_VALUE"""),"019151")</f>
        <v>019151</v>
      </c>
      <c r="H83" s="165">
        <f ca="1">IFERROR(__xludf.DUMMYFUNCTION("""COMPUTED_VALUE"""),0)</f>
        <v>0</v>
      </c>
      <c r="I83" s="165">
        <f ca="1">IFERROR(__xludf.DUMMYFUNCTION("""COMPUTED_VALUE"""),0)</f>
        <v>0</v>
      </c>
      <c r="J83" s="165">
        <f ca="1">IFERROR(__xludf.DUMMYFUNCTION("""COMPUTED_VALUE"""),0)</f>
        <v>0</v>
      </c>
      <c r="K83" s="165">
        <f ca="1">IFERROR(__xludf.DUMMYFUNCTION("""COMPUTED_VALUE"""),8631)</f>
        <v>8631</v>
      </c>
      <c r="L83" s="165">
        <f ca="1">IFERROR(__xludf.DUMMYFUNCTION("""COMPUTED_VALUE"""),0)</f>
        <v>0</v>
      </c>
      <c r="M83" s="165">
        <f ca="1">IFERROR(__xludf.DUMMYFUNCTION("""COMPUTED_VALUE"""),0)</f>
        <v>0</v>
      </c>
      <c r="N83" s="165">
        <f ca="1">IFERROR(__xludf.DUMMYFUNCTION("""COMPUTED_VALUE"""),0)</f>
        <v>0</v>
      </c>
      <c r="O83" s="165">
        <f ca="1">IFERROR(__xludf.DUMMYFUNCTION("""COMPUTED_VALUE"""),0)</f>
        <v>0</v>
      </c>
      <c r="P83" s="165">
        <f ca="1">IFERROR(__xludf.DUMMYFUNCTION("""COMPUTED_VALUE"""),176.799999999999)</f>
        <v>176.79999999999899</v>
      </c>
      <c r="Q83" s="165">
        <f ca="1">IFERROR(__xludf.DUMMYFUNCTION("""COMPUTED_VALUE"""),0)</f>
        <v>0</v>
      </c>
      <c r="R83" s="165">
        <f ca="1">IFERROR(__xludf.DUMMYFUNCTION("""COMPUTED_VALUE"""),0)</f>
        <v>0</v>
      </c>
      <c r="S83" s="165">
        <f ca="1">IFERROR(__xludf.DUMMYFUNCTION("""COMPUTED_VALUE"""),0)</f>
        <v>0</v>
      </c>
      <c r="T83" s="165">
        <f ca="1">IFERROR(__xludf.DUMMYFUNCTION("""COMPUTED_VALUE"""),0)</f>
        <v>0</v>
      </c>
      <c r="U83" s="165">
        <f ca="1"/>
        <v>8807.7999999999993</v>
      </c>
    </row>
    <row r="84" spans="1:21" ht="12.75">
      <c r="A84" s="167" t="str">
        <f ca="1">IFERROR(__xludf.DUMMYFUNCTION("""COMPUTED_VALUE"""),"Araguatins")</f>
        <v>Araguatins</v>
      </c>
      <c r="B84" s="167" t="str">
        <f ca="1">IFERROR(__xludf.DUMMYFUNCTION("""COMPUTED_VALUE"""),"Augustinopolis")</f>
        <v>Augustinopolis</v>
      </c>
      <c r="C84" s="168" t="str">
        <f ca="1">IFERROR(__xludf.DUMMYFUNCTION("""COMPUTED_VALUE"""),"ASSOC. DE AP.ESC. EST. FAZ.DEZESSEIS")</f>
        <v>ASSOC. DE AP.ESC. EST. FAZ.DEZESSEIS</v>
      </c>
      <c r="D84" s="169" t="str">
        <f ca="1">IFERROR(__xludf.DUMMYFUNCTION("""COMPUTED_VALUE"""),"01133695000142")</f>
        <v>01133695000142</v>
      </c>
      <c r="E84" s="170" t="str">
        <f ca="1">IFERROR(__xludf.DUMMYFUNCTION("""COMPUTED_VALUE"""),"001")</f>
        <v>001</v>
      </c>
      <c r="F84" s="170" t="str">
        <f ca="1">IFERROR(__xludf.DUMMYFUNCTION("""COMPUTED_VALUE"""),"3975")</f>
        <v>3975</v>
      </c>
      <c r="G84" s="170" t="str">
        <f ca="1">IFERROR(__xludf.DUMMYFUNCTION("""COMPUTED_VALUE"""),"0019615")</f>
        <v>0019615</v>
      </c>
      <c r="H84" s="170">
        <f ca="1">IFERROR(__xludf.DUMMYFUNCTION("""COMPUTED_VALUE"""),0)</f>
        <v>0</v>
      </c>
      <c r="I84" s="170">
        <f ca="1">IFERROR(__xludf.DUMMYFUNCTION("""COMPUTED_VALUE"""),0)</f>
        <v>0</v>
      </c>
      <c r="J84" s="170">
        <f ca="1">IFERROR(__xludf.DUMMYFUNCTION("""COMPUTED_VALUE"""),1040)</f>
        <v>1040</v>
      </c>
      <c r="K84" s="170">
        <f ca="1">IFERROR(__xludf.DUMMYFUNCTION("""COMPUTED_VALUE"""),0)</f>
        <v>0</v>
      </c>
      <c r="L84" s="170">
        <f ca="1">IFERROR(__xludf.DUMMYFUNCTION("""COMPUTED_VALUE"""),0)</f>
        <v>0</v>
      </c>
      <c r="M84" s="170">
        <f ca="1">IFERROR(__xludf.DUMMYFUNCTION("""COMPUTED_VALUE"""),0)</f>
        <v>0</v>
      </c>
      <c r="N84" s="170">
        <f ca="1">IFERROR(__xludf.DUMMYFUNCTION("""COMPUTED_VALUE"""),0)</f>
        <v>0</v>
      </c>
      <c r="O84" s="170">
        <f ca="1">IFERROR(__xludf.DUMMYFUNCTION("""COMPUTED_VALUE"""),0)</f>
        <v>0</v>
      </c>
      <c r="P84" s="170">
        <f ca="1">IFERROR(__xludf.DUMMYFUNCTION("""COMPUTED_VALUE"""),95.2)</f>
        <v>95.2</v>
      </c>
      <c r="Q84" s="170">
        <f ca="1">IFERROR(__xludf.DUMMYFUNCTION("""COMPUTED_VALUE"""),440)</f>
        <v>440</v>
      </c>
      <c r="R84" s="170">
        <f ca="1">IFERROR(__xludf.DUMMYFUNCTION("""COMPUTED_VALUE"""),0)</f>
        <v>0</v>
      </c>
      <c r="S84" s="170">
        <f ca="1">IFERROR(__xludf.DUMMYFUNCTION("""COMPUTED_VALUE"""),0)</f>
        <v>0</v>
      </c>
      <c r="T84" s="170">
        <f ca="1">IFERROR(__xludf.DUMMYFUNCTION("""COMPUTED_VALUE"""),1221.8)</f>
        <v>1221.8</v>
      </c>
      <c r="U84" s="170">
        <f ca="1"/>
        <v>2797</v>
      </c>
    </row>
    <row r="85" spans="1:21" ht="12.75">
      <c r="A85" s="162" t="str">
        <f ca="1">IFERROR(__xludf.DUMMYFUNCTION("""COMPUTED_VALUE"""),"Araguatins")</f>
        <v>Araguatins</v>
      </c>
      <c r="B85" s="162" t="str">
        <f ca="1">IFERROR(__xludf.DUMMYFUNCTION("""COMPUTED_VALUE"""),"Augustinopolis")</f>
        <v>Augustinopolis</v>
      </c>
      <c r="C85" s="163" t="str">
        <f ca="1">IFERROR(__xludf.DUMMYFUNCTION("""COMPUTED_VALUE"""),"A.A. DA ESCOLA EST. SANTA GENOVEVA")</f>
        <v>A.A. DA ESCOLA EST. SANTA GENOVEVA</v>
      </c>
      <c r="D85" s="164" t="str">
        <f ca="1">IFERROR(__xludf.DUMMYFUNCTION("""COMPUTED_VALUE"""),"01068357000174")</f>
        <v>01068357000174</v>
      </c>
      <c r="E85" s="165" t="str">
        <f ca="1">IFERROR(__xludf.DUMMYFUNCTION("""COMPUTED_VALUE"""),"001")</f>
        <v>001</v>
      </c>
      <c r="F85" s="165" t="str">
        <f ca="1">IFERROR(__xludf.DUMMYFUNCTION("""COMPUTED_VALUE"""),"3975")</f>
        <v>3975</v>
      </c>
      <c r="G85" s="165" t="str">
        <f ca="1">IFERROR(__xludf.DUMMYFUNCTION("""COMPUTED_VALUE"""),"0019461")</f>
        <v>0019461</v>
      </c>
      <c r="H85" s="165">
        <f ca="1">IFERROR(__xludf.DUMMYFUNCTION("""COMPUTED_VALUE"""),0)</f>
        <v>0</v>
      </c>
      <c r="I85" s="165">
        <f ca="1">IFERROR(__xludf.DUMMYFUNCTION("""COMPUTED_VALUE"""),0)</f>
        <v>0</v>
      </c>
      <c r="J85" s="165">
        <f ca="1">IFERROR(__xludf.DUMMYFUNCTION("""COMPUTED_VALUE"""),5340)</f>
        <v>5340</v>
      </c>
      <c r="K85" s="165">
        <f ca="1">IFERROR(__xludf.DUMMYFUNCTION("""COMPUTED_VALUE"""),0)</f>
        <v>0</v>
      </c>
      <c r="L85" s="165">
        <f ca="1">IFERROR(__xludf.DUMMYFUNCTION("""COMPUTED_VALUE"""),0)</f>
        <v>0</v>
      </c>
      <c r="M85" s="165">
        <f ca="1">IFERROR(__xludf.DUMMYFUNCTION("""COMPUTED_VALUE"""),0)</f>
        <v>0</v>
      </c>
      <c r="N85" s="165">
        <f ca="1">IFERROR(__xludf.DUMMYFUNCTION("""COMPUTED_VALUE"""),0)</f>
        <v>0</v>
      </c>
      <c r="O85" s="165">
        <f ca="1">IFERROR(__xludf.DUMMYFUNCTION("""COMPUTED_VALUE"""),0)</f>
        <v>0</v>
      </c>
      <c r="P85" s="165">
        <f ca="1">IFERROR(__xludf.DUMMYFUNCTION("""COMPUTED_VALUE"""),244.799999999999)</f>
        <v>244.79999999999899</v>
      </c>
      <c r="Q85" s="165">
        <f ca="1">IFERROR(__xludf.DUMMYFUNCTION("""COMPUTED_VALUE"""),1530)</f>
        <v>1530</v>
      </c>
      <c r="R85" s="165">
        <f ca="1">IFERROR(__xludf.DUMMYFUNCTION("""COMPUTED_VALUE"""),0)</f>
        <v>0</v>
      </c>
      <c r="S85" s="165">
        <f ca="1">IFERROR(__xludf.DUMMYFUNCTION("""COMPUTED_VALUE"""),0)</f>
        <v>0</v>
      </c>
      <c r="T85" s="165">
        <f ca="1">IFERROR(__xludf.DUMMYFUNCTION("""COMPUTED_VALUE"""),0)</f>
        <v>0</v>
      </c>
      <c r="U85" s="165">
        <f ca="1"/>
        <v>7114.7999999999993</v>
      </c>
    </row>
    <row r="86" spans="1:21" ht="12.75">
      <c r="A86" s="167" t="str">
        <f ca="1">IFERROR(__xludf.DUMMYFUNCTION("""COMPUTED_VALUE"""),"Araguatins")</f>
        <v>Araguatins</v>
      </c>
      <c r="B86" s="167" t="str">
        <f ca="1">IFERROR(__xludf.DUMMYFUNCTION("""COMPUTED_VALUE"""),"Axixa do Tocantins")</f>
        <v>Axixa do Tocantins</v>
      </c>
      <c r="C86" s="168" t="str">
        <f ca="1">IFERROR(__xludf.DUMMYFUNCTION("""COMPUTED_VALUE"""),"ASSOC. DE APOIO COLÉGIO. EST. MAL. RIBAS JUNIOR")</f>
        <v>ASSOC. DE APOIO COLÉGIO. EST. MAL. RIBAS JUNIOR</v>
      </c>
      <c r="D86" s="169" t="str">
        <f ca="1">IFERROR(__xludf.DUMMYFUNCTION("""COMPUTED_VALUE"""),"01086979000125")</f>
        <v>01086979000125</v>
      </c>
      <c r="E86" s="170" t="str">
        <f ca="1">IFERROR(__xludf.DUMMYFUNCTION("""COMPUTED_VALUE"""),"001")</f>
        <v>001</v>
      </c>
      <c r="F86" s="170" t="str">
        <f ca="1">IFERROR(__xludf.DUMMYFUNCTION("""COMPUTED_VALUE"""),"1305")</f>
        <v>1305</v>
      </c>
      <c r="G86" s="170" t="str">
        <f ca="1">IFERROR(__xludf.DUMMYFUNCTION("""COMPUTED_VALUE"""),"209201")</f>
        <v>209201</v>
      </c>
      <c r="H86" s="170">
        <f ca="1">IFERROR(__xludf.DUMMYFUNCTION("""COMPUTED_VALUE"""),0)</f>
        <v>0</v>
      </c>
      <c r="I86" s="170">
        <f ca="1">IFERROR(__xludf.DUMMYFUNCTION("""COMPUTED_VALUE"""),0)</f>
        <v>0</v>
      </c>
      <c r="J86" s="170">
        <f ca="1">IFERROR(__xludf.DUMMYFUNCTION("""COMPUTED_VALUE"""),0)</f>
        <v>0</v>
      </c>
      <c r="K86" s="170">
        <f ca="1">IFERROR(__xludf.DUMMYFUNCTION("""COMPUTED_VALUE"""),0)</f>
        <v>0</v>
      </c>
      <c r="L86" s="170">
        <f ca="1">IFERROR(__xludf.DUMMYFUNCTION("""COMPUTED_VALUE"""),0)</f>
        <v>0</v>
      </c>
      <c r="M86" s="170">
        <f ca="1">IFERROR(__xludf.DUMMYFUNCTION("""COMPUTED_VALUE"""),0)</f>
        <v>0</v>
      </c>
      <c r="N86" s="170">
        <f ca="1">IFERROR(__xludf.DUMMYFUNCTION("""COMPUTED_VALUE"""),0)</f>
        <v>0</v>
      </c>
      <c r="O86" s="170">
        <f ca="1">IFERROR(__xludf.DUMMYFUNCTION("""COMPUTED_VALUE"""),0)</f>
        <v>0</v>
      </c>
      <c r="P86" s="170">
        <f ca="1">IFERROR(__xludf.DUMMYFUNCTION("""COMPUTED_VALUE"""),176.799999999999)</f>
        <v>176.79999999999899</v>
      </c>
      <c r="Q86" s="170">
        <f ca="1">IFERROR(__xludf.DUMMYFUNCTION("""COMPUTED_VALUE"""),5940)</f>
        <v>5940</v>
      </c>
      <c r="R86" s="170">
        <f ca="1">IFERROR(__xludf.DUMMYFUNCTION("""COMPUTED_VALUE"""),0)</f>
        <v>0</v>
      </c>
      <c r="S86" s="170">
        <f ca="1">IFERROR(__xludf.DUMMYFUNCTION("""COMPUTED_VALUE"""),0)</f>
        <v>0</v>
      </c>
      <c r="T86" s="170">
        <f ca="1">IFERROR(__xludf.DUMMYFUNCTION("""COMPUTED_VALUE"""),0)</f>
        <v>0</v>
      </c>
      <c r="U86" s="170">
        <f ca="1"/>
        <v>6116.7999999999993</v>
      </c>
    </row>
    <row r="87" spans="1:21" ht="12.75">
      <c r="A87" s="162" t="str">
        <f ca="1">IFERROR(__xludf.DUMMYFUNCTION("""COMPUTED_VALUE"""),"Araguatins")</f>
        <v>Araguatins</v>
      </c>
      <c r="B87" s="162" t="str">
        <f ca="1">IFERROR(__xludf.DUMMYFUNCTION("""COMPUTED_VALUE"""),"Axixa do Tocantins")</f>
        <v>Axixa do Tocantins</v>
      </c>
      <c r="C87" s="163" t="str">
        <f ca="1">IFERROR(__xludf.DUMMYFUNCTION("""COMPUTED_VALUE"""),"A.A. ESC. EST. SAO FRANCISCO DE ASSIS")</f>
        <v>A.A. ESC. EST. SAO FRANCISCO DE ASSIS</v>
      </c>
      <c r="D87" s="164" t="str">
        <f ca="1">IFERROR(__xludf.DUMMYFUNCTION("""COMPUTED_VALUE"""),"01086980000150")</f>
        <v>01086980000150</v>
      </c>
      <c r="E87" s="165" t="str">
        <f ca="1">IFERROR(__xludf.DUMMYFUNCTION("""COMPUTED_VALUE"""),"001")</f>
        <v>001</v>
      </c>
      <c r="F87" s="165" t="str">
        <f ca="1">IFERROR(__xludf.DUMMYFUNCTION("""COMPUTED_VALUE"""),"1305")</f>
        <v>1305</v>
      </c>
      <c r="G87" s="165" t="str">
        <f ca="1">IFERROR(__xludf.DUMMYFUNCTION("""COMPUTED_VALUE"""),"19399")</f>
        <v>19399</v>
      </c>
      <c r="H87" s="165">
        <f ca="1">IFERROR(__xludf.DUMMYFUNCTION("""COMPUTED_VALUE"""),0)</f>
        <v>0</v>
      </c>
      <c r="I87" s="165">
        <f ca="1">IFERROR(__xludf.DUMMYFUNCTION("""COMPUTED_VALUE"""),0)</f>
        <v>0</v>
      </c>
      <c r="J87" s="165">
        <f ca="1">IFERROR(__xludf.DUMMYFUNCTION("""COMPUTED_VALUE"""),2160)</f>
        <v>2160</v>
      </c>
      <c r="K87" s="165">
        <f ca="1">IFERROR(__xludf.DUMMYFUNCTION("""COMPUTED_VALUE"""),0)</f>
        <v>0</v>
      </c>
      <c r="L87" s="165">
        <f ca="1">IFERROR(__xludf.DUMMYFUNCTION("""COMPUTED_VALUE"""),0)</f>
        <v>0</v>
      </c>
      <c r="M87" s="165">
        <f ca="1">IFERROR(__xludf.DUMMYFUNCTION("""COMPUTED_VALUE"""),0)</f>
        <v>0</v>
      </c>
      <c r="N87" s="165">
        <f ca="1">IFERROR(__xludf.DUMMYFUNCTION("""COMPUTED_VALUE"""),0)</f>
        <v>0</v>
      </c>
      <c r="O87" s="165">
        <f ca="1">IFERROR(__xludf.DUMMYFUNCTION("""COMPUTED_VALUE"""),0)</f>
        <v>0</v>
      </c>
      <c r="P87" s="165">
        <f ca="1">IFERROR(__xludf.DUMMYFUNCTION("""COMPUTED_VALUE"""),190.4)</f>
        <v>190.4</v>
      </c>
      <c r="Q87" s="165">
        <f ca="1">IFERROR(__xludf.DUMMYFUNCTION("""COMPUTED_VALUE"""),0)</f>
        <v>0</v>
      </c>
      <c r="R87" s="165">
        <f ca="1">IFERROR(__xludf.DUMMYFUNCTION("""COMPUTED_VALUE"""),0)</f>
        <v>0</v>
      </c>
      <c r="S87" s="165">
        <f ca="1">IFERROR(__xludf.DUMMYFUNCTION("""COMPUTED_VALUE"""),0)</f>
        <v>0</v>
      </c>
      <c r="T87" s="165">
        <f ca="1">IFERROR(__xludf.DUMMYFUNCTION("""COMPUTED_VALUE"""),0)</f>
        <v>0</v>
      </c>
      <c r="U87" s="165">
        <f ca="1"/>
        <v>2350.4</v>
      </c>
    </row>
    <row r="88" spans="1:21" ht="12.75">
      <c r="A88" s="167" t="str">
        <f ca="1">IFERROR(__xludf.DUMMYFUNCTION("""COMPUTED_VALUE"""),"Araguatins")</f>
        <v>Araguatins</v>
      </c>
      <c r="B88" s="167" t="str">
        <f ca="1">IFERROR(__xludf.DUMMYFUNCTION("""COMPUTED_VALUE"""),"Buriti do Tocantins")</f>
        <v>Buriti do Tocantins</v>
      </c>
      <c r="C88" s="168" t="str">
        <f ca="1">IFERROR(__xludf.DUMMYFUNCTION("""COMPUTED_VALUE"""),"A. DE APOIO DO COLEGIO EST. BURITI")</f>
        <v>A. DE APOIO DO COLEGIO EST. BURITI</v>
      </c>
      <c r="D88" s="169" t="str">
        <f ca="1">IFERROR(__xludf.DUMMYFUNCTION("""COMPUTED_VALUE"""),"01206217000115")</f>
        <v>01206217000115</v>
      </c>
      <c r="E88" s="170" t="str">
        <f ca="1">IFERROR(__xludf.DUMMYFUNCTION("""COMPUTED_VALUE"""),"001")</f>
        <v>001</v>
      </c>
      <c r="F88" s="170" t="str">
        <f ca="1">IFERROR(__xludf.DUMMYFUNCTION("""COMPUTED_VALUE"""),"1305")</f>
        <v>1305</v>
      </c>
      <c r="G88" s="170" t="str">
        <f ca="1">IFERROR(__xludf.DUMMYFUNCTION("""COMPUTED_VALUE"""),"209406")</f>
        <v>209406</v>
      </c>
      <c r="H88" s="170">
        <f ca="1">IFERROR(__xludf.DUMMYFUNCTION("""COMPUTED_VALUE"""),0)</f>
        <v>0</v>
      </c>
      <c r="I88" s="170">
        <f ca="1">IFERROR(__xludf.DUMMYFUNCTION("""COMPUTED_VALUE"""),0)</f>
        <v>0</v>
      </c>
      <c r="J88" s="170">
        <f ca="1">IFERROR(__xludf.DUMMYFUNCTION("""COMPUTED_VALUE"""),0)</f>
        <v>0</v>
      </c>
      <c r="K88" s="170">
        <f ca="1">IFERROR(__xludf.DUMMYFUNCTION("""COMPUTED_VALUE"""),0)</f>
        <v>0</v>
      </c>
      <c r="L88" s="170">
        <f ca="1">IFERROR(__xludf.DUMMYFUNCTION("""COMPUTED_VALUE"""),0)</f>
        <v>0</v>
      </c>
      <c r="M88" s="170">
        <f ca="1">IFERROR(__xludf.DUMMYFUNCTION("""COMPUTED_VALUE"""),0)</f>
        <v>0</v>
      </c>
      <c r="N88" s="170">
        <f ca="1">IFERROR(__xludf.DUMMYFUNCTION("""COMPUTED_VALUE"""),0)</f>
        <v>0</v>
      </c>
      <c r="O88" s="170">
        <f ca="1">IFERROR(__xludf.DUMMYFUNCTION("""COMPUTED_VALUE"""),0)</f>
        <v>0</v>
      </c>
      <c r="P88" s="170">
        <f ca="1">IFERROR(__xludf.DUMMYFUNCTION("""COMPUTED_VALUE"""),0)</f>
        <v>0</v>
      </c>
      <c r="Q88" s="170">
        <f ca="1">IFERROR(__xludf.DUMMYFUNCTION("""COMPUTED_VALUE"""),0)</f>
        <v>0</v>
      </c>
      <c r="R88" s="170">
        <f ca="1">IFERROR(__xludf.DUMMYFUNCTION("""COMPUTED_VALUE"""),0)</f>
        <v>0</v>
      </c>
      <c r="S88" s="170">
        <f ca="1">IFERROR(__xludf.DUMMYFUNCTION("""COMPUTED_VALUE"""),8857.6)</f>
        <v>8857.6</v>
      </c>
      <c r="T88" s="170">
        <f ca="1">IFERROR(__xludf.DUMMYFUNCTION("""COMPUTED_VALUE"""),0)</f>
        <v>0</v>
      </c>
      <c r="U88" s="170">
        <f ca="1"/>
        <v>8857.6</v>
      </c>
    </row>
    <row r="89" spans="1:21" ht="12.75">
      <c r="A89" s="162" t="str">
        <f ca="1">IFERROR(__xludf.DUMMYFUNCTION("""COMPUTED_VALUE"""),"Araguatins")</f>
        <v>Araguatins</v>
      </c>
      <c r="B89" s="162" t="str">
        <f ca="1">IFERROR(__xludf.DUMMYFUNCTION("""COMPUTED_VALUE"""),"Buriti do Tocantins")</f>
        <v>Buriti do Tocantins</v>
      </c>
      <c r="C89" s="163" t="str">
        <f ca="1">IFERROR(__xludf.DUMMYFUNCTION("""COMPUTED_VALUE"""),"A.A. DA ESCOLA ESTADUAL DARCYNOPOLIS")</f>
        <v>A.A. DA ESCOLA ESTADUAL DARCYNOPOLIS</v>
      </c>
      <c r="D89" s="164" t="str">
        <f ca="1">IFERROR(__xludf.DUMMYFUNCTION("""COMPUTED_VALUE"""),"01190184000162")</f>
        <v>01190184000162</v>
      </c>
      <c r="E89" s="165" t="str">
        <f ca="1">IFERROR(__xludf.DUMMYFUNCTION("""COMPUTED_VALUE"""),"001")</f>
        <v>001</v>
      </c>
      <c r="F89" s="165" t="str">
        <f ca="1">IFERROR(__xludf.DUMMYFUNCTION("""COMPUTED_VALUE"""),"3975")</f>
        <v>3975</v>
      </c>
      <c r="G89" s="165" t="str">
        <f ca="1">IFERROR(__xludf.DUMMYFUNCTION("""COMPUTED_VALUE"""),"0019275")</f>
        <v>0019275</v>
      </c>
      <c r="H89" s="165">
        <f ca="1">IFERROR(__xludf.DUMMYFUNCTION("""COMPUTED_VALUE"""),0)</f>
        <v>0</v>
      </c>
      <c r="I89" s="165">
        <f ca="1">IFERROR(__xludf.DUMMYFUNCTION("""COMPUTED_VALUE"""),0)</f>
        <v>0</v>
      </c>
      <c r="J89" s="165">
        <f ca="1">IFERROR(__xludf.DUMMYFUNCTION("""COMPUTED_VALUE"""),1000)</f>
        <v>1000</v>
      </c>
      <c r="K89" s="165">
        <f ca="1">IFERROR(__xludf.DUMMYFUNCTION("""COMPUTED_VALUE"""),0)</f>
        <v>0</v>
      </c>
      <c r="L89" s="165">
        <f ca="1">IFERROR(__xludf.DUMMYFUNCTION("""COMPUTED_VALUE"""),0)</f>
        <v>0</v>
      </c>
      <c r="M89" s="165">
        <f ca="1">IFERROR(__xludf.DUMMYFUNCTION("""COMPUTED_VALUE"""),0)</f>
        <v>0</v>
      </c>
      <c r="N89" s="165">
        <f ca="1">IFERROR(__xludf.DUMMYFUNCTION("""COMPUTED_VALUE"""),0)</f>
        <v>0</v>
      </c>
      <c r="O89" s="165">
        <f ca="1">IFERROR(__xludf.DUMMYFUNCTION("""COMPUTED_VALUE"""),0)</f>
        <v>0</v>
      </c>
      <c r="P89" s="165">
        <f ca="1">IFERROR(__xludf.DUMMYFUNCTION("""COMPUTED_VALUE"""),217.6)</f>
        <v>217.6</v>
      </c>
      <c r="Q89" s="165">
        <f ca="1">IFERROR(__xludf.DUMMYFUNCTION("""COMPUTED_VALUE"""),430)</f>
        <v>430</v>
      </c>
      <c r="R89" s="165">
        <f ca="1">IFERROR(__xludf.DUMMYFUNCTION("""COMPUTED_VALUE"""),0)</f>
        <v>0</v>
      </c>
      <c r="S89" s="165">
        <f ca="1">IFERROR(__xludf.DUMMYFUNCTION("""COMPUTED_VALUE"""),0)</f>
        <v>0</v>
      </c>
      <c r="T89" s="165">
        <f ca="1">IFERROR(__xludf.DUMMYFUNCTION("""COMPUTED_VALUE"""),0)</f>
        <v>0</v>
      </c>
      <c r="U89" s="165">
        <f ca="1"/>
        <v>1647.6</v>
      </c>
    </row>
    <row r="90" spans="1:21" ht="12.75">
      <c r="A90" s="167" t="str">
        <f ca="1">IFERROR(__xludf.DUMMYFUNCTION("""COMPUTED_VALUE"""),"Araguatins")</f>
        <v>Araguatins</v>
      </c>
      <c r="B90" s="167" t="str">
        <f ca="1">IFERROR(__xludf.DUMMYFUNCTION("""COMPUTED_VALUE"""),"Buriti do Tocantins")</f>
        <v>Buriti do Tocantins</v>
      </c>
      <c r="C90" s="168" t="str">
        <f ca="1">IFERROR(__xludf.DUMMYFUNCTION("""COMPUTED_VALUE"""),"A.A. ESC. ESTADUAL MINISTRO NEY BRAGA")</f>
        <v>A.A. ESC. ESTADUAL MINISTRO NEY BRAGA</v>
      </c>
      <c r="D90" s="169" t="str">
        <f ca="1">IFERROR(__xludf.DUMMYFUNCTION("""COMPUTED_VALUE"""),"01206220000139")</f>
        <v>01206220000139</v>
      </c>
      <c r="E90" s="170" t="str">
        <f ca="1">IFERROR(__xludf.DUMMYFUNCTION("""COMPUTED_VALUE"""),"001")</f>
        <v>001</v>
      </c>
      <c r="F90" s="170" t="str">
        <f ca="1">IFERROR(__xludf.DUMMYFUNCTION("""COMPUTED_VALUE"""),"1305")</f>
        <v>1305</v>
      </c>
      <c r="G90" s="170" t="str">
        <f ca="1">IFERROR(__xludf.DUMMYFUNCTION("""COMPUTED_VALUE"""),"10941X")</f>
        <v>10941X</v>
      </c>
      <c r="H90" s="170">
        <f ca="1">IFERROR(__xludf.DUMMYFUNCTION("""COMPUTED_VALUE"""),0)</f>
        <v>0</v>
      </c>
      <c r="I90" s="170">
        <f ca="1">IFERROR(__xludf.DUMMYFUNCTION("""COMPUTED_VALUE"""),0)</f>
        <v>0</v>
      </c>
      <c r="J90" s="170">
        <f ca="1">IFERROR(__xludf.DUMMYFUNCTION("""COMPUTED_VALUE"""),550)</f>
        <v>550</v>
      </c>
      <c r="K90" s="170">
        <f ca="1">IFERROR(__xludf.DUMMYFUNCTION("""COMPUTED_VALUE"""),0)</f>
        <v>0</v>
      </c>
      <c r="L90" s="170">
        <f ca="1">IFERROR(__xludf.DUMMYFUNCTION("""COMPUTED_VALUE"""),0)</f>
        <v>0</v>
      </c>
      <c r="M90" s="170">
        <f ca="1">IFERROR(__xludf.DUMMYFUNCTION("""COMPUTED_VALUE"""),0)</f>
        <v>0</v>
      </c>
      <c r="N90" s="170">
        <f ca="1">IFERROR(__xludf.DUMMYFUNCTION("""COMPUTED_VALUE"""),0)</f>
        <v>0</v>
      </c>
      <c r="O90" s="170">
        <f ca="1">IFERROR(__xludf.DUMMYFUNCTION("""COMPUTED_VALUE"""),0)</f>
        <v>0</v>
      </c>
      <c r="P90" s="170">
        <f ca="1">IFERROR(__xludf.DUMMYFUNCTION("""COMPUTED_VALUE"""),176.799999999999)</f>
        <v>176.79999999999899</v>
      </c>
      <c r="Q90" s="170">
        <f ca="1">IFERROR(__xludf.DUMMYFUNCTION("""COMPUTED_VALUE"""),510)</f>
        <v>510</v>
      </c>
      <c r="R90" s="170">
        <f ca="1">IFERROR(__xludf.DUMMYFUNCTION("""COMPUTED_VALUE"""),0)</f>
        <v>0</v>
      </c>
      <c r="S90" s="170">
        <f ca="1">IFERROR(__xludf.DUMMYFUNCTION("""COMPUTED_VALUE"""),0)</f>
        <v>0</v>
      </c>
      <c r="T90" s="170">
        <f ca="1">IFERROR(__xludf.DUMMYFUNCTION("""COMPUTED_VALUE"""),82)</f>
        <v>82</v>
      </c>
      <c r="U90" s="170">
        <f ca="1"/>
        <v>1318.799999999999</v>
      </c>
    </row>
    <row r="91" spans="1:21" ht="12.75">
      <c r="A91" s="162" t="str">
        <f ca="1">IFERROR(__xludf.DUMMYFUNCTION("""COMPUTED_VALUE"""),"Araguatins")</f>
        <v>Araguatins</v>
      </c>
      <c r="B91" s="162" t="str">
        <f ca="1">IFERROR(__xludf.DUMMYFUNCTION("""COMPUTED_VALUE"""),"Buriti do Tocantins")</f>
        <v>Buriti do Tocantins</v>
      </c>
      <c r="C91" s="163" t="str">
        <f ca="1">IFERROR(__xludf.DUMMYFUNCTION("""COMPUTED_VALUE"""),"A.A. ESC. E.PRES.TANCREDO DE A.NEVES")</f>
        <v>A.A. ESC. E.PRES.TANCREDO DE A.NEVES</v>
      </c>
      <c r="D91" s="164" t="str">
        <f ca="1">IFERROR(__xludf.DUMMYFUNCTION("""COMPUTED_VALUE"""),"01112478000176")</f>
        <v>01112478000176</v>
      </c>
      <c r="E91" s="165" t="str">
        <f ca="1">IFERROR(__xludf.DUMMYFUNCTION("""COMPUTED_VALUE"""),"001")</f>
        <v>001</v>
      </c>
      <c r="F91" s="165" t="str">
        <f ca="1">IFERROR(__xludf.DUMMYFUNCTION("""COMPUTED_VALUE"""),"1305")</f>
        <v>1305</v>
      </c>
      <c r="G91" s="165" t="str">
        <f ca="1">IFERROR(__xludf.DUMMYFUNCTION("""COMPUTED_VALUE"""),"10924X")</f>
        <v>10924X</v>
      </c>
      <c r="H91" s="165">
        <f ca="1">IFERROR(__xludf.DUMMYFUNCTION("""COMPUTED_VALUE"""),0)</f>
        <v>0</v>
      </c>
      <c r="I91" s="165">
        <f ca="1">IFERROR(__xludf.DUMMYFUNCTION("""COMPUTED_VALUE"""),0)</f>
        <v>0</v>
      </c>
      <c r="J91" s="165">
        <f ca="1">IFERROR(__xludf.DUMMYFUNCTION("""COMPUTED_VALUE"""),1720)</f>
        <v>1720</v>
      </c>
      <c r="K91" s="165">
        <f ca="1">IFERROR(__xludf.DUMMYFUNCTION("""COMPUTED_VALUE"""),0)</f>
        <v>0</v>
      </c>
      <c r="L91" s="165">
        <f ca="1">IFERROR(__xludf.DUMMYFUNCTION("""COMPUTED_VALUE"""),0)</f>
        <v>0</v>
      </c>
      <c r="M91" s="165">
        <f ca="1">IFERROR(__xludf.DUMMYFUNCTION("""COMPUTED_VALUE"""),0)</f>
        <v>0</v>
      </c>
      <c r="N91" s="165">
        <f ca="1">IFERROR(__xludf.DUMMYFUNCTION("""COMPUTED_VALUE"""),0)</f>
        <v>0</v>
      </c>
      <c r="O91" s="165">
        <f ca="1">IFERROR(__xludf.DUMMYFUNCTION("""COMPUTED_VALUE"""),0)</f>
        <v>0</v>
      </c>
      <c r="P91" s="165">
        <f ca="1">IFERROR(__xludf.DUMMYFUNCTION("""COMPUTED_VALUE"""),489.599999999999)</f>
        <v>489.599999999999</v>
      </c>
      <c r="Q91" s="165">
        <f ca="1">IFERROR(__xludf.DUMMYFUNCTION("""COMPUTED_VALUE"""),0)</f>
        <v>0</v>
      </c>
      <c r="R91" s="165">
        <f ca="1">IFERROR(__xludf.DUMMYFUNCTION("""COMPUTED_VALUE"""),0)</f>
        <v>0</v>
      </c>
      <c r="S91" s="165">
        <f ca="1">IFERROR(__xludf.DUMMYFUNCTION("""COMPUTED_VALUE"""),0)</f>
        <v>0</v>
      </c>
      <c r="T91" s="165">
        <f ca="1">IFERROR(__xludf.DUMMYFUNCTION("""COMPUTED_VALUE"""),0)</f>
        <v>0</v>
      </c>
      <c r="U91" s="165">
        <f ca="1"/>
        <v>2209.599999999999</v>
      </c>
    </row>
    <row r="92" spans="1:21" ht="12.75">
      <c r="A92" s="167" t="str">
        <f ca="1">IFERROR(__xludf.DUMMYFUNCTION("""COMPUTED_VALUE"""),"Araguatins")</f>
        <v>Araguatins</v>
      </c>
      <c r="B92" s="167" t="str">
        <f ca="1">IFERROR(__xludf.DUMMYFUNCTION("""COMPUTED_VALUE"""),"Buriti do Tocantins")</f>
        <v>Buriti do Tocantins</v>
      </c>
      <c r="C92" s="168" t="str">
        <f ca="1">IFERROR(__xludf.DUMMYFUNCTION("""COMPUTED_VALUE"""),"A.A. ESC. EST. VICENTE CARLOS DE SOUSA")</f>
        <v>A.A. ESC. EST. VICENTE CARLOS DE SOUSA</v>
      </c>
      <c r="D92" s="169" t="str">
        <f ca="1">IFERROR(__xludf.DUMMYFUNCTION("""COMPUTED_VALUE"""),"01206288000118")</f>
        <v>01206288000118</v>
      </c>
      <c r="E92" s="170" t="str">
        <f ca="1">IFERROR(__xludf.DUMMYFUNCTION("""COMPUTED_VALUE"""),"001")</f>
        <v>001</v>
      </c>
      <c r="F92" s="170" t="str">
        <f ca="1">IFERROR(__xludf.DUMMYFUNCTION("""COMPUTED_VALUE"""),"1305")</f>
        <v>1305</v>
      </c>
      <c r="G92" s="170" t="str">
        <f ca="1">IFERROR(__xludf.DUMMYFUNCTION("""COMPUTED_VALUE"""),"0109614")</f>
        <v>0109614</v>
      </c>
      <c r="H92" s="170">
        <f ca="1">IFERROR(__xludf.DUMMYFUNCTION("""COMPUTED_VALUE"""),0)</f>
        <v>0</v>
      </c>
      <c r="I92" s="170">
        <f ca="1">IFERROR(__xludf.DUMMYFUNCTION("""COMPUTED_VALUE"""),0)</f>
        <v>0</v>
      </c>
      <c r="J92" s="170">
        <f ca="1">IFERROR(__xludf.DUMMYFUNCTION("""COMPUTED_VALUE"""),3770)</f>
        <v>3770</v>
      </c>
      <c r="K92" s="170">
        <f ca="1">IFERROR(__xludf.DUMMYFUNCTION("""COMPUTED_VALUE"""),0)</f>
        <v>0</v>
      </c>
      <c r="L92" s="170">
        <f ca="1">IFERROR(__xludf.DUMMYFUNCTION("""COMPUTED_VALUE"""),0)</f>
        <v>0</v>
      </c>
      <c r="M92" s="170">
        <f ca="1">IFERROR(__xludf.DUMMYFUNCTION("""COMPUTED_VALUE"""),0)</f>
        <v>0</v>
      </c>
      <c r="N92" s="170">
        <f ca="1">IFERROR(__xludf.DUMMYFUNCTION("""COMPUTED_VALUE"""),0)</f>
        <v>0</v>
      </c>
      <c r="O92" s="170">
        <f ca="1">IFERROR(__xludf.DUMMYFUNCTION("""COMPUTED_VALUE"""),0)</f>
        <v>0</v>
      </c>
      <c r="P92" s="170">
        <f ca="1">IFERROR(__xludf.DUMMYFUNCTION("""COMPUTED_VALUE"""),149.6)</f>
        <v>149.6</v>
      </c>
      <c r="Q92" s="170">
        <f ca="1">IFERROR(__xludf.DUMMYFUNCTION("""COMPUTED_VALUE"""),1180)</f>
        <v>1180</v>
      </c>
      <c r="R92" s="170">
        <f ca="1">IFERROR(__xludf.DUMMYFUNCTION("""COMPUTED_VALUE"""),0)</f>
        <v>0</v>
      </c>
      <c r="S92" s="170">
        <f ca="1">IFERROR(__xludf.DUMMYFUNCTION("""COMPUTED_VALUE"""),0)</f>
        <v>0</v>
      </c>
      <c r="T92" s="170">
        <f ca="1">IFERROR(__xludf.DUMMYFUNCTION("""COMPUTED_VALUE"""),0)</f>
        <v>0</v>
      </c>
      <c r="U92" s="170">
        <f ca="1"/>
        <v>5099.6000000000004</v>
      </c>
    </row>
    <row r="93" spans="1:21" ht="12.75">
      <c r="A93" s="162" t="str">
        <f ca="1">IFERROR(__xludf.DUMMYFUNCTION("""COMPUTED_VALUE"""),"Araguatins")</f>
        <v>Araguatins</v>
      </c>
      <c r="B93" s="162" t="str">
        <f ca="1">IFERROR(__xludf.DUMMYFUNCTION("""COMPUTED_VALUE"""),"Carrasco Bonito")</f>
        <v>Carrasco Bonito</v>
      </c>
      <c r="C93" s="163" t="str">
        <f ca="1">IFERROR(__xludf.DUMMYFUNCTION("""COMPUTED_VALUE"""),"A.A. DA ESC. EST. CICERO GOMES")</f>
        <v>A.A. DA ESC. EST. CICERO GOMES</v>
      </c>
      <c r="D93" s="164" t="str">
        <f ca="1">IFERROR(__xludf.DUMMYFUNCTION("""COMPUTED_VALUE"""),"01068377000145")</f>
        <v>01068377000145</v>
      </c>
      <c r="E93" s="165" t="str">
        <f ca="1">IFERROR(__xludf.DUMMYFUNCTION("""COMPUTED_VALUE"""),"001")</f>
        <v>001</v>
      </c>
      <c r="F93" s="165" t="str">
        <f ca="1">IFERROR(__xludf.DUMMYFUNCTION("""COMPUTED_VALUE"""),"3975")</f>
        <v>3975</v>
      </c>
      <c r="G93" s="165" t="str">
        <f ca="1">IFERROR(__xludf.DUMMYFUNCTION("""COMPUTED_VALUE"""),"19291")</f>
        <v>19291</v>
      </c>
      <c r="H93" s="165">
        <f ca="1">IFERROR(__xludf.DUMMYFUNCTION("""COMPUTED_VALUE"""),0)</f>
        <v>0</v>
      </c>
      <c r="I93" s="165">
        <f ca="1">IFERROR(__xludf.DUMMYFUNCTION("""COMPUTED_VALUE"""),0)</f>
        <v>0</v>
      </c>
      <c r="J93" s="165">
        <f ca="1">IFERROR(__xludf.DUMMYFUNCTION("""COMPUTED_VALUE"""),640)</f>
        <v>640</v>
      </c>
      <c r="K93" s="165">
        <f ca="1">IFERROR(__xludf.DUMMYFUNCTION("""COMPUTED_VALUE"""),0)</f>
        <v>0</v>
      </c>
      <c r="L93" s="165">
        <f ca="1">IFERROR(__xludf.DUMMYFUNCTION("""COMPUTED_VALUE"""),0)</f>
        <v>0</v>
      </c>
      <c r="M93" s="165">
        <f ca="1">IFERROR(__xludf.DUMMYFUNCTION("""COMPUTED_VALUE"""),0)</f>
        <v>0</v>
      </c>
      <c r="N93" s="165">
        <f ca="1">IFERROR(__xludf.DUMMYFUNCTION("""COMPUTED_VALUE"""),0)</f>
        <v>0</v>
      </c>
      <c r="O93" s="165">
        <f ca="1">IFERROR(__xludf.DUMMYFUNCTION("""COMPUTED_VALUE"""),0)</f>
        <v>0</v>
      </c>
      <c r="P93" s="165">
        <f ca="1">IFERROR(__xludf.DUMMYFUNCTION("""COMPUTED_VALUE"""),163.2)</f>
        <v>163.19999999999999</v>
      </c>
      <c r="Q93" s="165">
        <f ca="1">IFERROR(__xludf.DUMMYFUNCTION("""COMPUTED_VALUE"""),1070)</f>
        <v>1070</v>
      </c>
      <c r="R93" s="165">
        <f ca="1">IFERROR(__xludf.DUMMYFUNCTION("""COMPUTED_VALUE"""),0)</f>
        <v>0</v>
      </c>
      <c r="S93" s="165">
        <f ca="1">IFERROR(__xludf.DUMMYFUNCTION("""COMPUTED_VALUE"""),0)</f>
        <v>0</v>
      </c>
      <c r="T93" s="165">
        <f ca="1">IFERROR(__xludf.DUMMYFUNCTION("""COMPUTED_VALUE"""),0)</f>
        <v>0</v>
      </c>
      <c r="U93" s="165">
        <f ca="1"/>
        <v>1873.2</v>
      </c>
    </row>
    <row r="94" spans="1:21" ht="12.75">
      <c r="A94" s="167" t="str">
        <f ca="1">IFERROR(__xludf.DUMMYFUNCTION("""COMPUTED_VALUE"""),"Araguatins")</f>
        <v>Araguatins</v>
      </c>
      <c r="B94" s="167" t="str">
        <f ca="1">IFERROR(__xludf.DUMMYFUNCTION("""COMPUTED_VALUE"""),"Carrasco Bonito")</f>
        <v>Carrasco Bonito</v>
      </c>
      <c r="C94" s="168" t="str">
        <f ca="1">IFERROR(__xludf.DUMMYFUNCTION("""COMPUTED_VALUE"""),"A.A.  DA ESCOLA ESTADUAL INES VIANA")</f>
        <v>A.A.  DA ESCOLA ESTADUAL INES VIANA</v>
      </c>
      <c r="D94" s="169" t="str">
        <f ca="1">IFERROR(__xludf.DUMMYFUNCTION("""COMPUTED_VALUE"""),"02508340000153")</f>
        <v>02508340000153</v>
      </c>
      <c r="E94" s="170" t="str">
        <f ca="1">IFERROR(__xludf.DUMMYFUNCTION("""COMPUTED_VALUE"""),"001")</f>
        <v>001</v>
      </c>
      <c r="F94" s="170" t="str">
        <f ca="1">IFERROR(__xludf.DUMMYFUNCTION("""COMPUTED_VALUE"""),"3975")</f>
        <v>3975</v>
      </c>
      <c r="G94" s="170" t="str">
        <f ca="1">IFERROR(__xludf.DUMMYFUNCTION("""COMPUTED_VALUE"""),"51713")</f>
        <v>51713</v>
      </c>
      <c r="H94" s="170">
        <f ca="1">IFERROR(__xludf.DUMMYFUNCTION("""COMPUTED_VALUE"""),0)</f>
        <v>0</v>
      </c>
      <c r="I94" s="170">
        <f ca="1">IFERROR(__xludf.DUMMYFUNCTION("""COMPUTED_VALUE"""),0)</f>
        <v>0</v>
      </c>
      <c r="J94" s="170">
        <f ca="1">IFERROR(__xludf.DUMMYFUNCTION("""COMPUTED_VALUE"""),730)</f>
        <v>730</v>
      </c>
      <c r="K94" s="170">
        <f ca="1">IFERROR(__xludf.DUMMYFUNCTION("""COMPUTED_VALUE"""),0)</f>
        <v>0</v>
      </c>
      <c r="L94" s="170">
        <f ca="1">IFERROR(__xludf.DUMMYFUNCTION("""COMPUTED_VALUE"""),0)</f>
        <v>0</v>
      </c>
      <c r="M94" s="170">
        <f ca="1">IFERROR(__xludf.DUMMYFUNCTION("""COMPUTED_VALUE"""),0)</f>
        <v>0</v>
      </c>
      <c r="N94" s="170">
        <f ca="1">IFERROR(__xludf.DUMMYFUNCTION("""COMPUTED_VALUE"""),0)</f>
        <v>0</v>
      </c>
      <c r="O94" s="170">
        <f ca="1">IFERROR(__xludf.DUMMYFUNCTION("""COMPUTED_VALUE"""),0)</f>
        <v>0</v>
      </c>
      <c r="P94" s="170">
        <f ca="1">IFERROR(__xludf.DUMMYFUNCTION("""COMPUTED_VALUE"""),0)</f>
        <v>0</v>
      </c>
      <c r="Q94" s="170">
        <f ca="1">IFERROR(__xludf.DUMMYFUNCTION("""COMPUTED_VALUE"""),340)</f>
        <v>340</v>
      </c>
      <c r="R94" s="170">
        <f ca="1">IFERROR(__xludf.DUMMYFUNCTION("""COMPUTED_VALUE"""),0)</f>
        <v>0</v>
      </c>
      <c r="S94" s="170">
        <f ca="1">IFERROR(__xludf.DUMMYFUNCTION("""COMPUTED_VALUE"""),0)</f>
        <v>0</v>
      </c>
      <c r="T94" s="170">
        <f ca="1">IFERROR(__xludf.DUMMYFUNCTION("""COMPUTED_VALUE"""),0)</f>
        <v>0</v>
      </c>
      <c r="U94" s="170">
        <f ca="1"/>
        <v>1070</v>
      </c>
    </row>
    <row r="95" spans="1:21" ht="12.75">
      <c r="A95" s="162" t="str">
        <f ca="1">IFERROR(__xludf.DUMMYFUNCTION("""COMPUTED_VALUE"""),"Araguatins")</f>
        <v>Araguatins</v>
      </c>
      <c r="B95" s="162" t="str">
        <f ca="1">IFERROR(__xludf.DUMMYFUNCTION("""COMPUTED_VALUE"""),"Esperantina")</f>
        <v>Esperantina</v>
      </c>
      <c r="C95" s="163" t="str">
        <f ca="1">IFERROR(__xludf.DUMMYFUNCTION("""COMPUTED_VALUE"""),"A.A. ESC. EST. JOAQUINA MARIA DA SILVA")</f>
        <v>A.A. ESC. EST. JOAQUINA MARIA DA SILVA</v>
      </c>
      <c r="D95" s="164" t="str">
        <f ca="1">IFERROR(__xludf.DUMMYFUNCTION("""COMPUTED_VALUE"""),"01113183000114")</f>
        <v>01113183000114</v>
      </c>
      <c r="E95" s="165" t="str">
        <f ca="1">IFERROR(__xludf.DUMMYFUNCTION("""COMPUTED_VALUE"""),"001")</f>
        <v>001</v>
      </c>
      <c r="F95" s="165" t="str">
        <f ca="1">IFERROR(__xludf.DUMMYFUNCTION("""COMPUTED_VALUE"""),"1305")</f>
        <v>1305</v>
      </c>
      <c r="G95" s="165" t="str">
        <f ca="1">IFERROR(__xludf.DUMMYFUNCTION("""COMPUTED_VALUE"""),"109665")</f>
        <v>109665</v>
      </c>
      <c r="H95" s="165">
        <f ca="1">IFERROR(__xludf.DUMMYFUNCTION("""COMPUTED_VALUE"""),0)</f>
        <v>0</v>
      </c>
      <c r="I95" s="165">
        <f ca="1">IFERROR(__xludf.DUMMYFUNCTION("""COMPUTED_VALUE"""),0)</f>
        <v>0</v>
      </c>
      <c r="J95" s="165">
        <f ca="1">IFERROR(__xludf.DUMMYFUNCTION("""COMPUTED_VALUE"""),1580)</f>
        <v>1580</v>
      </c>
      <c r="K95" s="165">
        <f ca="1">IFERROR(__xludf.DUMMYFUNCTION("""COMPUTED_VALUE"""),0)</f>
        <v>0</v>
      </c>
      <c r="L95" s="165">
        <f ca="1">IFERROR(__xludf.DUMMYFUNCTION("""COMPUTED_VALUE"""),0)</f>
        <v>0</v>
      </c>
      <c r="M95" s="165">
        <f ca="1">IFERROR(__xludf.DUMMYFUNCTION("""COMPUTED_VALUE"""),0)</f>
        <v>0</v>
      </c>
      <c r="N95" s="165">
        <f ca="1">IFERROR(__xludf.DUMMYFUNCTION("""COMPUTED_VALUE"""),0)</f>
        <v>0</v>
      </c>
      <c r="O95" s="165">
        <f ca="1">IFERROR(__xludf.DUMMYFUNCTION("""COMPUTED_VALUE"""),0)</f>
        <v>0</v>
      </c>
      <c r="P95" s="165">
        <f ca="1">IFERROR(__xludf.DUMMYFUNCTION("""COMPUTED_VALUE"""),0)</f>
        <v>0</v>
      </c>
      <c r="Q95" s="165">
        <f ca="1">IFERROR(__xludf.DUMMYFUNCTION("""COMPUTED_VALUE"""),2250)</f>
        <v>2250</v>
      </c>
      <c r="R95" s="165">
        <f ca="1">IFERROR(__xludf.DUMMYFUNCTION("""COMPUTED_VALUE"""),0)</f>
        <v>0</v>
      </c>
      <c r="S95" s="165">
        <f ca="1">IFERROR(__xludf.DUMMYFUNCTION("""COMPUTED_VALUE"""),0)</f>
        <v>0</v>
      </c>
      <c r="T95" s="165">
        <f ca="1">IFERROR(__xludf.DUMMYFUNCTION("""COMPUTED_VALUE"""),0)</f>
        <v>0</v>
      </c>
      <c r="U95" s="165">
        <f ca="1"/>
        <v>3830</v>
      </c>
    </row>
    <row r="96" spans="1:21" ht="12.75">
      <c r="A96" s="167" t="str">
        <f ca="1">IFERROR(__xludf.DUMMYFUNCTION("""COMPUTED_VALUE"""),"Araguatins")</f>
        <v>Araguatins</v>
      </c>
      <c r="B96" s="167" t="str">
        <f ca="1">IFERROR(__xludf.DUMMYFUNCTION("""COMPUTED_VALUE"""),"Esperantina")</f>
        <v>Esperantina</v>
      </c>
      <c r="C96" s="168" t="str">
        <f ca="1">IFERROR(__xludf.DUMMYFUNCTION("""COMPUTED_VALUE"""),"A.A. ESC. ESTADUAL ULISSES GUIMARAES")</f>
        <v>A.A. ESC. ESTADUAL ULISSES GUIMARAES</v>
      </c>
      <c r="D96" s="169" t="str">
        <f ca="1">IFERROR(__xludf.DUMMYFUNCTION("""COMPUTED_VALUE"""),"01190183000118")</f>
        <v>01190183000118</v>
      </c>
      <c r="E96" s="170" t="str">
        <f ca="1">IFERROR(__xludf.DUMMYFUNCTION("""COMPUTED_VALUE"""),"001")</f>
        <v>001</v>
      </c>
      <c r="F96" s="170" t="str">
        <f ca="1">IFERROR(__xludf.DUMMYFUNCTION("""COMPUTED_VALUE"""),"1305")</f>
        <v>1305</v>
      </c>
      <c r="G96" s="170" t="str">
        <f ca="1">IFERROR(__xludf.DUMMYFUNCTION("""COMPUTED_VALUE"""),"109363")</f>
        <v>109363</v>
      </c>
      <c r="H96" s="170">
        <f ca="1">IFERROR(__xludf.DUMMYFUNCTION("""COMPUTED_VALUE"""),0)</f>
        <v>0</v>
      </c>
      <c r="I96" s="170">
        <f ca="1">IFERROR(__xludf.DUMMYFUNCTION("""COMPUTED_VALUE"""),0)</f>
        <v>0</v>
      </c>
      <c r="J96" s="170">
        <f ca="1">IFERROR(__xludf.DUMMYFUNCTION("""COMPUTED_VALUE"""),1170)</f>
        <v>1170</v>
      </c>
      <c r="K96" s="170">
        <f ca="1">IFERROR(__xludf.DUMMYFUNCTION("""COMPUTED_VALUE"""),0)</f>
        <v>0</v>
      </c>
      <c r="L96" s="170">
        <f ca="1">IFERROR(__xludf.DUMMYFUNCTION("""COMPUTED_VALUE"""),0)</f>
        <v>0</v>
      </c>
      <c r="M96" s="170">
        <f ca="1">IFERROR(__xludf.DUMMYFUNCTION("""COMPUTED_VALUE"""),0)</f>
        <v>0</v>
      </c>
      <c r="N96" s="170">
        <f ca="1">IFERROR(__xludf.DUMMYFUNCTION("""COMPUTED_VALUE"""),0)</f>
        <v>0</v>
      </c>
      <c r="O96" s="170">
        <f ca="1">IFERROR(__xludf.DUMMYFUNCTION("""COMPUTED_VALUE"""),0)</f>
        <v>0</v>
      </c>
      <c r="P96" s="170">
        <f ca="1">IFERROR(__xludf.DUMMYFUNCTION("""COMPUTED_VALUE"""),108.8)</f>
        <v>108.8</v>
      </c>
      <c r="Q96" s="170">
        <f ca="1">IFERROR(__xludf.DUMMYFUNCTION("""COMPUTED_VALUE"""),1950)</f>
        <v>1950</v>
      </c>
      <c r="R96" s="170">
        <f ca="1">IFERROR(__xludf.DUMMYFUNCTION("""COMPUTED_VALUE"""),0)</f>
        <v>0</v>
      </c>
      <c r="S96" s="170">
        <f ca="1">IFERROR(__xludf.DUMMYFUNCTION("""COMPUTED_VALUE"""),0)</f>
        <v>0</v>
      </c>
      <c r="T96" s="170">
        <f ca="1">IFERROR(__xludf.DUMMYFUNCTION("""COMPUTED_VALUE"""),0)</f>
        <v>0</v>
      </c>
      <c r="U96" s="170">
        <f ca="1"/>
        <v>3228.8</v>
      </c>
    </row>
    <row r="97" spans="1:21" ht="12.75">
      <c r="A97" s="162" t="str">
        <f ca="1">IFERROR(__xludf.DUMMYFUNCTION("""COMPUTED_VALUE"""),"Araguatins")</f>
        <v>Araguatins</v>
      </c>
      <c r="B97" s="162" t="str">
        <f ca="1">IFERROR(__xludf.DUMMYFUNCTION("""COMPUTED_VALUE"""),"Esperantina")</f>
        <v>Esperantina</v>
      </c>
      <c r="C97" s="163" t="str">
        <f ca="1">IFERROR(__xludf.DUMMYFUNCTION("""COMPUTED_VALUE"""),"A.A. ESC. FAMÍLIA AGRÍCOLA DO BICO DO PAPAGAIO")</f>
        <v>A.A. ESC. FAMÍLIA AGRÍCOLA DO BICO DO PAPAGAIO</v>
      </c>
      <c r="D97" s="164" t="str">
        <f ca="1">IFERROR(__xludf.DUMMYFUNCTION("""COMPUTED_VALUE"""),"09500499000170")</f>
        <v>09500499000170</v>
      </c>
      <c r="E97" s="165" t="str">
        <f ca="1">IFERROR(__xludf.DUMMYFUNCTION("""COMPUTED_VALUE"""),"001")</f>
        <v>001</v>
      </c>
      <c r="F97" s="165" t="str">
        <f ca="1">IFERROR(__xludf.DUMMYFUNCTION("""COMPUTED_VALUE"""),"3975")</f>
        <v>3975</v>
      </c>
      <c r="G97" s="165" t="str">
        <f ca="1">IFERROR(__xludf.DUMMYFUNCTION("""COMPUTED_VALUE"""),"232653")</f>
        <v>232653</v>
      </c>
      <c r="H97" s="165">
        <f ca="1">IFERROR(__xludf.DUMMYFUNCTION("""COMPUTED_VALUE"""),0)</f>
        <v>0</v>
      </c>
      <c r="I97" s="165">
        <f ca="1">IFERROR(__xludf.DUMMYFUNCTION("""COMPUTED_VALUE"""),0)</f>
        <v>0</v>
      </c>
      <c r="J97" s="165">
        <f ca="1">IFERROR(__xludf.DUMMYFUNCTION("""COMPUTED_VALUE"""),0)</f>
        <v>0</v>
      </c>
      <c r="K97" s="165">
        <f ca="1">IFERROR(__xludf.DUMMYFUNCTION("""COMPUTED_VALUE"""),2493.4)</f>
        <v>2493.4</v>
      </c>
      <c r="L97" s="165">
        <f ca="1">IFERROR(__xludf.DUMMYFUNCTION("""COMPUTED_VALUE"""),0)</f>
        <v>0</v>
      </c>
      <c r="M97" s="165">
        <f ca="1">IFERROR(__xludf.DUMMYFUNCTION("""COMPUTED_VALUE"""),0)</f>
        <v>0</v>
      </c>
      <c r="N97" s="165">
        <f ca="1">IFERROR(__xludf.DUMMYFUNCTION("""COMPUTED_VALUE"""),0)</f>
        <v>0</v>
      </c>
      <c r="O97" s="165">
        <f ca="1">IFERROR(__xludf.DUMMYFUNCTION("""COMPUTED_VALUE"""),0)</f>
        <v>0</v>
      </c>
      <c r="P97" s="165">
        <f ca="1">IFERROR(__xludf.DUMMYFUNCTION("""COMPUTED_VALUE"""),0)</f>
        <v>0</v>
      </c>
      <c r="Q97" s="165">
        <f ca="1">IFERROR(__xludf.DUMMYFUNCTION("""COMPUTED_VALUE"""),0)</f>
        <v>0</v>
      </c>
      <c r="R97" s="165">
        <f ca="1">IFERROR(__xludf.DUMMYFUNCTION("""COMPUTED_VALUE"""),3562)</f>
        <v>3562</v>
      </c>
      <c r="S97" s="165">
        <f ca="1">IFERROR(__xludf.DUMMYFUNCTION("""COMPUTED_VALUE"""),0)</f>
        <v>0</v>
      </c>
      <c r="T97" s="165">
        <f ca="1">IFERROR(__xludf.DUMMYFUNCTION("""COMPUTED_VALUE"""),0)</f>
        <v>0</v>
      </c>
      <c r="U97" s="165">
        <f ca="1"/>
        <v>6055.4</v>
      </c>
    </row>
    <row r="98" spans="1:21" ht="12.75">
      <c r="A98" s="167" t="str">
        <f ca="1">IFERROR(__xludf.DUMMYFUNCTION("""COMPUTED_VALUE"""),"Araguatins")</f>
        <v>Araguatins</v>
      </c>
      <c r="B98" s="167" t="str">
        <f ca="1">IFERROR(__xludf.DUMMYFUNCTION("""COMPUTED_VALUE"""),"Praia Norte")</f>
        <v>Praia Norte</v>
      </c>
      <c r="C98" s="168" t="str">
        <f ca="1">IFERROR(__xludf.DUMMYFUNCTION("""COMPUTED_VALUE"""),"ASS. DE AP.ESCOLA EST. Iº DE JUNHO")</f>
        <v>ASS. DE AP.ESCOLA EST. Iº DE JUNHO</v>
      </c>
      <c r="D98" s="169" t="str">
        <f ca="1">IFERROR(__xludf.DUMMYFUNCTION("""COMPUTED_VALUE"""),"01392734000126")</f>
        <v>01392734000126</v>
      </c>
      <c r="E98" s="170" t="str">
        <f ca="1">IFERROR(__xludf.DUMMYFUNCTION("""COMPUTED_VALUE"""),"001")</f>
        <v>001</v>
      </c>
      <c r="F98" s="170" t="str">
        <f ca="1">IFERROR(__xludf.DUMMYFUNCTION("""COMPUTED_VALUE"""),"3975")</f>
        <v>3975</v>
      </c>
      <c r="G98" s="170" t="str">
        <f ca="1">IFERROR(__xludf.DUMMYFUNCTION("""COMPUTED_VALUE"""),"19712")</f>
        <v>19712</v>
      </c>
      <c r="H98" s="170">
        <f ca="1">IFERROR(__xludf.DUMMYFUNCTION("""COMPUTED_VALUE"""),0)</f>
        <v>0</v>
      </c>
      <c r="I98" s="170">
        <f ca="1">IFERROR(__xludf.DUMMYFUNCTION("""COMPUTED_VALUE"""),0)</f>
        <v>0</v>
      </c>
      <c r="J98" s="170">
        <f ca="1">IFERROR(__xludf.DUMMYFUNCTION("""COMPUTED_VALUE"""),2160)</f>
        <v>2160</v>
      </c>
      <c r="K98" s="170">
        <f ca="1">IFERROR(__xludf.DUMMYFUNCTION("""COMPUTED_VALUE"""),0)</f>
        <v>0</v>
      </c>
      <c r="L98" s="170">
        <f ca="1">IFERROR(__xludf.DUMMYFUNCTION("""COMPUTED_VALUE"""),0)</f>
        <v>0</v>
      </c>
      <c r="M98" s="170">
        <f ca="1">IFERROR(__xludf.DUMMYFUNCTION("""COMPUTED_VALUE"""),0)</f>
        <v>0</v>
      </c>
      <c r="N98" s="170">
        <f ca="1">IFERROR(__xludf.DUMMYFUNCTION("""COMPUTED_VALUE"""),0)</f>
        <v>0</v>
      </c>
      <c r="O98" s="170">
        <f ca="1">IFERROR(__xludf.DUMMYFUNCTION("""COMPUTED_VALUE"""),0)</f>
        <v>0</v>
      </c>
      <c r="P98" s="170">
        <f ca="1">IFERROR(__xludf.DUMMYFUNCTION("""COMPUTED_VALUE"""),163.2)</f>
        <v>163.19999999999999</v>
      </c>
      <c r="Q98" s="170">
        <f ca="1">IFERROR(__xludf.DUMMYFUNCTION("""COMPUTED_VALUE"""),0)</f>
        <v>0</v>
      </c>
      <c r="R98" s="170">
        <f ca="1">IFERROR(__xludf.DUMMYFUNCTION("""COMPUTED_VALUE"""),0)</f>
        <v>0</v>
      </c>
      <c r="S98" s="170">
        <f ca="1">IFERROR(__xludf.DUMMYFUNCTION("""COMPUTED_VALUE"""),0)</f>
        <v>0</v>
      </c>
      <c r="T98" s="170">
        <f ca="1">IFERROR(__xludf.DUMMYFUNCTION("""COMPUTED_VALUE"""),0)</f>
        <v>0</v>
      </c>
      <c r="U98" s="170">
        <f ca="1"/>
        <v>2323.1999999999998</v>
      </c>
    </row>
    <row r="99" spans="1:21" ht="12.75">
      <c r="A99" s="162" t="str">
        <f ca="1">IFERROR(__xludf.DUMMYFUNCTION("""COMPUTED_VALUE"""),"Araguatins")</f>
        <v>Araguatins</v>
      </c>
      <c r="B99" s="162" t="str">
        <f ca="1">IFERROR(__xludf.DUMMYFUNCTION("""COMPUTED_VALUE"""),"Praia Norte")</f>
        <v>Praia Norte</v>
      </c>
      <c r="C99" s="163" t="str">
        <f ca="1">IFERROR(__xludf.DUMMYFUNCTION("""COMPUTED_VALUE"""),"ASS. AP.ESC. ESTADUAL GENESIO GOMES")</f>
        <v>ASS. AP.ESC. ESTADUAL GENESIO GOMES</v>
      </c>
      <c r="D99" s="164" t="str">
        <f ca="1">IFERROR(__xludf.DUMMYFUNCTION("""COMPUTED_VALUE"""),"01192607000183")</f>
        <v>01192607000183</v>
      </c>
      <c r="E99" s="165" t="str">
        <f ca="1">IFERROR(__xludf.DUMMYFUNCTION("""COMPUTED_VALUE"""),"001")</f>
        <v>001</v>
      </c>
      <c r="F99" s="165" t="str">
        <f ca="1">IFERROR(__xludf.DUMMYFUNCTION("""COMPUTED_VALUE"""),"3975")</f>
        <v>3975</v>
      </c>
      <c r="G99" s="165" t="str">
        <f ca="1">IFERROR(__xludf.DUMMYFUNCTION("""COMPUTED_VALUE"""),"19690")</f>
        <v>19690</v>
      </c>
      <c r="H99" s="165">
        <f ca="1">IFERROR(__xludf.DUMMYFUNCTION("""COMPUTED_VALUE"""),0)</f>
        <v>0</v>
      </c>
      <c r="I99" s="165">
        <f ca="1">IFERROR(__xludf.DUMMYFUNCTION("""COMPUTED_VALUE"""),0)</f>
        <v>0</v>
      </c>
      <c r="J99" s="165">
        <f ca="1">IFERROR(__xludf.DUMMYFUNCTION("""COMPUTED_VALUE"""),0)</f>
        <v>0</v>
      </c>
      <c r="K99" s="165">
        <f ca="1">IFERROR(__xludf.DUMMYFUNCTION("""COMPUTED_VALUE"""),0)</f>
        <v>0</v>
      </c>
      <c r="L99" s="165">
        <f ca="1">IFERROR(__xludf.DUMMYFUNCTION("""COMPUTED_VALUE"""),0)</f>
        <v>0</v>
      </c>
      <c r="M99" s="165">
        <f ca="1">IFERROR(__xludf.DUMMYFUNCTION("""COMPUTED_VALUE"""),0)</f>
        <v>0</v>
      </c>
      <c r="N99" s="165">
        <f ca="1">IFERROR(__xludf.DUMMYFUNCTION("""COMPUTED_VALUE"""),0)</f>
        <v>0</v>
      </c>
      <c r="O99" s="165">
        <f ca="1">IFERROR(__xludf.DUMMYFUNCTION("""COMPUTED_VALUE"""),0)</f>
        <v>0</v>
      </c>
      <c r="P99" s="165">
        <f ca="1">IFERROR(__xludf.DUMMYFUNCTION("""COMPUTED_VALUE"""),0)</f>
        <v>0</v>
      </c>
      <c r="Q99" s="165">
        <f ca="1">IFERROR(__xludf.DUMMYFUNCTION("""COMPUTED_VALUE"""),3280)</f>
        <v>3280</v>
      </c>
      <c r="R99" s="165">
        <f ca="1">IFERROR(__xludf.DUMMYFUNCTION("""COMPUTED_VALUE"""),0)</f>
        <v>0</v>
      </c>
      <c r="S99" s="165">
        <f ca="1">IFERROR(__xludf.DUMMYFUNCTION("""COMPUTED_VALUE"""),0)</f>
        <v>0</v>
      </c>
      <c r="T99" s="165">
        <f ca="1">IFERROR(__xludf.DUMMYFUNCTION("""COMPUTED_VALUE"""),295.2)</f>
        <v>295.2</v>
      </c>
      <c r="U99" s="165">
        <f ca="1"/>
        <v>3575.2</v>
      </c>
    </row>
    <row r="100" spans="1:21" ht="12.75">
      <c r="A100" s="167" t="str">
        <f ca="1">IFERROR(__xludf.DUMMYFUNCTION("""COMPUTED_VALUE"""),"Araguatins")</f>
        <v>Araguatins</v>
      </c>
      <c r="B100" s="167" t="str">
        <f ca="1">IFERROR(__xludf.DUMMYFUNCTION("""COMPUTED_VALUE"""),"Sampaio")</f>
        <v>Sampaio</v>
      </c>
      <c r="C100" s="168" t="str">
        <f ca="1">IFERROR(__xludf.DUMMYFUNCTION("""COMPUTED_VALUE"""),"A. DE AP. DA ESCOLA ESTADUAL SAMPAIO")</f>
        <v>A. DE AP. DA ESCOLA ESTADUAL SAMPAIO</v>
      </c>
      <c r="D100" s="169" t="str">
        <f ca="1">IFERROR(__xludf.DUMMYFUNCTION("""COMPUTED_VALUE"""),"01190179000150")</f>
        <v>01190179000150</v>
      </c>
      <c r="E100" s="170" t="str">
        <f ca="1">IFERROR(__xludf.DUMMYFUNCTION("""COMPUTED_VALUE"""),"001")</f>
        <v>001</v>
      </c>
      <c r="F100" s="170" t="str">
        <f ca="1">IFERROR(__xludf.DUMMYFUNCTION("""COMPUTED_VALUE"""),"1305")</f>
        <v>1305</v>
      </c>
      <c r="G100" s="170" t="str">
        <f ca="1">IFERROR(__xludf.DUMMYFUNCTION("""COMPUTED_VALUE"""),"0019178")</f>
        <v>0019178</v>
      </c>
      <c r="H100" s="170">
        <f ca="1">IFERROR(__xludf.DUMMYFUNCTION("""COMPUTED_VALUE"""),0)</f>
        <v>0</v>
      </c>
      <c r="I100" s="170">
        <f ca="1">IFERROR(__xludf.DUMMYFUNCTION("""COMPUTED_VALUE"""),0)</f>
        <v>0</v>
      </c>
      <c r="J100" s="170">
        <f ca="1">IFERROR(__xludf.DUMMYFUNCTION("""COMPUTED_VALUE"""),3790)</f>
        <v>3790</v>
      </c>
      <c r="K100" s="170">
        <f ca="1">IFERROR(__xludf.DUMMYFUNCTION("""COMPUTED_VALUE"""),0)</f>
        <v>0</v>
      </c>
      <c r="L100" s="170">
        <f ca="1">IFERROR(__xludf.DUMMYFUNCTION("""COMPUTED_VALUE"""),0)</f>
        <v>0</v>
      </c>
      <c r="M100" s="170">
        <f ca="1">IFERROR(__xludf.DUMMYFUNCTION("""COMPUTED_VALUE"""),0)</f>
        <v>0</v>
      </c>
      <c r="N100" s="170">
        <f ca="1">IFERROR(__xludf.DUMMYFUNCTION("""COMPUTED_VALUE"""),0)</f>
        <v>0</v>
      </c>
      <c r="O100" s="170">
        <f ca="1">IFERROR(__xludf.DUMMYFUNCTION("""COMPUTED_VALUE"""),0)</f>
        <v>0</v>
      </c>
      <c r="P100" s="170">
        <f ca="1">IFERROR(__xludf.DUMMYFUNCTION("""COMPUTED_VALUE"""),190.4)</f>
        <v>190.4</v>
      </c>
      <c r="Q100" s="170">
        <f ca="1">IFERROR(__xludf.DUMMYFUNCTION("""COMPUTED_VALUE"""),2050)</f>
        <v>2050</v>
      </c>
      <c r="R100" s="170">
        <f ca="1">IFERROR(__xludf.DUMMYFUNCTION("""COMPUTED_VALUE"""),0)</f>
        <v>0</v>
      </c>
      <c r="S100" s="170">
        <f ca="1">IFERROR(__xludf.DUMMYFUNCTION("""COMPUTED_VALUE"""),0)</f>
        <v>0</v>
      </c>
      <c r="T100" s="170">
        <f ca="1">IFERROR(__xludf.DUMMYFUNCTION("""COMPUTED_VALUE"""),0)</f>
        <v>0</v>
      </c>
      <c r="U100" s="170">
        <f ca="1"/>
        <v>6030.4</v>
      </c>
    </row>
    <row r="101" spans="1:21" ht="12.75">
      <c r="A101" s="162" t="str">
        <f ca="1">IFERROR(__xludf.DUMMYFUNCTION("""COMPUTED_VALUE"""),"Araguatins")</f>
        <v>Araguatins</v>
      </c>
      <c r="B101" s="162" t="str">
        <f ca="1">IFERROR(__xludf.DUMMYFUNCTION("""COMPUTED_VALUE"""),"Sao Bento do Tocantins")</f>
        <v>Sao Bento do Tocantins</v>
      </c>
      <c r="C101" s="163" t="str">
        <f ca="1">IFERROR(__xludf.DUMMYFUNCTION("""COMPUTED_VALUE"""),"A.A. COLEGIO EST. IRMAOS FILGUEIRAS")</f>
        <v>A.A. COLEGIO EST. IRMAOS FILGUEIRAS</v>
      </c>
      <c r="D101" s="164" t="str">
        <f ca="1">IFERROR(__xludf.DUMMYFUNCTION("""COMPUTED_VALUE"""),"01068348000183")</f>
        <v>01068348000183</v>
      </c>
      <c r="E101" s="165" t="str">
        <f ca="1">IFERROR(__xludf.DUMMYFUNCTION("""COMPUTED_VALUE"""),"001")</f>
        <v>001</v>
      </c>
      <c r="F101" s="165" t="str">
        <f ca="1">IFERROR(__xludf.DUMMYFUNCTION("""COMPUTED_VALUE"""),"1305")</f>
        <v>1305</v>
      </c>
      <c r="G101" s="165" t="str">
        <f ca="1">IFERROR(__xludf.DUMMYFUNCTION("""COMPUTED_VALUE"""),"109134")</f>
        <v>109134</v>
      </c>
      <c r="H101" s="165">
        <f ca="1">IFERROR(__xludf.DUMMYFUNCTION("""COMPUTED_VALUE"""),0)</f>
        <v>0</v>
      </c>
      <c r="I101" s="165">
        <f ca="1">IFERROR(__xludf.DUMMYFUNCTION("""COMPUTED_VALUE"""),0)</f>
        <v>0</v>
      </c>
      <c r="J101" s="165">
        <f ca="1">IFERROR(__xludf.DUMMYFUNCTION("""COMPUTED_VALUE"""),1840)</f>
        <v>1840</v>
      </c>
      <c r="K101" s="165">
        <f ca="1">IFERROR(__xludf.DUMMYFUNCTION("""COMPUTED_VALUE"""),0)</f>
        <v>0</v>
      </c>
      <c r="L101" s="165">
        <f ca="1">IFERROR(__xludf.DUMMYFUNCTION("""COMPUTED_VALUE"""),0)</f>
        <v>0</v>
      </c>
      <c r="M101" s="165">
        <f ca="1">IFERROR(__xludf.DUMMYFUNCTION("""COMPUTED_VALUE"""),0)</f>
        <v>0</v>
      </c>
      <c r="N101" s="165">
        <f ca="1">IFERROR(__xludf.DUMMYFUNCTION("""COMPUTED_VALUE"""),0)</f>
        <v>0</v>
      </c>
      <c r="O101" s="165">
        <f ca="1">IFERROR(__xludf.DUMMYFUNCTION("""COMPUTED_VALUE"""),0)</f>
        <v>0</v>
      </c>
      <c r="P101" s="165">
        <f ca="1">IFERROR(__xludf.DUMMYFUNCTION("""COMPUTED_VALUE"""),231.2)</f>
        <v>231.2</v>
      </c>
      <c r="Q101" s="165">
        <f ca="1">IFERROR(__xludf.DUMMYFUNCTION("""COMPUTED_VALUE"""),2160)</f>
        <v>2160</v>
      </c>
      <c r="R101" s="165">
        <f ca="1">IFERROR(__xludf.DUMMYFUNCTION("""COMPUTED_VALUE"""),0)</f>
        <v>0</v>
      </c>
      <c r="S101" s="165">
        <f ca="1">IFERROR(__xludf.DUMMYFUNCTION("""COMPUTED_VALUE"""),0)</f>
        <v>0</v>
      </c>
      <c r="T101" s="165">
        <f ca="1">IFERROR(__xludf.DUMMYFUNCTION("""COMPUTED_VALUE"""),114.799999999999)</f>
        <v>114.799999999999</v>
      </c>
      <c r="U101" s="165">
        <f ca="1"/>
        <v>4345.9999999999991</v>
      </c>
    </row>
    <row r="102" spans="1:21" ht="12.75">
      <c r="A102" s="167" t="str">
        <f ca="1">IFERROR(__xludf.DUMMYFUNCTION("""COMPUTED_VALUE"""),"Araguatins")</f>
        <v>Araguatins</v>
      </c>
      <c r="B102" s="167" t="str">
        <f ca="1">IFERROR(__xludf.DUMMYFUNCTION("""COMPUTED_VALUE"""),"Sao Bento do Tocantins")</f>
        <v>Sao Bento do Tocantins</v>
      </c>
      <c r="C102" s="168" t="str">
        <f ca="1">IFERROR(__xludf.DUMMYFUNCTION("""COMPUTED_VALUE"""),"A.A. ESC. EST. ANAIDES BRITO MIRANDA")</f>
        <v>A.A. ESC. EST. ANAIDES BRITO MIRANDA</v>
      </c>
      <c r="D102" s="169" t="str">
        <f ca="1">IFERROR(__xludf.DUMMYFUNCTION("""COMPUTED_VALUE"""),"01181993000108")</f>
        <v>01181993000108</v>
      </c>
      <c r="E102" s="170" t="str">
        <f ca="1">IFERROR(__xludf.DUMMYFUNCTION("""COMPUTED_VALUE"""),"001")</f>
        <v>001</v>
      </c>
      <c r="F102" s="170" t="str">
        <f ca="1">IFERROR(__xludf.DUMMYFUNCTION("""COMPUTED_VALUE"""),"1305")</f>
        <v>1305</v>
      </c>
      <c r="G102" s="170" t="str">
        <f ca="1">IFERROR(__xludf.DUMMYFUNCTION("""COMPUTED_VALUE"""),"10938x")</f>
        <v>10938x</v>
      </c>
      <c r="H102" s="170">
        <f ca="1">IFERROR(__xludf.DUMMYFUNCTION("""COMPUTED_VALUE"""),0)</f>
        <v>0</v>
      </c>
      <c r="I102" s="170">
        <f ca="1">IFERROR(__xludf.DUMMYFUNCTION("""COMPUTED_VALUE"""),0)</f>
        <v>0</v>
      </c>
      <c r="J102" s="170">
        <f ca="1">IFERROR(__xludf.DUMMYFUNCTION("""COMPUTED_VALUE"""),700)</f>
        <v>700</v>
      </c>
      <c r="K102" s="170">
        <f ca="1">IFERROR(__xludf.DUMMYFUNCTION("""COMPUTED_VALUE"""),0)</f>
        <v>0</v>
      </c>
      <c r="L102" s="170">
        <f ca="1">IFERROR(__xludf.DUMMYFUNCTION("""COMPUTED_VALUE"""),0)</f>
        <v>0</v>
      </c>
      <c r="M102" s="170">
        <f ca="1">IFERROR(__xludf.DUMMYFUNCTION("""COMPUTED_VALUE"""),0)</f>
        <v>0</v>
      </c>
      <c r="N102" s="170">
        <f ca="1">IFERROR(__xludf.DUMMYFUNCTION("""COMPUTED_VALUE"""),0)</f>
        <v>0</v>
      </c>
      <c r="O102" s="170">
        <f ca="1">IFERROR(__xludf.DUMMYFUNCTION("""COMPUTED_VALUE"""),0)</f>
        <v>0</v>
      </c>
      <c r="P102" s="170">
        <f ca="1">IFERROR(__xludf.DUMMYFUNCTION("""COMPUTED_VALUE"""),163.2)</f>
        <v>163.19999999999999</v>
      </c>
      <c r="Q102" s="170">
        <f ca="1">IFERROR(__xludf.DUMMYFUNCTION("""COMPUTED_VALUE"""),480)</f>
        <v>480</v>
      </c>
      <c r="R102" s="170">
        <f ca="1">IFERROR(__xludf.DUMMYFUNCTION("""COMPUTED_VALUE"""),0)</f>
        <v>0</v>
      </c>
      <c r="S102" s="170">
        <f ca="1">IFERROR(__xludf.DUMMYFUNCTION("""COMPUTED_VALUE"""),0)</f>
        <v>0</v>
      </c>
      <c r="T102" s="170">
        <f ca="1">IFERROR(__xludf.DUMMYFUNCTION("""COMPUTED_VALUE"""),122.999999999999)</f>
        <v>122.99999999999901</v>
      </c>
      <c r="U102" s="170">
        <f ca="1"/>
        <v>1466.1999999999991</v>
      </c>
    </row>
    <row r="103" spans="1:21" ht="12.75">
      <c r="A103" s="162" t="str">
        <f ca="1">IFERROR(__xludf.DUMMYFUNCTION("""COMPUTED_VALUE"""),"Araguatins")</f>
        <v>Araguatins</v>
      </c>
      <c r="B103" s="162" t="str">
        <f ca="1">IFERROR(__xludf.DUMMYFUNCTION("""COMPUTED_VALUE"""),"Sao Miguel do Tocantins")</f>
        <v>Sao Miguel do Tocantins</v>
      </c>
      <c r="C103" s="163" t="str">
        <f ca="1">IFERROR(__xludf.DUMMYFUNCTION("""COMPUTED_VALUE"""),"A.A.  DA ESCOLA ESTADUAL BELA VISTA")</f>
        <v>A.A.  DA ESCOLA ESTADUAL BELA VISTA</v>
      </c>
      <c r="D103" s="164" t="str">
        <f ca="1">IFERROR(__xludf.DUMMYFUNCTION("""COMPUTED_VALUE"""),"01230238000176")</f>
        <v>01230238000176</v>
      </c>
      <c r="E103" s="165" t="str">
        <f ca="1">IFERROR(__xludf.DUMMYFUNCTION("""COMPUTED_VALUE"""),"001")</f>
        <v>001</v>
      </c>
      <c r="F103" s="165" t="str">
        <f ca="1">IFERROR(__xludf.DUMMYFUNCTION("""COMPUTED_VALUE"""),"1305")</f>
        <v>1305</v>
      </c>
      <c r="G103" s="165" t="str">
        <f ca="1">IFERROR(__xludf.DUMMYFUNCTION("""COMPUTED_VALUE"""),"0217948")</f>
        <v>0217948</v>
      </c>
      <c r="H103" s="165">
        <f ca="1">IFERROR(__xludf.DUMMYFUNCTION("""COMPUTED_VALUE"""),0)</f>
        <v>0</v>
      </c>
      <c r="I103" s="165">
        <f ca="1">IFERROR(__xludf.DUMMYFUNCTION("""COMPUTED_VALUE"""),0)</f>
        <v>0</v>
      </c>
      <c r="J103" s="165">
        <f ca="1">IFERROR(__xludf.DUMMYFUNCTION("""COMPUTED_VALUE"""),2670)</f>
        <v>2670</v>
      </c>
      <c r="K103" s="165">
        <f ca="1">IFERROR(__xludf.DUMMYFUNCTION("""COMPUTED_VALUE"""),0)</f>
        <v>0</v>
      </c>
      <c r="L103" s="165">
        <f ca="1">IFERROR(__xludf.DUMMYFUNCTION("""COMPUTED_VALUE"""),0)</f>
        <v>0</v>
      </c>
      <c r="M103" s="165">
        <f ca="1">IFERROR(__xludf.DUMMYFUNCTION("""COMPUTED_VALUE"""),0)</f>
        <v>0</v>
      </c>
      <c r="N103" s="165">
        <f ca="1">IFERROR(__xludf.DUMMYFUNCTION("""COMPUTED_VALUE"""),0)</f>
        <v>0</v>
      </c>
      <c r="O103" s="165">
        <f ca="1">IFERROR(__xludf.DUMMYFUNCTION("""COMPUTED_VALUE"""),0)</f>
        <v>0</v>
      </c>
      <c r="P103" s="165">
        <f ca="1">IFERROR(__xludf.DUMMYFUNCTION("""COMPUTED_VALUE"""),0)</f>
        <v>0</v>
      </c>
      <c r="Q103" s="165">
        <f ca="1">IFERROR(__xludf.DUMMYFUNCTION("""COMPUTED_VALUE"""),2060)</f>
        <v>2060</v>
      </c>
      <c r="R103" s="165">
        <f ca="1">IFERROR(__xludf.DUMMYFUNCTION("""COMPUTED_VALUE"""),0)</f>
        <v>0</v>
      </c>
      <c r="S103" s="165">
        <f ca="1">IFERROR(__xludf.DUMMYFUNCTION("""COMPUTED_VALUE"""),0)</f>
        <v>0</v>
      </c>
      <c r="T103" s="165">
        <f ca="1">IFERROR(__xludf.DUMMYFUNCTION("""COMPUTED_VALUE"""),0)</f>
        <v>0</v>
      </c>
      <c r="U103" s="165">
        <f ca="1"/>
        <v>4730</v>
      </c>
    </row>
    <row r="104" spans="1:21" ht="12.75">
      <c r="A104" s="167" t="str">
        <f ca="1">IFERROR(__xludf.DUMMYFUNCTION("""COMPUTED_VALUE"""),"Araguatins")</f>
        <v>Araguatins</v>
      </c>
      <c r="B104" s="167" t="str">
        <f ca="1">IFERROR(__xludf.DUMMYFUNCTION("""COMPUTED_VALUE"""),"Sao Miguel do Tocantins")</f>
        <v>Sao Miguel do Tocantins</v>
      </c>
      <c r="C104" s="168" t="str">
        <f ca="1">IFERROR(__xludf.DUMMYFUNCTION("""COMPUTED_VALUE"""),"A.A.  ESCOLA ESTADUAL SAO MIGUEL")</f>
        <v>A.A.  ESCOLA ESTADUAL SAO MIGUEL</v>
      </c>
      <c r="D104" s="169" t="str">
        <f ca="1">IFERROR(__xludf.DUMMYFUNCTION("""COMPUTED_VALUE"""),"01213523000189")</f>
        <v>01213523000189</v>
      </c>
      <c r="E104" s="170" t="str">
        <f ca="1">IFERROR(__xludf.DUMMYFUNCTION("""COMPUTED_VALUE"""),"001")</f>
        <v>001</v>
      </c>
      <c r="F104" s="170" t="str">
        <f ca="1">IFERROR(__xludf.DUMMYFUNCTION("""COMPUTED_VALUE"""),"1305")</f>
        <v>1305</v>
      </c>
      <c r="G104" s="170" t="str">
        <f ca="1">IFERROR(__xludf.DUMMYFUNCTION("""COMPUTED_VALUE"""),"173576")</f>
        <v>173576</v>
      </c>
      <c r="H104" s="170">
        <f ca="1">IFERROR(__xludf.DUMMYFUNCTION("""COMPUTED_VALUE"""),0)</f>
        <v>0</v>
      </c>
      <c r="I104" s="170">
        <f ca="1">IFERROR(__xludf.DUMMYFUNCTION("""COMPUTED_VALUE"""),0)</f>
        <v>0</v>
      </c>
      <c r="J104" s="170">
        <f ca="1">IFERROR(__xludf.DUMMYFUNCTION("""COMPUTED_VALUE"""),2060)</f>
        <v>2060</v>
      </c>
      <c r="K104" s="170">
        <f ca="1">IFERROR(__xludf.DUMMYFUNCTION("""COMPUTED_VALUE"""),0)</f>
        <v>0</v>
      </c>
      <c r="L104" s="170">
        <f ca="1">IFERROR(__xludf.DUMMYFUNCTION("""COMPUTED_VALUE"""),0)</f>
        <v>0</v>
      </c>
      <c r="M104" s="170">
        <f ca="1">IFERROR(__xludf.DUMMYFUNCTION("""COMPUTED_VALUE"""),0)</f>
        <v>0</v>
      </c>
      <c r="N104" s="170">
        <f ca="1">IFERROR(__xludf.DUMMYFUNCTION("""COMPUTED_VALUE"""),0)</f>
        <v>0</v>
      </c>
      <c r="O104" s="170">
        <f ca="1">IFERROR(__xludf.DUMMYFUNCTION("""COMPUTED_VALUE"""),0)</f>
        <v>0</v>
      </c>
      <c r="P104" s="170">
        <f ca="1">IFERROR(__xludf.DUMMYFUNCTION("""COMPUTED_VALUE"""),190.4)</f>
        <v>190.4</v>
      </c>
      <c r="Q104" s="170">
        <f ca="1">IFERROR(__xludf.DUMMYFUNCTION("""COMPUTED_VALUE"""),2690)</f>
        <v>2690</v>
      </c>
      <c r="R104" s="170">
        <f ca="1">IFERROR(__xludf.DUMMYFUNCTION("""COMPUTED_VALUE"""),0)</f>
        <v>0</v>
      </c>
      <c r="S104" s="170">
        <f ca="1">IFERROR(__xludf.DUMMYFUNCTION("""COMPUTED_VALUE"""),0)</f>
        <v>0</v>
      </c>
      <c r="T104" s="170">
        <f ca="1">IFERROR(__xludf.DUMMYFUNCTION("""COMPUTED_VALUE"""),0)</f>
        <v>0</v>
      </c>
      <c r="U104" s="170">
        <f ca="1"/>
        <v>4940.3999999999996</v>
      </c>
    </row>
    <row r="105" spans="1:21" ht="12.75">
      <c r="A105" s="162" t="str">
        <f ca="1">IFERROR(__xludf.DUMMYFUNCTION("""COMPUTED_VALUE"""),"Araguatins")</f>
        <v>Araguatins</v>
      </c>
      <c r="B105" s="162" t="str">
        <f ca="1">IFERROR(__xludf.DUMMYFUNCTION("""COMPUTED_VALUE"""),"Sao Sebastiao do Tocantins")</f>
        <v>Sao Sebastiao do Tocantins</v>
      </c>
      <c r="C105" s="163" t="str">
        <f ca="1">IFERROR(__xludf.DUMMYFUNCTION("""COMPUTED_VALUE"""),"A.A.  DO COL. EST.IRIO OLIVEIRA SOUZA")</f>
        <v>A.A.  DO COL. EST.IRIO OLIVEIRA SOUZA</v>
      </c>
      <c r="D105" s="164" t="str">
        <f ca="1">IFERROR(__xludf.DUMMYFUNCTION("""COMPUTED_VALUE"""),"01112477000121")</f>
        <v>01112477000121</v>
      </c>
      <c r="E105" s="165" t="str">
        <f ca="1">IFERROR(__xludf.DUMMYFUNCTION("""COMPUTED_VALUE"""),"001")</f>
        <v>001</v>
      </c>
      <c r="F105" s="165" t="str">
        <f ca="1">IFERROR(__xludf.DUMMYFUNCTION("""COMPUTED_VALUE"""),"1305")</f>
        <v>1305</v>
      </c>
      <c r="G105" s="165" t="str">
        <f ca="1">IFERROR(__xludf.DUMMYFUNCTION("""COMPUTED_VALUE"""),"0109282")</f>
        <v>0109282</v>
      </c>
      <c r="H105" s="165">
        <f ca="1">IFERROR(__xludf.DUMMYFUNCTION("""COMPUTED_VALUE"""),0)</f>
        <v>0</v>
      </c>
      <c r="I105" s="165">
        <f ca="1">IFERROR(__xludf.DUMMYFUNCTION("""COMPUTED_VALUE"""),0)</f>
        <v>0</v>
      </c>
      <c r="J105" s="165">
        <f ca="1">IFERROR(__xludf.DUMMYFUNCTION("""COMPUTED_VALUE"""),0)</f>
        <v>0</v>
      </c>
      <c r="K105" s="165">
        <f ca="1">IFERROR(__xludf.DUMMYFUNCTION("""COMPUTED_VALUE"""),0)</f>
        <v>0</v>
      </c>
      <c r="L105" s="165">
        <f ca="1">IFERROR(__xludf.DUMMYFUNCTION("""COMPUTED_VALUE"""),0)</f>
        <v>0</v>
      </c>
      <c r="M105" s="165">
        <f ca="1">IFERROR(__xludf.DUMMYFUNCTION("""COMPUTED_VALUE"""),0)</f>
        <v>0</v>
      </c>
      <c r="N105" s="165">
        <f ca="1">IFERROR(__xludf.DUMMYFUNCTION("""COMPUTED_VALUE"""),0)</f>
        <v>0</v>
      </c>
      <c r="O105" s="165">
        <f ca="1">IFERROR(__xludf.DUMMYFUNCTION("""COMPUTED_VALUE"""),0)</f>
        <v>0</v>
      </c>
      <c r="P105" s="165">
        <f ca="1">IFERROR(__xludf.DUMMYFUNCTION("""COMPUTED_VALUE"""),0)</f>
        <v>0</v>
      </c>
      <c r="Q105" s="165">
        <f ca="1">IFERROR(__xludf.DUMMYFUNCTION("""COMPUTED_VALUE"""),1770)</f>
        <v>1770</v>
      </c>
      <c r="R105" s="165">
        <f ca="1">IFERROR(__xludf.DUMMYFUNCTION("""COMPUTED_VALUE"""),0)</f>
        <v>0</v>
      </c>
      <c r="S105" s="165">
        <f ca="1">IFERROR(__xludf.DUMMYFUNCTION("""COMPUTED_VALUE"""),0)</f>
        <v>0</v>
      </c>
      <c r="T105" s="165">
        <f ca="1">IFERROR(__xludf.DUMMYFUNCTION("""COMPUTED_VALUE"""),0)</f>
        <v>0</v>
      </c>
      <c r="U105" s="165">
        <f ca="1"/>
        <v>1770</v>
      </c>
    </row>
    <row r="106" spans="1:21" ht="12.75">
      <c r="A106" s="167" t="str">
        <f ca="1">IFERROR(__xludf.DUMMYFUNCTION("""COMPUTED_VALUE"""),"Araguatins")</f>
        <v>Araguatins</v>
      </c>
      <c r="B106" s="167" t="str">
        <f ca="1">IFERROR(__xludf.DUMMYFUNCTION("""COMPUTED_VALUE"""),"Sao Sebastiao do Tocantins")</f>
        <v>Sao Sebastiao do Tocantins</v>
      </c>
      <c r="C106" s="168" t="str">
        <f ca="1">IFERROR(__xludf.DUMMYFUNCTION("""COMPUTED_VALUE"""),"A.A. E. E. DR.PEDRO LUDOVICO TEIXEIRA")</f>
        <v>A.A. E. E. DR.PEDRO LUDOVICO TEIXEIRA</v>
      </c>
      <c r="D106" s="169" t="str">
        <f ca="1">IFERROR(__xludf.DUMMYFUNCTION("""COMPUTED_VALUE"""),"01186462000108")</f>
        <v>01186462000108</v>
      </c>
      <c r="E106" s="170" t="str">
        <f ca="1">IFERROR(__xludf.DUMMYFUNCTION("""COMPUTED_VALUE"""),"001")</f>
        <v>001</v>
      </c>
      <c r="F106" s="170" t="str">
        <f ca="1">IFERROR(__xludf.DUMMYFUNCTION("""COMPUTED_VALUE"""),"1305")</f>
        <v>1305</v>
      </c>
      <c r="G106" s="170" t="str">
        <f ca="1">IFERROR(__xludf.DUMMYFUNCTION("""COMPUTED_VALUE"""),"109711")</f>
        <v>109711</v>
      </c>
      <c r="H106" s="170">
        <f ca="1">IFERROR(__xludf.DUMMYFUNCTION("""COMPUTED_VALUE"""),0)</f>
        <v>0</v>
      </c>
      <c r="I106" s="170">
        <f ca="1">IFERROR(__xludf.DUMMYFUNCTION("""COMPUTED_VALUE"""),0)</f>
        <v>0</v>
      </c>
      <c r="J106" s="170">
        <f ca="1">IFERROR(__xludf.DUMMYFUNCTION("""COMPUTED_VALUE"""),1170)</f>
        <v>1170</v>
      </c>
      <c r="K106" s="170">
        <f ca="1">IFERROR(__xludf.DUMMYFUNCTION("""COMPUTED_VALUE"""),0)</f>
        <v>0</v>
      </c>
      <c r="L106" s="170">
        <f ca="1">IFERROR(__xludf.DUMMYFUNCTION("""COMPUTED_VALUE"""),0)</f>
        <v>0</v>
      </c>
      <c r="M106" s="170">
        <f ca="1">IFERROR(__xludf.DUMMYFUNCTION("""COMPUTED_VALUE"""),0)</f>
        <v>0</v>
      </c>
      <c r="N106" s="170">
        <f ca="1">IFERROR(__xludf.DUMMYFUNCTION("""COMPUTED_VALUE"""),0)</f>
        <v>0</v>
      </c>
      <c r="O106" s="170">
        <f ca="1">IFERROR(__xludf.DUMMYFUNCTION("""COMPUTED_VALUE"""),0)</f>
        <v>0</v>
      </c>
      <c r="P106" s="170">
        <f ca="1">IFERROR(__xludf.DUMMYFUNCTION("""COMPUTED_VALUE"""),176.799999999999)</f>
        <v>176.79999999999899</v>
      </c>
      <c r="Q106" s="170">
        <f ca="1">IFERROR(__xludf.DUMMYFUNCTION("""COMPUTED_VALUE"""),0)</f>
        <v>0</v>
      </c>
      <c r="R106" s="170">
        <f ca="1">IFERROR(__xludf.DUMMYFUNCTION("""COMPUTED_VALUE"""),0)</f>
        <v>0</v>
      </c>
      <c r="S106" s="170">
        <f ca="1">IFERROR(__xludf.DUMMYFUNCTION("""COMPUTED_VALUE"""),0)</f>
        <v>0</v>
      </c>
      <c r="T106" s="170">
        <f ca="1">IFERROR(__xludf.DUMMYFUNCTION("""COMPUTED_VALUE"""),623.199999999999)</f>
        <v>623.19999999999902</v>
      </c>
      <c r="U106" s="170">
        <f ca="1"/>
        <v>1969.9999999999982</v>
      </c>
    </row>
    <row r="107" spans="1:21" ht="12.75">
      <c r="A107" s="162" t="str">
        <f ca="1">IFERROR(__xludf.DUMMYFUNCTION("""COMPUTED_VALUE"""),"Araguatins")</f>
        <v>Araguatins</v>
      </c>
      <c r="B107" s="162" t="str">
        <f ca="1">IFERROR(__xludf.DUMMYFUNCTION("""COMPUTED_VALUE"""),"Sitio Novo do Tocantins")</f>
        <v>Sitio Novo do Tocantins</v>
      </c>
      <c r="C107" s="163" t="str">
        <f ca="1">IFERROR(__xludf.DUMMYFUNCTION("""COMPUTED_VALUE"""),"A.A. COL. EST. MARECHAEL RIBAS JUNIOR")</f>
        <v>A.A. COL. EST. MARECHAEL RIBAS JUNIOR</v>
      </c>
      <c r="D107" s="164" t="str">
        <f ca="1">IFERROR(__xludf.DUMMYFUNCTION("""COMPUTED_VALUE"""),"01230241000190")</f>
        <v>01230241000190</v>
      </c>
      <c r="E107" s="165" t="str">
        <f ca="1">IFERROR(__xludf.DUMMYFUNCTION("""COMPUTED_VALUE"""),"001")</f>
        <v>001</v>
      </c>
      <c r="F107" s="165" t="str">
        <f ca="1">IFERROR(__xludf.DUMMYFUNCTION("""COMPUTED_VALUE"""),"1305")</f>
        <v>1305</v>
      </c>
      <c r="G107" s="165" t="str">
        <f ca="1">IFERROR(__xludf.DUMMYFUNCTION("""COMPUTED_VALUE"""),"217964")</f>
        <v>217964</v>
      </c>
      <c r="H107" s="165">
        <f ca="1">IFERROR(__xludf.DUMMYFUNCTION("""COMPUTED_VALUE"""),0)</f>
        <v>0</v>
      </c>
      <c r="I107" s="165">
        <f ca="1">IFERROR(__xludf.DUMMYFUNCTION("""COMPUTED_VALUE"""),0)</f>
        <v>0</v>
      </c>
      <c r="J107" s="165">
        <f ca="1">IFERROR(__xludf.DUMMYFUNCTION("""COMPUTED_VALUE"""),1320)</f>
        <v>1320</v>
      </c>
      <c r="K107" s="165">
        <f ca="1">IFERROR(__xludf.DUMMYFUNCTION("""COMPUTED_VALUE"""),0)</f>
        <v>0</v>
      </c>
      <c r="L107" s="165">
        <f ca="1">IFERROR(__xludf.DUMMYFUNCTION("""COMPUTED_VALUE"""),0)</f>
        <v>0</v>
      </c>
      <c r="M107" s="165">
        <f ca="1">IFERROR(__xludf.DUMMYFUNCTION("""COMPUTED_VALUE"""),0)</f>
        <v>0</v>
      </c>
      <c r="N107" s="165">
        <f ca="1">IFERROR(__xludf.DUMMYFUNCTION("""COMPUTED_VALUE"""),0)</f>
        <v>0</v>
      </c>
      <c r="O107" s="165">
        <f ca="1">IFERROR(__xludf.DUMMYFUNCTION("""COMPUTED_VALUE"""),0)</f>
        <v>0</v>
      </c>
      <c r="P107" s="165">
        <f ca="1">IFERROR(__xludf.DUMMYFUNCTION("""COMPUTED_VALUE"""),408)</f>
        <v>408</v>
      </c>
      <c r="Q107" s="165">
        <f ca="1">IFERROR(__xludf.DUMMYFUNCTION("""COMPUTED_VALUE"""),3110)</f>
        <v>3110</v>
      </c>
      <c r="R107" s="165">
        <f ca="1">IFERROR(__xludf.DUMMYFUNCTION("""COMPUTED_VALUE"""),0)</f>
        <v>0</v>
      </c>
      <c r="S107" s="165">
        <f ca="1">IFERROR(__xludf.DUMMYFUNCTION("""COMPUTED_VALUE"""),0)</f>
        <v>0</v>
      </c>
      <c r="T107" s="165">
        <f ca="1">IFERROR(__xludf.DUMMYFUNCTION("""COMPUTED_VALUE"""),196.799999999999)</f>
        <v>196.79999999999899</v>
      </c>
      <c r="U107" s="165">
        <f ca="1"/>
        <v>5034.7999999999993</v>
      </c>
    </row>
    <row r="108" spans="1:21" ht="12.75">
      <c r="A108" s="167" t="str">
        <f ca="1">IFERROR(__xludf.DUMMYFUNCTION("""COMPUTED_VALUE"""),"Araguatins")</f>
        <v>Araguatins</v>
      </c>
      <c r="B108" s="167" t="str">
        <f ca="1">IFERROR(__xludf.DUMMYFUNCTION("""COMPUTED_VALUE"""),"Sitio Novo do Tocantins")</f>
        <v>Sitio Novo do Tocantins</v>
      </c>
      <c r="C108" s="168" t="str">
        <f ca="1">IFERROR(__xludf.DUMMYFUNCTION("""COMPUTED_VALUE"""),"A.A. E. EST. JOAQUIM TEOTONIO SEGURADO")</f>
        <v>A.A. E. EST. JOAQUIM TEOTONIO SEGURADO</v>
      </c>
      <c r="D108" s="169" t="str">
        <f ca="1">IFERROR(__xludf.DUMMYFUNCTION("""COMPUTED_VALUE"""),"01230240000145")</f>
        <v>01230240000145</v>
      </c>
      <c r="E108" s="170" t="str">
        <f ca="1">IFERROR(__xludf.DUMMYFUNCTION("""COMPUTED_VALUE"""),"001")</f>
        <v>001</v>
      </c>
      <c r="F108" s="170" t="str">
        <f ca="1">IFERROR(__xludf.DUMMYFUNCTION("""COMPUTED_VALUE"""),"0810")</f>
        <v>0810</v>
      </c>
      <c r="G108" s="170" t="str">
        <f ca="1">IFERROR(__xludf.DUMMYFUNCTION("""COMPUTED_VALUE"""),"217972")</f>
        <v>217972</v>
      </c>
      <c r="H108" s="170">
        <f ca="1">IFERROR(__xludf.DUMMYFUNCTION("""COMPUTED_VALUE"""),0)</f>
        <v>0</v>
      </c>
      <c r="I108" s="170">
        <f ca="1">IFERROR(__xludf.DUMMYFUNCTION("""COMPUTED_VALUE"""),0)</f>
        <v>0</v>
      </c>
      <c r="J108" s="170">
        <f ca="1">IFERROR(__xludf.DUMMYFUNCTION("""COMPUTED_VALUE"""),450)</f>
        <v>450</v>
      </c>
      <c r="K108" s="170">
        <f ca="1">IFERROR(__xludf.DUMMYFUNCTION("""COMPUTED_VALUE"""),0)</f>
        <v>0</v>
      </c>
      <c r="L108" s="170">
        <f ca="1">IFERROR(__xludf.DUMMYFUNCTION("""COMPUTED_VALUE"""),0)</f>
        <v>0</v>
      </c>
      <c r="M108" s="170">
        <f ca="1">IFERROR(__xludf.DUMMYFUNCTION("""COMPUTED_VALUE"""),0)</f>
        <v>0</v>
      </c>
      <c r="N108" s="170">
        <f ca="1">IFERROR(__xludf.DUMMYFUNCTION("""COMPUTED_VALUE"""),0)</f>
        <v>0</v>
      </c>
      <c r="O108" s="170">
        <f ca="1">IFERROR(__xludf.DUMMYFUNCTION("""COMPUTED_VALUE"""),0)</f>
        <v>0</v>
      </c>
      <c r="P108" s="170">
        <f ca="1">IFERROR(__xludf.DUMMYFUNCTION("""COMPUTED_VALUE"""),0)</f>
        <v>0</v>
      </c>
      <c r="Q108" s="170">
        <f ca="1">IFERROR(__xludf.DUMMYFUNCTION("""COMPUTED_VALUE"""),690)</f>
        <v>690</v>
      </c>
      <c r="R108" s="170">
        <f ca="1">IFERROR(__xludf.DUMMYFUNCTION("""COMPUTED_VALUE"""),0)</f>
        <v>0</v>
      </c>
      <c r="S108" s="170">
        <f ca="1">IFERROR(__xludf.DUMMYFUNCTION("""COMPUTED_VALUE"""),0)</f>
        <v>0</v>
      </c>
      <c r="T108" s="170">
        <f ca="1">IFERROR(__xludf.DUMMYFUNCTION("""COMPUTED_VALUE"""),0)</f>
        <v>0</v>
      </c>
      <c r="U108" s="170">
        <f ca="1"/>
        <v>1140</v>
      </c>
    </row>
    <row r="109" spans="1:21" ht="12.75">
      <c r="A109" s="162" t="str">
        <f ca="1">IFERROR(__xludf.DUMMYFUNCTION("""COMPUTED_VALUE"""),"Araguatins")</f>
        <v>Araguatins</v>
      </c>
      <c r="B109" s="162" t="str">
        <f ca="1">IFERROR(__xludf.DUMMYFUNCTION("""COMPUTED_VALUE"""),"Sitio Novo do Tocantins")</f>
        <v>Sitio Novo do Tocantins</v>
      </c>
      <c r="C109" s="163" t="str">
        <f ca="1">IFERROR(__xludf.DUMMYFUNCTION("""COMPUTED_VALUE"""),"A.A. ESC. EST. MANOEL ESTEVAO DE SOUZA")</f>
        <v>A.A. ESC. EST. MANOEL ESTEVAO DE SOUZA</v>
      </c>
      <c r="D109" s="164" t="str">
        <f ca="1">IFERROR(__xludf.DUMMYFUNCTION("""COMPUTED_VALUE"""),"01213534000169")</f>
        <v>01213534000169</v>
      </c>
      <c r="E109" s="165" t="str">
        <f ca="1">IFERROR(__xludf.DUMMYFUNCTION("""COMPUTED_VALUE"""),"001")</f>
        <v>001</v>
      </c>
      <c r="F109" s="165" t="str">
        <f ca="1">IFERROR(__xludf.DUMMYFUNCTION("""COMPUTED_VALUE"""),"1305")</f>
        <v>1305</v>
      </c>
      <c r="G109" s="165" t="str">
        <f ca="1">IFERROR(__xludf.DUMMYFUNCTION("""COMPUTED_VALUE"""),"181048")</f>
        <v>181048</v>
      </c>
      <c r="H109" s="165">
        <f ca="1">IFERROR(__xludf.DUMMYFUNCTION("""COMPUTED_VALUE"""),0)</f>
        <v>0</v>
      </c>
      <c r="I109" s="165">
        <f ca="1">IFERROR(__xludf.DUMMYFUNCTION("""COMPUTED_VALUE"""),0)</f>
        <v>0</v>
      </c>
      <c r="J109" s="165">
        <f ca="1">IFERROR(__xludf.DUMMYFUNCTION("""COMPUTED_VALUE"""),1090)</f>
        <v>1090</v>
      </c>
      <c r="K109" s="165">
        <f ca="1">IFERROR(__xludf.DUMMYFUNCTION("""COMPUTED_VALUE"""),0)</f>
        <v>0</v>
      </c>
      <c r="L109" s="165">
        <f ca="1">IFERROR(__xludf.DUMMYFUNCTION("""COMPUTED_VALUE"""),0)</f>
        <v>0</v>
      </c>
      <c r="M109" s="165">
        <f ca="1">IFERROR(__xludf.DUMMYFUNCTION("""COMPUTED_VALUE"""),0)</f>
        <v>0</v>
      </c>
      <c r="N109" s="165">
        <f ca="1">IFERROR(__xludf.DUMMYFUNCTION("""COMPUTED_VALUE"""),0)</f>
        <v>0</v>
      </c>
      <c r="O109" s="165">
        <f ca="1">IFERROR(__xludf.DUMMYFUNCTION("""COMPUTED_VALUE"""),0)</f>
        <v>0</v>
      </c>
      <c r="P109" s="165">
        <f ca="1">IFERROR(__xludf.DUMMYFUNCTION("""COMPUTED_VALUE"""),217.6)</f>
        <v>217.6</v>
      </c>
      <c r="Q109" s="165">
        <f ca="1">IFERROR(__xludf.DUMMYFUNCTION("""COMPUTED_VALUE"""),0)</f>
        <v>0</v>
      </c>
      <c r="R109" s="165">
        <f ca="1">IFERROR(__xludf.DUMMYFUNCTION("""COMPUTED_VALUE"""),0)</f>
        <v>0</v>
      </c>
      <c r="S109" s="165">
        <f ca="1">IFERROR(__xludf.DUMMYFUNCTION("""COMPUTED_VALUE"""),0)</f>
        <v>0</v>
      </c>
      <c r="T109" s="165">
        <f ca="1">IFERROR(__xludf.DUMMYFUNCTION("""COMPUTED_VALUE"""),0)</f>
        <v>0</v>
      </c>
      <c r="U109" s="165">
        <f ca="1"/>
        <v>1307.5999999999999</v>
      </c>
    </row>
    <row r="110" spans="1:21" ht="12.75">
      <c r="A110" s="167" t="str">
        <f ca="1">IFERROR(__xludf.DUMMYFUNCTION("""COMPUTED_VALUE"""),"Araguatins")</f>
        <v>Araguatins</v>
      </c>
      <c r="B110" s="167" t="str">
        <f ca="1">IFERROR(__xludf.DUMMYFUNCTION("""COMPUTED_VALUE"""),"Sitio Novo do Tocantins")</f>
        <v>Sitio Novo do Tocantins</v>
      </c>
      <c r="C110" s="168" t="str">
        <f ca="1">IFERROR(__xludf.DUMMYFUNCTION("""COMPUTED_VALUE"""),"A.A. ESC. EST. RAIMUNDO NONATO LEITE")</f>
        <v>A.A. ESC. EST. RAIMUNDO NONATO LEITE</v>
      </c>
      <c r="D110" s="169" t="str">
        <f ca="1">IFERROR(__xludf.DUMMYFUNCTION("""COMPUTED_VALUE"""),"01230237000121")</f>
        <v>01230237000121</v>
      </c>
      <c r="E110" s="170" t="str">
        <f ca="1">IFERROR(__xludf.DUMMYFUNCTION("""COMPUTED_VALUE"""),"001")</f>
        <v>001</v>
      </c>
      <c r="F110" s="170" t="str">
        <f ca="1">IFERROR(__xludf.DUMMYFUNCTION("""COMPUTED_VALUE"""),"0810")</f>
        <v>0810</v>
      </c>
      <c r="G110" s="170" t="str">
        <f ca="1">IFERROR(__xludf.DUMMYFUNCTION("""COMPUTED_VALUE"""),"217980")</f>
        <v>217980</v>
      </c>
      <c r="H110" s="170">
        <f ca="1">IFERROR(__xludf.DUMMYFUNCTION("""COMPUTED_VALUE"""),0)</f>
        <v>0</v>
      </c>
      <c r="I110" s="170">
        <f ca="1">IFERROR(__xludf.DUMMYFUNCTION("""COMPUTED_VALUE"""),0)</f>
        <v>0</v>
      </c>
      <c r="J110" s="170">
        <f ca="1">IFERROR(__xludf.DUMMYFUNCTION("""COMPUTED_VALUE"""),470)</f>
        <v>470</v>
      </c>
      <c r="K110" s="170">
        <f ca="1">IFERROR(__xludf.DUMMYFUNCTION("""COMPUTED_VALUE"""),0)</f>
        <v>0</v>
      </c>
      <c r="L110" s="170">
        <f ca="1">IFERROR(__xludf.DUMMYFUNCTION("""COMPUTED_VALUE"""),0)</f>
        <v>0</v>
      </c>
      <c r="M110" s="170">
        <f ca="1">IFERROR(__xludf.DUMMYFUNCTION("""COMPUTED_VALUE"""),0)</f>
        <v>0</v>
      </c>
      <c r="N110" s="170">
        <f ca="1">IFERROR(__xludf.DUMMYFUNCTION("""COMPUTED_VALUE"""),0)</f>
        <v>0</v>
      </c>
      <c r="O110" s="170">
        <f ca="1">IFERROR(__xludf.DUMMYFUNCTION("""COMPUTED_VALUE"""),0)</f>
        <v>0</v>
      </c>
      <c r="P110" s="170">
        <f ca="1">IFERROR(__xludf.DUMMYFUNCTION("""COMPUTED_VALUE"""),217.6)</f>
        <v>217.6</v>
      </c>
      <c r="Q110" s="170">
        <f ca="1">IFERROR(__xludf.DUMMYFUNCTION("""COMPUTED_VALUE"""),480)</f>
        <v>480</v>
      </c>
      <c r="R110" s="170">
        <f ca="1">IFERROR(__xludf.DUMMYFUNCTION("""COMPUTED_VALUE"""),0)</f>
        <v>0</v>
      </c>
      <c r="S110" s="170">
        <f ca="1">IFERROR(__xludf.DUMMYFUNCTION("""COMPUTED_VALUE"""),0)</f>
        <v>0</v>
      </c>
      <c r="T110" s="170">
        <f ca="1">IFERROR(__xludf.DUMMYFUNCTION("""COMPUTED_VALUE"""),0)</f>
        <v>0</v>
      </c>
      <c r="U110" s="170">
        <f ca="1"/>
        <v>1167.5999999999999</v>
      </c>
    </row>
    <row r="111" spans="1:21" ht="12.75">
      <c r="A111" s="162" t="str">
        <f ca="1">IFERROR(__xludf.DUMMYFUNCTION("""COMPUTED_VALUE"""),"Arraias")</f>
        <v>Arraias</v>
      </c>
      <c r="B111" s="162" t="str">
        <f ca="1">IFERROR(__xludf.DUMMYFUNCTION("""COMPUTED_VALUE"""),"Arraias")</f>
        <v>Arraias</v>
      </c>
      <c r="C111" s="163" t="str">
        <f ca="1">IFERROR(__xludf.DUMMYFUNCTION("""COMPUTED_VALUE"""),"A. E. COM.COL EST PROFA. JOANA B. CORDEIRO")</f>
        <v>A. E. COM.COL EST PROFA. JOANA B. CORDEIRO</v>
      </c>
      <c r="D111" s="164" t="str">
        <f ca="1">IFERROR(__xludf.DUMMYFUNCTION("""COMPUTED_VALUE"""),"00922190000102")</f>
        <v>00922190000102</v>
      </c>
      <c r="E111" s="165" t="str">
        <f ca="1">IFERROR(__xludf.DUMMYFUNCTION("""COMPUTED_VALUE"""),"001")</f>
        <v>001</v>
      </c>
      <c r="F111" s="165" t="str">
        <f ca="1">IFERROR(__xludf.DUMMYFUNCTION("""COMPUTED_VALUE"""),"0541")</f>
        <v>0541</v>
      </c>
      <c r="G111" s="165" t="str">
        <f ca="1">IFERROR(__xludf.DUMMYFUNCTION("""COMPUTED_VALUE"""),"231770")</f>
        <v>231770</v>
      </c>
      <c r="H111" s="165">
        <f ca="1">IFERROR(__xludf.DUMMYFUNCTION("""COMPUTED_VALUE"""),0)</f>
        <v>0</v>
      </c>
      <c r="I111" s="165">
        <f ca="1">IFERROR(__xludf.DUMMYFUNCTION("""COMPUTED_VALUE"""),0)</f>
        <v>0</v>
      </c>
      <c r="J111" s="165">
        <f ca="1">IFERROR(__xludf.DUMMYFUNCTION("""COMPUTED_VALUE"""),0)</f>
        <v>0</v>
      </c>
      <c r="K111" s="165">
        <f ca="1">IFERROR(__xludf.DUMMYFUNCTION("""COMPUTED_VALUE"""),0)</f>
        <v>0</v>
      </c>
      <c r="L111" s="165">
        <f ca="1">IFERROR(__xludf.DUMMYFUNCTION("""COMPUTED_VALUE"""),0)</f>
        <v>0</v>
      </c>
      <c r="M111" s="165">
        <f ca="1">IFERROR(__xludf.DUMMYFUNCTION("""COMPUTED_VALUE"""),0)</f>
        <v>0</v>
      </c>
      <c r="N111" s="165">
        <f ca="1">IFERROR(__xludf.DUMMYFUNCTION("""COMPUTED_VALUE"""),0)</f>
        <v>0</v>
      </c>
      <c r="O111" s="165">
        <f ca="1">IFERROR(__xludf.DUMMYFUNCTION("""COMPUTED_VALUE"""),0)</f>
        <v>0</v>
      </c>
      <c r="P111" s="165">
        <f ca="1">IFERROR(__xludf.DUMMYFUNCTION("""COMPUTED_VALUE"""),81.6)</f>
        <v>81.599999999999994</v>
      </c>
      <c r="Q111" s="165">
        <f ca="1">IFERROR(__xludf.DUMMYFUNCTION("""COMPUTED_VALUE"""),0)</f>
        <v>0</v>
      </c>
      <c r="R111" s="165">
        <f ca="1">IFERROR(__xludf.DUMMYFUNCTION("""COMPUTED_VALUE"""),0)</f>
        <v>0</v>
      </c>
      <c r="S111" s="165">
        <f ca="1">IFERROR(__xludf.DUMMYFUNCTION("""COMPUTED_VALUE"""),2560)</f>
        <v>2560</v>
      </c>
      <c r="T111" s="165">
        <f ca="1">IFERROR(__xludf.DUMMYFUNCTION("""COMPUTED_VALUE"""),0)</f>
        <v>0</v>
      </c>
      <c r="U111" s="165">
        <f ca="1"/>
        <v>2641.6</v>
      </c>
    </row>
    <row r="112" spans="1:21" ht="12.75">
      <c r="A112" s="167" t="str">
        <f ca="1">IFERROR(__xludf.DUMMYFUNCTION("""COMPUTED_VALUE"""),"Arraias")</f>
        <v>Arraias</v>
      </c>
      <c r="B112" s="167" t="str">
        <f ca="1">IFERROR(__xludf.DUMMYFUNCTION("""COMPUTED_VALUE"""),"Arraias")</f>
        <v>Arraias</v>
      </c>
      <c r="C112" s="168" t="str">
        <f ca="1">IFERROR(__xludf.DUMMYFUNCTION("""COMPUTED_VALUE"""),"A.A. ESC. AGRÍCOLA DAVID AIRES FRANÇA")</f>
        <v>A.A. ESC. AGRÍCOLA DAVID AIRES FRANÇA</v>
      </c>
      <c r="D112" s="169" t="str">
        <f ca="1">IFERROR(__xludf.DUMMYFUNCTION("""COMPUTED_VALUE"""),"04302970000100")</f>
        <v>04302970000100</v>
      </c>
      <c r="E112" s="170" t="str">
        <f ca="1">IFERROR(__xludf.DUMMYFUNCTION("""COMPUTED_VALUE"""),"001")</f>
        <v>001</v>
      </c>
      <c r="F112" s="170" t="str">
        <f ca="1">IFERROR(__xludf.DUMMYFUNCTION("""COMPUTED_VALUE"""),"0541")</f>
        <v>0541</v>
      </c>
      <c r="G112" s="170" t="str">
        <f ca="1">IFERROR(__xludf.DUMMYFUNCTION("""COMPUTED_VALUE"""),"94811")</f>
        <v>94811</v>
      </c>
      <c r="H112" s="170">
        <f ca="1">IFERROR(__xludf.DUMMYFUNCTION("""COMPUTED_VALUE"""),0)</f>
        <v>0</v>
      </c>
      <c r="I112" s="170">
        <f ca="1">IFERROR(__xludf.DUMMYFUNCTION("""COMPUTED_VALUE"""),0)</f>
        <v>0</v>
      </c>
      <c r="J112" s="170">
        <f ca="1">IFERROR(__xludf.DUMMYFUNCTION("""COMPUTED_VALUE"""),0)</f>
        <v>0</v>
      </c>
      <c r="K112" s="170">
        <f ca="1">IFERROR(__xludf.DUMMYFUNCTION("""COMPUTED_VALUE"""),1370)</f>
        <v>1370</v>
      </c>
      <c r="L112" s="170">
        <f ca="1">IFERROR(__xludf.DUMMYFUNCTION("""COMPUTED_VALUE"""),0)</f>
        <v>0</v>
      </c>
      <c r="M112" s="170">
        <f ca="1">IFERROR(__xludf.DUMMYFUNCTION("""COMPUTED_VALUE"""),0)</f>
        <v>0</v>
      </c>
      <c r="N112" s="170">
        <f ca="1">IFERROR(__xludf.DUMMYFUNCTION("""COMPUTED_VALUE"""),0)</f>
        <v>0</v>
      </c>
      <c r="O112" s="170">
        <f ca="1">IFERROR(__xludf.DUMMYFUNCTION("""COMPUTED_VALUE"""),0)</f>
        <v>0</v>
      </c>
      <c r="P112" s="170">
        <f ca="1">IFERROR(__xludf.DUMMYFUNCTION("""COMPUTED_VALUE"""),95.2)</f>
        <v>95.2</v>
      </c>
      <c r="Q112" s="170">
        <f ca="1">IFERROR(__xludf.DUMMYFUNCTION("""COMPUTED_VALUE"""),0)</f>
        <v>0</v>
      </c>
      <c r="R112" s="170">
        <f ca="1">IFERROR(__xludf.DUMMYFUNCTION("""COMPUTED_VALUE"""),0)</f>
        <v>0</v>
      </c>
      <c r="S112" s="170">
        <f ca="1">IFERROR(__xludf.DUMMYFUNCTION("""COMPUTED_VALUE"""),5478.4)</f>
        <v>5478.4</v>
      </c>
      <c r="T112" s="170">
        <f ca="1">IFERROR(__xludf.DUMMYFUNCTION("""COMPUTED_VALUE"""),0)</f>
        <v>0</v>
      </c>
      <c r="U112" s="170">
        <f ca="1"/>
        <v>6943.5999999999995</v>
      </c>
    </row>
    <row r="113" spans="1:21" ht="12.75">
      <c r="A113" s="162" t="str">
        <f ca="1">IFERROR(__xludf.DUMMYFUNCTION("""COMPUTED_VALUE"""),"Arraias")</f>
        <v>Arraias</v>
      </c>
      <c r="B113" s="162" t="str">
        <f ca="1">IFERROR(__xludf.DUMMYFUNCTION("""COMPUTED_VALUE"""),"Arraias")</f>
        <v>Arraias</v>
      </c>
      <c r="C113" s="163" t="str">
        <f ca="1">IFERROR(__xludf.DUMMYFUNCTION("""COMPUTED_VALUE"""),"A.A. ESCOL. DA ESC. EST. BRIGADEIRO FELIPE")</f>
        <v>A.A. ESCOL. DA ESC. EST. BRIGADEIRO FELIPE</v>
      </c>
      <c r="D113" s="164" t="str">
        <f ca="1">IFERROR(__xludf.DUMMYFUNCTION("""COMPUTED_VALUE"""),"01221149000163")</f>
        <v>01221149000163</v>
      </c>
      <c r="E113" s="165" t="str">
        <f ca="1">IFERROR(__xludf.DUMMYFUNCTION("""COMPUTED_VALUE"""),"001")</f>
        <v>001</v>
      </c>
      <c r="F113" s="165" t="str">
        <f ca="1">IFERROR(__xludf.DUMMYFUNCTION("""COMPUTED_VALUE"""),"0541")</f>
        <v>0541</v>
      </c>
      <c r="G113" s="165" t="str">
        <f ca="1">IFERROR(__xludf.DUMMYFUNCTION("""COMPUTED_VALUE"""),"232165")</f>
        <v>232165</v>
      </c>
      <c r="H113" s="165">
        <f ca="1">IFERROR(__xludf.DUMMYFUNCTION("""COMPUTED_VALUE"""),0)</f>
        <v>0</v>
      </c>
      <c r="I113" s="165">
        <f ca="1">IFERROR(__xludf.DUMMYFUNCTION("""COMPUTED_VALUE"""),0)</f>
        <v>0</v>
      </c>
      <c r="J113" s="165">
        <f ca="1">IFERROR(__xludf.DUMMYFUNCTION("""COMPUTED_VALUE"""),1080)</f>
        <v>1080</v>
      </c>
      <c r="K113" s="165">
        <f ca="1">IFERROR(__xludf.DUMMYFUNCTION("""COMPUTED_VALUE"""),0)</f>
        <v>0</v>
      </c>
      <c r="L113" s="165">
        <f ca="1">IFERROR(__xludf.DUMMYFUNCTION("""COMPUTED_VALUE"""),0)</f>
        <v>0</v>
      </c>
      <c r="M113" s="165">
        <f ca="1">IFERROR(__xludf.DUMMYFUNCTION("""COMPUTED_VALUE"""),0)</f>
        <v>0</v>
      </c>
      <c r="N113" s="165">
        <f ca="1">IFERROR(__xludf.DUMMYFUNCTION("""COMPUTED_VALUE"""),0)</f>
        <v>0</v>
      </c>
      <c r="O113" s="165">
        <f ca="1">IFERROR(__xludf.DUMMYFUNCTION("""COMPUTED_VALUE"""),0)</f>
        <v>0</v>
      </c>
      <c r="P113" s="165">
        <f ca="1">IFERROR(__xludf.DUMMYFUNCTION("""COMPUTED_VALUE"""),95.2)</f>
        <v>95.2</v>
      </c>
      <c r="Q113" s="165">
        <f ca="1">IFERROR(__xludf.DUMMYFUNCTION("""COMPUTED_VALUE"""),1490)</f>
        <v>1490</v>
      </c>
      <c r="R113" s="165">
        <f ca="1">IFERROR(__xludf.DUMMYFUNCTION("""COMPUTED_VALUE"""),0)</f>
        <v>0</v>
      </c>
      <c r="S113" s="165">
        <f ca="1">IFERROR(__xludf.DUMMYFUNCTION("""COMPUTED_VALUE"""),0)</f>
        <v>0</v>
      </c>
      <c r="T113" s="165">
        <f ca="1">IFERROR(__xludf.DUMMYFUNCTION("""COMPUTED_VALUE"""),0)</f>
        <v>0</v>
      </c>
      <c r="U113" s="165">
        <f ca="1"/>
        <v>2665.2</v>
      </c>
    </row>
    <row r="114" spans="1:21" ht="12.75">
      <c r="A114" s="167" t="str">
        <f ca="1">IFERROR(__xludf.DUMMYFUNCTION("""COMPUTED_VALUE"""),"Arraias")</f>
        <v>Arraias</v>
      </c>
      <c r="B114" s="167" t="str">
        <f ca="1">IFERROR(__xludf.DUMMYFUNCTION("""COMPUTED_VALUE"""),"Arraias")</f>
        <v>Arraias</v>
      </c>
      <c r="C114" s="168" t="str">
        <f ca="1">IFERROR(__xludf.DUMMYFUNCTION("""COMPUTED_VALUE"""),"ASS. APOIO ESC. EST. JACY ALVES DE BARROS")</f>
        <v>ASS. APOIO ESC. EST. JACY ALVES DE BARROS</v>
      </c>
      <c r="D114" s="169" t="str">
        <f ca="1">IFERROR(__xludf.DUMMYFUNCTION("""COMPUTED_VALUE"""),"01284634000186")</f>
        <v>01284634000186</v>
      </c>
      <c r="E114" s="170" t="str">
        <f ca="1">IFERROR(__xludf.DUMMYFUNCTION("""COMPUTED_VALUE"""),"001")</f>
        <v>001</v>
      </c>
      <c r="F114" s="170" t="str">
        <f ca="1">IFERROR(__xludf.DUMMYFUNCTION("""COMPUTED_VALUE"""),"0541")</f>
        <v>0541</v>
      </c>
      <c r="G114" s="170" t="str">
        <f ca="1">IFERROR(__xludf.DUMMYFUNCTION("""COMPUTED_VALUE"""),"232246")</f>
        <v>232246</v>
      </c>
      <c r="H114" s="170">
        <f ca="1">IFERROR(__xludf.DUMMYFUNCTION("""COMPUTED_VALUE"""),0)</f>
        <v>0</v>
      </c>
      <c r="I114" s="170">
        <f ca="1">IFERROR(__xludf.DUMMYFUNCTION("""COMPUTED_VALUE"""),0)</f>
        <v>0</v>
      </c>
      <c r="J114" s="170">
        <f ca="1">IFERROR(__xludf.DUMMYFUNCTION("""COMPUTED_VALUE"""),1950)</f>
        <v>1950</v>
      </c>
      <c r="K114" s="170">
        <f ca="1">IFERROR(__xludf.DUMMYFUNCTION("""COMPUTED_VALUE"""),0)</f>
        <v>0</v>
      </c>
      <c r="L114" s="170">
        <f ca="1">IFERROR(__xludf.DUMMYFUNCTION("""COMPUTED_VALUE"""),0)</f>
        <v>0</v>
      </c>
      <c r="M114" s="170">
        <f ca="1">IFERROR(__xludf.DUMMYFUNCTION("""COMPUTED_VALUE"""),0)</f>
        <v>0</v>
      </c>
      <c r="N114" s="170">
        <f ca="1">IFERROR(__xludf.DUMMYFUNCTION("""COMPUTED_VALUE"""),0)</f>
        <v>0</v>
      </c>
      <c r="O114" s="170">
        <f ca="1">IFERROR(__xludf.DUMMYFUNCTION("""COMPUTED_VALUE"""),0)</f>
        <v>0</v>
      </c>
      <c r="P114" s="170">
        <f ca="1">IFERROR(__xludf.DUMMYFUNCTION("""COMPUTED_VALUE"""),81.6)</f>
        <v>81.599999999999994</v>
      </c>
      <c r="Q114" s="170">
        <f ca="1">IFERROR(__xludf.DUMMYFUNCTION("""COMPUTED_VALUE"""),0)</f>
        <v>0</v>
      </c>
      <c r="R114" s="170">
        <f ca="1">IFERROR(__xludf.DUMMYFUNCTION("""COMPUTED_VALUE"""),0)</f>
        <v>0</v>
      </c>
      <c r="S114" s="170">
        <f ca="1">IFERROR(__xludf.DUMMYFUNCTION("""COMPUTED_VALUE"""),0)</f>
        <v>0</v>
      </c>
      <c r="T114" s="170">
        <f ca="1">IFERROR(__xludf.DUMMYFUNCTION("""COMPUTED_VALUE"""),0)</f>
        <v>0</v>
      </c>
      <c r="U114" s="170">
        <f ca="1"/>
        <v>2031.6</v>
      </c>
    </row>
    <row r="115" spans="1:21" ht="12.75">
      <c r="A115" s="162" t="str">
        <f ca="1">IFERROR(__xludf.DUMMYFUNCTION("""COMPUTED_VALUE"""),"Arraias")</f>
        <v>Arraias</v>
      </c>
      <c r="B115" s="162" t="str">
        <f ca="1">IFERROR(__xludf.DUMMYFUNCTION("""COMPUTED_VALUE"""),"Arraias")</f>
        <v>Arraias</v>
      </c>
      <c r="C115" s="163" t="str">
        <f ca="1">IFERROR(__xludf.DUMMYFUNCTION("""COMPUTED_VALUE"""),"A.A. ESCOLA ESTADUAL CANABRAVA/ZULMIRA MAGALHÃES")</f>
        <v>A.A. ESCOLA ESTADUAL CANABRAVA/ZULMIRA MAGALHÃES</v>
      </c>
      <c r="D115" s="164" t="str">
        <f ca="1">IFERROR(__xludf.DUMMYFUNCTION("""COMPUTED_VALUE"""),"01284633000131")</f>
        <v>01284633000131</v>
      </c>
      <c r="E115" s="165" t="str">
        <f ca="1">IFERROR(__xludf.DUMMYFUNCTION("""COMPUTED_VALUE"""),"001")</f>
        <v>001</v>
      </c>
      <c r="F115" s="165" t="str">
        <f ca="1">IFERROR(__xludf.DUMMYFUNCTION("""COMPUTED_VALUE"""),"0541")</f>
        <v>0541</v>
      </c>
      <c r="G115" s="165" t="str">
        <f ca="1">IFERROR(__xludf.DUMMYFUNCTION("""COMPUTED_VALUE"""),"23219X")</f>
        <v>23219X</v>
      </c>
      <c r="H115" s="165">
        <f ca="1">IFERROR(__xludf.DUMMYFUNCTION("""COMPUTED_VALUE"""),0)</f>
        <v>0</v>
      </c>
      <c r="I115" s="165">
        <f ca="1">IFERROR(__xludf.DUMMYFUNCTION("""COMPUTED_VALUE"""),0)</f>
        <v>0</v>
      </c>
      <c r="J115" s="165">
        <f ca="1">IFERROR(__xludf.DUMMYFUNCTION("""COMPUTED_VALUE"""),1060)</f>
        <v>1060</v>
      </c>
      <c r="K115" s="165">
        <f ca="1">IFERROR(__xludf.DUMMYFUNCTION("""COMPUTED_VALUE"""),0)</f>
        <v>0</v>
      </c>
      <c r="L115" s="165">
        <f ca="1">IFERROR(__xludf.DUMMYFUNCTION("""COMPUTED_VALUE"""),0)</f>
        <v>0</v>
      </c>
      <c r="M115" s="165">
        <f ca="1">IFERROR(__xludf.DUMMYFUNCTION("""COMPUTED_VALUE"""),0)</f>
        <v>0</v>
      </c>
      <c r="N115" s="165">
        <f ca="1">IFERROR(__xludf.DUMMYFUNCTION("""COMPUTED_VALUE"""),0)</f>
        <v>0</v>
      </c>
      <c r="O115" s="165">
        <f ca="1">IFERROR(__xludf.DUMMYFUNCTION("""COMPUTED_VALUE"""),0)</f>
        <v>0</v>
      </c>
      <c r="P115" s="165">
        <f ca="1">IFERROR(__xludf.DUMMYFUNCTION("""COMPUTED_VALUE"""),190.4)</f>
        <v>190.4</v>
      </c>
      <c r="Q115" s="165">
        <f ca="1">IFERROR(__xludf.DUMMYFUNCTION("""COMPUTED_VALUE"""),590)</f>
        <v>590</v>
      </c>
      <c r="R115" s="165">
        <f ca="1">IFERROR(__xludf.DUMMYFUNCTION("""COMPUTED_VALUE"""),0)</f>
        <v>0</v>
      </c>
      <c r="S115" s="165">
        <f ca="1">IFERROR(__xludf.DUMMYFUNCTION("""COMPUTED_VALUE"""),0)</f>
        <v>0</v>
      </c>
      <c r="T115" s="165">
        <f ca="1">IFERROR(__xludf.DUMMYFUNCTION("""COMPUTED_VALUE"""),0)</f>
        <v>0</v>
      </c>
      <c r="U115" s="165">
        <f ca="1"/>
        <v>1840.4</v>
      </c>
    </row>
    <row r="116" spans="1:21" ht="12.75">
      <c r="A116" s="167" t="str">
        <f ca="1">IFERROR(__xludf.DUMMYFUNCTION("""COMPUTED_VALUE"""),"Arraias")</f>
        <v>Arraias</v>
      </c>
      <c r="B116" s="167" t="str">
        <f ca="1">IFERROR(__xludf.DUMMYFUNCTION("""COMPUTED_VALUE"""),"Arraias")</f>
        <v>Arraias</v>
      </c>
      <c r="C116" s="168" t="str">
        <f ca="1">IFERROR(__xludf.DUMMYFUNCTION("""COMPUTED_VALUE"""),"A.A. ESCOLAR DA ESC. EST. SILVA DOURADO")</f>
        <v>A.A. ESCOLAR DA ESC. EST. SILVA DOURADO</v>
      </c>
      <c r="D116" s="169" t="str">
        <f ca="1">IFERROR(__xludf.DUMMYFUNCTION("""COMPUTED_VALUE"""),"01301519000172")</f>
        <v>01301519000172</v>
      </c>
      <c r="E116" s="170" t="str">
        <f ca="1">IFERROR(__xludf.DUMMYFUNCTION("""COMPUTED_VALUE"""),"001")</f>
        <v>001</v>
      </c>
      <c r="F116" s="170" t="str">
        <f ca="1">IFERROR(__xludf.DUMMYFUNCTION("""COMPUTED_VALUE"""),"0541")</f>
        <v>0541</v>
      </c>
      <c r="G116" s="170" t="str">
        <f ca="1">IFERROR(__xludf.DUMMYFUNCTION("""COMPUTED_VALUE"""),"232297")</f>
        <v>232297</v>
      </c>
      <c r="H116" s="170">
        <f ca="1">IFERROR(__xludf.DUMMYFUNCTION("""COMPUTED_VALUE"""),0)</f>
        <v>0</v>
      </c>
      <c r="I116" s="170">
        <f ca="1">IFERROR(__xludf.DUMMYFUNCTION("""COMPUTED_VALUE"""),0)</f>
        <v>0</v>
      </c>
      <c r="J116" s="170">
        <f ca="1">IFERROR(__xludf.DUMMYFUNCTION("""COMPUTED_VALUE"""),1820)</f>
        <v>1820</v>
      </c>
      <c r="K116" s="170">
        <f ca="1">IFERROR(__xludf.DUMMYFUNCTION("""COMPUTED_VALUE"""),0)</f>
        <v>0</v>
      </c>
      <c r="L116" s="170">
        <f ca="1">IFERROR(__xludf.DUMMYFUNCTION("""COMPUTED_VALUE"""),0)</f>
        <v>0</v>
      </c>
      <c r="M116" s="170">
        <f ca="1">IFERROR(__xludf.DUMMYFUNCTION("""COMPUTED_VALUE"""),0)</f>
        <v>0</v>
      </c>
      <c r="N116" s="170">
        <f ca="1">IFERROR(__xludf.DUMMYFUNCTION("""COMPUTED_VALUE"""),0)</f>
        <v>0</v>
      </c>
      <c r="O116" s="170">
        <f ca="1">IFERROR(__xludf.DUMMYFUNCTION("""COMPUTED_VALUE"""),0)</f>
        <v>0</v>
      </c>
      <c r="P116" s="170">
        <f ca="1">IFERROR(__xludf.DUMMYFUNCTION("""COMPUTED_VALUE"""),149.6)</f>
        <v>149.6</v>
      </c>
      <c r="Q116" s="170">
        <f ca="1">IFERROR(__xludf.DUMMYFUNCTION("""COMPUTED_VALUE"""),0)</f>
        <v>0</v>
      </c>
      <c r="R116" s="170">
        <f ca="1">IFERROR(__xludf.DUMMYFUNCTION("""COMPUTED_VALUE"""),0)</f>
        <v>0</v>
      </c>
      <c r="S116" s="170">
        <f ca="1">IFERROR(__xludf.DUMMYFUNCTION("""COMPUTED_VALUE"""),0)</f>
        <v>0</v>
      </c>
      <c r="T116" s="170">
        <f ca="1">IFERROR(__xludf.DUMMYFUNCTION("""COMPUTED_VALUE"""),311.599999999999)</f>
        <v>311.599999999999</v>
      </c>
      <c r="U116" s="170">
        <f ca="1"/>
        <v>2281.1999999999989</v>
      </c>
    </row>
    <row r="117" spans="1:21" ht="12.75">
      <c r="A117" s="162" t="str">
        <f ca="1">IFERROR(__xludf.DUMMYFUNCTION("""COMPUTED_VALUE"""),"Arraias")</f>
        <v>Arraias</v>
      </c>
      <c r="B117" s="162" t="str">
        <f ca="1">IFERROR(__xludf.DUMMYFUNCTION("""COMPUTED_VALUE"""),"Aurora do Tocantins")</f>
        <v>Aurora do Tocantins</v>
      </c>
      <c r="C117" s="163" t="str">
        <f ca="1">IFERROR(__xludf.DUMMYFUNCTION("""COMPUTED_VALUE"""),"A.A. A ESCOLA/COL. EST.PROF. RANULFA")</f>
        <v>A.A. A ESCOLA/COL. EST.PROF. RANULFA</v>
      </c>
      <c r="D117" s="164" t="str">
        <f ca="1">IFERROR(__xludf.DUMMYFUNCTION("""COMPUTED_VALUE"""),"01133691000164")</f>
        <v>01133691000164</v>
      </c>
      <c r="E117" s="165" t="str">
        <f ca="1">IFERROR(__xludf.DUMMYFUNCTION("""COMPUTED_VALUE"""),"001")</f>
        <v>001</v>
      </c>
      <c r="F117" s="165" t="str">
        <f ca="1">IFERROR(__xludf.DUMMYFUNCTION("""COMPUTED_VALUE"""),"3977")</f>
        <v>3977</v>
      </c>
      <c r="G117" s="165" t="str">
        <f ca="1">IFERROR(__xludf.DUMMYFUNCTION("""COMPUTED_VALUE"""),"102725")</f>
        <v>102725</v>
      </c>
      <c r="H117" s="165">
        <f ca="1">IFERROR(__xludf.DUMMYFUNCTION("""COMPUTED_VALUE"""),0)</f>
        <v>0</v>
      </c>
      <c r="I117" s="165">
        <f ca="1">IFERROR(__xludf.DUMMYFUNCTION("""COMPUTED_VALUE"""),0)</f>
        <v>0</v>
      </c>
      <c r="J117" s="165">
        <f ca="1">IFERROR(__xludf.DUMMYFUNCTION("""COMPUTED_VALUE"""),310)</f>
        <v>310</v>
      </c>
      <c r="K117" s="165">
        <f ca="1">IFERROR(__xludf.DUMMYFUNCTION("""COMPUTED_VALUE"""),0)</f>
        <v>0</v>
      </c>
      <c r="L117" s="165">
        <f ca="1">IFERROR(__xludf.DUMMYFUNCTION("""COMPUTED_VALUE"""),0)</f>
        <v>0</v>
      </c>
      <c r="M117" s="165">
        <f ca="1">IFERROR(__xludf.DUMMYFUNCTION("""COMPUTED_VALUE"""),0)</f>
        <v>0</v>
      </c>
      <c r="N117" s="165">
        <f ca="1">IFERROR(__xludf.DUMMYFUNCTION("""COMPUTED_VALUE"""),0)</f>
        <v>0</v>
      </c>
      <c r="O117" s="165">
        <f ca="1">IFERROR(__xludf.DUMMYFUNCTION("""COMPUTED_VALUE"""),0)</f>
        <v>0</v>
      </c>
      <c r="P117" s="165">
        <f ca="1">IFERROR(__xludf.DUMMYFUNCTION("""COMPUTED_VALUE"""),149.6)</f>
        <v>149.6</v>
      </c>
      <c r="Q117" s="165">
        <f ca="1">IFERROR(__xludf.DUMMYFUNCTION("""COMPUTED_VALUE"""),1610)</f>
        <v>1610</v>
      </c>
      <c r="R117" s="165">
        <f ca="1">IFERROR(__xludf.DUMMYFUNCTION("""COMPUTED_VALUE"""),0)</f>
        <v>0</v>
      </c>
      <c r="S117" s="165">
        <f ca="1">IFERROR(__xludf.DUMMYFUNCTION("""COMPUTED_VALUE"""),0)</f>
        <v>0</v>
      </c>
      <c r="T117" s="165">
        <f ca="1">IFERROR(__xludf.DUMMYFUNCTION("""COMPUTED_VALUE"""),0)</f>
        <v>0</v>
      </c>
      <c r="U117" s="165">
        <f ca="1"/>
        <v>2069.6</v>
      </c>
    </row>
    <row r="118" spans="1:21" ht="12.75">
      <c r="A118" s="167" t="str">
        <f ca="1">IFERROR(__xludf.DUMMYFUNCTION("""COMPUTED_VALUE"""),"Arraias")</f>
        <v>Arraias</v>
      </c>
      <c r="B118" s="167" t="str">
        <f ca="1">IFERROR(__xludf.DUMMYFUNCTION("""COMPUTED_VALUE"""),"Aurora do Tocantins")</f>
        <v>Aurora do Tocantins</v>
      </c>
      <c r="C118" s="168" t="str">
        <f ca="1">IFERROR(__xludf.DUMMYFUNCTION("""COMPUTED_VALUE"""),"ASS. APOIO ESCOLA ESTADUAL DONA INES")</f>
        <v>ASS. APOIO ESCOLA ESTADUAL DONA INES</v>
      </c>
      <c r="D118" s="169" t="str">
        <f ca="1">IFERROR(__xludf.DUMMYFUNCTION("""COMPUTED_VALUE"""),"01190419000116")</f>
        <v>01190419000116</v>
      </c>
      <c r="E118" s="170" t="str">
        <f ca="1">IFERROR(__xludf.DUMMYFUNCTION("""COMPUTED_VALUE"""),"001")</f>
        <v>001</v>
      </c>
      <c r="F118" s="170" t="str">
        <f ca="1">IFERROR(__xludf.DUMMYFUNCTION("""COMPUTED_VALUE"""),"3977")</f>
        <v>3977</v>
      </c>
      <c r="G118" s="170" t="str">
        <f ca="1">IFERROR(__xludf.DUMMYFUNCTION("""COMPUTED_VALUE"""),"109703")</f>
        <v>109703</v>
      </c>
      <c r="H118" s="170">
        <f ca="1">IFERROR(__xludf.DUMMYFUNCTION("""COMPUTED_VALUE"""),0)</f>
        <v>0</v>
      </c>
      <c r="I118" s="170">
        <f ca="1">IFERROR(__xludf.DUMMYFUNCTION("""COMPUTED_VALUE"""),0)</f>
        <v>0</v>
      </c>
      <c r="J118" s="170">
        <f ca="1">IFERROR(__xludf.DUMMYFUNCTION("""COMPUTED_VALUE"""),1150)</f>
        <v>1150</v>
      </c>
      <c r="K118" s="170">
        <f ca="1">IFERROR(__xludf.DUMMYFUNCTION("""COMPUTED_VALUE"""),0)</f>
        <v>0</v>
      </c>
      <c r="L118" s="170">
        <f ca="1">IFERROR(__xludf.DUMMYFUNCTION("""COMPUTED_VALUE"""),0)</f>
        <v>0</v>
      </c>
      <c r="M118" s="170">
        <f ca="1">IFERROR(__xludf.DUMMYFUNCTION("""COMPUTED_VALUE"""),0)</f>
        <v>0</v>
      </c>
      <c r="N118" s="170">
        <f ca="1">IFERROR(__xludf.DUMMYFUNCTION("""COMPUTED_VALUE"""),0)</f>
        <v>0</v>
      </c>
      <c r="O118" s="170">
        <f ca="1">IFERROR(__xludf.DUMMYFUNCTION("""COMPUTED_VALUE"""),0)</f>
        <v>0</v>
      </c>
      <c r="P118" s="170">
        <f ca="1">IFERROR(__xludf.DUMMYFUNCTION("""COMPUTED_VALUE"""),0)</f>
        <v>0</v>
      </c>
      <c r="Q118" s="170">
        <f ca="1">IFERROR(__xludf.DUMMYFUNCTION("""COMPUTED_VALUE"""),0)</f>
        <v>0</v>
      </c>
      <c r="R118" s="170">
        <f ca="1">IFERROR(__xludf.DUMMYFUNCTION("""COMPUTED_VALUE"""),0)</f>
        <v>0</v>
      </c>
      <c r="S118" s="170">
        <f ca="1">IFERROR(__xludf.DUMMYFUNCTION("""COMPUTED_VALUE"""),0)</f>
        <v>0</v>
      </c>
      <c r="T118" s="170">
        <f ca="1">IFERROR(__xludf.DUMMYFUNCTION("""COMPUTED_VALUE"""),0)</f>
        <v>0</v>
      </c>
      <c r="U118" s="170">
        <f ca="1"/>
        <v>1150</v>
      </c>
    </row>
    <row r="119" spans="1:21" ht="12.75">
      <c r="A119" s="162" t="str">
        <f ca="1">IFERROR(__xludf.DUMMYFUNCTION("""COMPUTED_VALUE"""),"Arraias")</f>
        <v>Arraias</v>
      </c>
      <c r="B119" s="162" t="str">
        <f ca="1">IFERROR(__xludf.DUMMYFUNCTION("""COMPUTED_VALUE"""),"Combinado")</f>
        <v>Combinado</v>
      </c>
      <c r="C119" s="163" t="str">
        <f ca="1">IFERROR(__xludf.DUMMYFUNCTION("""COMPUTED_VALUE"""),"A.A. DO COL. E.JOAQUIM DE SENA E SILVA")</f>
        <v>A.A. DO COL. E.JOAQUIM DE SENA E SILVA</v>
      </c>
      <c r="D119" s="164" t="str">
        <f ca="1">IFERROR(__xludf.DUMMYFUNCTION("""COMPUTED_VALUE"""),"01230223000108")</f>
        <v>01230223000108</v>
      </c>
      <c r="E119" s="165" t="str">
        <f ca="1">IFERROR(__xludf.DUMMYFUNCTION("""COMPUTED_VALUE"""),"001")</f>
        <v>001</v>
      </c>
      <c r="F119" s="165" t="str">
        <f ca="1">IFERROR(__xludf.DUMMYFUNCTION("""COMPUTED_VALUE"""),"3977")</f>
        <v>3977</v>
      </c>
      <c r="G119" s="165" t="str">
        <f ca="1">IFERROR(__xludf.DUMMYFUNCTION("""COMPUTED_VALUE"""),"232106")</f>
        <v>232106</v>
      </c>
      <c r="H119" s="165">
        <f ca="1">IFERROR(__xludf.DUMMYFUNCTION("""COMPUTED_VALUE"""),0)</f>
        <v>0</v>
      </c>
      <c r="I119" s="165">
        <f ca="1">IFERROR(__xludf.DUMMYFUNCTION("""COMPUTED_VALUE"""),0)</f>
        <v>0</v>
      </c>
      <c r="J119" s="165">
        <f ca="1">IFERROR(__xludf.DUMMYFUNCTION("""COMPUTED_VALUE"""),0)</f>
        <v>0</v>
      </c>
      <c r="K119" s="165">
        <f ca="1">IFERROR(__xludf.DUMMYFUNCTION("""COMPUTED_VALUE"""),0)</f>
        <v>0</v>
      </c>
      <c r="L119" s="165">
        <f ca="1">IFERROR(__xludf.DUMMYFUNCTION("""COMPUTED_VALUE"""),0)</f>
        <v>0</v>
      </c>
      <c r="M119" s="165">
        <f ca="1">IFERROR(__xludf.DUMMYFUNCTION("""COMPUTED_VALUE"""),0)</f>
        <v>0</v>
      </c>
      <c r="N119" s="165">
        <f ca="1">IFERROR(__xludf.DUMMYFUNCTION("""COMPUTED_VALUE"""),0)</f>
        <v>0</v>
      </c>
      <c r="O119" s="165">
        <f ca="1">IFERROR(__xludf.DUMMYFUNCTION("""COMPUTED_VALUE"""),0)</f>
        <v>0</v>
      </c>
      <c r="P119" s="165">
        <f ca="1">IFERROR(__xludf.DUMMYFUNCTION("""COMPUTED_VALUE"""),0)</f>
        <v>0</v>
      </c>
      <c r="Q119" s="165">
        <f ca="1">IFERROR(__xludf.DUMMYFUNCTION("""COMPUTED_VALUE"""),2110)</f>
        <v>2110</v>
      </c>
      <c r="R119" s="165">
        <f ca="1">IFERROR(__xludf.DUMMYFUNCTION("""COMPUTED_VALUE"""),0)</f>
        <v>0</v>
      </c>
      <c r="S119" s="165">
        <f ca="1">IFERROR(__xludf.DUMMYFUNCTION("""COMPUTED_VALUE"""),0)</f>
        <v>0</v>
      </c>
      <c r="T119" s="165">
        <f ca="1">IFERROR(__xludf.DUMMYFUNCTION("""COMPUTED_VALUE"""),0)</f>
        <v>0</v>
      </c>
      <c r="U119" s="165">
        <f ca="1"/>
        <v>2110</v>
      </c>
    </row>
    <row r="120" spans="1:21" ht="12.75">
      <c r="A120" s="167" t="str">
        <f ca="1">IFERROR(__xludf.DUMMYFUNCTION("""COMPUTED_VALUE"""),"Arraias")</f>
        <v>Arraias</v>
      </c>
      <c r="B120" s="167" t="str">
        <f ca="1">IFERROR(__xludf.DUMMYFUNCTION("""COMPUTED_VALUE"""),"Combinado")</f>
        <v>Combinado</v>
      </c>
      <c r="C120" s="168" t="str">
        <f ca="1">IFERROR(__xludf.DUMMYFUNCTION("""COMPUTED_VALUE"""),"A.A. DA ESCOLA ESTADUAL COMBINADO")</f>
        <v>A.A. DA ESCOLA ESTADUAL COMBINADO</v>
      </c>
      <c r="D120" s="169" t="str">
        <f ca="1">IFERROR(__xludf.DUMMYFUNCTION("""COMPUTED_VALUE"""),"01136003000110")</f>
        <v>01136003000110</v>
      </c>
      <c r="E120" s="170" t="str">
        <f ca="1">IFERROR(__xludf.DUMMYFUNCTION("""COMPUTED_VALUE"""),"001")</f>
        <v>001</v>
      </c>
      <c r="F120" s="170" t="str">
        <f ca="1">IFERROR(__xludf.DUMMYFUNCTION("""COMPUTED_VALUE"""),"3977")</f>
        <v>3977</v>
      </c>
      <c r="G120" s="170" t="str">
        <f ca="1">IFERROR(__xludf.DUMMYFUNCTION("""COMPUTED_VALUE"""),"231940")</f>
        <v>231940</v>
      </c>
      <c r="H120" s="170">
        <f ca="1">IFERROR(__xludf.DUMMYFUNCTION("""COMPUTED_VALUE"""),0)</f>
        <v>0</v>
      </c>
      <c r="I120" s="170">
        <f ca="1">IFERROR(__xludf.DUMMYFUNCTION("""COMPUTED_VALUE"""),0)</f>
        <v>0</v>
      </c>
      <c r="J120" s="170">
        <f ca="1">IFERROR(__xludf.DUMMYFUNCTION("""COMPUTED_VALUE"""),0)</f>
        <v>0</v>
      </c>
      <c r="K120" s="170">
        <f ca="1">IFERROR(__xludf.DUMMYFUNCTION("""COMPUTED_VALUE"""),5343)</f>
        <v>5343</v>
      </c>
      <c r="L120" s="170">
        <f ca="1">IFERROR(__xludf.DUMMYFUNCTION("""COMPUTED_VALUE"""),0)</f>
        <v>0</v>
      </c>
      <c r="M120" s="170">
        <f ca="1">IFERROR(__xludf.DUMMYFUNCTION("""COMPUTED_VALUE"""),0)</f>
        <v>0</v>
      </c>
      <c r="N120" s="170">
        <f ca="1">IFERROR(__xludf.DUMMYFUNCTION("""COMPUTED_VALUE"""),0)</f>
        <v>0</v>
      </c>
      <c r="O120" s="170">
        <f ca="1">IFERROR(__xludf.DUMMYFUNCTION("""COMPUTED_VALUE"""),0)</f>
        <v>0</v>
      </c>
      <c r="P120" s="170">
        <f ca="1">IFERROR(__xludf.DUMMYFUNCTION("""COMPUTED_VALUE"""),204)</f>
        <v>204</v>
      </c>
      <c r="Q120" s="170">
        <f ca="1">IFERROR(__xludf.DUMMYFUNCTION("""COMPUTED_VALUE"""),0)</f>
        <v>0</v>
      </c>
      <c r="R120" s="170">
        <f ca="1">IFERROR(__xludf.DUMMYFUNCTION("""COMPUTED_VALUE"""),0)</f>
        <v>0</v>
      </c>
      <c r="S120" s="170">
        <f ca="1">IFERROR(__xludf.DUMMYFUNCTION("""COMPUTED_VALUE"""),0)</f>
        <v>0</v>
      </c>
      <c r="T120" s="170">
        <f ca="1">IFERROR(__xludf.DUMMYFUNCTION("""COMPUTED_VALUE"""),0)</f>
        <v>0</v>
      </c>
      <c r="U120" s="170">
        <f ca="1"/>
        <v>5547</v>
      </c>
    </row>
    <row r="121" spans="1:21" ht="12.75">
      <c r="A121" s="162" t="str">
        <f ca="1">IFERROR(__xludf.DUMMYFUNCTION("""COMPUTED_VALUE"""),"Arraias")</f>
        <v>Arraias</v>
      </c>
      <c r="B121" s="162" t="str">
        <f ca="1">IFERROR(__xludf.DUMMYFUNCTION("""COMPUTED_VALUE"""),"Combinado")</f>
        <v>Combinado</v>
      </c>
      <c r="C121" s="163" t="str">
        <f ca="1">IFERROR(__xludf.DUMMYFUNCTION("""COMPUTED_VALUE"""),"A.A. ESC. EST. AUGUSTA VAZ DOS S.TEIXEIRA")</f>
        <v>A.A. ESC. EST. AUGUSTA VAZ DOS S.TEIXEIRA</v>
      </c>
      <c r="D121" s="164" t="str">
        <f ca="1">IFERROR(__xludf.DUMMYFUNCTION("""COMPUTED_VALUE"""),"01186458000140")</f>
        <v>01186458000140</v>
      </c>
      <c r="E121" s="165" t="str">
        <f ca="1">IFERROR(__xludf.DUMMYFUNCTION("""COMPUTED_VALUE"""),"001")</f>
        <v>001</v>
      </c>
      <c r="F121" s="165" t="str">
        <f ca="1">IFERROR(__xludf.DUMMYFUNCTION("""COMPUTED_VALUE"""),"3977")</f>
        <v>3977</v>
      </c>
      <c r="G121" s="165" t="str">
        <f ca="1">IFERROR(__xludf.DUMMYFUNCTION("""COMPUTED_VALUE"""),"56855")</f>
        <v>56855</v>
      </c>
      <c r="H121" s="165">
        <f ca="1">IFERROR(__xludf.DUMMYFUNCTION("""COMPUTED_VALUE"""),0)</f>
        <v>0</v>
      </c>
      <c r="I121" s="165">
        <f ca="1">IFERROR(__xludf.DUMMYFUNCTION("""COMPUTED_VALUE"""),0)</f>
        <v>0</v>
      </c>
      <c r="J121" s="165">
        <f ca="1">IFERROR(__xludf.DUMMYFUNCTION("""COMPUTED_VALUE"""),1430)</f>
        <v>1430</v>
      </c>
      <c r="K121" s="165">
        <f ca="1">IFERROR(__xludf.DUMMYFUNCTION("""COMPUTED_VALUE"""),0)</f>
        <v>0</v>
      </c>
      <c r="L121" s="165">
        <f ca="1">IFERROR(__xludf.DUMMYFUNCTION("""COMPUTED_VALUE"""),0)</f>
        <v>0</v>
      </c>
      <c r="M121" s="165">
        <f ca="1">IFERROR(__xludf.DUMMYFUNCTION("""COMPUTED_VALUE"""),0)</f>
        <v>0</v>
      </c>
      <c r="N121" s="165">
        <f ca="1">IFERROR(__xludf.DUMMYFUNCTION("""COMPUTED_VALUE"""),0)</f>
        <v>0</v>
      </c>
      <c r="O121" s="165">
        <f ca="1">IFERROR(__xludf.DUMMYFUNCTION("""COMPUTED_VALUE"""),0)</f>
        <v>0</v>
      </c>
      <c r="P121" s="165">
        <f ca="1">IFERROR(__xludf.DUMMYFUNCTION("""COMPUTED_VALUE"""),231.2)</f>
        <v>231.2</v>
      </c>
      <c r="Q121" s="165">
        <f ca="1">IFERROR(__xludf.DUMMYFUNCTION("""COMPUTED_VALUE"""),0)</f>
        <v>0</v>
      </c>
      <c r="R121" s="165">
        <f ca="1">IFERROR(__xludf.DUMMYFUNCTION("""COMPUTED_VALUE"""),0)</f>
        <v>0</v>
      </c>
      <c r="S121" s="165">
        <f ca="1">IFERROR(__xludf.DUMMYFUNCTION("""COMPUTED_VALUE"""),0)</f>
        <v>0</v>
      </c>
      <c r="T121" s="165">
        <f ca="1">IFERROR(__xludf.DUMMYFUNCTION("""COMPUTED_VALUE"""),0)</f>
        <v>0</v>
      </c>
      <c r="U121" s="165">
        <f ca="1"/>
        <v>1661.2</v>
      </c>
    </row>
    <row r="122" spans="1:21" ht="12.75">
      <c r="A122" s="167" t="str">
        <f ca="1">IFERROR(__xludf.DUMMYFUNCTION("""COMPUTED_VALUE"""),"Arraias")</f>
        <v>Arraias</v>
      </c>
      <c r="B122" s="167" t="str">
        <f ca="1">IFERROR(__xludf.DUMMYFUNCTION("""COMPUTED_VALUE"""),"Lavandeira")</f>
        <v>Lavandeira</v>
      </c>
      <c r="C122" s="168" t="str">
        <f ca="1">IFERROR(__xludf.DUMMYFUNCTION("""COMPUTED_VALUE"""),"ASSOC. DE APOIO ESC. EST. LAVANDEIRA")</f>
        <v>ASSOC. DE APOIO ESC. EST. LAVANDEIRA</v>
      </c>
      <c r="D122" s="169" t="str">
        <f ca="1">IFERROR(__xludf.DUMMYFUNCTION("""COMPUTED_VALUE"""),"01136024000135")</f>
        <v>01136024000135</v>
      </c>
      <c r="E122" s="170" t="str">
        <f ca="1">IFERROR(__xludf.DUMMYFUNCTION("""COMPUTED_VALUE"""),"001")</f>
        <v>001</v>
      </c>
      <c r="F122" s="170" t="str">
        <f ca="1">IFERROR(__xludf.DUMMYFUNCTION("""COMPUTED_VALUE"""),"3977")</f>
        <v>3977</v>
      </c>
      <c r="G122" s="170" t="str">
        <f ca="1">IFERROR(__xludf.DUMMYFUNCTION("""COMPUTED_VALUE"""),"231916")</f>
        <v>231916</v>
      </c>
      <c r="H122" s="170">
        <f ca="1">IFERROR(__xludf.DUMMYFUNCTION("""COMPUTED_VALUE"""),0)</f>
        <v>0</v>
      </c>
      <c r="I122" s="170">
        <f ca="1">IFERROR(__xludf.DUMMYFUNCTION("""COMPUTED_VALUE"""),0)</f>
        <v>0</v>
      </c>
      <c r="J122" s="170">
        <f ca="1">IFERROR(__xludf.DUMMYFUNCTION("""COMPUTED_VALUE"""),1080)</f>
        <v>1080</v>
      </c>
      <c r="K122" s="170">
        <f ca="1">IFERROR(__xludf.DUMMYFUNCTION("""COMPUTED_VALUE"""),0)</f>
        <v>0</v>
      </c>
      <c r="L122" s="170">
        <f ca="1">IFERROR(__xludf.DUMMYFUNCTION("""COMPUTED_VALUE"""),0)</f>
        <v>0</v>
      </c>
      <c r="M122" s="170">
        <f ca="1">IFERROR(__xludf.DUMMYFUNCTION("""COMPUTED_VALUE"""),0)</f>
        <v>0</v>
      </c>
      <c r="N122" s="170">
        <f ca="1">IFERROR(__xludf.DUMMYFUNCTION("""COMPUTED_VALUE"""),0)</f>
        <v>0</v>
      </c>
      <c r="O122" s="170">
        <f ca="1">IFERROR(__xludf.DUMMYFUNCTION("""COMPUTED_VALUE"""),0)</f>
        <v>0</v>
      </c>
      <c r="P122" s="170">
        <f ca="1">IFERROR(__xludf.DUMMYFUNCTION("""COMPUTED_VALUE"""),204)</f>
        <v>204</v>
      </c>
      <c r="Q122" s="170">
        <f ca="1">IFERROR(__xludf.DUMMYFUNCTION("""COMPUTED_VALUE"""),790)</f>
        <v>790</v>
      </c>
      <c r="R122" s="170">
        <f ca="1">IFERROR(__xludf.DUMMYFUNCTION("""COMPUTED_VALUE"""),0)</f>
        <v>0</v>
      </c>
      <c r="S122" s="170">
        <f ca="1">IFERROR(__xludf.DUMMYFUNCTION("""COMPUTED_VALUE"""),0)</f>
        <v>0</v>
      </c>
      <c r="T122" s="170">
        <f ca="1">IFERROR(__xludf.DUMMYFUNCTION("""COMPUTED_VALUE"""),0)</f>
        <v>0</v>
      </c>
      <c r="U122" s="170">
        <f ca="1"/>
        <v>2074</v>
      </c>
    </row>
    <row r="123" spans="1:21" ht="12.75">
      <c r="A123" s="162" t="str">
        <f ca="1">IFERROR(__xludf.DUMMYFUNCTION("""COMPUTED_VALUE"""),"Arraias")</f>
        <v>Arraias</v>
      </c>
      <c r="B123" s="162" t="str">
        <f ca="1">IFERROR(__xludf.DUMMYFUNCTION("""COMPUTED_VALUE"""),"Novo Alegre")</f>
        <v>Novo Alegre</v>
      </c>
      <c r="C123" s="163" t="str">
        <f ca="1">IFERROR(__xludf.DUMMYFUNCTION("""COMPUTED_VALUE"""),"ASSOC. DE APOIO COL. EST. DR.JOAO D`ABREU")</f>
        <v>ASSOC. DE APOIO COL. EST. DR.JOAO D`ABREU</v>
      </c>
      <c r="D123" s="164" t="str">
        <f ca="1">IFERROR(__xludf.DUMMYFUNCTION("""COMPUTED_VALUE"""),"01146115000151")</f>
        <v>01146115000151</v>
      </c>
      <c r="E123" s="165" t="str">
        <f ca="1">IFERROR(__xludf.DUMMYFUNCTION("""COMPUTED_VALUE"""),"001")</f>
        <v>001</v>
      </c>
      <c r="F123" s="165" t="str">
        <f ca="1">IFERROR(__xludf.DUMMYFUNCTION("""COMPUTED_VALUE"""),"3977")</f>
        <v>3977</v>
      </c>
      <c r="G123" s="165" t="str">
        <f ca="1">IFERROR(__xludf.DUMMYFUNCTION("""COMPUTED_VALUE"""),"178845")</f>
        <v>178845</v>
      </c>
      <c r="H123" s="165">
        <f ca="1">IFERROR(__xludf.DUMMYFUNCTION("""COMPUTED_VALUE"""),0)</f>
        <v>0</v>
      </c>
      <c r="I123" s="165">
        <f ca="1">IFERROR(__xludf.DUMMYFUNCTION("""COMPUTED_VALUE"""),0)</f>
        <v>0</v>
      </c>
      <c r="J123" s="165">
        <f ca="1">IFERROR(__xludf.DUMMYFUNCTION("""COMPUTED_VALUE"""),1990)</f>
        <v>1990</v>
      </c>
      <c r="K123" s="165">
        <f ca="1">IFERROR(__xludf.DUMMYFUNCTION("""COMPUTED_VALUE"""),0)</f>
        <v>0</v>
      </c>
      <c r="L123" s="165">
        <f ca="1">IFERROR(__xludf.DUMMYFUNCTION("""COMPUTED_VALUE"""),0)</f>
        <v>0</v>
      </c>
      <c r="M123" s="165">
        <f ca="1">IFERROR(__xludf.DUMMYFUNCTION("""COMPUTED_VALUE"""),0)</f>
        <v>0</v>
      </c>
      <c r="N123" s="165">
        <f ca="1">IFERROR(__xludf.DUMMYFUNCTION("""COMPUTED_VALUE"""),0)</f>
        <v>0</v>
      </c>
      <c r="O123" s="165">
        <f ca="1">IFERROR(__xludf.DUMMYFUNCTION("""COMPUTED_VALUE"""),0)</f>
        <v>0</v>
      </c>
      <c r="P123" s="165">
        <f ca="1">IFERROR(__xludf.DUMMYFUNCTION("""COMPUTED_VALUE"""),258.4)</f>
        <v>258.39999999999998</v>
      </c>
      <c r="Q123" s="165">
        <f ca="1">IFERROR(__xludf.DUMMYFUNCTION("""COMPUTED_VALUE"""),700)</f>
        <v>700</v>
      </c>
      <c r="R123" s="165">
        <f ca="1">IFERROR(__xludf.DUMMYFUNCTION("""COMPUTED_VALUE"""),0)</f>
        <v>0</v>
      </c>
      <c r="S123" s="165">
        <f ca="1">IFERROR(__xludf.DUMMYFUNCTION("""COMPUTED_VALUE"""),0)</f>
        <v>0</v>
      </c>
      <c r="T123" s="165">
        <f ca="1">IFERROR(__xludf.DUMMYFUNCTION("""COMPUTED_VALUE"""),0)</f>
        <v>0</v>
      </c>
      <c r="U123" s="165">
        <f ca="1"/>
        <v>2948.4</v>
      </c>
    </row>
    <row r="124" spans="1:21" ht="12.75">
      <c r="A124" s="167" t="str">
        <f ca="1">IFERROR(__xludf.DUMMYFUNCTION("""COMPUTED_VALUE"""),"Arraias")</f>
        <v>Arraias</v>
      </c>
      <c r="B124" s="167" t="str">
        <f ca="1">IFERROR(__xludf.DUMMYFUNCTION("""COMPUTED_VALUE"""),"Parana")</f>
        <v>Parana</v>
      </c>
      <c r="C124" s="168" t="str">
        <f ca="1">IFERROR(__xludf.DUMMYFUNCTION("""COMPUTED_VALUE"""),"A.A. DO COL. EST. DES.VIRGILIO DE M.FRANCO")</f>
        <v>A.A. DO COL. EST. DES.VIRGILIO DE M.FRANCO</v>
      </c>
      <c r="D124" s="169" t="str">
        <f ca="1">IFERROR(__xludf.DUMMYFUNCTION("""COMPUTED_VALUE"""),"01284635000120")</f>
        <v>01284635000120</v>
      </c>
      <c r="E124" s="170" t="str">
        <f ca="1">IFERROR(__xludf.DUMMYFUNCTION("""COMPUTED_VALUE"""),"001")</f>
        <v>001</v>
      </c>
      <c r="F124" s="170" t="str">
        <f ca="1">IFERROR(__xludf.DUMMYFUNCTION("""COMPUTED_VALUE"""),"4790")</f>
        <v>4790</v>
      </c>
      <c r="G124" s="170" t="str">
        <f ca="1">IFERROR(__xludf.DUMMYFUNCTION("""COMPUTED_VALUE"""),"232327")</f>
        <v>232327</v>
      </c>
      <c r="H124" s="170">
        <f ca="1">IFERROR(__xludf.DUMMYFUNCTION("""COMPUTED_VALUE"""),0)</f>
        <v>0</v>
      </c>
      <c r="I124" s="170">
        <f ca="1">IFERROR(__xludf.DUMMYFUNCTION("""COMPUTED_VALUE"""),0)</f>
        <v>0</v>
      </c>
      <c r="J124" s="170">
        <f ca="1">IFERROR(__xludf.DUMMYFUNCTION("""COMPUTED_VALUE"""),0)</f>
        <v>0</v>
      </c>
      <c r="K124" s="170">
        <f ca="1">IFERROR(__xludf.DUMMYFUNCTION("""COMPUTED_VALUE"""),0)</f>
        <v>0</v>
      </c>
      <c r="L124" s="170">
        <f ca="1">IFERROR(__xludf.DUMMYFUNCTION("""COMPUTED_VALUE"""),0)</f>
        <v>0</v>
      </c>
      <c r="M124" s="170">
        <f ca="1">IFERROR(__xludf.DUMMYFUNCTION("""COMPUTED_VALUE"""),0)</f>
        <v>0</v>
      </c>
      <c r="N124" s="170">
        <f ca="1">IFERROR(__xludf.DUMMYFUNCTION("""COMPUTED_VALUE"""),0)</f>
        <v>0</v>
      </c>
      <c r="O124" s="170">
        <f ca="1">IFERROR(__xludf.DUMMYFUNCTION("""COMPUTED_VALUE"""),0)</f>
        <v>0</v>
      </c>
      <c r="P124" s="170">
        <f ca="1">IFERROR(__xludf.DUMMYFUNCTION("""COMPUTED_VALUE"""),0)</f>
        <v>0</v>
      </c>
      <c r="Q124" s="170">
        <f ca="1">IFERROR(__xludf.DUMMYFUNCTION("""COMPUTED_VALUE"""),3160)</f>
        <v>3160</v>
      </c>
      <c r="R124" s="170">
        <f ca="1">IFERROR(__xludf.DUMMYFUNCTION("""COMPUTED_VALUE"""),0)</f>
        <v>0</v>
      </c>
      <c r="S124" s="170">
        <f ca="1">IFERROR(__xludf.DUMMYFUNCTION("""COMPUTED_VALUE"""),0)</f>
        <v>0</v>
      </c>
      <c r="T124" s="170">
        <f ca="1">IFERROR(__xludf.DUMMYFUNCTION("""COMPUTED_VALUE"""),213.2)</f>
        <v>213.2</v>
      </c>
      <c r="U124" s="170">
        <f ca="1"/>
        <v>3373.2</v>
      </c>
    </row>
    <row r="125" spans="1:21" ht="12.75">
      <c r="A125" s="162" t="str">
        <f ca="1">IFERROR(__xludf.DUMMYFUNCTION("""COMPUTED_VALUE"""),"Arraias")</f>
        <v>Arraias</v>
      </c>
      <c r="B125" s="162" t="str">
        <f ca="1">IFERROR(__xludf.DUMMYFUNCTION("""COMPUTED_VALUE"""),"Parana")</f>
        <v>Parana</v>
      </c>
      <c r="C125" s="163" t="str">
        <f ca="1">IFERROR(__xludf.DUMMYFUNCTION("""COMPUTED_VALUE"""),"A.A. DA ESC. EST.EUCLIDES BEZERRA GERAIS")</f>
        <v>A.A. DA ESC. EST.EUCLIDES BEZERRA GERAIS</v>
      </c>
      <c r="D125" s="164" t="str">
        <f ca="1">IFERROR(__xludf.DUMMYFUNCTION("""COMPUTED_VALUE"""),"01401950000190")</f>
        <v>01401950000190</v>
      </c>
      <c r="E125" s="165" t="str">
        <f ca="1">IFERROR(__xludf.DUMMYFUNCTION("""COMPUTED_VALUE"""),"001")</f>
        <v>001</v>
      </c>
      <c r="F125" s="165" t="str">
        <f ca="1">IFERROR(__xludf.DUMMYFUNCTION("""COMPUTED_VALUE"""),"0541")</f>
        <v>0541</v>
      </c>
      <c r="G125" s="165" t="str">
        <f ca="1">IFERROR(__xludf.DUMMYFUNCTION("""COMPUTED_VALUE"""),"232483")</f>
        <v>232483</v>
      </c>
      <c r="H125" s="165">
        <f ca="1">IFERROR(__xludf.DUMMYFUNCTION("""COMPUTED_VALUE"""),0)</f>
        <v>0</v>
      </c>
      <c r="I125" s="165">
        <f ca="1">IFERROR(__xludf.DUMMYFUNCTION("""COMPUTED_VALUE"""),0)</f>
        <v>0</v>
      </c>
      <c r="J125" s="165">
        <f ca="1">IFERROR(__xludf.DUMMYFUNCTION("""COMPUTED_VALUE"""),4240)</f>
        <v>4240</v>
      </c>
      <c r="K125" s="165">
        <f ca="1">IFERROR(__xludf.DUMMYFUNCTION("""COMPUTED_VALUE"""),0)</f>
        <v>0</v>
      </c>
      <c r="L125" s="165">
        <f ca="1">IFERROR(__xludf.DUMMYFUNCTION("""COMPUTED_VALUE"""),0)</f>
        <v>0</v>
      </c>
      <c r="M125" s="165">
        <f ca="1">IFERROR(__xludf.DUMMYFUNCTION("""COMPUTED_VALUE"""),0)</f>
        <v>0</v>
      </c>
      <c r="N125" s="165">
        <f ca="1">IFERROR(__xludf.DUMMYFUNCTION("""COMPUTED_VALUE"""),0)</f>
        <v>0</v>
      </c>
      <c r="O125" s="165">
        <f ca="1">IFERROR(__xludf.DUMMYFUNCTION("""COMPUTED_VALUE"""),0)</f>
        <v>0</v>
      </c>
      <c r="P125" s="165">
        <f ca="1">IFERROR(__xludf.DUMMYFUNCTION("""COMPUTED_VALUE"""),272)</f>
        <v>272</v>
      </c>
      <c r="Q125" s="165">
        <f ca="1">IFERROR(__xludf.DUMMYFUNCTION("""COMPUTED_VALUE"""),0)</f>
        <v>0</v>
      </c>
      <c r="R125" s="165">
        <f ca="1">IFERROR(__xludf.DUMMYFUNCTION("""COMPUTED_VALUE"""),0)</f>
        <v>0</v>
      </c>
      <c r="S125" s="165">
        <f ca="1">IFERROR(__xludf.DUMMYFUNCTION("""COMPUTED_VALUE"""),0)</f>
        <v>0</v>
      </c>
      <c r="T125" s="165">
        <f ca="1">IFERROR(__xludf.DUMMYFUNCTION("""COMPUTED_VALUE"""),0)</f>
        <v>0</v>
      </c>
      <c r="U125" s="165">
        <f ca="1"/>
        <v>4512</v>
      </c>
    </row>
    <row r="126" spans="1:21" ht="12.75">
      <c r="A126" s="167" t="str">
        <f ca="1">IFERROR(__xludf.DUMMYFUNCTION("""COMPUTED_VALUE"""),"Arraias")</f>
        <v>Arraias</v>
      </c>
      <c r="B126" s="167" t="str">
        <f ca="1">IFERROR(__xludf.DUMMYFUNCTION("""COMPUTED_VALUE"""),"Parana")</f>
        <v>Parana</v>
      </c>
      <c r="C126" s="168" t="str">
        <f ca="1">IFERROR(__xludf.DUMMYFUNCTION("""COMPUTED_VALUE"""),"ASSOC. DE APOIO A ESC. EST. REUNIDA FLORESTA")</f>
        <v>ASSOC. DE APOIO A ESC. EST. REUNIDA FLORESTA</v>
      </c>
      <c r="D126" s="169" t="str">
        <f ca="1">IFERROR(__xludf.DUMMYFUNCTION("""COMPUTED_VALUE"""),"03834797000110")</f>
        <v>03834797000110</v>
      </c>
      <c r="E126" s="170" t="str">
        <f ca="1">IFERROR(__xludf.DUMMYFUNCTION("""COMPUTED_VALUE"""),"001")</f>
        <v>001</v>
      </c>
      <c r="F126" s="170" t="str">
        <f ca="1">IFERROR(__xludf.DUMMYFUNCTION("""COMPUTED_VALUE"""),"0541")</f>
        <v>0541</v>
      </c>
      <c r="G126" s="170" t="str">
        <f ca="1">IFERROR(__xludf.DUMMYFUNCTION("""COMPUTED_VALUE"""),"113247")</f>
        <v>113247</v>
      </c>
      <c r="H126" s="170">
        <f ca="1">IFERROR(__xludf.DUMMYFUNCTION("""COMPUTED_VALUE"""),0)</f>
        <v>0</v>
      </c>
      <c r="I126" s="170">
        <f ca="1">IFERROR(__xludf.DUMMYFUNCTION("""COMPUTED_VALUE"""),0)</f>
        <v>0</v>
      </c>
      <c r="J126" s="170">
        <f ca="1">IFERROR(__xludf.DUMMYFUNCTION("""COMPUTED_VALUE"""),530)</f>
        <v>530</v>
      </c>
      <c r="K126" s="170">
        <f ca="1">IFERROR(__xludf.DUMMYFUNCTION("""COMPUTED_VALUE"""),0)</f>
        <v>0</v>
      </c>
      <c r="L126" s="170">
        <f ca="1">IFERROR(__xludf.DUMMYFUNCTION("""COMPUTED_VALUE"""),0)</f>
        <v>0</v>
      </c>
      <c r="M126" s="170">
        <f ca="1">IFERROR(__xludf.DUMMYFUNCTION("""COMPUTED_VALUE"""),0)</f>
        <v>0</v>
      </c>
      <c r="N126" s="170">
        <f ca="1">IFERROR(__xludf.DUMMYFUNCTION("""COMPUTED_VALUE"""),0)</f>
        <v>0</v>
      </c>
      <c r="O126" s="170">
        <f ca="1">IFERROR(__xludf.DUMMYFUNCTION("""COMPUTED_VALUE"""),0)</f>
        <v>0</v>
      </c>
      <c r="P126" s="170">
        <f ca="1">IFERROR(__xludf.DUMMYFUNCTION("""COMPUTED_VALUE"""),68)</f>
        <v>68</v>
      </c>
      <c r="Q126" s="170">
        <f ca="1">IFERROR(__xludf.DUMMYFUNCTION("""COMPUTED_VALUE"""),340)</f>
        <v>340</v>
      </c>
      <c r="R126" s="170">
        <f ca="1">IFERROR(__xludf.DUMMYFUNCTION("""COMPUTED_VALUE"""),0)</f>
        <v>0</v>
      </c>
      <c r="S126" s="170">
        <f ca="1">IFERROR(__xludf.DUMMYFUNCTION("""COMPUTED_VALUE"""),0)</f>
        <v>0</v>
      </c>
      <c r="T126" s="170">
        <f ca="1">IFERROR(__xludf.DUMMYFUNCTION("""COMPUTED_VALUE"""),147.6)</f>
        <v>147.6</v>
      </c>
      <c r="U126" s="170">
        <f ca="1"/>
        <v>1085.5999999999999</v>
      </c>
    </row>
    <row r="127" spans="1:21" ht="12.75">
      <c r="A127" s="162" t="str">
        <f ca="1">IFERROR(__xludf.DUMMYFUNCTION("""COMPUTED_VALUE"""),"Arraias")</f>
        <v>Arraias</v>
      </c>
      <c r="B127" s="162" t="str">
        <f ca="1">IFERROR(__xludf.DUMMYFUNCTION("""COMPUTED_VALUE"""),"Parana")</f>
        <v>Parana</v>
      </c>
      <c r="C127" s="163" t="str">
        <f ca="1">IFERROR(__xludf.DUMMYFUNCTION("""COMPUTED_VALUE"""),"A.A. A ESC. EST. REUNIDA SANTA RITA DO RIO PALMA")</f>
        <v>A.A. A ESC. EST. REUNIDA SANTA RITA DO RIO PALMA</v>
      </c>
      <c r="D127" s="164" t="str">
        <f ca="1">IFERROR(__xludf.DUMMYFUNCTION("""COMPUTED_VALUE"""),"03834784000141")</f>
        <v>03834784000141</v>
      </c>
      <c r="E127" s="165" t="str">
        <f ca="1">IFERROR(__xludf.DUMMYFUNCTION("""COMPUTED_VALUE"""),"001")</f>
        <v>001</v>
      </c>
      <c r="F127" s="165" t="str">
        <f ca="1">IFERROR(__xludf.DUMMYFUNCTION("""COMPUTED_VALUE"""),"0541")</f>
        <v>0541</v>
      </c>
      <c r="G127" s="165" t="str">
        <f ca="1">IFERROR(__xludf.DUMMYFUNCTION("""COMPUTED_VALUE"""),"113638")</f>
        <v>113638</v>
      </c>
      <c r="H127" s="165">
        <f ca="1">IFERROR(__xludf.DUMMYFUNCTION("""COMPUTED_VALUE"""),0)</f>
        <v>0</v>
      </c>
      <c r="I127" s="165">
        <f ca="1">IFERROR(__xludf.DUMMYFUNCTION("""COMPUTED_VALUE"""),0)</f>
        <v>0</v>
      </c>
      <c r="J127" s="165">
        <f ca="1">IFERROR(__xludf.DUMMYFUNCTION("""COMPUTED_VALUE"""),650)</f>
        <v>650</v>
      </c>
      <c r="K127" s="165">
        <f ca="1">IFERROR(__xludf.DUMMYFUNCTION("""COMPUTED_VALUE"""),0)</f>
        <v>0</v>
      </c>
      <c r="L127" s="165">
        <f ca="1">IFERROR(__xludf.DUMMYFUNCTION("""COMPUTED_VALUE"""),0)</f>
        <v>0</v>
      </c>
      <c r="M127" s="165">
        <f ca="1">IFERROR(__xludf.DUMMYFUNCTION("""COMPUTED_VALUE"""),0)</f>
        <v>0</v>
      </c>
      <c r="N127" s="165">
        <f ca="1">IFERROR(__xludf.DUMMYFUNCTION("""COMPUTED_VALUE"""),0)</f>
        <v>0</v>
      </c>
      <c r="O127" s="165">
        <f ca="1">IFERROR(__xludf.DUMMYFUNCTION("""COMPUTED_VALUE"""),0)</f>
        <v>0</v>
      </c>
      <c r="P127" s="165">
        <f ca="1">IFERROR(__xludf.DUMMYFUNCTION("""COMPUTED_VALUE"""),0)</f>
        <v>0</v>
      </c>
      <c r="Q127" s="165">
        <f ca="1">IFERROR(__xludf.DUMMYFUNCTION("""COMPUTED_VALUE"""),380)</f>
        <v>380</v>
      </c>
      <c r="R127" s="165">
        <f ca="1">IFERROR(__xludf.DUMMYFUNCTION("""COMPUTED_VALUE"""),0)</f>
        <v>0</v>
      </c>
      <c r="S127" s="165">
        <f ca="1">IFERROR(__xludf.DUMMYFUNCTION("""COMPUTED_VALUE"""),0)</f>
        <v>0</v>
      </c>
      <c r="T127" s="165">
        <f ca="1">IFERROR(__xludf.DUMMYFUNCTION("""COMPUTED_VALUE"""),0)</f>
        <v>0</v>
      </c>
      <c r="U127" s="165">
        <f ca="1"/>
        <v>1030</v>
      </c>
    </row>
    <row r="128" spans="1:21" ht="12.75">
      <c r="A128" s="167" t="str">
        <f ca="1">IFERROR(__xludf.DUMMYFUNCTION("""COMPUTED_VALUE"""),"Colinas")</f>
        <v>Colinas</v>
      </c>
      <c r="B128" s="167" t="str">
        <f ca="1">IFERROR(__xludf.DUMMYFUNCTION("""COMPUTED_VALUE"""),"Arapoema")</f>
        <v>Arapoema</v>
      </c>
      <c r="C128" s="168" t="str">
        <f ca="1">IFERROR(__xludf.DUMMYFUNCTION("""COMPUTED_VALUE"""),"A.AP. COL. EST.RUILON DIAS CARNEIRO")</f>
        <v>A.AP. COL. EST.RUILON DIAS CARNEIRO</v>
      </c>
      <c r="D128" s="169" t="str">
        <f ca="1">IFERROR(__xludf.DUMMYFUNCTION("""COMPUTED_VALUE"""),"01133714000130")</f>
        <v>01133714000130</v>
      </c>
      <c r="E128" s="170" t="str">
        <f ca="1">IFERROR(__xludf.DUMMYFUNCTION("""COMPUTED_VALUE"""),"001")</f>
        <v>001</v>
      </c>
      <c r="F128" s="170" t="str">
        <f ca="1">IFERROR(__xludf.DUMMYFUNCTION("""COMPUTED_VALUE"""),"3974")</f>
        <v>3974</v>
      </c>
      <c r="G128" s="170" t="str">
        <f ca="1">IFERROR(__xludf.DUMMYFUNCTION("""COMPUTED_VALUE"""),"2290X")</f>
        <v>2290X</v>
      </c>
      <c r="H128" s="170">
        <f ca="1">IFERROR(__xludf.DUMMYFUNCTION("""COMPUTED_VALUE"""),0)</f>
        <v>0</v>
      </c>
      <c r="I128" s="170">
        <f ca="1">IFERROR(__xludf.DUMMYFUNCTION("""COMPUTED_VALUE"""),0)</f>
        <v>0</v>
      </c>
      <c r="J128" s="170">
        <f ca="1">IFERROR(__xludf.DUMMYFUNCTION("""COMPUTED_VALUE"""),0)</f>
        <v>0</v>
      </c>
      <c r="K128" s="170">
        <f ca="1">IFERROR(__xludf.DUMMYFUNCTION("""COMPUTED_VALUE"""),0)</f>
        <v>0</v>
      </c>
      <c r="L128" s="170">
        <f ca="1">IFERROR(__xludf.DUMMYFUNCTION("""COMPUTED_VALUE"""),0)</f>
        <v>0</v>
      </c>
      <c r="M128" s="170">
        <f ca="1">IFERROR(__xludf.DUMMYFUNCTION("""COMPUTED_VALUE"""),0)</f>
        <v>0</v>
      </c>
      <c r="N128" s="170">
        <f ca="1">IFERROR(__xludf.DUMMYFUNCTION("""COMPUTED_VALUE"""),0)</f>
        <v>0</v>
      </c>
      <c r="O128" s="170">
        <f ca="1">IFERROR(__xludf.DUMMYFUNCTION("""COMPUTED_VALUE"""),0)</f>
        <v>0</v>
      </c>
      <c r="P128" s="170">
        <f ca="1">IFERROR(__xludf.DUMMYFUNCTION("""COMPUTED_VALUE"""),0)</f>
        <v>0</v>
      </c>
      <c r="Q128" s="170">
        <f ca="1">IFERROR(__xludf.DUMMYFUNCTION("""COMPUTED_VALUE"""),2260)</f>
        <v>2260</v>
      </c>
      <c r="R128" s="170">
        <f ca="1">IFERROR(__xludf.DUMMYFUNCTION("""COMPUTED_VALUE"""),0)</f>
        <v>0</v>
      </c>
      <c r="S128" s="170">
        <f ca="1">IFERROR(__xludf.DUMMYFUNCTION("""COMPUTED_VALUE"""),0)</f>
        <v>0</v>
      </c>
      <c r="T128" s="170">
        <f ca="1">IFERROR(__xludf.DUMMYFUNCTION("""COMPUTED_VALUE"""),0)</f>
        <v>0</v>
      </c>
      <c r="U128" s="170">
        <f ca="1"/>
        <v>2260</v>
      </c>
    </row>
    <row r="129" spans="1:21" ht="12.75">
      <c r="A129" s="162" t="str">
        <f ca="1">IFERROR(__xludf.DUMMYFUNCTION("""COMPUTED_VALUE"""),"Colinas")</f>
        <v>Colinas</v>
      </c>
      <c r="B129" s="162" t="str">
        <f ca="1">IFERROR(__xludf.DUMMYFUNCTION("""COMPUTED_VALUE"""),"Arapoema")</f>
        <v>Arapoema</v>
      </c>
      <c r="C129" s="163" t="str">
        <f ca="1">IFERROR(__xludf.DUMMYFUNCTION("""COMPUTED_VALUE"""),"A.A. E. EST. ANTONIO DELFINO GUIMARAES")</f>
        <v>A.A. E. EST. ANTONIO DELFINO GUIMARAES</v>
      </c>
      <c r="D129" s="164" t="str">
        <f ca="1">IFERROR(__xludf.DUMMYFUNCTION("""COMPUTED_VALUE"""),"01135998000102")</f>
        <v>01135998000102</v>
      </c>
      <c r="E129" s="165" t="str">
        <f ca="1">IFERROR(__xludf.DUMMYFUNCTION("""COMPUTED_VALUE"""),"001")</f>
        <v>001</v>
      </c>
      <c r="F129" s="165" t="str">
        <f ca="1">IFERROR(__xludf.DUMMYFUNCTION("""COMPUTED_VALUE"""),"3974")</f>
        <v>3974</v>
      </c>
      <c r="G129" s="165" t="str">
        <f ca="1">IFERROR(__xludf.DUMMYFUNCTION("""COMPUTED_VALUE"""),"2287X")</f>
        <v>2287X</v>
      </c>
      <c r="H129" s="165">
        <f ca="1">IFERROR(__xludf.DUMMYFUNCTION("""COMPUTED_VALUE"""),0)</f>
        <v>0</v>
      </c>
      <c r="I129" s="165">
        <f ca="1">IFERROR(__xludf.DUMMYFUNCTION("""COMPUTED_VALUE"""),0)</f>
        <v>0</v>
      </c>
      <c r="J129" s="165">
        <f ca="1">IFERROR(__xludf.DUMMYFUNCTION("""COMPUTED_VALUE"""),3270)</f>
        <v>3270</v>
      </c>
      <c r="K129" s="165">
        <f ca="1">IFERROR(__xludf.DUMMYFUNCTION("""COMPUTED_VALUE"""),0)</f>
        <v>0</v>
      </c>
      <c r="L129" s="165">
        <f ca="1">IFERROR(__xludf.DUMMYFUNCTION("""COMPUTED_VALUE"""),0)</f>
        <v>0</v>
      </c>
      <c r="M129" s="165">
        <f ca="1">IFERROR(__xludf.DUMMYFUNCTION("""COMPUTED_VALUE"""),0)</f>
        <v>0</v>
      </c>
      <c r="N129" s="165">
        <f ca="1">IFERROR(__xludf.DUMMYFUNCTION("""COMPUTED_VALUE"""),0)</f>
        <v>0</v>
      </c>
      <c r="O129" s="165">
        <f ca="1">IFERROR(__xludf.DUMMYFUNCTION("""COMPUTED_VALUE"""),0)</f>
        <v>0</v>
      </c>
      <c r="P129" s="165">
        <f ca="1">IFERROR(__xludf.DUMMYFUNCTION("""COMPUTED_VALUE"""),312.8)</f>
        <v>312.8</v>
      </c>
      <c r="Q129" s="165">
        <f ca="1">IFERROR(__xludf.DUMMYFUNCTION("""COMPUTED_VALUE"""),0)</f>
        <v>0</v>
      </c>
      <c r="R129" s="165">
        <f ca="1">IFERROR(__xludf.DUMMYFUNCTION("""COMPUTED_VALUE"""),0)</f>
        <v>0</v>
      </c>
      <c r="S129" s="165">
        <f ca="1">IFERROR(__xludf.DUMMYFUNCTION("""COMPUTED_VALUE"""),0)</f>
        <v>0</v>
      </c>
      <c r="T129" s="165">
        <f ca="1">IFERROR(__xludf.DUMMYFUNCTION("""COMPUTED_VALUE"""),0)</f>
        <v>0</v>
      </c>
      <c r="U129" s="165">
        <f ca="1"/>
        <v>3582.8</v>
      </c>
    </row>
    <row r="130" spans="1:21" ht="12.75">
      <c r="A130" s="167" t="str">
        <f ca="1">IFERROR(__xludf.DUMMYFUNCTION("""COMPUTED_VALUE"""),"Colinas")</f>
        <v>Colinas</v>
      </c>
      <c r="B130" s="167" t="str">
        <f ca="1">IFERROR(__xludf.DUMMYFUNCTION("""COMPUTED_VALUE"""),"Bandeirantes do Tocantins")</f>
        <v>Bandeirantes do Tocantins</v>
      </c>
      <c r="C130" s="168" t="str">
        <f ca="1">IFERROR(__xludf.DUMMYFUNCTION("""COMPUTED_VALUE"""),"A.A. E. E. ARCELINO F. DO NASCIMENTO")</f>
        <v>A.A. E. E. ARCELINO F. DO NASCIMENTO</v>
      </c>
      <c r="D130" s="169" t="str">
        <f ca="1">IFERROR(__xludf.DUMMYFUNCTION("""COMPUTED_VALUE"""),"01181179000193")</f>
        <v>01181179000193</v>
      </c>
      <c r="E130" s="170" t="str">
        <f ca="1">IFERROR(__xludf.DUMMYFUNCTION("""COMPUTED_VALUE"""),"001")</f>
        <v>001</v>
      </c>
      <c r="F130" s="170" t="str">
        <f ca="1">IFERROR(__xludf.DUMMYFUNCTION("""COMPUTED_VALUE"""),"0911")</f>
        <v>0911</v>
      </c>
      <c r="G130" s="170" t="str">
        <f ca="1">IFERROR(__xludf.DUMMYFUNCTION("""COMPUTED_VALUE"""),"46578X")</f>
        <v>46578X</v>
      </c>
      <c r="H130" s="170">
        <f ca="1">IFERROR(__xludf.DUMMYFUNCTION("""COMPUTED_VALUE"""),0)</f>
        <v>0</v>
      </c>
      <c r="I130" s="170">
        <f ca="1">IFERROR(__xludf.DUMMYFUNCTION("""COMPUTED_VALUE"""),0)</f>
        <v>0</v>
      </c>
      <c r="J130" s="170">
        <f ca="1">IFERROR(__xludf.DUMMYFUNCTION("""COMPUTED_VALUE"""),780)</f>
        <v>780</v>
      </c>
      <c r="K130" s="170">
        <f ca="1">IFERROR(__xludf.DUMMYFUNCTION("""COMPUTED_VALUE"""),0)</f>
        <v>0</v>
      </c>
      <c r="L130" s="170">
        <f ca="1">IFERROR(__xludf.DUMMYFUNCTION("""COMPUTED_VALUE"""),0)</f>
        <v>0</v>
      </c>
      <c r="M130" s="170">
        <f ca="1">IFERROR(__xludf.DUMMYFUNCTION("""COMPUTED_VALUE"""),0)</f>
        <v>0</v>
      </c>
      <c r="N130" s="170">
        <f ca="1">IFERROR(__xludf.DUMMYFUNCTION("""COMPUTED_VALUE"""),0)</f>
        <v>0</v>
      </c>
      <c r="O130" s="170">
        <f ca="1">IFERROR(__xludf.DUMMYFUNCTION("""COMPUTED_VALUE"""),0)</f>
        <v>0</v>
      </c>
      <c r="P130" s="170">
        <f ca="1">IFERROR(__xludf.DUMMYFUNCTION("""COMPUTED_VALUE"""),68)</f>
        <v>68</v>
      </c>
      <c r="Q130" s="170">
        <f ca="1">IFERROR(__xludf.DUMMYFUNCTION("""COMPUTED_VALUE"""),1390)</f>
        <v>1390</v>
      </c>
      <c r="R130" s="170">
        <f ca="1">IFERROR(__xludf.DUMMYFUNCTION("""COMPUTED_VALUE"""),0)</f>
        <v>0</v>
      </c>
      <c r="S130" s="170">
        <f ca="1">IFERROR(__xludf.DUMMYFUNCTION("""COMPUTED_VALUE"""),0)</f>
        <v>0</v>
      </c>
      <c r="T130" s="170">
        <f ca="1">IFERROR(__xludf.DUMMYFUNCTION("""COMPUTED_VALUE"""),0)</f>
        <v>0</v>
      </c>
      <c r="U130" s="170">
        <f ca="1"/>
        <v>2238</v>
      </c>
    </row>
    <row r="131" spans="1:21" ht="12.75">
      <c r="A131" s="162" t="str">
        <f ca="1">IFERROR(__xludf.DUMMYFUNCTION("""COMPUTED_VALUE"""),"Colinas")</f>
        <v>Colinas</v>
      </c>
      <c r="B131" s="162" t="str">
        <f ca="1">IFERROR(__xludf.DUMMYFUNCTION("""COMPUTED_VALUE"""),"Bernardo Sayao")</f>
        <v>Bernardo Sayao</v>
      </c>
      <c r="C131" s="163" t="str">
        <f ca="1">IFERROR(__xludf.DUMMYFUNCTION("""COMPUTED_VALUE"""),"A.A. COL. EST. BERNARDO SAYAO")</f>
        <v>A.A. COL. EST. BERNARDO SAYAO</v>
      </c>
      <c r="D131" s="164" t="str">
        <f ca="1">IFERROR(__xludf.DUMMYFUNCTION("""COMPUTED_VALUE"""),"01190188000140")</f>
        <v>01190188000140</v>
      </c>
      <c r="E131" s="165" t="str">
        <f ca="1">IFERROR(__xludf.DUMMYFUNCTION("""COMPUTED_VALUE"""),"001")</f>
        <v>001</v>
      </c>
      <c r="F131" s="165" t="str">
        <f ca="1">IFERROR(__xludf.DUMMYFUNCTION("""COMPUTED_VALUE"""),"0911")</f>
        <v>0911</v>
      </c>
      <c r="G131" s="165" t="str">
        <f ca="1">IFERROR(__xludf.DUMMYFUNCTION("""COMPUTED_VALUE"""),"369403")</f>
        <v>369403</v>
      </c>
      <c r="H131" s="165">
        <f ca="1">IFERROR(__xludf.DUMMYFUNCTION("""COMPUTED_VALUE"""),0)</f>
        <v>0</v>
      </c>
      <c r="I131" s="165">
        <f ca="1">IFERROR(__xludf.DUMMYFUNCTION("""COMPUTED_VALUE"""),0)</f>
        <v>0</v>
      </c>
      <c r="J131" s="165">
        <f ca="1">IFERROR(__xludf.DUMMYFUNCTION("""COMPUTED_VALUE"""),630)</f>
        <v>630</v>
      </c>
      <c r="K131" s="165">
        <f ca="1">IFERROR(__xludf.DUMMYFUNCTION("""COMPUTED_VALUE"""),0)</f>
        <v>0</v>
      </c>
      <c r="L131" s="165">
        <f ca="1">IFERROR(__xludf.DUMMYFUNCTION("""COMPUTED_VALUE"""),0)</f>
        <v>0</v>
      </c>
      <c r="M131" s="165">
        <f ca="1">IFERROR(__xludf.DUMMYFUNCTION("""COMPUTED_VALUE"""),0)</f>
        <v>0</v>
      </c>
      <c r="N131" s="165">
        <f ca="1">IFERROR(__xludf.DUMMYFUNCTION("""COMPUTED_VALUE"""),0)</f>
        <v>0</v>
      </c>
      <c r="O131" s="165">
        <f ca="1">IFERROR(__xludf.DUMMYFUNCTION("""COMPUTED_VALUE"""),0)</f>
        <v>0</v>
      </c>
      <c r="P131" s="165">
        <f ca="1">IFERROR(__xludf.DUMMYFUNCTION("""COMPUTED_VALUE"""),81.6)</f>
        <v>81.599999999999994</v>
      </c>
      <c r="Q131" s="165">
        <f ca="1">IFERROR(__xludf.DUMMYFUNCTION("""COMPUTED_VALUE"""),1390)</f>
        <v>1390</v>
      </c>
      <c r="R131" s="165">
        <f ca="1">IFERROR(__xludf.DUMMYFUNCTION("""COMPUTED_VALUE"""),0)</f>
        <v>0</v>
      </c>
      <c r="S131" s="165">
        <f ca="1">IFERROR(__xludf.DUMMYFUNCTION("""COMPUTED_VALUE"""),0)</f>
        <v>0</v>
      </c>
      <c r="T131" s="165">
        <f ca="1">IFERROR(__xludf.DUMMYFUNCTION("""COMPUTED_VALUE"""),114.799999999999)</f>
        <v>114.799999999999</v>
      </c>
      <c r="U131" s="165">
        <f ca="1"/>
        <v>2216.3999999999987</v>
      </c>
    </row>
    <row r="132" spans="1:21" ht="12.75">
      <c r="A132" s="167" t="str">
        <f ca="1">IFERROR(__xludf.DUMMYFUNCTION("""COMPUTED_VALUE"""),"Colinas")</f>
        <v>Colinas</v>
      </c>
      <c r="B132" s="167" t="str">
        <f ca="1">IFERROR(__xludf.DUMMYFUNCTION("""COMPUTED_VALUE"""),"Brasilandia do Tocantins")</f>
        <v>Brasilandia do Tocantins</v>
      </c>
      <c r="C132" s="168" t="str">
        <f ca="1">IFERROR(__xludf.DUMMYFUNCTION("""COMPUTED_VALUE"""),"A.A. COL. EST. SEBASTIAO RODRIGUES SALES")</f>
        <v>A.A. COL. EST. SEBASTIAO RODRIGUES SALES</v>
      </c>
      <c r="D132" s="169" t="str">
        <f ca="1">IFERROR(__xludf.DUMMYFUNCTION("""COMPUTED_VALUE"""),"01138333000144")</f>
        <v>01138333000144</v>
      </c>
      <c r="E132" s="170" t="str">
        <f ca="1">IFERROR(__xludf.DUMMYFUNCTION("""COMPUTED_VALUE"""),"001")</f>
        <v>001</v>
      </c>
      <c r="F132" s="170" t="str">
        <f ca="1">IFERROR(__xludf.DUMMYFUNCTION("""COMPUTED_VALUE"""),"0911")</f>
        <v>0911</v>
      </c>
      <c r="G132" s="170" t="str">
        <f ca="1">IFERROR(__xludf.DUMMYFUNCTION("""COMPUTED_VALUE"""),"369365")</f>
        <v>369365</v>
      </c>
      <c r="H132" s="170">
        <f ca="1">IFERROR(__xludf.DUMMYFUNCTION("""COMPUTED_VALUE"""),0)</f>
        <v>0</v>
      </c>
      <c r="I132" s="170">
        <f ca="1">IFERROR(__xludf.DUMMYFUNCTION("""COMPUTED_VALUE"""),0)</f>
        <v>0</v>
      </c>
      <c r="J132" s="170">
        <f ca="1">IFERROR(__xludf.DUMMYFUNCTION("""COMPUTED_VALUE"""),1380)</f>
        <v>1380</v>
      </c>
      <c r="K132" s="170">
        <f ca="1">IFERROR(__xludf.DUMMYFUNCTION("""COMPUTED_VALUE"""),0)</f>
        <v>0</v>
      </c>
      <c r="L132" s="170">
        <f ca="1">IFERROR(__xludf.DUMMYFUNCTION("""COMPUTED_VALUE"""),0)</f>
        <v>0</v>
      </c>
      <c r="M132" s="170">
        <f ca="1">IFERROR(__xludf.DUMMYFUNCTION("""COMPUTED_VALUE"""),0)</f>
        <v>0</v>
      </c>
      <c r="N132" s="170">
        <f ca="1">IFERROR(__xludf.DUMMYFUNCTION("""COMPUTED_VALUE"""),0)</f>
        <v>0</v>
      </c>
      <c r="O132" s="170">
        <f ca="1">IFERROR(__xludf.DUMMYFUNCTION("""COMPUTED_VALUE"""),0)</f>
        <v>0</v>
      </c>
      <c r="P132" s="170">
        <f ca="1">IFERROR(__xludf.DUMMYFUNCTION("""COMPUTED_VALUE"""),0)</f>
        <v>0</v>
      </c>
      <c r="Q132" s="170">
        <f ca="1">IFERROR(__xludf.DUMMYFUNCTION("""COMPUTED_VALUE"""),560)</f>
        <v>560</v>
      </c>
      <c r="R132" s="170">
        <f ca="1">IFERROR(__xludf.DUMMYFUNCTION("""COMPUTED_VALUE"""),0)</f>
        <v>0</v>
      </c>
      <c r="S132" s="170">
        <f ca="1">IFERROR(__xludf.DUMMYFUNCTION("""COMPUTED_VALUE"""),0)</f>
        <v>0</v>
      </c>
      <c r="T132" s="170">
        <f ca="1">IFERROR(__xludf.DUMMYFUNCTION("""COMPUTED_VALUE"""),0)</f>
        <v>0</v>
      </c>
      <c r="U132" s="170">
        <f ca="1"/>
        <v>1940</v>
      </c>
    </row>
    <row r="133" spans="1:21" ht="12.75">
      <c r="A133" s="162" t="str">
        <f ca="1">IFERROR(__xludf.DUMMYFUNCTION("""COMPUTED_VALUE"""),"Colinas")</f>
        <v>Colinas</v>
      </c>
      <c r="B133" s="162" t="str">
        <f ca="1">IFERROR(__xludf.DUMMYFUNCTION("""COMPUTED_VALUE"""),"Colinas do Tocantins")</f>
        <v>Colinas do Tocantins</v>
      </c>
      <c r="C133" s="163" t="str">
        <f ca="1">IFERROR(__xludf.DUMMYFUNCTION("""COMPUTED_VALUE"""),"ASSOC. DE APOIO DO COL. EST. CASTELO BRANCO")</f>
        <v>ASSOC. DE APOIO DO COL. EST. CASTELO BRANCO</v>
      </c>
      <c r="D133" s="164" t="str">
        <f ca="1">IFERROR(__xludf.DUMMYFUNCTION("""COMPUTED_VALUE"""),"01071413000120")</f>
        <v>01071413000120</v>
      </c>
      <c r="E133" s="165" t="str">
        <f ca="1">IFERROR(__xludf.DUMMYFUNCTION("""COMPUTED_VALUE"""),"001")</f>
        <v>001</v>
      </c>
      <c r="F133" s="165" t="str">
        <f ca="1">IFERROR(__xludf.DUMMYFUNCTION("""COMPUTED_VALUE"""),"0911")</f>
        <v>0911</v>
      </c>
      <c r="G133" s="165" t="str">
        <f ca="1">IFERROR(__xludf.DUMMYFUNCTION("""COMPUTED_VALUE"""),"187275")</f>
        <v>187275</v>
      </c>
      <c r="H133" s="165">
        <f ca="1">IFERROR(__xludf.DUMMYFUNCTION("""COMPUTED_VALUE"""),0)</f>
        <v>0</v>
      </c>
      <c r="I133" s="165">
        <f ca="1">IFERROR(__xludf.DUMMYFUNCTION("""COMPUTED_VALUE"""),0)</f>
        <v>0</v>
      </c>
      <c r="J133" s="165">
        <f ca="1">IFERROR(__xludf.DUMMYFUNCTION("""COMPUTED_VALUE"""),0)</f>
        <v>0</v>
      </c>
      <c r="K133" s="165">
        <f ca="1">IFERROR(__xludf.DUMMYFUNCTION("""COMPUTED_VALUE"""),0)</f>
        <v>0</v>
      </c>
      <c r="L133" s="165">
        <f ca="1">IFERROR(__xludf.DUMMYFUNCTION("""COMPUTED_VALUE"""),0)</f>
        <v>0</v>
      </c>
      <c r="M133" s="165">
        <f ca="1">IFERROR(__xludf.DUMMYFUNCTION("""COMPUTED_VALUE"""),0)</f>
        <v>0</v>
      </c>
      <c r="N133" s="165">
        <f ca="1">IFERROR(__xludf.DUMMYFUNCTION("""COMPUTED_VALUE"""),0)</f>
        <v>0</v>
      </c>
      <c r="O133" s="165">
        <f ca="1">IFERROR(__xludf.DUMMYFUNCTION("""COMPUTED_VALUE"""),0)</f>
        <v>0</v>
      </c>
      <c r="P133" s="165">
        <f ca="1">IFERROR(__xludf.DUMMYFUNCTION("""COMPUTED_VALUE"""),312.8)</f>
        <v>312.8</v>
      </c>
      <c r="Q133" s="165">
        <f ca="1">IFERROR(__xludf.DUMMYFUNCTION("""COMPUTED_VALUE"""),0)</f>
        <v>0</v>
      </c>
      <c r="R133" s="165">
        <f ca="1">IFERROR(__xludf.DUMMYFUNCTION("""COMPUTED_VALUE"""),0)</f>
        <v>0</v>
      </c>
      <c r="S133" s="165">
        <f ca="1">IFERROR(__xludf.DUMMYFUNCTION("""COMPUTED_VALUE"""),9881.6)</f>
        <v>9881.6</v>
      </c>
      <c r="T133" s="165">
        <f ca="1">IFERROR(__xludf.DUMMYFUNCTION("""COMPUTED_VALUE"""),491.999999999999)</f>
        <v>491.99999999999898</v>
      </c>
      <c r="U133" s="165">
        <f ca="1"/>
        <v>10686.399999999998</v>
      </c>
    </row>
    <row r="134" spans="1:21" ht="12.75">
      <c r="A134" s="167" t="str">
        <f ca="1">IFERROR(__xludf.DUMMYFUNCTION("""COMPUTED_VALUE"""),"Colinas")</f>
        <v>Colinas</v>
      </c>
      <c r="B134" s="167" t="str">
        <f ca="1">IFERROR(__xludf.DUMMYFUNCTION("""COMPUTED_VALUE"""),"Colinas do Tocantins")</f>
        <v>Colinas do Tocantins</v>
      </c>
      <c r="C134" s="168" t="str">
        <f ca="1">IFERROR(__xludf.DUMMYFUNCTION("""COMPUTED_VALUE"""),"A.A. ESCOLA ESTADUAL ERNESTO BARROS")</f>
        <v>A.A. ESCOLA ESTADUAL ERNESTO BARROS</v>
      </c>
      <c r="D134" s="169" t="str">
        <f ca="1">IFERROR(__xludf.DUMMYFUNCTION("""COMPUTED_VALUE"""),"01064857000138")</f>
        <v>01064857000138</v>
      </c>
      <c r="E134" s="170" t="str">
        <f ca="1">IFERROR(__xludf.DUMMYFUNCTION("""COMPUTED_VALUE"""),"001")</f>
        <v>001</v>
      </c>
      <c r="F134" s="170" t="str">
        <f ca="1">IFERROR(__xludf.DUMMYFUNCTION("""COMPUTED_VALUE"""),"0911")</f>
        <v>0911</v>
      </c>
      <c r="G134" s="170" t="str">
        <f ca="1">IFERROR(__xludf.DUMMYFUNCTION("""COMPUTED_VALUE"""),"0368571")</f>
        <v>0368571</v>
      </c>
      <c r="H134" s="170">
        <f ca="1">IFERROR(__xludf.DUMMYFUNCTION("""COMPUTED_VALUE"""),0)</f>
        <v>0</v>
      </c>
      <c r="I134" s="170">
        <f ca="1">IFERROR(__xludf.DUMMYFUNCTION("""COMPUTED_VALUE"""),0)</f>
        <v>0</v>
      </c>
      <c r="J134" s="170">
        <f ca="1">IFERROR(__xludf.DUMMYFUNCTION("""COMPUTED_VALUE"""),0)</f>
        <v>0</v>
      </c>
      <c r="K134" s="170">
        <f ca="1">IFERROR(__xludf.DUMMYFUNCTION("""COMPUTED_VALUE"""),8055.59999999999)</f>
        <v>8055.5999999999904</v>
      </c>
      <c r="L134" s="170">
        <f ca="1">IFERROR(__xludf.DUMMYFUNCTION("""COMPUTED_VALUE"""),0)</f>
        <v>0</v>
      </c>
      <c r="M134" s="170">
        <f ca="1">IFERROR(__xludf.DUMMYFUNCTION("""COMPUTED_VALUE"""),0)</f>
        <v>0</v>
      </c>
      <c r="N134" s="170">
        <f ca="1">IFERROR(__xludf.DUMMYFUNCTION("""COMPUTED_VALUE"""),0)</f>
        <v>0</v>
      </c>
      <c r="O134" s="170">
        <f ca="1">IFERROR(__xludf.DUMMYFUNCTION("""COMPUTED_VALUE"""),0)</f>
        <v>0</v>
      </c>
      <c r="P134" s="170">
        <f ca="1">IFERROR(__xludf.DUMMYFUNCTION("""COMPUTED_VALUE"""),176.799999999999)</f>
        <v>176.79999999999899</v>
      </c>
      <c r="Q134" s="170">
        <f ca="1">IFERROR(__xludf.DUMMYFUNCTION("""COMPUTED_VALUE"""),0)</f>
        <v>0</v>
      </c>
      <c r="R134" s="170">
        <f ca="1">IFERROR(__xludf.DUMMYFUNCTION("""COMPUTED_VALUE"""),0)</f>
        <v>0</v>
      </c>
      <c r="S134" s="170">
        <f ca="1">IFERROR(__xludf.DUMMYFUNCTION("""COMPUTED_VALUE"""),0)</f>
        <v>0</v>
      </c>
      <c r="T134" s="170">
        <f ca="1">IFERROR(__xludf.DUMMYFUNCTION("""COMPUTED_VALUE"""),0)</f>
        <v>0</v>
      </c>
      <c r="U134" s="170">
        <f ca="1"/>
        <v>8232.3999999999887</v>
      </c>
    </row>
    <row r="135" spans="1:21" ht="12.75">
      <c r="A135" s="162" t="str">
        <f ca="1">IFERROR(__xludf.DUMMYFUNCTION("""COMPUTED_VALUE"""),"Colinas")</f>
        <v>Colinas</v>
      </c>
      <c r="B135" s="162" t="str">
        <f ca="1">IFERROR(__xludf.DUMMYFUNCTION("""COMPUTED_VALUE"""),"Colinas do Tocantins")</f>
        <v>Colinas do Tocantins</v>
      </c>
      <c r="C135" s="163" t="str">
        <f ca="1">IFERROR(__xludf.DUMMYFUNCTION("""COMPUTED_VALUE"""),"A.A.  COLEGIO JOAO XXIII")</f>
        <v>A.A.  COLEGIO JOAO XXIII</v>
      </c>
      <c r="D135" s="164" t="str">
        <f ca="1">IFERROR(__xludf.DUMMYFUNCTION("""COMPUTED_VALUE"""),"01064859000127")</f>
        <v>01064859000127</v>
      </c>
      <c r="E135" s="165" t="str">
        <f ca="1">IFERROR(__xludf.DUMMYFUNCTION("""COMPUTED_VALUE"""),"001")</f>
        <v>001</v>
      </c>
      <c r="F135" s="165" t="str">
        <f ca="1">IFERROR(__xludf.DUMMYFUNCTION("""COMPUTED_VALUE"""),"0911")</f>
        <v>0911</v>
      </c>
      <c r="G135" s="165" t="str">
        <f ca="1">IFERROR(__xludf.DUMMYFUNCTION("""COMPUTED_VALUE"""),"368555")</f>
        <v>368555</v>
      </c>
      <c r="H135" s="165">
        <f ca="1">IFERROR(__xludf.DUMMYFUNCTION("""COMPUTED_VALUE"""),0)</f>
        <v>0</v>
      </c>
      <c r="I135" s="165">
        <f ca="1">IFERROR(__xludf.DUMMYFUNCTION("""COMPUTED_VALUE"""),0)</f>
        <v>0</v>
      </c>
      <c r="J135" s="165">
        <f ca="1">IFERROR(__xludf.DUMMYFUNCTION("""COMPUTED_VALUE"""),4280)</f>
        <v>4280</v>
      </c>
      <c r="K135" s="165">
        <f ca="1">IFERROR(__xludf.DUMMYFUNCTION("""COMPUTED_VALUE"""),0)</f>
        <v>0</v>
      </c>
      <c r="L135" s="165">
        <f ca="1">IFERROR(__xludf.DUMMYFUNCTION("""COMPUTED_VALUE"""),0)</f>
        <v>0</v>
      </c>
      <c r="M135" s="165">
        <f ca="1">IFERROR(__xludf.DUMMYFUNCTION("""COMPUTED_VALUE"""),0)</f>
        <v>0</v>
      </c>
      <c r="N135" s="165">
        <f ca="1">IFERROR(__xludf.DUMMYFUNCTION("""COMPUTED_VALUE"""),0)</f>
        <v>0</v>
      </c>
      <c r="O135" s="165">
        <f ca="1">IFERROR(__xludf.DUMMYFUNCTION("""COMPUTED_VALUE"""),0)</f>
        <v>0</v>
      </c>
      <c r="P135" s="165">
        <f ca="1">IFERROR(__xludf.DUMMYFUNCTION("""COMPUTED_VALUE"""),285.599999999999)</f>
        <v>285.599999999999</v>
      </c>
      <c r="Q135" s="165">
        <f ca="1">IFERROR(__xludf.DUMMYFUNCTION("""COMPUTED_VALUE"""),3060)</f>
        <v>3060</v>
      </c>
      <c r="R135" s="165">
        <f ca="1">IFERROR(__xludf.DUMMYFUNCTION("""COMPUTED_VALUE"""),0)</f>
        <v>0</v>
      </c>
      <c r="S135" s="165">
        <f ca="1">IFERROR(__xludf.DUMMYFUNCTION("""COMPUTED_VALUE"""),0)</f>
        <v>0</v>
      </c>
      <c r="T135" s="165">
        <f ca="1">IFERROR(__xludf.DUMMYFUNCTION("""COMPUTED_VALUE"""),0)</f>
        <v>0</v>
      </c>
      <c r="U135" s="165">
        <f ca="1"/>
        <v>7625.5999999999985</v>
      </c>
    </row>
    <row r="136" spans="1:21" ht="12.75">
      <c r="A136" s="167" t="str">
        <f ca="1">IFERROR(__xludf.DUMMYFUNCTION("""COMPUTED_VALUE"""),"Colinas")</f>
        <v>Colinas</v>
      </c>
      <c r="B136" s="167" t="str">
        <f ca="1">IFERROR(__xludf.DUMMYFUNCTION("""COMPUTED_VALUE"""),"Colinas do Tocantins")</f>
        <v>Colinas do Tocantins</v>
      </c>
      <c r="C136" s="168" t="str">
        <f ca="1">IFERROR(__xludf.DUMMYFUNCTION("""COMPUTED_VALUE"""),"AAE ESPECIAL GOTA DE ESPERANÇA")</f>
        <v>AAE ESPECIAL GOTA DE ESPERANÇA</v>
      </c>
      <c r="D136" s="169" t="str">
        <f ca="1">IFERROR(__xludf.DUMMYFUNCTION("""COMPUTED_VALUE"""),"07944635000196")</f>
        <v>07944635000196</v>
      </c>
      <c r="E136" s="170" t="str">
        <f ca="1">IFERROR(__xludf.DUMMYFUNCTION("""COMPUTED_VALUE"""),"001")</f>
        <v>001</v>
      </c>
      <c r="F136" s="170" t="str">
        <f ca="1">IFERROR(__xludf.DUMMYFUNCTION("""COMPUTED_VALUE"""),"0911")</f>
        <v>0911</v>
      </c>
      <c r="G136" s="170" t="str">
        <f ca="1">IFERROR(__xludf.DUMMYFUNCTION("""COMPUTED_VALUE"""),"184861")</f>
        <v>184861</v>
      </c>
      <c r="H136" s="170">
        <f ca="1">IFERROR(__xludf.DUMMYFUNCTION("""COMPUTED_VALUE"""),0)</f>
        <v>0</v>
      </c>
      <c r="I136" s="170">
        <f ca="1">IFERROR(__xludf.DUMMYFUNCTION("""COMPUTED_VALUE"""),0)</f>
        <v>0</v>
      </c>
      <c r="J136" s="170">
        <f ca="1">IFERROR(__xludf.DUMMYFUNCTION("""COMPUTED_VALUE"""),300)</f>
        <v>300</v>
      </c>
      <c r="K136" s="170">
        <f ca="1">IFERROR(__xludf.DUMMYFUNCTION("""COMPUTED_VALUE"""),0)</f>
        <v>0</v>
      </c>
      <c r="L136" s="170">
        <f ca="1">IFERROR(__xludf.DUMMYFUNCTION("""COMPUTED_VALUE"""),0)</f>
        <v>0</v>
      </c>
      <c r="M136" s="170">
        <f ca="1">IFERROR(__xludf.DUMMYFUNCTION("""COMPUTED_VALUE"""),0)</f>
        <v>0</v>
      </c>
      <c r="N136" s="170">
        <f ca="1">IFERROR(__xludf.DUMMYFUNCTION("""COMPUTED_VALUE"""),0)</f>
        <v>0</v>
      </c>
      <c r="O136" s="170">
        <f ca="1">IFERROR(__xludf.DUMMYFUNCTION("""COMPUTED_VALUE"""),0)</f>
        <v>0</v>
      </c>
      <c r="P136" s="170">
        <f ca="1">IFERROR(__xludf.DUMMYFUNCTION("""COMPUTED_VALUE"""),394.4)</f>
        <v>394.4</v>
      </c>
      <c r="Q136" s="170">
        <f ca="1">IFERROR(__xludf.DUMMYFUNCTION("""COMPUTED_VALUE"""),0)</f>
        <v>0</v>
      </c>
      <c r="R136" s="170">
        <f ca="1">IFERROR(__xludf.DUMMYFUNCTION("""COMPUTED_VALUE"""),0)</f>
        <v>0</v>
      </c>
      <c r="S136" s="170">
        <f ca="1">IFERROR(__xludf.DUMMYFUNCTION("""COMPUTED_VALUE"""),0)</f>
        <v>0</v>
      </c>
      <c r="T136" s="170">
        <f ca="1">IFERROR(__xludf.DUMMYFUNCTION("""COMPUTED_VALUE"""),754.4)</f>
        <v>754.4</v>
      </c>
      <c r="U136" s="170">
        <f ca="1"/>
        <v>1448.8</v>
      </c>
    </row>
    <row r="137" spans="1:21" ht="12.75">
      <c r="A137" s="162" t="str">
        <f ca="1">IFERROR(__xludf.DUMMYFUNCTION("""COMPUTED_VALUE"""),"Colinas")</f>
        <v>Colinas</v>
      </c>
      <c r="B137" s="162" t="str">
        <f ca="1">IFERROR(__xludf.DUMMYFUNCTION("""COMPUTED_VALUE"""),"Colinas do Tocantins")</f>
        <v>Colinas do Tocantins</v>
      </c>
      <c r="C137" s="163" t="str">
        <f ca="1">IFERROR(__xludf.DUMMYFUNCTION("""COMPUTED_VALUE"""),"A.A. E. E. FRANCISCO PEREIRA FELICIO")</f>
        <v>A.A. E. E. FRANCISCO PEREIRA FELICIO</v>
      </c>
      <c r="D137" s="164" t="str">
        <f ca="1">IFERROR(__xludf.DUMMYFUNCTION("""COMPUTED_VALUE"""),"01086969000190")</f>
        <v>01086969000190</v>
      </c>
      <c r="E137" s="165" t="str">
        <f ca="1">IFERROR(__xludf.DUMMYFUNCTION("""COMPUTED_VALUE"""),"001")</f>
        <v>001</v>
      </c>
      <c r="F137" s="165" t="str">
        <f ca="1">IFERROR(__xludf.DUMMYFUNCTION("""COMPUTED_VALUE"""),"0911")</f>
        <v>0911</v>
      </c>
      <c r="G137" s="165" t="str">
        <f ca="1">IFERROR(__xludf.DUMMYFUNCTION("""COMPUTED_VALUE"""),"368814")</f>
        <v>368814</v>
      </c>
      <c r="H137" s="165">
        <f ca="1">IFERROR(__xludf.DUMMYFUNCTION("""COMPUTED_VALUE"""),0)</f>
        <v>0</v>
      </c>
      <c r="I137" s="165">
        <f ca="1">IFERROR(__xludf.DUMMYFUNCTION("""COMPUTED_VALUE"""),0)</f>
        <v>0</v>
      </c>
      <c r="J137" s="165">
        <f ca="1">IFERROR(__xludf.DUMMYFUNCTION("""COMPUTED_VALUE"""),2720)</f>
        <v>2720</v>
      </c>
      <c r="K137" s="165">
        <f ca="1">IFERROR(__xludf.DUMMYFUNCTION("""COMPUTED_VALUE"""),0)</f>
        <v>0</v>
      </c>
      <c r="L137" s="165">
        <f ca="1">IFERROR(__xludf.DUMMYFUNCTION("""COMPUTED_VALUE"""),0)</f>
        <v>0</v>
      </c>
      <c r="M137" s="165">
        <f ca="1">IFERROR(__xludf.DUMMYFUNCTION("""COMPUTED_VALUE"""),0)</f>
        <v>0</v>
      </c>
      <c r="N137" s="165">
        <f ca="1">IFERROR(__xludf.DUMMYFUNCTION("""COMPUTED_VALUE"""),0)</f>
        <v>0</v>
      </c>
      <c r="O137" s="165">
        <f ca="1">IFERROR(__xludf.DUMMYFUNCTION("""COMPUTED_VALUE"""),0)</f>
        <v>0</v>
      </c>
      <c r="P137" s="165">
        <f ca="1">IFERROR(__xludf.DUMMYFUNCTION("""COMPUTED_VALUE"""),544)</f>
        <v>544</v>
      </c>
      <c r="Q137" s="165">
        <f ca="1">IFERROR(__xludf.DUMMYFUNCTION("""COMPUTED_VALUE"""),8520)</f>
        <v>8520</v>
      </c>
      <c r="R137" s="165">
        <f ca="1">IFERROR(__xludf.DUMMYFUNCTION("""COMPUTED_VALUE"""),0)</f>
        <v>0</v>
      </c>
      <c r="S137" s="165">
        <f ca="1">IFERROR(__xludf.DUMMYFUNCTION("""COMPUTED_VALUE"""),0)</f>
        <v>0</v>
      </c>
      <c r="T137" s="165">
        <f ca="1">IFERROR(__xludf.DUMMYFUNCTION("""COMPUTED_VALUE"""),1131.6)</f>
        <v>1131.5999999999999</v>
      </c>
      <c r="U137" s="165">
        <f ca="1"/>
        <v>12915.6</v>
      </c>
    </row>
    <row r="138" spans="1:21" ht="12.75">
      <c r="A138" s="167" t="str">
        <f ca="1">IFERROR(__xludf.DUMMYFUNCTION("""COMPUTED_VALUE"""),"Colinas")</f>
        <v>Colinas</v>
      </c>
      <c r="B138" s="167" t="str">
        <f ca="1">IFERROR(__xludf.DUMMYFUNCTION("""COMPUTED_VALUE"""),"Colinas do Tocantins")</f>
        <v>Colinas do Tocantins</v>
      </c>
      <c r="C138" s="168" t="str">
        <f ca="1">IFERROR(__xludf.DUMMYFUNCTION("""COMPUTED_VALUE"""),"A.A. E. E. LACERDINO OLIVEIRA CAMPOS")</f>
        <v>A.A. E. E. LACERDINO OLIVEIRA CAMPOS</v>
      </c>
      <c r="D138" s="169" t="str">
        <f ca="1">IFERROR(__xludf.DUMMYFUNCTION("""COMPUTED_VALUE"""),"01077439000185")</f>
        <v>01077439000185</v>
      </c>
      <c r="E138" s="170" t="str">
        <f ca="1">IFERROR(__xludf.DUMMYFUNCTION("""COMPUTED_VALUE"""),"001")</f>
        <v>001</v>
      </c>
      <c r="F138" s="170" t="str">
        <f ca="1">IFERROR(__xludf.DUMMYFUNCTION("""COMPUTED_VALUE"""),"0911")</f>
        <v>0911</v>
      </c>
      <c r="G138" s="170" t="str">
        <f ca="1">IFERROR(__xludf.DUMMYFUNCTION("""COMPUTED_VALUE"""),"368741")</f>
        <v>368741</v>
      </c>
      <c r="H138" s="170">
        <f ca="1">IFERROR(__xludf.DUMMYFUNCTION("""COMPUTED_VALUE"""),0)</f>
        <v>0</v>
      </c>
      <c r="I138" s="170">
        <f ca="1">IFERROR(__xludf.DUMMYFUNCTION("""COMPUTED_VALUE"""),0)</f>
        <v>0</v>
      </c>
      <c r="J138" s="170">
        <f ca="1">IFERROR(__xludf.DUMMYFUNCTION("""COMPUTED_VALUE"""),0)</f>
        <v>0</v>
      </c>
      <c r="K138" s="170">
        <f ca="1">IFERROR(__xludf.DUMMYFUNCTION("""COMPUTED_VALUE"""),5918.4)</f>
        <v>5918.4</v>
      </c>
      <c r="L138" s="170">
        <f ca="1">IFERROR(__xludf.DUMMYFUNCTION("""COMPUTED_VALUE"""),0)</f>
        <v>0</v>
      </c>
      <c r="M138" s="170">
        <f ca="1">IFERROR(__xludf.DUMMYFUNCTION("""COMPUTED_VALUE"""),0)</f>
        <v>0</v>
      </c>
      <c r="N138" s="170">
        <f ca="1">IFERROR(__xludf.DUMMYFUNCTION("""COMPUTED_VALUE"""),0)</f>
        <v>0</v>
      </c>
      <c r="O138" s="170">
        <f ca="1">IFERROR(__xludf.DUMMYFUNCTION("""COMPUTED_VALUE"""),0)</f>
        <v>0</v>
      </c>
      <c r="P138" s="170">
        <f ca="1">IFERROR(__xludf.DUMMYFUNCTION("""COMPUTED_VALUE"""),272)</f>
        <v>272</v>
      </c>
      <c r="Q138" s="170">
        <f ca="1">IFERROR(__xludf.DUMMYFUNCTION("""COMPUTED_VALUE"""),1720)</f>
        <v>1720</v>
      </c>
      <c r="R138" s="170">
        <f ca="1">IFERROR(__xludf.DUMMYFUNCTION("""COMPUTED_VALUE"""),0)</f>
        <v>0</v>
      </c>
      <c r="S138" s="170">
        <f ca="1">IFERROR(__xludf.DUMMYFUNCTION("""COMPUTED_VALUE"""),0)</f>
        <v>0</v>
      </c>
      <c r="T138" s="170">
        <f ca="1">IFERROR(__xludf.DUMMYFUNCTION("""COMPUTED_VALUE"""),0)</f>
        <v>0</v>
      </c>
      <c r="U138" s="170">
        <f ca="1"/>
        <v>7910.4</v>
      </c>
    </row>
    <row r="139" spans="1:21" ht="12.75">
      <c r="A139" s="162" t="str">
        <f ca="1">IFERROR(__xludf.DUMMYFUNCTION("""COMPUTED_VALUE"""),"Colinas")</f>
        <v>Colinas</v>
      </c>
      <c r="B139" s="162" t="str">
        <f ca="1">IFERROR(__xludf.DUMMYFUNCTION("""COMPUTED_VALUE"""),"Colinas do Tocantins")</f>
        <v>Colinas do Tocantins</v>
      </c>
      <c r="C139" s="163" t="str">
        <f ca="1">IFERROR(__xludf.DUMMYFUNCTION("""COMPUTED_VALUE"""),"ASSOCIAÇÃO DE PAIS E ESTUDANTES DA ESCOLA FAMÍLIA AGRÍCOLA DE COLINAS")</f>
        <v>ASSOCIAÇÃO DE PAIS E ESTUDANTES DA ESCOLA FAMÍLIA AGRÍCOLA DE COLINAS</v>
      </c>
      <c r="D139" s="164" t="str">
        <f ca="1">IFERROR(__xludf.DUMMYFUNCTION("""COMPUTED_VALUE"""),"03421784000110")</f>
        <v>03421784000110</v>
      </c>
      <c r="E139" s="165" t="str">
        <f ca="1">IFERROR(__xludf.DUMMYFUNCTION("""COMPUTED_VALUE"""),"001")</f>
        <v>001</v>
      </c>
      <c r="F139" s="165" t="str">
        <f ca="1">IFERROR(__xludf.DUMMYFUNCTION("""COMPUTED_VALUE"""),"0911")</f>
        <v>0911</v>
      </c>
      <c r="G139" s="165" t="str">
        <f ca="1">IFERROR(__xludf.DUMMYFUNCTION("""COMPUTED_VALUE"""),"199672")</f>
        <v>199672</v>
      </c>
      <c r="H139" s="165">
        <f ca="1">IFERROR(__xludf.DUMMYFUNCTION("""COMPUTED_VALUE"""),0)</f>
        <v>0</v>
      </c>
      <c r="I139" s="165">
        <f ca="1">IFERROR(__xludf.DUMMYFUNCTION("""COMPUTED_VALUE"""),0)</f>
        <v>0</v>
      </c>
      <c r="J139" s="165">
        <f ca="1">IFERROR(__xludf.DUMMYFUNCTION("""COMPUTED_VALUE"""),0)</f>
        <v>0</v>
      </c>
      <c r="K139" s="165">
        <f ca="1">IFERROR(__xludf.DUMMYFUNCTION("""COMPUTED_VALUE"""),0)</f>
        <v>0</v>
      </c>
      <c r="L139" s="165">
        <f ca="1">IFERROR(__xludf.DUMMYFUNCTION("""COMPUTED_VALUE"""),0)</f>
        <v>0</v>
      </c>
      <c r="M139" s="165">
        <f ca="1">IFERROR(__xludf.DUMMYFUNCTION("""COMPUTED_VALUE"""),0)</f>
        <v>0</v>
      </c>
      <c r="N139" s="165">
        <f ca="1">IFERROR(__xludf.DUMMYFUNCTION("""COMPUTED_VALUE"""),0)</f>
        <v>0</v>
      </c>
      <c r="O139" s="165">
        <f ca="1">IFERROR(__xludf.DUMMYFUNCTION("""COMPUTED_VALUE"""),0)</f>
        <v>0</v>
      </c>
      <c r="P139" s="165">
        <f ca="1">IFERROR(__xludf.DUMMYFUNCTION("""COMPUTED_VALUE"""),0)</f>
        <v>0</v>
      </c>
      <c r="Q139" s="165">
        <f ca="1">IFERROR(__xludf.DUMMYFUNCTION("""COMPUTED_VALUE"""),0)</f>
        <v>0</v>
      </c>
      <c r="R139" s="165">
        <f ca="1">IFERROR(__xludf.DUMMYFUNCTION("""COMPUTED_VALUE"""),5206)</f>
        <v>5206</v>
      </c>
      <c r="S139" s="165">
        <f ca="1">IFERROR(__xludf.DUMMYFUNCTION("""COMPUTED_VALUE"""),0)</f>
        <v>0</v>
      </c>
      <c r="T139" s="165">
        <f ca="1">IFERROR(__xludf.DUMMYFUNCTION("""COMPUTED_VALUE"""),0)</f>
        <v>0</v>
      </c>
      <c r="U139" s="165">
        <f ca="1"/>
        <v>5206</v>
      </c>
    </row>
    <row r="140" spans="1:21" ht="12.75">
      <c r="A140" s="167" t="str">
        <f ca="1">IFERROR(__xludf.DUMMYFUNCTION("""COMPUTED_VALUE"""),"Colinas")</f>
        <v>Colinas</v>
      </c>
      <c r="B140" s="167" t="str">
        <f ca="1">IFERROR(__xludf.DUMMYFUNCTION("""COMPUTED_VALUE"""),"Colinas do Tocantins")</f>
        <v>Colinas do Tocantins</v>
      </c>
      <c r="C140" s="168" t="str">
        <f ca="1">IFERROR(__xludf.DUMMYFUNCTION("""COMPUTED_VALUE"""),"A.A. E. PRESBITERIANA DE COLINAS")</f>
        <v>A.A. E. PRESBITERIANA DE COLINAS</v>
      </c>
      <c r="D140" s="169" t="str">
        <f ca="1">IFERROR(__xludf.DUMMYFUNCTION("""COMPUTED_VALUE"""),"01071410000196")</f>
        <v>01071410000196</v>
      </c>
      <c r="E140" s="170" t="str">
        <f ca="1">IFERROR(__xludf.DUMMYFUNCTION("""COMPUTED_VALUE"""),"001")</f>
        <v>001</v>
      </c>
      <c r="F140" s="170" t="str">
        <f ca="1">IFERROR(__xludf.DUMMYFUNCTION("""COMPUTED_VALUE"""),"0911")</f>
        <v>0911</v>
      </c>
      <c r="G140" s="170" t="str">
        <f ca="1">IFERROR(__xludf.DUMMYFUNCTION("""COMPUTED_VALUE"""),"368695")</f>
        <v>368695</v>
      </c>
      <c r="H140" s="170">
        <f ca="1">IFERROR(__xludf.DUMMYFUNCTION("""COMPUTED_VALUE"""),0)</f>
        <v>0</v>
      </c>
      <c r="I140" s="170">
        <f ca="1">IFERROR(__xludf.DUMMYFUNCTION("""COMPUTED_VALUE"""),0)</f>
        <v>0</v>
      </c>
      <c r="J140" s="170">
        <f ca="1">IFERROR(__xludf.DUMMYFUNCTION("""COMPUTED_VALUE"""),5250)</f>
        <v>5250</v>
      </c>
      <c r="K140" s="170">
        <f ca="1">IFERROR(__xludf.DUMMYFUNCTION("""COMPUTED_VALUE"""),0)</f>
        <v>0</v>
      </c>
      <c r="L140" s="170">
        <f ca="1">IFERROR(__xludf.DUMMYFUNCTION("""COMPUTED_VALUE"""),0)</f>
        <v>0</v>
      </c>
      <c r="M140" s="170">
        <f ca="1">IFERROR(__xludf.DUMMYFUNCTION("""COMPUTED_VALUE"""),0)</f>
        <v>0</v>
      </c>
      <c r="N140" s="170">
        <f ca="1">IFERROR(__xludf.DUMMYFUNCTION("""COMPUTED_VALUE"""),0)</f>
        <v>0</v>
      </c>
      <c r="O140" s="170">
        <f ca="1">IFERROR(__xludf.DUMMYFUNCTION("""COMPUTED_VALUE"""),0)</f>
        <v>0</v>
      </c>
      <c r="P140" s="170">
        <f ca="1">IFERROR(__xludf.DUMMYFUNCTION("""COMPUTED_VALUE"""),285.599999999999)</f>
        <v>285.599999999999</v>
      </c>
      <c r="Q140" s="170">
        <f ca="1">IFERROR(__xludf.DUMMYFUNCTION("""COMPUTED_VALUE"""),0)</f>
        <v>0</v>
      </c>
      <c r="R140" s="170">
        <f ca="1">IFERROR(__xludf.DUMMYFUNCTION("""COMPUTED_VALUE"""),0)</f>
        <v>0</v>
      </c>
      <c r="S140" s="170">
        <f ca="1">IFERROR(__xludf.DUMMYFUNCTION("""COMPUTED_VALUE"""),0)</f>
        <v>0</v>
      </c>
      <c r="T140" s="170">
        <f ca="1">IFERROR(__xludf.DUMMYFUNCTION("""COMPUTED_VALUE"""),0)</f>
        <v>0</v>
      </c>
      <c r="U140" s="170">
        <f ca="1"/>
        <v>5535.5999999999985</v>
      </c>
    </row>
    <row r="141" spans="1:21" ht="12.75">
      <c r="A141" s="162" t="str">
        <f ca="1">IFERROR(__xludf.DUMMYFUNCTION("""COMPUTED_VALUE"""),"Colinas")</f>
        <v>Colinas</v>
      </c>
      <c r="B141" s="162" t="str">
        <f ca="1">IFERROR(__xludf.DUMMYFUNCTION("""COMPUTED_VALUE"""),"Colinas do Tocantins")</f>
        <v>Colinas do Tocantins</v>
      </c>
      <c r="C141" s="163" t="str">
        <f ca="1">IFERROR(__xludf.DUMMYFUNCTION("""COMPUTED_VALUE"""),"ASSOC. APOIO AO INSTITUTO EDUC. GUNNAR VINGREN")</f>
        <v>ASSOC. APOIO AO INSTITUTO EDUC. GUNNAR VINGREN</v>
      </c>
      <c r="D141" s="164" t="str">
        <f ca="1">IFERROR(__xludf.DUMMYFUNCTION("""COMPUTED_VALUE"""),"05537107000197")</f>
        <v>05537107000197</v>
      </c>
      <c r="E141" s="165" t="str">
        <f ca="1">IFERROR(__xludf.DUMMYFUNCTION("""COMPUTED_VALUE"""),"001")</f>
        <v>001</v>
      </c>
      <c r="F141" s="165" t="str">
        <f ca="1">IFERROR(__xludf.DUMMYFUNCTION("""COMPUTED_VALUE"""),"0911")</f>
        <v>0911</v>
      </c>
      <c r="G141" s="165" t="str">
        <f ca="1">IFERROR(__xludf.DUMMYFUNCTION("""COMPUTED_VALUE"""),"172286")</f>
        <v>172286</v>
      </c>
      <c r="H141" s="165">
        <f ca="1">IFERROR(__xludf.DUMMYFUNCTION("""COMPUTED_VALUE"""),0)</f>
        <v>0</v>
      </c>
      <c r="I141" s="165">
        <f ca="1">IFERROR(__xludf.DUMMYFUNCTION("""COMPUTED_VALUE"""),0)</f>
        <v>0</v>
      </c>
      <c r="J141" s="165">
        <f ca="1">IFERROR(__xludf.DUMMYFUNCTION("""COMPUTED_VALUE"""),1010)</f>
        <v>1010</v>
      </c>
      <c r="K141" s="165">
        <f ca="1">IFERROR(__xludf.DUMMYFUNCTION("""COMPUTED_VALUE"""),0)</f>
        <v>0</v>
      </c>
      <c r="L141" s="165">
        <f ca="1">IFERROR(__xludf.DUMMYFUNCTION("""COMPUTED_VALUE"""),0)</f>
        <v>0</v>
      </c>
      <c r="M141" s="165">
        <f ca="1">IFERROR(__xludf.DUMMYFUNCTION("""COMPUTED_VALUE"""),0)</f>
        <v>0</v>
      </c>
      <c r="N141" s="165">
        <f ca="1">IFERROR(__xludf.DUMMYFUNCTION("""COMPUTED_VALUE"""),0)</f>
        <v>0</v>
      </c>
      <c r="O141" s="165">
        <f ca="1">IFERROR(__xludf.DUMMYFUNCTION("""COMPUTED_VALUE"""),0)</f>
        <v>0</v>
      </c>
      <c r="P141" s="165">
        <f ca="1">IFERROR(__xludf.DUMMYFUNCTION("""COMPUTED_VALUE"""),176.799999999999)</f>
        <v>176.79999999999899</v>
      </c>
      <c r="Q141" s="165">
        <f ca="1">IFERROR(__xludf.DUMMYFUNCTION("""COMPUTED_VALUE"""),210)</f>
        <v>210</v>
      </c>
      <c r="R141" s="165">
        <f ca="1">IFERROR(__xludf.DUMMYFUNCTION("""COMPUTED_VALUE"""),0)</f>
        <v>0</v>
      </c>
      <c r="S141" s="165">
        <f ca="1">IFERROR(__xludf.DUMMYFUNCTION("""COMPUTED_VALUE"""),0)</f>
        <v>0</v>
      </c>
      <c r="T141" s="165">
        <f ca="1">IFERROR(__xludf.DUMMYFUNCTION("""COMPUTED_VALUE"""),0)</f>
        <v>0</v>
      </c>
      <c r="U141" s="165">
        <f ca="1"/>
        <v>1396.799999999999</v>
      </c>
    </row>
    <row r="142" spans="1:21" ht="12.75">
      <c r="A142" s="167" t="str">
        <f ca="1">IFERROR(__xludf.DUMMYFUNCTION("""COMPUTED_VALUE"""),"Colinas")</f>
        <v>Colinas</v>
      </c>
      <c r="B142" s="167" t="str">
        <f ca="1">IFERROR(__xludf.DUMMYFUNCTION("""COMPUTED_VALUE"""),"Itapiratins")</f>
        <v>Itapiratins</v>
      </c>
      <c r="C142" s="168" t="str">
        <f ca="1">IFERROR(__xludf.DUMMYFUNCTION("""COMPUTED_VALUE"""),"A.A. ESCOLA ESTADUAL REZENDE DE ALMEIDA")</f>
        <v>A.A. ESCOLA ESTADUAL REZENDE DE ALMEIDA</v>
      </c>
      <c r="D142" s="169" t="str">
        <f ca="1">IFERROR(__xludf.DUMMYFUNCTION("""COMPUTED_VALUE"""),"01643863000140")</f>
        <v>01643863000140</v>
      </c>
      <c r="E142" s="170" t="str">
        <f ca="1">IFERROR(__xludf.DUMMYFUNCTION("""COMPUTED_VALUE"""),"001")</f>
        <v>001</v>
      </c>
      <c r="F142" s="170" t="str">
        <f ca="1">IFERROR(__xludf.DUMMYFUNCTION("""COMPUTED_VALUE"""),"2094")</f>
        <v>2094</v>
      </c>
      <c r="G142" s="170" t="str">
        <f ca="1">IFERROR(__xludf.DUMMYFUNCTION("""COMPUTED_VALUE"""),"27278")</f>
        <v>27278</v>
      </c>
      <c r="H142" s="170">
        <f ca="1">IFERROR(__xludf.DUMMYFUNCTION("""COMPUTED_VALUE"""),0)</f>
        <v>0</v>
      </c>
      <c r="I142" s="170">
        <f ca="1">IFERROR(__xludf.DUMMYFUNCTION("""COMPUTED_VALUE"""),0)</f>
        <v>0</v>
      </c>
      <c r="J142" s="170">
        <f ca="1">IFERROR(__xludf.DUMMYFUNCTION("""COMPUTED_VALUE"""),2750)</f>
        <v>2750</v>
      </c>
      <c r="K142" s="170">
        <f ca="1">IFERROR(__xludf.DUMMYFUNCTION("""COMPUTED_VALUE"""),0)</f>
        <v>0</v>
      </c>
      <c r="L142" s="170">
        <f ca="1">IFERROR(__xludf.DUMMYFUNCTION("""COMPUTED_VALUE"""),0)</f>
        <v>0</v>
      </c>
      <c r="M142" s="170">
        <f ca="1">IFERROR(__xludf.DUMMYFUNCTION("""COMPUTED_VALUE"""),0)</f>
        <v>0</v>
      </c>
      <c r="N142" s="170">
        <f ca="1">IFERROR(__xludf.DUMMYFUNCTION("""COMPUTED_VALUE"""),0)</f>
        <v>0</v>
      </c>
      <c r="O142" s="170">
        <f ca="1">IFERROR(__xludf.DUMMYFUNCTION("""COMPUTED_VALUE"""),0)</f>
        <v>0</v>
      </c>
      <c r="P142" s="170">
        <f ca="1">IFERROR(__xludf.DUMMYFUNCTION("""COMPUTED_VALUE"""),0)</f>
        <v>0</v>
      </c>
      <c r="Q142" s="170">
        <f ca="1">IFERROR(__xludf.DUMMYFUNCTION("""COMPUTED_VALUE"""),2070)</f>
        <v>2070</v>
      </c>
      <c r="R142" s="170">
        <f ca="1">IFERROR(__xludf.DUMMYFUNCTION("""COMPUTED_VALUE"""),0)</f>
        <v>0</v>
      </c>
      <c r="S142" s="170">
        <f ca="1">IFERROR(__xludf.DUMMYFUNCTION("""COMPUTED_VALUE"""),0)</f>
        <v>0</v>
      </c>
      <c r="T142" s="170">
        <f ca="1">IFERROR(__xludf.DUMMYFUNCTION("""COMPUTED_VALUE"""),98.3999999999999)</f>
        <v>98.399999999999906</v>
      </c>
      <c r="U142" s="170">
        <f ca="1"/>
        <v>4918.3999999999996</v>
      </c>
    </row>
    <row r="143" spans="1:21" ht="12.75">
      <c r="A143" s="162" t="str">
        <f ca="1">IFERROR(__xludf.DUMMYFUNCTION("""COMPUTED_VALUE"""),"Colinas")</f>
        <v>Colinas</v>
      </c>
      <c r="B143" s="162" t="str">
        <f ca="1">IFERROR(__xludf.DUMMYFUNCTION("""COMPUTED_VALUE"""),"Juarina")</f>
        <v>Juarina</v>
      </c>
      <c r="C143" s="163" t="str">
        <f ca="1">IFERROR(__xludf.DUMMYFUNCTION("""COMPUTED_VALUE"""),"A.A. ESCOLA ESTADUAL ZICO DORNELAS")</f>
        <v>A.A. ESCOLA ESTADUAL ZICO DORNELAS</v>
      </c>
      <c r="D143" s="164" t="str">
        <f ca="1">IFERROR(__xludf.DUMMYFUNCTION("""COMPUTED_VALUE"""),"01136018000188")</f>
        <v>01136018000188</v>
      </c>
      <c r="E143" s="165" t="str">
        <f ca="1">IFERROR(__xludf.DUMMYFUNCTION("""COMPUTED_VALUE"""),"001")</f>
        <v>001</v>
      </c>
      <c r="F143" s="165" t="str">
        <f ca="1">IFERROR(__xludf.DUMMYFUNCTION("""COMPUTED_VALUE"""),"0911")</f>
        <v>0911</v>
      </c>
      <c r="G143" s="165" t="str">
        <f ca="1">IFERROR(__xludf.DUMMYFUNCTION("""COMPUTED_VALUE"""),"369349")</f>
        <v>369349</v>
      </c>
      <c r="H143" s="165">
        <f ca="1">IFERROR(__xludf.DUMMYFUNCTION("""COMPUTED_VALUE"""),0)</f>
        <v>0</v>
      </c>
      <c r="I143" s="165">
        <f ca="1">IFERROR(__xludf.DUMMYFUNCTION("""COMPUTED_VALUE"""),0)</f>
        <v>0</v>
      </c>
      <c r="J143" s="165">
        <f ca="1">IFERROR(__xludf.DUMMYFUNCTION("""COMPUTED_VALUE"""),860)</f>
        <v>860</v>
      </c>
      <c r="K143" s="165">
        <f ca="1">IFERROR(__xludf.DUMMYFUNCTION("""COMPUTED_VALUE"""),0)</f>
        <v>0</v>
      </c>
      <c r="L143" s="165">
        <f ca="1">IFERROR(__xludf.DUMMYFUNCTION("""COMPUTED_VALUE"""),0)</f>
        <v>0</v>
      </c>
      <c r="M143" s="165">
        <f ca="1">IFERROR(__xludf.DUMMYFUNCTION("""COMPUTED_VALUE"""),0)</f>
        <v>0</v>
      </c>
      <c r="N143" s="165">
        <f ca="1">IFERROR(__xludf.DUMMYFUNCTION("""COMPUTED_VALUE"""),0)</f>
        <v>0</v>
      </c>
      <c r="O143" s="165">
        <f ca="1">IFERROR(__xludf.DUMMYFUNCTION("""COMPUTED_VALUE"""),0)</f>
        <v>0</v>
      </c>
      <c r="P143" s="165">
        <f ca="1">IFERROR(__xludf.DUMMYFUNCTION("""COMPUTED_VALUE"""),136)</f>
        <v>136</v>
      </c>
      <c r="Q143" s="165">
        <f ca="1">IFERROR(__xludf.DUMMYFUNCTION("""COMPUTED_VALUE"""),980)</f>
        <v>980</v>
      </c>
      <c r="R143" s="165">
        <f ca="1">IFERROR(__xludf.DUMMYFUNCTION("""COMPUTED_VALUE"""),0)</f>
        <v>0</v>
      </c>
      <c r="S143" s="165">
        <f ca="1">IFERROR(__xludf.DUMMYFUNCTION("""COMPUTED_VALUE"""),0)</f>
        <v>0</v>
      </c>
      <c r="T143" s="165">
        <f ca="1">IFERROR(__xludf.DUMMYFUNCTION("""COMPUTED_VALUE"""),0)</f>
        <v>0</v>
      </c>
      <c r="U143" s="165">
        <f ca="1"/>
        <v>1976</v>
      </c>
    </row>
    <row r="144" spans="1:21" ht="12.75">
      <c r="A144" s="167" t="str">
        <f ca="1">IFERROR(__xludf.DUMMYFUNCTION("""COMPUTED_VALUE"""),"Colinas")</f>
        <v>Colinas</v>
      </c>
      <c r="B144" s="167" t="str">
        <f ca="1">IFERROR(__xludf.DUMMYFUNCTION("""COMPUTED_VALUE"""),"Palmeirante")</f>
        <v>Palmeirante</v>
      </c>
      <c r="C144" s="168" t="str">
        <f ca="1">IFERROR(__xludf.DUMMYFUNCTION("""COMPUTED_VALUE"""),"ASS. COM. ESC. EST JOAO AIRES GABRIEL")</f>
        <v>ASS. COM. ESC. EST JOAO AIRES GABRIEL</v>
      </c>
      <c r="D144" s="169" t="str">
        <f ca="1">IFERROR(__xludf.DUMMYFUNCTION("""COMPUTED_VALUE"""),"01465793000187")</f>
        <v>01465793000187</v>
      </c>
      <c r="E144" s="170" t="str">
        <f ca="1">IFERROR(__xludf.DUMMYFUNCTION("""COMPUTED_VALUE"""),"001")</f>
        <v>001</v>
      </c>
      <c r="F144" s="170" t="str">
        <f ca="1">IFERROR(__xludf.DUMMYFUNCTION("""COMPUTED_VALUE"""),"0911")</f>
        <v>0911</v>
      </c>
      <c r="G144" s="170" t="str">
        <f ca="1">IFERROR(__xludf.DUMMYFUNCTION("""COMPUTED_VALUE"""),"342246")</f>
        <v>342246</v>
      </c>
      <c r="H144" s="170">
        <f ca="1">IFERROR(__xludf.DUMMYFUNCTION("""COMPUTED_VALUE"""),0)</f>
        <v>0</v>
      </c>
      <c r="I144" s="170">
        <f ca="1">IFERROR(__xludf.DUMMYFUNCTION("""COMPUTED_VALUE"""),0)</f>
        <v>0</v>
      </c>
      <c r="J144" s="170">
        <f ca="1">IFERROR(__xludf.DUMMYFUNCTION("""COMPUTED_VALUE"""),1700)</f>
        <v>1700</v>
      </c>
      <c r="K144" s="170">
        <f ca="1">IFERROR(__xludf.DUMMYFUNCTION("""COMPUTED_VALUE"""),0)</f>
        <v>0</v>
      </c>
      <c r="L144" s="170">
        <f ca="1">IFERROR(__xludf.DUMMYFUNCTION("""COMPUTED_VALUE"""),0)</f>
        <v>0</v>
      </c>
      <c r="M144" s="170">
        <f ca="1">IFERROR(__xludf.DUMMYFUNCTION("""COMPUTED_VALUE"""),0)</f>
        <v>0</v>
      </c>
      <c r="N144" s="170">
        <f ca="1">IFERROR(__xludf.DUMMYFUNCTION("""COMPUTED_VALUE"""),0)</f>
        <v>0</v>
      </c>
      <c r="O144" s="170">
        <f ca="1">IFERROR(__xludf.DUMMYFUNCTION("""COMPUTED_VALUE"""),0)</f>
        <v>0</v>
      </c>
      <c r="P144" s="170">
        <f ca="1">IFERROR(__xludf.DUMMYFUNCTION("""COMPUTED_VALUE"""),204)</f>
        <v>204</v>
      </c>
      <c r="Q144" s="170">
        <f ca="1">IFERROR(__xludf.DUMMYFUNCTION("""COMPUTED_VALUE"""),1930)</f>
        <v>1930</v>
      </c>
      <c r="R144" s="170">
        <f ca="1">IFERROR(__xludf.DUMMYFUNCTION("""COMPUTED_VALUE"""),0)</f>
        <v>0</v>
      </c>
      <c r="S144" s="170">
        <f ca="1">IFERROR(__xludf.DUMMYFUNCTION("""COMPUTED_VALUE"""),0)</f>
        <v>0</v>
      </c>
      <c r="T144" s="170">
        <f ca="1">IFERROR(__xludf.DUMMYFUNCTION("""COMPUTED_VALUE"""),0)</f>
        <v>0</v>
      </c>
      <c r="U144" s="170">
        <f ca="1"/>
        <v>3834</v>
      </c>
    </row>
    <row r="145" spans="1:21" ht="12.75">
      <c r="A145" s="162" t="str">
        <f ca="1">IFERROR(__xludf.DUMMYFUNCTION("""COMPUTED_VALUE"""),"Colinas")</f>
        <v>Colinas</v>
      </c>
      <c r="B145" s="162" t="str">
        <f ca="1">IFERROR(__xludf.DUMMYFUNCTION("""COMPUTED_VALUE"""),"Pau D'arco")</f>
        <v>Pau D'arco</v>
      </c>
      <c r="C145" s="163" t="str">
        <f ca="1">IFERROR(__xludf.DUMMYFUNCTION("""COMPUTED_VALUE"""),"A.COM. ESCOLA EST. ULISSES GUIMARAES")</f>
        <v>A.COM. ESCOLA EST. ULISSES GUIMARAES</v>
      </c>
      <c r="D145" s="164" t="str">
        <f ca="1">IFERROR(__xludf.DUMMYFUNCTION("""COMPUTED_VALUE"""),"01181178000149")</f>
        <v>01181178000149</v>
      </c>
      <c r="E145" s="165" t="str">
        <f ca="1">IFERROR(__xludf.DUMMYFUNCTION("""COMPUTED_VALUE"""),"001")</f>
        <v>001</v>
      </c>
      <c r="F145" s="165" t="str">
        <f ca="1">IFERROR(__xludf.DUMMYFUNCTION("""COMPUTED_VALUE"""),"0911")</f>
        <v>0911</v>
      </c>
      <c r="G145" s="165" t="str">
        <f ca="1">IFERROR(__xludf.DUMMYFUNCTION("""COMPUTED_VALUE"""),"23485")</f>
        <v>23485</v>
      </c>
      <c r="H145" s="165">
        <f ca="1">IFERROR(__xludf.DUMMYFUNCTION("""COMPUTED_VALUE"""),0)</f>
        <v>0</v>
      </c>
      <c r="I145" s="165">
        <f ca="1">IFERROR(__xludf.DUMMYFUNCTION("""COMPUTED_VALUE"""),0)</f>
        <v>0</v>
      </c>
      <c r="J145" s="165">
        <f ca="1">IFERROR(__xludf.DUMMYFUNCTION("""COMPUTED_VALUE"""),2790)</f>
        <v>2790</v>
      </c>
      <c r="K145" s="165">
        <f ca="1">IFERROR(__xludf.DUMMYFUNCTION("""COMPUTED_VALUE"""),0)</f>
        <v>0</v>
      </c>
      <c r="L145" s="165">
        <f ca="1">IFERROR(__xludf.DUMMYFUNCTION("""COMPUTED_VALUE"""),0)</f>
        <v>0</v>
      </c>
      <c r="M145" s="165">
        <f ca="1">IFERROR(__xludf.DUMMYFUNCTION("""COMPUTED_VALUE"""),0)</f>
        <v>0</v>
      </c>
      <c r="N145" s="165">
        <f ca="1">IFERROR(__xludf.DUMMYFUNCTION("""COMPUTED_VALUE"""),0)</f>
        <v>0</v>
      </c>
      <c r="O145" s="165">
        <f ca="1">IFERROR(__xludf.DUMMYFUNCTION("""COMPUTED_VALUE"""),0)</f>
        <v>0</v>
      </c>
      <c r="P145" s="165">
        <f ca="1">IFERROR(__xludf.DUMMYFUNCTION("""COMPUTED_VALUE"""),340)</f>
        <v>340</v>
      </c>
      <c r="Q145" s="165">
        <f ca="1">IFERROR(__xludf.DUMMYFUNCTION("""COMPUTED_VALUE"""),1420)</f>
        <v>1420</v>
      </c>
      <c r="R145" s="165">
        <f ca="1">IFERROR(__xludf.DUMMYFUNCTION("""COMPUTED_VALUE"""),0)</f>
        <v>0</v>
      </c>
      <c r="S145" s="165">
        <f ca="1">IFERROR(__xludf.DUMMYFUNCTION("""COMPUTED_VALUE"""),0)</f>
        <v>0</v>
      </c>
      <c r="T145" s="165">
        <f ca="1">IFERROR(__xludf.DUMMYFUNCTION("""COMPUTED_VALUE"""),0)</f>
        <v>0</v>
      </c>
      <c r="U145" s="165">
        <f ca="1"/>
        <v>4550</v>
      </c>
    </row>
    <row r="146" spans="1:21" ht="12.75">
      <c r="A146" s="167" t="str">
        <f ca="1">IFERROR(__xludf.DUMMYFUNCTION("""COMPUTED_VALUE"""),"Colinas")</f>
        <v>Colinas</v>
      </c>
      <c r="B146" s="167" t="str">
        <f ca="1">IFERROR(__xludf.DUMMYFUNCTION("""COMPUTED_VALUE"""),"Tupiratins")</f>
        <v>Tupiratins</v>
      </c>
      <c r="C146" s="168" t="str">
        <f ca="1">IFERROR(__xludf.DUMMYFUNCTION("""COMPUTED_VALUE"""),"A. DE AP. DA ESC. EST. SAO TOMAS DE AQUINO")</f>
        <v>A. DE AP. DA ESC. EST. SAO TOMAS DE AQUINO</v>
      </c>
      <c r="D146" s="169" t="str">
        <f ca="1">IFERROR(__xludf.DUMMYFUNCTION("""COMPUTED_VALUE"""),"01334791000159")</f>
        <v>01334791000159</v>
      </c>
      <c r="E146" s="170" t="str">
        <f ca="1">IFERROR(__xludf.DUMMYFUNCTION("""COMPUTED_VALUE"""),"001")</f>
        <v>001</v>
      </c>
      <c r="F146" s="170" t="str">
        <f ca="1">IFERROR(__xludf.DUMMYFUNCTION("""COMPUTED_VALUE"""),"0911")</f>
        <v>0911</v>
      </c>
      <c r="G146" s="170" t="str">
        <f ca="1">IFERROR(__xludf.DUMMYFUNCTION("""COMPUTED_VALUE"""),"370045")</f>
        <v>370045</v>
      </c>
      <c r="H146" s="170">
        <f ca="1">IFERROR(__xludf.DUMMYFUNCTION("""COMPUTED_VALUE"""),0)</f>
        <v>0</v>
      </c>
      <c r="I146" s="170">
        <f ca="1">IFERROR(__xludf.DUMMYFUNCTION("""COMPUTED_VALUE"""),0)</f>
        <v>0</v>
      </c>
      <c r="J146" s="170">
        <f ca="1">IFERROR(__xludf.DUMMYFUNCTION("""COMPUTED_VALUE"""),1430)</f>
        <v>1430</v>
      </c>
      <c r="K146" s="170">
        <f ca="1">IFERROR(__xludf.DUMMYFUNCTION("""COMPUTED_VALUE"""),0)</f>
        <v>0</v>
      </c>
      <c r="L146" s="170">
        <f ca="1">IFERROR(__xludf.DUMMYFUNCTION("""COMPUTED_VALUE"""),0)</f>
        <v>0</v>
      </c>
      <c r="M146" s="170">
        <f ca="1">IFERROR(__xludf.DUMMYFUNCTION("""COMPUTED_VALUE"""),0)</f>
        <v>0</v>
      </c>
      <c r="N146" s="170">
        <f ca="1">IFERROR(__xludf.DUMMYFUNCTION("""COMPUTED_VALUE"""),0)</f>
        <v>0</v>
      </c>
      <c r="O146" s="170">
        <f ca="1">IFERROR(__xludf.DUMMYFUNCTION("""COMPUTED_VALUE"""),0)</f>
        <v>0</v>
      </c>
      <c r="P146" s="170">
        <f ca="1">IFERROR(__xludf.DUMMYFUNCTION("""COMPUTED_VALUE"""),0)</f>
        <v>0</v>
      </c>
      <c r="Q146" s="170">
        <f ca="1">IFERROR(__xludf.DUMMYFUNCTION("""COMPUTED_VALUE"""),740)</f>
        <v>740</v>
      </c>
      <c r="R146" s="170">
        <f ca="1">IFERROR(__xludf.DUMMYFUNCTION("""COMPUTED_VALUE"""),0)</f>
        <v>0</v>
      </c>
      <c r="S146" s="170">
        <f ca="1">IFERROR(__xludf.DUMMYFUNCTION("""COMPUTED_VALUE"""),0)</f>
        <v>0</v>
      </c>
      <c r="T146" s="170">
        <f ca="1">IFERROR(__xludf.DUMMYFUNCTION("""COMPUTED_VALUE"""),0)</f>
        <v>0</v>
      </c>
      <c r="U146" s="170">
        <f ca="1"/>
        <v>2170</v>
      </c>
    </row>
    <row r="147" spans="1:21" ht="12.75">
      <c r="A147" s="162" t="str">
        <f ca="1">IFERROR(__xludf.DUMMYFUNCTION("""COMPUTED_VALUE"""),"Dianópolis")</f>
        <v>Dianópolis</v>
      </c>
      <c r="B147" s="162" t="str">
        <f ca="1">IFERROR(__xludf.DUMMYFUNCTION("""COMPUTED_VALUE"""),"Almas")</f>
        <v>Almas</v>
      </c>
      <c r="C147" s="163" t="str">
        <f ca="1">IFERROR(__xludf.DUMMYFUNCTION("""COMPUTED_VALUE"""),"A.A. COL. E.II GRAU DR.ABNER A.PACINI")</f>
        <v>A.A. COL. E.II GRAU DR.ABNER A.PACINI</v>
      </c>
      <c r="D147" s="164" t="str">
        <f ca="1">IFERROR(__xludf.DUMMYFUNCTION("""COMPUTED_VALUE"""),"01197160000135")</f>
        <v>01197160000135</v>
      </c>
      <c r="E147" s="165" t="str">
        <f ca="1">IFERROR(__xludf.DUMMYFUNCTION("""COMPUTED_VALUE"""),"001")</f>
        <v>001</v>
      </c>
      <c r="F147" s="165" t="str">
        <f ca="1">IFERROR(__xludf.DUMMYFUNCTION("""COMPUTED_VALUE"""),"1307")</f>
        <v>1307</v>
      </c>
      <c r="G147" s="165" t="str">
        <f ca="1">IFERROR(__xludf.DUMMYFUNCTION("""COMPUTED_VALUE"""),"0107700")</f>
        <v>0107700</v>
      </c>
      <c r="H147" s="165">
        <f ca="1">IFERROR(__xludf.DUMMYFUNCTION("""COMPUTED_VALUE"""),0)</f>
        <v>0</v>
      </c>
      <c r="I147" s="165">
        <f ca="1">IFERROR(__xludf.DUMMYFUNCTION("""COMPUTED_VALUE"""),0)</f>
        <v>0</v>
      </c>
      <c r="J147" s="165">
        <f ca="1">IFERROR(__xludf.DUMMYFUNCTION("""COMPUTED_VALUE"""),3870)</f>
        <v>3870</v>
      </c>
      <c r="K147" s="165">
        <f ca="1">IFERROR(__xludf.DUMMYFUNCTION("""COMPUTED_VALUE"""),0)</f>
        <v>0</v>
      </c>
      <c r="L147" s="165">
        <f ca="1">IFERROR(__xludf.DUMMYFUNCTION("""COMPUTED_VALUE"""),0)</f>
        <v>0</v>
      </c>
      <c r="M147" s="165">
        <f ca="1">IFERROR(__xludf.DUMMYFUNCTION("""COMPUTED_VALUE"""),0)</f>
        <v>0</v>
      </c>
      <c r="N147" s="165">
        <f ca="1">IFERROR(__xludf.DUMMYFUNCTION("""COMPUTED_VALUE"""),0)</f>
        <v>0</v>
      </c>
      <c r="O147" s="165">
        <f ca="1">IFERROR(__xludf.DUMMYFUNCTION("""COMPUTED_VALUE"""),0)</f>
        <v>0</v>
      </c>
      <c r="P147" s="165">
        <f ca="1">IFERROR(__xludf.DUMMYFUNCTION("""COMPUTED_VALUE"""),204)</f>
        <v>204</v>
      </c>
      <c r="Q147" s="165">
        <f ca="1">IFERROR(__xludf.DUMMYFUNCTION("""COMPUTED_VALUE"""),1860)</f>
        <v>1860</v>
      </c>
      <c r="R147" s="165">
        <f ca="1">IFERROR(__xludf.DUMMYFUNCTION("""COMPUTED_VALUE"""),0)</f>
        <v>0</v>
      </c>
      <c r="S147" s="165">
        <f ca="1">IFERROR(__xludf.DUMMYFUNCTION("""COMPUTED_VALUE"""),0)</f>
        <v>0</v>
      </c>
      <c r="T147" s="165">
        <f ca="1">IFERROR(__xludf.DUMMYFUNCTION("""COMPUTED_VALUE"""),0)</f>
        <v>0</v>
      </c>
      <c r="U147" s="165">
        <f ca="1"/>
        <v>5934</v>
      </c>
    </row>
    <row r="148" spans="1:21" ht="12.75">
      <c r="A148" s="167" t="str">
        <f ca="1">IFERROR(__xludf.DUMMYFUNCTION("""COMPUTED_VALUE"""),"Dianópolis")</f>
        <v>Dianópolis</v>
      </c>
      <c r="B148" s="167" t="str">
        <f ca="1">IFERROR(__xludf.DUMMYFUNCTION("""COMPUTED_VALUE"""),"Almas")</f>
        <v>Almas</v>
      </c>
      <c r="C148" s="168" t="str">
        <f ca="1">IFERROR(__xludf.DUMMYFUNCTION("""COMPUTED_VALUE"""),"ASSOC.MES.P.EDUC.FUNC.DO COL.AGROP.ALMAS")</f>
        <v>ASSOC.MES.P.EDUC.FUNC.DO COL.AGROP.ALMAS</v>
      </c>
      <c r="D148" s="169" t="str">
        <f ca="1">IFERROR(__xludf.DUMMYFUNCTION("""COMPUTED_VALUE"""),"03751406000102")</f>
        <v>03751406000102</v>
      </c>
      <c r="E148" s="170" t="str">
        <f ca="1">IFERROR(__xludf.DUMMYFUNCTION("""COMPUTED_VALUE"""),"001")</f>
        <v>001</v>
      </c>
      <c r="F148" s="170" t="str">
        <f ca="1">IFERROR(__xludf.DUMMYFUNCTION("""COMPUTED_VALUE"""),"1307")</f>
        <v>1307</v>
      </c>
      <c r="G148" s="170" t="str">
        <f ca="1">IFERROR(__xludf.DUMMYFUNCTION("""COMPUTED_VALUE"""),"115312")</f>
        <v>115312</v>
      </c>
      <c r="H148" s="170">
        <f ca="1">IFERROR(__xludf.DUMMYFUNCTION("""COMPUTED_VALUE"""),0)</f>
        <v>0</v>
      </c>
      <c r="I148" s="170">
        <f ca="1">IFERROR(__xludf.DUMMYFUNCTION("""COMPUTED_VALUE"""),0)</f>
        <v>0</v>
      </c>
      <c r="J148" s="170">
        <f ca="1">IFERROR(__xludf.DUMMYFUNCTION("""COMPUTED_VALUE"""),0)</f>
        <v>0</v>
      </c>
      <c r="K148" s="170">
        <f ca="1">IFERROR(__xludf.DUMMYFUNCTION("""COMPUTED_VALUE"""),2137.2)</f>
        <v>2137.1999999999998</v>
      </c>
      <c r="L148" s="170">
        <f ca="1">IFERROR(__xludf.DUMMYFUNCTION("""COMPUTED_VALUE"""),0)</f>
        <v>0</v>
      </c>
      <c r="M148" s="170">
        <f ca="1">IFERROR(__xludf.DUMMYFUNCTION("""COMPUTED_VALUE"""),0)</f>
        <v>0</v>
      </c>
      <c r="N148" s="170">
        <f ca="1">IFERROR(__xludf.DUMMYFUNCTION("""COMPUTED_VALUE"""),0)</f>
        <v>0</v>
      </c>
      <c r="O148" s="170">
        <f ca="1">IFERROR(__xludf.DUMMYFUNCTION("""COMPUTED_VALUE"""),0)</f>
        <v>0</v>
      </c>
      <c r="P148" s="170">
        <f ca="1">IFERROR(__xludf.DUMMYFUNCTION("""COMPUTED_VALUE"""),0)</f>
        <v>0</v>
      </c>
      <c r="Q148" s="170">
        <f ca="1">IFERROR(__xludf.DUMMYFUNCTION("""COMPUTED_VALUE"""),0)</f>
        <v>0</v>
      </c>
      <c r="R148" s="170">
        <f ca="1">IFERROR(__xludf.DUMMYFUNCTION("""COMPUTED_VALUE"""),8274.8)</f>
        <v>8274.7999999999993</v>
      </c>
      <c r="S148" s="170">
        <f ca="1">IFERROR(__xludf.DUMMYFUNCTION("""COMPUTED_VALUE"""),0)</f>
        <v>0</v>
      </c>
      <c r="T148" s="170">
        <f ca="1">IFERROR(__xludf.DUMMYFUNCTION("""COMPUTED_VALUE"""),0)</f>
        <v>0</v>
      </c>
      <c r="U148" s="170">
        <f ca="1"/>
        <v>10412</v>
      </c>
    </row>
    <row r="149" spans="1:21" ht="12.75">
      <c r="A149" s="162" t="str">
        <f ca="1">IFERROR(__xludf.DUMMYFUNCTION("""COMPUTED_VALUE"""),"Dianópolis")</f>
        <v>Dianópolis</v>
      </c>
      <c r="B149" s="162" t="str">
        <f ca="1">IFERROR(__xludf.DUMMYFUNCTION("""COMPUTED_VALUE"""),"Almas")</f>
        <v>Almas</v>
      </c>
      <c r="C149" s="163" t="str">
        <f ca="1">IFERROR(__xludf.DUMMYFUNCTION("""COMPUTED_VALUE"""),"A.A.  ESC. ESTADUAL DEOCLIDES MUNIZ")</f>
        <v>A.A.  ESC. ESTADUAL DEOCLIDES MUNIZ</v>
      </c>
      <c r="D149" s="164" t="str">
        <f ca="1">IFERROR(__xludf.DUMMYFUNCTION("""COMPUTED_VALUE"""),"01143807000146")</f>
        <v>01143807000146</v>
      </c>
      <c r="E149" s="165" t="str">
        <f ca="1">IFERROR(__xludf.DUMMYFUNCTION("""COMPUTED_VALUE"""),"001")</f>
        <v>001</v>
      </c>
      <c r="F149" s="165" t="str">
        <f ca="1">IFERROR(__xludf.DUMMYFUNCTION("""COMPUTED_VALUE"""),"1307")</f>
        <v>1307</v>
      </c>
      <c r="G149" s="165" t="str">
        <f ca="1">IFERROR(__xludf.DUMMYFUNCTION("""COMPUTED_VALUE"""),"107786")</f>
        <v>107786</v>
      </c>
      <c r="H149" s="165">
        <f ca="1">IFERROR(__xludf.DUMMYFUNCTION("""COMPUTED_VALUE"""),0)</f>
        <v>0</v>
      </c>
      <c r="I149" s="165">
        <f ca="1">IFERROR(__xludf.DUMMYFUNCTION("""COMPUTED_VALUE"""),0)</f>
        <v>0</v>
      </c>
      <c r="J149" s="165">
        <f ca="1">IFERROR(__xludf.DUMMYFUNCTION("""COMPUTED_VALUE"""),0)</f>
        <v>0</v>
      </c>
      <c r="K149" s="165">
        <f ca="1">IFERROR(__xludf.DUMMYFUNCTION("""COMPUTED_VALUE"""),4685.4)</f>
        <v>4685.3999999999996</v>
      </c>
      <c r="L149" s="165">
        <f ca="1">IFERROR(__xludf.DUMMYFUNCTION("""COMPUTED_VALUE"""),0)</f>
        <v>0</v>
      </c>
      <c r="M149" s="165">
        <f ca="1">IFERROR(__xludf.DUMMYFUNCTION("""COMPUTED_VALUE"""),0)</f>
        <v>0</v>
      </c>
      <c r="N149" s="165">
        <f ca="1">IFERROR(__xludf.DUMMYFUNCTION("""COMPUTED_VALUE"""),0)</f>
        <v>0</v>
      </c>
      <c r="O149" s="165">
        <f ca="1">IFERROR(__xludf.DUMMYFUNCTION("""COMPUTED_VALUE"""),0)</f>
        <v>0</v>
      </c>
      <c r="P149" s="165">
        <f ca="1">IFERROR(__xludf.DUMMYFUNCTION("""COMPUTED_VALUE"""),176.799999999999)</f>
        <v>176.79999999999899</v>
      </c>
      <c r="Q149" s="165">
        <f ca="1">IFERROR(__xludf.DUMMYFUNCTION("""COMPUTED_VALUE"""),0)</f>
        <v>0</v>
      </c>
      <c r="R149" s="165">
        <f ca="1">IFERROR(__xludf.DUMMYFUNCTION("""COMPUTED_VALUE"""),0)</f>
        <v>0</v>
      </c>
      <c r="S149" s="165">
        <f ca="1">IFERROR(__xludf.DUMMYFUNCTION("""COMPUTED_VALUE"""),2048)</f>
        <v>2048</v>
      </c>
      <c r="T149" s="165">
        <f ca="1">IFERROR(__xludf.DUMMYFUNCTION("""COMPUTED_VALUE"""),0)</f>
        <v>0</v>
      </c>
      <c r="U149" s="165">
        <f ca="1"/>
        <v>6910.1999999999989</v>
      </c>
    </row>
    <row r="150" spans="1:21" ht="12.75">
      <c r="A150" s="167" t="str">
        <f ca="1">IFERROR(__xludf.DUMMYFUNCTION("""COMPUTED_VALUE"""),"Dianópolis")</f>
        <v>Dianópolis</v>
      </c>
      <c r="B150" s="167" t="str">
        <f ca="1">IFERROR(__xludf.DUMMYFUNCTION("""COMPUTED_VALUE"""),"Conceicao do Tocantins")</f>
        <v>Conceicao do Tocantins</v>
      </c>
      <c r="C150" s="168" t="str">
        <f ca="1">IFERROR(__xludf.DUMMYFUNCTION("""COMPUTED_VALUE"""),"A.A. E. CEL JOSE FRANCISCO DE AZEVEDO")</f>
        <v>A.A. E. CEL JOSE FRANCISCO DE AZEVEDO</v>
      </c>
      <c r="D150" s="169" t="str">
        <f ca="1">IFERROR(__xludf.DUMMYFUNCTION("""COMPUTED_VALUE"""),"01136040000128")</f>
        <v>01136040000128</v>
      </c>
      <c r="E150" s="170" t="str">
        <f ca="1">IFERROR(__xludf.DUMMYFUNCTION("""COMPUTED_VALUE"""),"001")</f>
        <v>001</v>
      </c>
      <c r="F150" s="170" t="str">
        <f ca="1">IFERROR(__xludf.DUMMYFUNCTION("""COMPUTED_VALUE"""),"1307")</f>
        <v>1307</v>
      </c>
      <c r="G150" s="170" t="str">
        <f ca="1">IFERROR(__xludf.DUMMYFUNCTION("""COMPUTED_VALUE"""),"106208")</f>
        <v>106208</v>
      </c>
      <c r="H150" s="170">
        <f ca="1">IFERROR(__xludf.DUMMYFUNCTION("""COMPUTED_VALUE"""),0)</f>
        <v>0</v>
      </c>
      <c r="I150" s="170">
        <f ca="1">IFERROR(__xludf.DUMMYFUNCTION("""COMPUTED_VALUE"""),0)</f>
        <v>0</v>
      </c>
      <c r="J150" s="170">
        <f ca="1">IFERROR(__xludf.DUMMYFUNCTION("""COMPUTED_VALUE"""),2490)</f>
        <v>2490</v>
      </c>
      <c r="K150" s="170">
        <f ca="1">IFERROR(__xludf.DUMMYFUNCTION("""COMPUTED_VALUE"""),0)</f>
        <v>0</v>
      </c>
      <c r="L150" s="170">
        <f ca="1">IFERROR(__xludf.DUMMYFUNCTION("""COMPUTED_VALUE"""),0)</f>
        <v>0</v>
      </c>
      <c r="M150" s="170">
        <f ca="1">IFERROR(__xludf.DUMMYFUNCTION("""COMPUTED_VALUE"""),0)</f>
        <v>0</v>
      </c>
      <c r="N150" s="170">
        <f ca="1">IFERROR(__xludf.DUMMYFUNCTION("""COMPUTED_VALUE"""),0)</f>
        <v>0</v>
      </c>
      <c r="O150" s="170">
        <f ca="1">IFERROR(__xludf.DUMMYFUNCTION("""COMPUTED_VALUE"""),0)</f>
        <v>0</v>
      </c>
      <c r="P150" s="170">
        <f ca="1">IFERROR(__xludf.DUMMYFUNCTION("""COMPUTED_VALUE"""),231.2)</f>
        <v>231.2</v>
      </c>
      <c r="Q150" s="170">
        <f ca="1">IFERROR(__xludf.DUMMYFUNCTION("""COMPUTED_VALUE"""),1870)</f>
        <v>1870</v>
      </c>
      <c r="R150" s="170">
        <f ca="1">IFERROR(__xludf.DUMMYFUNCTION("""COMPUTED_VALUE"""),0)</f>
        <v>0</v>
      </c>
      <c r="S150" s="170">
        <f ca="1">IFERROR(__xludf.DUMMYFUNCTION("""COMPUTED_VALUE"""),0)</f>
        <v>0</v>
      </c>
      <c r="T150" s="170">
        <f ca="1">IFERROR(__xludf.DUMMYFUNCTION("""COMPUTED_VALUE"""),0)</f>
        <v>0</v>
      </c>
      <c r="U150" s="170">
        <f ca="1"/>
        <v>4591.2</v>
      </c>
    </row>
    <row r="151" spans="1:21" ht="12.75">
      <c r="A151" s="162" t="str">
        <f ca="1">IFERROR(__xludf.DUMMYFUNCTION("""COMPUTED_VALUE"""),"Dianópolis")</f>
        <v>Dianópolis</v>
      </c>
      <c r="B151" s="162" t="str">
        <f ca="1">IFERROR(__xludf.DUMMYFUNCTION("""COMPUTED_VALUE"""),"Dianopolis")</f>
        <v>Dianopolis</v>
      </c>
      <c r="C151" s="163" t="str">
        <f ca="1">IFERROR(__xludf.DUMMYFUNCTION("""COMPUTED_VALUE"""),"A. ESC. COMUN.DA E. EST. ANTONIO POVOA")</f>
        <v>A. ESC. COMUN.DA E. EST. ANTONIO POVOA</v>
      </c>
      <c r="D151" s="164" t="str">
        <f ca="1">IFERROR(__xludf.DUMMYFUNCTION("""COMPUTED_VALUE"""),"00895665000100")</f>
        <v>00895665000100</v>
      </c>
      <c r="E151" s="165" t="str">
        <f ca="1">IFERROR(__xludf.DUMMYFUNCTION("""COMPUTED_VALUE"""),"001")</f>
        <v>001</v>
      </c>
      <c r="F151" s="165" t="str">
        <f ca="1">IFERROR(__xludf.DUMMYFUNCTION("""COMPUTED_VALUE"""),"1307")</f>
        <v>1307</v>
      </c>
      <c r="G151" s="165" t="str">
        <f ca="1">IFERROR(__xludf.DUMMYFUNCTION("""COMPUTED_VALUE"""),"010616X")</f>
        <v>010616X</v>
      </c>
      <c r="H151" s="165">
        <f ca="1">IFERROR(__xludf.DUMMYFUNCTION("""COMPUTED_VALUE"""),0)</f>
        <v>0</v>
      </c>
      <c r="I151" s="165">
        <f ca="1">IFERROR(__xludf.DUMMYFUNCTION("""COMPUTED_VALUE"""),0)</f>
        <v>0</v>
      </c>
      <c r="J151" s="165">
        <f ca="1">IFERROR(__xludf.DUMMYFUNCTION("""COMPUTED_VALUE"""),340)</f>
        <v>340</v>
      </c>
      <c r="K151" s="165">
        <f ca="1">IFERROR(__xludf.DUMMYFUNCTION("""COMPUTED_VALUE"""),1041.2)</f>
        <v>1041.2</v>
      </c>
      <c r="L151" s="165">
        <f ca="1">IFERROR(__xludf.DUMMYFUNCTION("""COMPUTED_VALUE"""),0)</f>
        <v>0</v>
      </c>
      <c r="M151" s="165">
        <f ca="1">IFERROR(__xludf.DUMMYFUNCTION("""COMPUTED_VALUE"""),0)</f>
        <v>0</v>
      </c>
      <c r="N151" s="165">
        <f ca="1">IFERROR(__xludf.DUMMYFUNCTION("""COMPUTED_VALUE"""),0)</f>
        <v>0</v>
      </c>
      <c r="O151" s="165">
        <f ca="1">IFERROR(__xludf.DUMMYFUNCTION("""COMPUTED_VALUE"""),0)</f>
        <v>0</v>
      </c>
      <c r="P151" s="165">
        <f ca="1">IFERROR(__xludf.DUMMYFUNCTION("""COMPUTED_VALUE"""),0)</f>
        <v>0</v>
      </c>
      <c r="Q151" s="165">
        <f ca="1">IFERROR(__xludf.DUMMYFUNCTION("""COMPUTED_VALUE"""),0)</f>
        <v>0</v>
      </c>
      <c r="R151" s="165">
        <f ca="1">IFERROR(__xludf.DUMMYFUNCTION("""COMPUTED_VALUE"""),0)</f>
        <v>0</v>
      </c>
      <c r="S151" s="165">
        <f ca="1">IFERROR(__xludf.DUMMYFUNCTION("""COMPUTED_VALUE"""),4454.4)</f>
        <v>4454.3999999999996</v>
      </c>
      <c r="T151" s="165">
        <f ca="1">IFERROR(__xludf.DUMMYFUNCTION("""COMPUTED_VALUE"""),483.799999999999)</f>
        <v>483.79999999999899</v>
      </c>
      <c r="U151" s="165">
        <f ca="1"/>
        <v>6319.3999999999987</v>
      </c>
    </row>
    <row r="152" spans="1:21" ht="12.75">
      <c r="A152" s="167" t="str">
        <f ca="1">IFERROR(__xludf.DUMMYFUNCTION("""COMPUTED_VALUE"""),"Dianópolis")</f>
        <v>Dianópolis</v>
      </c>
      <c r="B152" s="167" t="str">
        <f ca="1">IFERROR(__xludf.DUMMYFUNCTION("""COMPUTED_VALUE"""),"Dianopolis")</f>
        <v>Dianopolis</v>
      </c>
      <c r="C152" s="168" t="str">
        <f ca="1">IFERROR(__xludf.DUMMYFUNCTION("""COMPUTED_VALUE"""),"A. DE APOIO AO COLEGIO JOAO DE ABREU")</f>
        <v>A. DE APOIO AO COLEGIO JOAO DE ABREU</v>
      </c>
      <c r="D152" s="169" t="str">
        <f ca="1">IFERROR(__xludf.DUMMYFUNCTION("""COMPUTED_VALUE"""),"05059617000104")</f>
        <v>05059617000104</v>
      </c>
      <c r="E152" s="170" t="str">
        <f ca="1">IFERROR(__xludf.DUMMYFUNCTION("""COMPUTED_VALUE"""),"001")</f>
        <v>001</v>
      </c>
      <c r="F152" s="170" t="str">
        <f ca="1">IFERROR(__xludf.DUMMYFUNCTION("""COMPUTED_VALUE"""),"1307")</f>
        <v>1307</v>
      </c>
      <c r="G152" s="170" t="str">
        <f ca="1">IFERROR(__xludf.DUMMYFUNCTION("""COMPUTED_VALUE"""),"127027")</f>
        <v>127027</v>
      </c>
      <c r="H152" s="170">
        <f ca="1">IFERROR(__xludf.DUMMYFUNCTION("""COMPUTED_VALUE"""),0)</f>
        <v>0</v>
      </c>
      <c r="I152" s="170">
        <f ca="1">IFERROR(__xludf.DUMMYFUNCTION("""COMPUTED_VALUE"""),0)</f>
        <v>0</v>
      </c>
      <c r="J152" s="170">
        <f ca="1">IFERROR(__xludf.DUMMYFUNCTION("""COMPUTED_VALUE"""),6050)</f>
        <v>6050</v>
      </c>
      <c r="K152" s="170">
        <f ca="1">IFERROR(__xludf.DUMMYFUNCTION("""COMPUTED_VALUE"""),0)</f>
        <v>0</v>
      </c>
      <c r="L152" s="170">
        <f ca="1">IFERROR(__xludf.DUMMYFUNCTION("""COMPUTED_VALUE"""),0)</f>
        <v>0</v>
      </c>
      <c r="M152" s="170">
        <f ca="1">IFERROR(__xludf.DUMMYFUNCTION("""COMPUTED_VALUE"""),0)</f>
        <v>0</v>
      </c>
      <c r="N152" s="170">
        <f ca="1">IFERROR(__xludf.DUMMYFUNCTION("""COMPUTED_VALUE"""),0)</f>
        <v>0</v>
      </c>
      <c r="O152" s="170">
        <f ca="1">IFERROR(__xludf.DUMMYFUNCTION("""COMPUTED_VALUE"""),0)</f>
        <v>0</v>
      </c>
      <c r="P152" s="170">
        <f ca="1">IFERROR(__xludf.DUMMYFUNCTION("""COMPUTED_VALUE"""),217.6)</f>
        <v>217.6</v>
      </c>
      <c r="Q152" s="170">
        <f ca="1">IFERROR(__xludf.DUMMYFUNCTION("""COMPUTED_VALUE"""),3510)</f>
        <v>3510</v>
      </c>
      <c r="R152" s="170">
        <f ca="1">IFERROR(__xludf.DUMMYFUNCTION("""COMPUTED_VALUE"""),0)</f>
        <v>0</v>
      </c>
      <c r="S152" s="170">
        <f ca="1">IFERROR(__xludf.DUMMYFUNCTION("""COMPUTED_VALUE"""),0)</f>
        <v>0</v>
      </c>
      <c r="T152" s="170">
        <f ca="1">IFERROR(__xludf.DUMMYFUNCTION("""COMPUTED_VALUE"""),0)</f>
        <v>0</v>
      </c>
      <c r="U152" s="170">
        <f ca="1"/>
        <v>9777.6</v>
      </c>
    </row>
    <row r="153" spans="1:21" ht="12.75">
      <c r="A153" s="162" t="str">
        <f ca="1">IFERROR(__xludf.DUMMYFUNCTION("""COMPUTED_VALUE"""),"Dianópolis")</f>
        <v>Dianópolis</v>
      </c>
      <c r="B153" s="162" t="str">
        <f ca="1">IFERROR(__xludf.DUMMYFUNCTION("""COMPUTED_VALUE"""),"Dianopolis")</f>
        <v>Dianopolis</v>
      </c>
      <c r="C153" s="163" t="str">
        <f ca="1">IFERROR(__xludf.DUMMYFUNCTION("""COMPUTED_VALUE"""),"ASSOC. DE APOIO A ESCOLA COOPERATIVA CHAPADÃO/DIANÓPOLIS")</f>
        <v>ASSOC. DE APOIO A ESCOLA COOPERATIVA CHAPADÃO/DIANÓPOLIS</v>
      </c>
      <c r="D153" s="164" t="str">
        <f ca="1">IFERROR(__xludf.DUMMYFUNCTION("""COMPUTED_VALUE"""),"07056712000171")</f>
        <v>07056712000171</v>
      </c>
      <c r="E153" s="165" t="str">
        <f ca="1">IFERROR(__xludf.DUMMYFUNCTION("""COMPUTED_VALUE"""),"001")</f>
        <v>001</v>
      </c>
      <c r="F153" s="165" t="str">
        <f ca="1">IFERROR(__xludf.DUMMYFUNCTION("""COMPUTED_VALUE"""),"1307")</f>
        <v>1307</v>
      </c>
      <c r="G153" s="165" t="str">
        <f ca="1">IFERROR(__xludf.DUMMYFUNCTION("""COMPUTED_VALUE"""),"15704X")</f>
        <v>15704X</v>
      </c>
      <c r="H153" s="165">
        <f ca="1">IFERROR(__xludf.DUMMYFUNCTION("""COMPUTED_VALUE"""),0)</f>
        <v>0</v>
      </c>
      <c r="I153" s="165">
        <f ca="1">IFERROR(__xludf.DUMMYFUNCTION("""COMPUTED_VALUE"""),0)</f>
        <v>0</v>
      </c>
      <c r="J153" s="165">
        <f ca="1">IFERROR(__xludf.DUMMYFUNCTION("""COMPUTED_VALUE"""),1340)</f>
        <v>1340</v>
      </c>
      <c r="K153" s="165">
        <f ca="1">IFERROR(__xludf.DUMMYFUNCTION("""COMPUTED_VALUE"""),0)</f>
        <v>0</v>
      </c>
      <c r="L153" s="165">
        <f ca="1">IFERROR(__xludf.DUMMYFUNCTION("""COMPUTED_VALUE"""),0)</f>
        <v>0</v>
      </c>
      <c r="M153" s="165">
        <f ca="1">IFERROR(__xludf.DUMMYFUNCTION("""COMPUTED_VALUE"""),0)</f>
        <v>0</v>
      </c>
      <c r="N153" s="165">
        <f ca="1">IFERROR(__xludf.DUMMYFUNCTION("""COMPUTED_VALUE"""),0)</f>
        <v>0</v>
      </c>
      <c r="O153" s="165">
        <f ca="1">IFERROR(__xludf.DUMMYFUNCTION("""COMPUTED_VALUE"""),0)</f>
        <v>0</v>
      </c>
      <c r="P153" s="165">
        <f ca="1">IFERROR(__xludf.DUMMYFUNCTION("""COMPUTED_VALUE"""),190.4)</f>
        <v>190.4</v>
      </c>
      <c r="Q153" s="165">
        <f ca="1">IFERROR(__xludf.DUMMYFUNCTION("""COMPUTED_VALUE"""),240)</f>
        <v>240</v>
      </c>
      <c r="R153" s="165">
        <f ca="1">IFERROR(__xludf.DUMMYFUNCTION("""COMPUTED_VALUE"""),0)</f>
        <v>0</v>
      </c>
      <c r="S153" s="165">
        <f ca="1">IFERROR(__xludf.DUMMYFUNCTION("""COMPUTED_VALUE"""),0)</f>
        <v>0</v>
      </c>
      <c r="T153" s="165">
        <f ca="1">IFERROR(__xludf.DUMMYFUNCTION("""COMPUTED_VALUE"""),0)</f>
        <v>0</v>
      </c>
      <c r="U153" s="165">
        <f ca="1"/>
        <v>1770.4</v>
      </c>
    </row>
    <row r="154" spans="1:21" ht="12.75">
      <c r="A154" s="167" t="str">
        <f ca="1">IFERROR(__xludf.DUMMYFUNCTION("""COMPUTED_VALUE"""),"Dianópolis")</f>
        <v>Dianópolis</v>
      </c>
      <c r="B154" s="167" t="str">
        <f ca="1">IFERROR(__xludf.DUMMYFUNCTION("""COMPUTED_VALUE"""),"Dianopolis")</f>
        <v>Dianopolis</v>
      </c>
      <c r="C154" s="168" t="str">
        <f ca="1">IFERROR(__xludf.DUMMYFUNCTION("""COMPUTED_VALUE"""),"ESCOLA ESPECIAL COLIBRI")</f>
        <v>ESCOLA ESPECIAL COLIBRI</v>
      </c>
      <c r="D154" s="169" t="str">
        <f ca="1">IFERROR(__xludf.DUMMYFUNCTION("""COMPUTED_VALUE"""),"15413383000105")</f>
        <v>15413383000105</v>
      </c>
      <c r="E154" s="170" t="str">
        <f ca="1">IFERROR(__xludf.DUMMYFUNCTION("""COMPUTED_VALUE"""),"001")</f>
        <v>001</v>
      </c>
      <c r="F154" s="170" t="str">
        <f ca="1">IFERROR(__xludf.DUMMYFUNCTION("""COMPUTED_VALUE"""),"1307")</f>
        <v>1307</v>
      </c>
      <c r="G154" s="170" t="str">
        <f ca="1">IFERROR(__xludf.DUMMYFUNCTION("""COMPUTED_VALUE"""),"312967")</f>
        <v>312967</v>
      </c>
      <c r="H154" s="170">
        <f ca="1">IFERROR(__xludf.DUMMYFUNCTION("""COMPUTED_VALUE"""),0)</f>
        <v>0</v>
      </c>
      <c r="I154" s="170">
        <f ca="1">IFERROR(__xludf.DUMMYFUNCTION("""COMPUTED_VALUE"""),0)</f>
        <v>0</v>
      </c>
      <c r="J154" s="170">
        <f ca="1">IFERROR(__xludf.DUMMYFUNCTION("""COMPUTED_VALUE"""),250)</f>
        <v>250</v>
      </c>
      <c r="K154" s="170">
        <f ca="1">IFERROR(__xludf.DUMMYFUNCTION("""COMPUTED_VALUE"""),0)</f>
        <v>0</v>
      </c>
      <c r="L154" s="170">
        <f ca="1">IFERROR(__xludf.DUMMYFUNCTION("""COMPUTED_VALUE"""),0)</f>
        <v>0</v>
      </c>
      <c r="M154" s="170">
        <f ca="1">IFERROR(__xludf.DUMMYFUNCTION("""COMPUTED_VALUE"""),0)</f>
        <v>0</v>
      </c>
      <c r="N154" s="170">
        <f ca="1">IFERROR(__xludf.DUMMYFUNCTION("""COMPUTED_VALUE"""),0)</f>
        <v>0</v>
      </c>
      <c r="O154" s="170">
        <f ca="1">IFERROR(__xludf.DUMMYFUNCTION("""COMPUTED_VALUE"""),0)</f>
        <v>0</v>
      </c>
      <c r="P154" s="170">
        <f ca="1">IFERROR(__xludf.DUMMYFUNCTION("""COMPUTED_VALUE"""),272)</f>
        <v>272</v>
      </c>
      <c r="Q154" s="170">
        <f ca="1">IFERROR(__xludf.DUMMYFUNCTION("""COMPUTED_VALUE"""),0)</f>
        <v>0</v>
      </c>
      <c r="R154" s="170">
        <f ca="1">IFERROR(__xludf.DUMMYFUNCTION("""COMPUTED_VALUE"""),0)</f>
        <v>0</v>
      </c>
      <c r="S154" s="170">
        <f ca="1">IFERROR(__xludf.DUMMYFUNCTION("""COMPUTED_VALUE"""),0)</f>
        <v>0</v>
      </c>
      <c r="T154" s="170">
        <f ca="1">IFERROR(__xludf.DUMMYFUNCTION("""COMPUTED_VALUE"""),409.999999999999)</f>
        <v>409.99999999999898</v>
      </c>
      <c r="U154" s="170">
        <f ca="1"/>
        <v>931.99999999999898</v>
      </c>
    </row>
    <row r="155" spans="1:21" ht="12.75">
      <c r="A155" s="162" t="str">
        <f ca="1">IFERROR(__xludf.DUMMYFUNCTION("""COMPUTED_VALUE"""),"Dianópolis")</f>
        <v>Dianópolis</v>
      </c>
      <c r="B155" s="162" t="str">
        <f ca="1">IFERROR(__xludf.DUMMYFUNCTION("""COMPUTED_VALUE"""),"Dianopolis")</f>
        <v>Dianopolis</v>
      </c>
      <c r="C155" s="163" t="str">
        <f ca="1">IFERROR(__xludf.DUMMYFUNCTION("""COMPUTED_VALUE"""),"ASS. APOIO ESC. EST.CEL.ABILIO WOLNEY")</f>
        <v>ASS. APOIO ESC. EST.CEL.ABILIO WOLNEY</v>
      </c>
      <c r="D155" s="164" t="str">
        <f ca="1">IFERROR(__xludf.DUMMYFUNCTION("""COMPUTED_VALUE"""),"01197161000180")</f>
        <v>01197161000180</v>
      </c>
      <c r="E155" s="165" t="str">
        <f ca="1">IFERROR(__xludf.DUMMYFUNCTION("""COMPUTED_VALUE"""),"001")</f>
        <v>001</v>
      </c>
      <c r="F155" s="165" t="str">
        <f ca="1">IFERROR(__xludf.DUMMYFUNCTION("""COMPUTED_VALUE"""),"1307")</f>
        <v>1307</v>
      </c>
      <c r="G155" s="165" t="str">
        <f ca="1">IFERROR(__xludf.DUMMYFUNCTION("""COMPUTED_VALUE"""),"120464")</f>
        <v>120464</v>
      </c>
      <c r="H155" s="165">
        <f ca="1">IFERROR(__xludf.DUMMYFUNCTION("""COMPUTED_VALUE"""),0)</f>
        <v>0</v>
      </c>
      <c r="I155" s="165">
        <f ca="1">IFERROR(__xludf.DUMMYFUNCTION("""COMPUTED_VALUE"""),0)</f>
        <v>0</v>
      </c>
      <c r="J155" s="165">
        <f ca="1">IFERROR(__xludf.DUMMYFUNCTION("""COMPUTED_VALUE"""),4420)</f>
        <v>4420</v>
      </c>
      <c r="K155" s="165">
        <f ca="1">IFERROR(__xludf.DUMMYFUNCTION("""COMPUTED_VALUE"""),0)</f>
        <v>0</v>
      </c>
      <c r="L155" s="165">
        <f ca="1">IFERROR(__xludf.DUMMYFUNCTION("""COMPUTED_VALUE"""),0)</f>
        <v>0</v>
      </c>
      <c r="M155" s="165">
        <f ca="1">IFERROR(__xludf.DUMMYFUNCTION("""COMPUTED_VALUE"""),0)</f>
        <v>0</v>
      </c>
      <c r="N155" s="165">
        <f ca="1">IFERROR(__xludf.DUMMYFUNCTION("""COMPUTED_VALUE"""),0)</f>
        <v>0</v>
      </c>
      <c r="O155" s="165">
        <f ca="1">IFERROR(__xludf.DUMMYFUNCTION("""COMPUTED_VALUE"""),0)</f>
        <v>0</v>
      </c>
      <c r="P155" s="165">
        <f ca="1">IFERROR(__xludf.DUMMYFUNCTION("""COMPUTED_VALUE"""),0)</f>
        <v>0</v>
      </c>
      <c r="Q155" s="165">
        <f ca="1">IFERROR(__xludf.DUMMYFUNCTION("""COMPUTED_VALUE"""),5420)</f>
        <v>5420</v>
      </c>
      <c r="R155" s="165">
        <f ca="1">IFERROR(__xludf.DUMMYFUNCTION("""COMPUTED_VALUE"""),0)</f>
        <v>0</v>
      </c>
      <c r="S155" s="165">
        <f ca="1">IFERROR(__xludf.DUMMYFUNCTION("""COMPUTED_VALUE"""),0)</f>
        <v>0</v>
      </c>
      <c r="T155" s="165">
        <f ca="1">IFERROR(__xludf.DUMMYFUNCTION("""COMPUTED_VALUE"""),0)</f>
        <v>0</v>
      </c>
      <c r="U155" s="165">
        <f ca="1"/>
        <v>9840</v>
      </c>
    </row>
    <row r="156" spans="1:21" ht="12.75">
      <c r="A156" s="167" t="str">
        <f ca="1">IFERROR(__xludf.DUMMYFUNCTION("""COMPUTED_VALUE"""),"Dianópolis")</f>
        <v>Dianópolis</v>
      </c>
      <c r="B156" s="167" t="str">
        <f ca="1">IFERROR(__xludf.DUMMYFUNCTION("""COMPUTED_VALUE"""),"Dianopolis")</f>
        <v>Dianopolis</v>
      </c>
      <c r="C156" s="168" t="str">
        <f ca="1">IFERROR(__xludf.DUMMYFUNCTION("""COMPUTED_VALUE"""),"A.A. ESCOLA ESTADUAL JOCA COSTA")</f>
        <v>A.A. ESCOLA ESTADUAL JOCA COSTA</v>
      </c>
      <c r="D156" s="169" t="str">
        <f ca="1">IFERROR(__xludf.DUMMYFUNCTION("""COMPUTED_VALUE"""),"01138323000109")</f>
        <v>01138323000109</v>
      </c>
      <c r="E156" s="170" t="str">
        <f ca="1">IFERROR(__xludf.DUMMYFUNCTION("""COMPUTED_VALUE"""),"001")</f>
        <v>001</v>
      </c>
      <c r="F156" s="170" t="str">
        <f ca="1">IFERROR(__xludf.DUMMYFUNCTION("""COMPUTED_VALUE"""),"1307")</f>
        <v>1307</v>
      </c>
      <c r="G156" s="170" t="str">
        <f ca="1">IFERROR(__xludf.DUMMYFUNCTION("""COMPUTED_VALUE"""),"107492")</f>
        <v>107492</v>
      </c>
      <c r="H156" s="170">
        <f ca="1">IFERROR(__xludf.DUMMYFUNCTION("""COMPUTED_VALUE"""),0)</f>
        <v>0</v>
      </c>
      <c r="I156" s="170">
        <f ca="1">IFERROR(__xludf.DUMMYFUNCTION("""COMPUTED_VALUE"""),0)</f>
        <v>0</v>
      </c>
      <c r="J156" s="170">
        <f ca="1">IFERROR(__xludf.DUMMYFUNCTION("""COMPUTED_VALUE"""),3650)</f>
        <v>3650</v>
      </c>
      <c r="K156" s="170">
        <f ca="1">IFERROR(__xludf.DUMMYFUNCTION("""COMPUTED_VALUE"""),0)</f>
        <v>0</v>
      </c>
      <c r="L156" s="170">
        <f ca="1">IFERROR(__xludf.DUMMYFUNCTION("""COMPUTED_VALUE"""),0)</f>
        <v>0</v>
      </c>
      <c r="M156" s="170">
        <f ca="1">IFERROR(__xludf.DUMMYFUNCTION("""COMPUTED_VALUE"""),0)</f>
        <v>0</v>
      </c>
      <c r="N156" s="170">
        <f ca="1">IFERROR(__xludf.DUMMYFUNCTION("""COMPUTED_VALUE"""),0)</f>
        <v>0</v>
      </c>
      <c r="O156" s="170">
        <f ca="1">IFERROR(__xludf.DUMMYFUNCTION("""COMPUTED_VALUE"""),0)</f>
        <v>0</v>
      </c>
      <c r="P156" s="170">
        <f ca="1">IFERROR(__xludf.DUMMYFUNCTION("""COMPUTED_VALUE"""),353.599999999999)</f>
        <v>353.599999999999</v>
      </c>
      <c r="Q156" s="170">
        <f ca="1">IFERROR(__xludf.DUMMYFUNCTION("""COMPUTED_VALUE"""),0)</f>
        <v>0</v>
      </c>
      <c r="R156" s="170">
        <f ca="1">IFERROR(__xludf.DUMMYFUNCTION("""COMPUTED_VALUE"""),0)</f>
        <v>0</v>
      </c>
      <c r="S156" s="170">
        <f ca="1">IFERROR(__xludf.DUMMYFUNCTION("""COMPUTED_VALUE"""),0)</f>
        <v>0</v>
      </c>
      <c r="T156" s="170">
        <f ca="1">IFERROR(__xludf.DUMMYFUNCTION("""COMPUTED_VALUE"""),0)</f>
        <v>0</v>
      </c>
      <c r="U156" s="170">
        <f ca="1"/>
        <v>4003.599999999999</v>
      </c>
    </row>
    <row r="157" spans="1:21" ht="12.75">
      <c r="A157" s="162" t="str">
        <f ca="1">IFERROR(__xludf.DUMMYFUNCTION("""COMPUTED_VALUE"""),"Dianópolis")</f>
        <v>Dianópolis</v>
      </c>
      <c r="B157" s="162" t="str">
        <f ca="1">IFERROR(__xludf.DUMMYFUNCTION("""COMPUTED_VALUE"""),"Novo Jardim")</f>
        <v>Novo Jardim</v>
      </c>
      <c r="C157" s="163" t="str">
        <f ca="1">IFERROR(__xludf.DUMMYFUNCTION("""COMPUTED_VALUE"""),"ASS. DE AP. DA ESCOLA ESTADUAL JARDIM")</f>
        <v>ASS. DE AP. DA ESCOLA ESTADUAL JARDIM</v>
      </c>
      <c r="D157" s="164" t="str">
        <f ca="1">IFERROR(__xludf.DUMMYFUNCTION("""COMPUTED_VALUE"""),"01408711000162")</f>
        <v>01408711000162</v>
      </c>
      <c r="E157" s="165" t="str">
        <f ca="1">IFERROR(__xludf.DUMMYFUNCTION("""COMPUTED_VALUE"""),"001")</f>
        <v>001</v>
      </c>
      <c r="F157" s="165" t="str">
        <f ca="1">IFERROR(__xludf.DUMMYFUNCTION("""COMPUTED_VALUE"""),"1307")</f>
        <v>1307</v>
      </c>
      <c r="G157" s="165" t="str">
        <f ca="1">IFERROR(__xludf.DUMMYFUNCTION("""COMPUTED_VALUE"""),"106453")</f>
        <v>106453</v>
      </c>
      <c r="H157" s="165">
        <f ca="1">IFERROR(__xludf.DUMMYFUNCTION("""COMPUTED_VALUE"""),0)</f>
        <v>0</v>
      </c>
      <c r="I157" s="165">
        <f ca="1">IFERROR(__xludf.DUMMYFUNCTION("""COMPUTED_VALUE"""),0)</f>
        <v>0</v>
      </c>
      <c r="J157" s="165">
        <f ca="1">IFERROR(__xludf.DUMMYFUNCTION("""COMPUTED_VALUE"""),2070)</f>
        <v>2070</v>
      </c>
      <c r="K157" s="165">
        <f ca="1">IFERROR(__xludf.DUMMYFUNCTION("""COMPUTED_VALUE"""),0)</f>
        <v>0</v>
      </c>
      <c r="L157" s="165">
        <f ca="1">IFERROR(__xludf.DUMMYFUNCTION("""COMPUTED_VALUE"""),0)</f>
        <v>0</v>
      </c>
      <c r="M157" s="165">
        <f ca="1">IFERROR(__xludf.DUMMYFUNCTION("""COMPUTED_VALUE"""),0)</f>
        <v>0</v>
      </c>
      <c r="N157" s="165">
        <f ca="1">IFERROR(__xludf.DUMMYFUNCTION("""COMPUTED_VALUE"""),0)</f>
        <v>0</v>
      </c>
      <c r="O157" s="165">
        <f ca="1">IFERROR(__xludf.DUMMYFUNCTION("""COMPUTED_VALUE"""),0)</f>
        <v>0</v>
      </c>
      <c r="P157" s="165">
        <f ca="1">IFERROR(__xludf.DUMMYFUNCTION("""COMPUTED_VALUE"""),0)</f>
        <v>0</v>
      </c>
      <c r="Q157" s="165">
        <f ca="1">IFERROR(__xludf.DUMMYFUNCTION("""COMPUTED_VALUE"""),620)</f>
        <v>620</v>
      </c>
      <c r="R157" s="165">
        <f ca="1">IFERROR(__xludf.DUMMYFUNCTION("""COMPUTED_VALUE"""),0)</f>
        <v>0</v>
      </c>
      <c r="S157" s="165">
        <f ca="1">IFERROR(__xludf.DUMMYFUNCTION("""COMPUTED_VALUE"""),0)</f>
        <v>0</v>
      </c>
      <c r="T157" s="165">
        <f ca="1">IFERROR(__xludf.DUMMYFUNCTION("""COMPUTED_VALUE"""),0)</f>
        <v>0</v>
      </c>
      <c r="U157" s="165">
        <f ca="1"/>
        <v>2690</v>
      </c>
    </row>
    <row r="158" spans="1:21" ht="12.75">
      <c r="A158" s="167" t="str">
        <f ca="1">IFERROR(__xludf.DUMMYFUNCTION("""COMPUTED_VALUE"""),"Dianópolis")</f>
        <v>Dianópolis</v>
      </c>
      <c r="B158" s="167" t="str">
        <f ca="1">IFERROR(__xludf.DUMMYFUNCTION("""COMPUTED_VALUE"""),"Ponte Alta do Bom Jesus")</f>
        <v>Ponte Alta do Bom Jesus</v>
      </c>
      <c r="C158" s="168" t="str">
        <f ca="1">IFERROR(__xludf.DUMMYFUNCTION("""COMPUTED_VALUE"""),"A.A. ESC. E. ANTONIO CARLOS DE FRANCA")</f>
        <v>A.A. ESC. E. ANTONIO CARLOS DE FRANCA</v>
      </c>
      <c r="D158" s="169" t="str">
        <f ca="1">IFERROR(__xludf.DUMMYFUNCTION("""COMPUTED_VALUE"""),"01223633000121")</f>
        <v>01223633000121</v>
      </c>
      <c r="E158" s="170" t="str">
        <f ca="1">IFERROR(__xludf.DUMMYFUNCTION("""COMPUTED_VALUE"""),"001")</f>
        <v>001</v>
      </c>
      <c r="F158" s="170" t="str">
        <f ca="1">IFERROR(__xludf.DUMMYFUNCTION("""COMPUTED_VALUE"""),"2704")</f>
        <v>2704</v>
      </c>
      <c r="G158" s="170" t="str">
        <f ca="1">IFERROR(__xludf.DUMMYFUNCTION("""COMPUTED_VALUE"""),"102733")</f>
        <v>102733</v>
      </c>
      <c r="H158" s="170">
        <f ca="1">IFERROR(__xludf.DUMMYFUNCTION("""COMPUTED_VALUE"""),0)</f>
        <v>0</v>
      </c>
      <c r="I158" s="170">
        <f ca="1">IFERROR(__xludf.DUMMYFUNCTION("""COMPUTED_VALUE"""),0)</f>
        <v>0</v>
      </c>
      <c r="J158" s="170">
        <f ca="1">IFERROR(__xludf.DUMMYFUNCTION("""COMPUTED_VALUE"""),2020)</f>
        <v>2020</v>
      </c>
      <c r="K158" s="170">
        <f ca="1">IFERROR(__xludf.DUMMYFUNCTION("""COMPUTED_VALUE"""),0)</f>
        <v>0</v>
      </c>
      <c r="L158" s="170">
        <f ca="1">IFERROR(__xludf.DUMMYFUNCTION("""COMPUTED_VALUE"""),0)</f>
        <v>0</v>
      </c>
      <c r="M158" s="170">
        <f ca="1">IFERROR(__xludf.DUMMYFUNCTION("""COMPUTED_VALUE"""),0)</f>
        <v>0</v>
      </c>
      <c r="N158" s="170">
        <f ca="1">IFERROR(__xludf.DUMMYFUNCTION("""COMPUTED_VALUE"""),0)</f>
        <v>0</v>
      </c>
      <c r="O158" s="170">
        <f ca="1">IFERROR(__xludf.DUMMYFUNCTION("""COMPUTED_VALUE"""),0)</f>
        <v>0</v>
      </c>
      <c r="P158" s="170">
        <f ca="1">IFERROR(__xludf.DUMMYFUNCTION("""COMPUTED_VALUE"""),0)</f>
        <v>0</v>
      </c>
      <c r="Q158" s="170">
        <f ca="1">IFERROR(__xludf.DUMMYFUNCTION("""COMPUTED_VALUE"""),1670)</f>
        <v>1670</v>
      </c>
      <c r="R158" s="170">
        <f ca="1">IFERROR(__xludf.DUMMYFUNCTION("""COMPUTED_VALUE"""),0)</f>
        <v>0</v>
      </c>
      <c r="S158" s="170">
        <f ca="1">IFERROR(__xludf.DUMMYFUNCTION("""COMPUTED_VALUE"""),0)</f>
        <v>0</v>
      </c>
      <c r="T158" s="170">
        <f ca="1">IFERROR(__xludf.DUMMYFUNCTION("""COMPUTED_VALUE"""),0)</f>
        <v>0</v>
      </c>
      <c r="U158" s="170">
        <f ca="1"/>
        <v>3690</v>
      </c>
    </row>
    <row r="159" spans="1:21" ht="12.75">
      <c r="A159" s="162" t="str">
        <f ca="1">IFERROR(__xludf.DUMMYFUNCTION("""COMPUTED_VALUE"""),"Dianópolis")</f>
        <v>Dianópolis</v>
      </c>
      <c r="B159" s="162" t="str">
        <f ca="1">IFERROR(__xludf.DUMMYFUNCTION("""COMPUTED_VALUE"""),"Ponte Alta do Bom Jesus")</f>
        <v>Ponte Alta do Bom Jesus</v>
      </c>
      <c r="C159" s="163" t="str">
        <f ca="1">IFERROR(__xludf.DUMMYFUNCTION("""COMPUTED_VALUE"""),"A.A. E. ESC. EST. BOA VISTA DE BELEM")</f>
        <v>A.A. E. ESC. EST. BOA VISTA DE BELEM</v>
      </c>
      <c r="D159" s="164" t="str">
        <f ca="1">IFERROR(__xludf.DUMMYFUNCTION("""COMPUTED_VALUE"""),"01136045000150")</f>
        <v>01136045000150</v>
      </c>
      <c r="E159" s="165" t="str">
        <f ca="1">IFERROR(__xludf.DUMMYFUNCTION("""COMPUTED_VALUE"""),"001")</f>
        <v>001</v>
      </c>
      <c r="F159" s="165" t="str">
        <f ca="1">IFERROR(__xludf.DUMMYFUNCTION("""COMPUTED_VALUE"""),"1307")</f>
        <v>1307</v>
      </c>
      <c r="G159" s="165" t="str">
        <f ca="1">IFERROR(__xludf.DUMMYFUNCTION("""COMPUTED_VALUE"""),"010762X")</f>
        <v>010762X</v>
      </c>
      <c r="H159" s="165">
        <f ca="1">IFERROR(__xludf.DUMMYFUNCTION("""COMPUTED_VALUE"""),0)</f>
        <v>0</v>
      </c>
      <c r="I159" s="165">
        <f ca="1">IFERROR(__xludf.DUMMYFUNCTION("""COMPUTED_VALUE"""),0)</f>
        <v>0</v>
      </c>
      <c r="J159" s="165">
        <f ca="1">IFERROR(__xludf.DUMMYFUNCTION("""COMPUTED_VALUE"""),910)</f>
        <v>910</v>
      </c>
      <c r="K159" s="165">
        <f ca="1">IFERROR(__xludf.DUMMYFUNCTION("""COMPUTED_VALUE"""),0)</f>
        <v>0</v>
      </c>
      <c r="L159" s="165">
        <f ca="1">IFERROR(__xludf.DUMMYFUNCTION("""COMPUTED_VALUE"""),0)</f>
        <v>0</v>
      </c>
      <c r="M159" s="165">
        <f ca="1">IFERROR(__xludf.DUMMYFUNCTION("""COMPUTED_VALUE"""),0)</f>
        <v>0</v>
      </c>
      <c r="N159" s="165">
        <f ca="1">IFERROR(__xludf.DUMMYFUNCTION("""COMPUTED_VALUE"""),0)</f>
        <v>0</v>
      </c>
      <c r="O159" s="165">
        <f ca="1">IFERROR(__xludf.DUMMYFUNCTION("""COMPUTED_VALUE"""),0)</f>
        <v>0</v>
      </c>
      <c r="P159" s="165">
        <f ca="1">IFERROR(__xludf.DUMMYFUNCTION("""COMPUTED_VALUE"""),0)</f>
        <v>0</v>
      </c>
      <c r="Q159" s="165">
        <f ca="1">IFERROR(__xludf.DUMMYFUNCTION("""COMPUTED_VALUE"""),190)</f>
        <v>190</v>
      </c>
      <c r="R159" s="165">
        <f ca="1">IFERROR(__xludf.DUMMYFUNCTION("""COMPUTED_VALUE"""),0)</f>
        <v>0</v>
      </c>
      <c r="S159" s="165">
        <f ca="1">IFERROR(__xludf.DUMMYFUNCTION("""COMPUTED_VALUE"""),0)</f>
        <v>0</v>
      </c>
      <c r="T159" s="165">
        <f ca="1">IFERROR(__xludf.DUMMYFUNCTION("""COMPUTED_VALUE"""),0)</f>
        <v>0</v>
      </c>
      <c r="U159" s="165">
        <f ca="1"/>
        <v>1100</v>
      </c>
    </row>
    <row r="160" spans="1:21" ht="12.75">
      <c r="A160" s="167" t="str">
        <f ca="1">IFERROR(__xludf.DUMMYFUNCTION("""COMPUTED_VALUE"""),"Dianópolis")</f>
        <v>Dianópolis</v>
      </c>
      <c r="B160" s="167" t="str">
        <f ca="1">IFERROR(__xludf.DUMMYFUNCTION("""COMPUTED_VALUE"""),"Porto Alegre do Tocantins")</f>
        <v>Porto Alegre do Tocantins</v>
      </c>
      <c r="C160" s="168" t="str">
        <f ca="1">IFERROR(__xludf.DUMMYFUNCTION("""COMPUTED_VALUE"""),"ASSOC. APOIO ESC. EST. ALFREDO NASSER")</f>
        <v>ASSOC. APOIO ESC. EST. ALFREDO NASSER</v>
      </c>
      <c r="D160" s="169" t="str">
        <f ca="1">IFERROR(__xludf.DUMMYFUNCTION("""COMPUTED_VALUE"""),"01105525000154")</f>
        <v>01105525000154</v>
      </c>
      <c r="E160" s="170" t="str">
        <f ca="1">IFERROR(__xludf.DUMMYFUNCTION("""COMPUTED_VALUE"""),"001")</f>
        <v>001</v>
      </c>
      <c r="F160" s="170" t="str">
        <f ca="1">IFERROR(__xludf.DUMMYFUNCTION("""COMPUTED_VALUE"""),"1307")</f>
        <v>1307</v>
      </c>
      <c r="G160" s="170" t="str">
        <f ca="1">IFERROR(__xludf.DUMMYFUNCTION("""COMPUTED_VALUE"""),"0106321")</f>
        <v>0106321</v>
      </c>
      <c r="H160" s="170">
        <f ca="1">IFERROR(__xludf.DUMMYFUNCTION("""COMPUTED_VALUE"""),0)</f>
        <v>0</v>
      </c>
      <c r="I160" s="170">
        <f ca="1">IFERROR(__xludf.DUMMYFUNCTION("""COMPUTED_VALUE"""),0)</f>
        <v>0</v>
      </c>
      <c r="J160" s="170">
        <f ca="1">IFERROR(__xludf.DUMMYFUNCTION("""COMPUTED_VALUE"""),2400)</f>
        <v>2400</v>
      </c>
      <c r="K160" s="170">
        <f ca="1">IFERROR(__xludf.DUMMYFUNCTION("""COMPUTED_VALUE"""),0)</f>
        <v>0</v>
      </c>
      <c r="L160" s="170">
        <f ca="1">IFERROR(__xludf.DUMMYFUNCTION("""COMPUTED_VALUE"""),0)</f>
        <v>0</v>
      </c>
      <c r="M160" s="170">
        <f ca="1">IFERROR(__xludf.DUMMYFUNCTION("""COMPUTED_VALUE"""),0)</f>
        <v>0</v>
      </c>
      <c r="N160" s="170">
        <f ca="1">IFERROR(__xludf.DUMMYFUNCTION("""COMPUTED_VALUE"""),0)</f>
        <v>0</v>
      </c>
      <c r="O160" s="170">
        <f ca="1">IFERROR(__xludf.DUMMYFUNCTION("""COMPUTED_VALUE"""),0)</f>
        <v>0</v>
      </c>
      <c r="P160" s="170">
        <f ca="1">IFERROR(__xludf.DUMMYFUNCTION("""COMPUTED_VALUE"""),340)</f>
        <v>340</v>
      </c>
      <c r="Q160" s="170">
        <f ca="1">IFERROR(__xludf.DUMMYFUNCTION("""COMPUTED_VALUE"""),1210)</f>
        <v>1210</v>
      </c>
      <c r="R160" s="170">
        <f ca="1">IFERROR(__xludf.DUMMYFUNCTION("""COMPUTED_VALUE"""),0)</f>
        <v>0</v>
      </c>
      <c r="S160" s="170">
        <f ca="1">IFERROR(__xludf.DUMMYFUNCTION("""COMPUTED_VALUE"""),0)</f>
        <v>0</v>
      </c>
      <c r="T160" s="170">
        <f ca="1">IFERROR(__xludf.DUMMYFUNCTION("""COMPUTED_VALUE"""),0)</f>
        <v>0</v>
      </c>
      <c r="U160" s="170">
        <f ca="1"/>
        <v>3950</v>
      </c>
    </row>
    <row r="161" spans="1:21" ht="12.75">
      <c r="A161" s="162" t="str">
        <f ca="1">IFERROR(__xludf.DUMMYFUNCTION("""COMPUTED_VALUE"""),"Dianópolis")</f>
        <v>Dianópolis</v>
      </c>
      <c r="B161" s="162" t="str">
        <f ca="1">IFERROR(__xludf.DUMMYFUNCTION("""COMPUTED_VALUE"""),"Rio da Conceicao")</f>
        <v>Rio da Conceicao</v>
      </c>
      <c r="C161" s="163" t="str">
        <f ca="1">IFERROR(__xludf.DUMMYFUNCTION("""COMPUTED_VALUE"""),"A.A. E. E.VIRGILIO FERREIRA DE FRANCA")</f>
        <v>A.A. E. E.VIRGILIO FERREIRA DE FRANCA</v>
      </c>
      <c r="D161" s="164" t="str">
        <f ca="1">IFERROR(__xludf.DUMMYFUNCTION("""COMPUTED_VALUE"""),"01136115000170")</f>
        <v>01136115000170</v>
      </c>
      <c r="E161" s="165" t="str">
        <f ca="1">IFERROR(__xludf.DUMMYFUNCTION("""COMPUTED_VALUE"""),"001")</f>
        <v>001</v>
      </c>
      <c r="F161" s="165" t="str">
        <f ca="1">IFERROR(__xludf.DUMMYFUNCTION("""COMPUTED_VALUE"""),"1307")</f>
        <v>1307</v>
      </c>
      <c r="G161" s="165" t="str">
        <f ca="1">IFERROR(__xludf.DUMMYFUNCTION("""COMPUTED_VALUE"""),"106305")</f>
        <v>106305</v>
      </c>
      <c r="H161" s="165">
        <f ca="1">IFERROR(__xludf.DUMMYFUNCTION("""COMPUTED_VALUE"""),0)</f>
        <v>0</v>
      </c>
      <c r="I161" s="165">
        <f ca="1">IFERROR(__xludf.DUMMYFUNCTION("""COMPUTED_VALUE"""),0)</f>
        <v>0</v>
      </c>
      <c r="J161" s="165">
        <f ca="1">IFERROR(__xludf.DUMMYFUNCTION("""COMPUTED_VALUE"""),1390)</f>
        <v>1390</v>
      </c>
      <c r="K161" s="165">
        <f ca="1">IFERROR(__xludf.DUMMYFUNCTION("""COMPUTED_VALUE"""),0)</f>
        <v>0</v>
      </c>
      <c r="L161" s="165">
        <f ca="1">IFERROR(__xludf.DUMMYFUNCTION("""COMPUTED_VALUE"""),0)</f>
        <v>0</v>
      </c>
      <c r="M161" s="165">
        <f ca="1">IFERROR(__xludf.DUMMYFUNCTION("""COMPUTED_VALUE"""),0)</f>
        <v>0</v>
      </c>
      <c r="N161" s="165">
        <f ca="1">IFERROR(__xludf.DUMMYFUNCTION("""COMPUTED_VALUE"""),0)</f>
        <v>0</v>
      </c>
      <c r="O161" s="165">
        <f ca="1">IFERROR(__xludf.DUMMYFUNCTION("""COMPUTED_VALUE"""),0)</f>
        <v>0</v>
      </c>
      <c r="P161" s="165">
        <f ca="1">IFERROR(__xludf.DUMMYFUNCTION("""COMPUTED_VALUE"""),95.2)</f>
        <v>95.2</v>
      </c>
      <c r="Q161" s="165">
        <f ca="1">IFERROR(__xludf.DUMMYFUNCTION("""COMPUTED_VALUE"""),650)</f>
        <v>650</v>
      </c>
      <c r="R161" s="165">
        <f ca="1">IFERROR(__xludf.DUMMYFUNCTION("""COMPUTED_VALUE"""),0)</f>
        <v>0</v>
      </c>
      <c r="S161" s="165">
        <f ca="1">IFERROR(__xludf.DUMMYFUNCTION("""COMPUTED_VALUE"""),0)</f>
        <v>0</v>
      </c>
      <c r="T161" s="165">
        <f ca="1">IFERROR(__xludf.DUMMYFUNCTION("""COMPUTED_VALUE"""),0)</f>
        <v>0</v>
      </c>
      <c r="U161" s="165">
        <f ca="1"/>
        <v>2135.1999999999998</v>
      </c>
    </row>
    <row r="162" spans="1:21" ht="12.75">
      <c r="A162" s="167" t="str">
        <f ca="1">IFERROR(__xludf.DUMMYFUNCTION("""COMPUTED_VALUE"""),"Dianópolis")</f>
        <v>Dianópolis</v>
      </c>
      <c r="B162" s="167" t="str">
        <f ca="1">IFERROR(__xludf.DUMMYFUNCTION("""COMPUTED_VALUE"""),"Taguatinga")</f>
        <v>Taguatinga</v>
      </c>
      <c r="C162" s="168" t="str">
        <f ca="1">IFERROR(__xludf.DUMMYFUNCTION("""COMPUTED_VALUE"""),"A.A.  ESCOLA EST. JUSTINO DE ALMEIDA")</f>
        <v>A.A.  ESCOLA EST. JUSTINO DE ALMEIDA</v>
      </c>
      <c r="D162" s="169" t="str">
        <f ca="1">IFERROR(__xludf.DUMMYFUNCTION("""COMPUTED_VALUE"""),"01184379000108")</f>
        <v>01184379000108</v>
      </c>
      <c r="E162" s="170" t="str">
        <f ca="1">IFERROR(__xludf.DUMMYFUNCTION("""COMPUTED_VALUE"""),"001")</f>
        <v>001</v>
      </c>
      <c r="F162" s="170" t="str">
        <f ca="1">IFERROR(__xludf.DUMMYFUNCTION("""COMPUTED_VALUE"""),"2704")</f>
        <v>2704</v>
      </c>
      <c r="G162" s="170" t="str">
        <f ca="1">IFERROR(__xludf.DUMMYFUNCTION("""COMPUTED_VALUE"""),"102563")</f>
        <v>102563</v>
      </c>
      <c r="H162" s="170">
        <f ca="1">IFERROR(__xludf.DUMMYFUNCTION("""COMPUTED_VALUE"""),0)</f>
        <v>0</v>
      </c>
      <c r="I162" s="170">
        <f ca="1">IFERROR(__xludf.DUMMYFUNCTION("""COMPUTED_VALUE"""),0)</f>
        <v>0</v>
      </c>
      <c r="J162" s="170">
        <f ca="1">IFERROR(__xludf.DUMMYFUNCTION("""COMPUTED_VALUE"""),2420)</f>
        <v>2420</v>
      </c>
      <c r="K162" s="170">
        <f ca="1">IFERROR(__xludf.DUMMYFUNCTION("""COMPUTED_VALUE"""),0)</f>
        <v>0</v>
      </c>
      <c r="L162" s="170">
        <f ca="1">IFERROR(__xludf.DUMMYFUNCTION("""COMPUTED_VALUE"""),0)</f>
        <v>0</v>
      </c>
      <c r="M162" s="170">
        <f ca="1">IFERROR(__xludf.DUMMYFUNCTION("""COMPUTED_VALUE"""),0)</f>
        <v>0</v>
      </c>
      <c r="N162" s="170">
        <f ca="1">IFERROR(__xludf.DUMMYFUNCTION("""COMPUTED_VALUE"""),0)</f>
        <v>0</v>
      </c>
      <c r="O162" s="170">
        <f ca="1">IFERROR(__xludf.DUMMYFUNCTION("""COMPUTED_VALUE"""),0)</f>
        <v>0</v>
      </c>
      <c r="P162" s="170">
        <f ca="1">IFERROR(__xludf.DUMMYFUNCTION("""COMPUTED_VALUE"""),136)</f>
        <v>136</v>
      </c>
      <c r="Q162" s="170">
        <f ca="1">IFERROR(__xludf.DUMMYFUNCTION("""COMPUTED_VALUE"""),3570)</f>
        <v>3570</v>
      </c>
      <c r="R162" s="170">
        <f ca="1">IFERROR(__xludf.DUMMYFUNCTION("""COMPUTED_VALUE"""),0)</f>
        <v>0</v>
      </c>
      <c r="S162" s="170">
        <f ca="1">IFERROR(__xludf.DUMMYFUNCTION("""COMPUTED_VALUE"""),0)</f>
        <v>0</v>
      </c>
      <c r="T162" s="170">
        <f ca="1">IFERROR(__xludf.DUMMYFUNCTION("""COMPUTED_VALUE"""),713.4)</f>
        <v>713.4</v>
      </c>
      <c r="U162" s="170">
        <f ca="1"/>
        <v>6839.4</v>
      </c>
    </row>
    <row r="163" spans="1:21" ht="12.75">
      <c r="A163" s="162" t="str">
        <f ca="1">IFERROR(__xludf.DUMMYFUNCTION("""COMPUTED_VALUE"""),"Dianópolis")</f>
        <v>Dianópolis</v>
      </c>
      <c r="B163" s="162" t="str">
        <f ca="1">IFERROR(__xludf.DUMMYFUNCTION("""COMPUTED_VALUE"""),"Taguatinga")</f>
        <v>Taguatinga</v>
      </c>
      <c r="C163" s="163" t="str">
        <f ca="1">IFERROR(__xludf.DUMMYFUNCTION("""COMPUTED_VALUE"""),"A.A. COL. EST. PROFESSOR AURELIANO")</f>
        <v>A.A. COL. EST. PROFESSOR AURELIANO</v>
      </c>
      <c r="D163" s="164" t="str">
        <f ca="1">IFERROR(__xludf.DUMMYFUNCTION("""COMPUTED_VALUE"""),"01133709000128")</f>
        <v>01133709000128</v>
      </c>
      <c r="E163" s="165" t="str">
        <f ca="1">IFERROR(__xludf.DUMMYFUNCTION("""COMPUTED_VALUE"""),"001")</f>
        <v>001</v>
      </c>
      <c r="F163" s="165" t="str">
        <f ca="1">IFERROR(__xludf.DUMMYFUNCTION("""COMPUTED_VALUE"""),"2704")</f>
        <v>2704</v>
      </c>
      <c r="G163" s="165" t="str">
        <f ca="1">IFERROR(__xludf.DUMMYFUNCTION("""COMPUTED_VALUE"""),"102717")</f>
        <v>102717</v>
      </c>
      <c r="H163" s="165">
        <f ca="1">IFERROR(__xludf.DUMMYFUNCTION("""COMPUTED_VALUE"""),0)</f>
        <v>0</v>
      </c>
      <c r="I163" s="165">
        <f ca="1">IFERROR(__xludf.DUMMYFUNCTION("""COMPUTED_VALUE"""),0)</f>
        <v>0</v>
      </c>
      <c r="J163" s="165">
        <f ca="1">IFERROR(__xludf.DUMMYFUNCTION("""COMPUTED_VALUE"""),0)</f>
        <v>0</v>
      </c>
      <c r="K163" s="165">
        <f ca="1">IFERROR(__xludf.DUMMYFUNCTION("""COMPUTED_VALUE"""),0)</f>
        <v>0</v>
      </c>
      <c r="L163" s="165">
        <f ca="1">IFERROR(__xludf.DUMMYFUNCTION("""COMPUTED_VALUE"""),0)</f>
        <v>0</v>
      </c>
      <c r="M163" s="165">
        <f ca="1">IFERROR(__xludf.DUMMYFUNCTION("""COMPUTED_VALUE"""),0)</f>
        <v>0</v>
      </c>
      <c r="N163" s="165">
        <f ca="1">IFERROR(__xludf.DUMMYFUNCTION("""COMPUTED_VALUE"""),0)</f>
        <v>0</v>
      </c>
      <c r="O163" s="165">
        <f ca="1">IFERROR(__xludf.DUMMYFUNCTION("""COMPUTED_VALUE"""),0)</f>
        <v>0</v>
      </c>
      <c r="P163" s="165">
        <f ca="1">IFERROR(__xludf.DUMMYFUNCTION("""COMPUTED_VALUE"""),149.6)</f>
        <v>149.6</v>
      </c>
      <c r="Q163" s="165">
        <f ca="1">IFERROR(__xludf.DUMMYFUNCTION("""COMPUTED_VALUE"""),0)</f>
        <v>0</v>
      </c>
      <c r="R163" s="165">
        <f ca="1">IFERROR(__xludf.DUMMYFUNCTION("""COMPUTED_VALUE"""),0)</f>
        <v>0</v>
      </c>
      <c r="S163" s="165">
        <f ca="1">IFERROR(__xludf.DUMMYFUNCTION("""COMPUTED_VALUE"""),6348.8)</f>
        <v>6348.8</v>
      </c>
      <c r="T163" s="165">
        <f ca="1">IFERROR(__xludf.DUMMYFUNCTION("""COMPUTED_VALUE"""),0)</f>
        <v>0</v>
      </c>
      <c r="U163" s="165">
        <f ca="1"/>
        <v>6498.4000000000005</v>
      </c>
    </row>
    <row r="164" spans="1:21" ht="12.75">
      <c r="A164" s="167" t="str">
        <f ca="1">IFERROR(__xludf.DUMMYFUNCTION("""COMPUTED_VALUE"""),"Dianópolis")</f>
        <v>Dianópolis</v>
      </c>
      <c r="B164" s="167" t="str">
        <f ca="1">IFERROR(__xludf.DUMMYFUNCTION("""COMPUTED_VALUE"""),"Taguatinga")</f>
        <v>Taguatinga</v>
      </c>
      <c r="C164" s="168" t="str">
        <f ca="1">IFERROR(__xludf.DUMMYFUNCTION("""COMPUTED_VALUE"""),"A.A. ESC. EST. AGOSTINHO DE ALMEIDA")</f>
        <v>A.A. ESC. EST. AGOSTINHO DE ALMEIDA</v>
      </c>
      <c r="D164" s="169" t="str">
        <f ca="1">IFERROR(__xludf.DUMMYFUNCTION("""COMPUTED_VALUE"""),"01197159000100")</f>
        <v>01197159000100</v>
      </c>
      <c r="E164" s="170" t="str">
        <f ca="1">IFERROR(__xludf.DUMMYFUNCTION("""COMPUTED_VALUE"""),"001")</f>
        <v>001</v>
      </c>
      <c r="F164" s="170" t="str">
        <f ca="1">IFERROR(__xludf.DUMMYFUNCTION("""COMPUTED_VALUE"""),"2704")</f>
        <v>2704</v>
      </c>
      <c r="G164" s="170" t="str">
        <f ca="1">IFERROR(__xludf.DUMMYFUNCTION("""COMPUTED_VALUE"""),"102555")</f>
        <v>102555</v>
      </c>
      <c r="H164" s="170">
        <f ca="1">IFERROR(__xludf.DUMMYFUNCTION("""COMPUTED_VALUE"""),0)</f>
        <v>0</v>
      </c>
      <c r="I164" s="170">
        <f ca="1">IFERROR(__xludf.DUMMYFUNCTION("""COMPUTED_VALUE"""),0)</f>
        <v>0</v>
      </c>
      <c r="J164" s="170">
        <f ca="1">IFERROR(__xludf.DUMMYFUNCTION("""COMPUTED_VALUE"""),3180)</f>
        <v>3180</v>
      </c>
      <c r="K164" s="170">
        <f ca="1">IFERROR(__xludf.DUMMYFUNCTION("""COMPUTED_VALUE"""),0)</f>
        <v>0</v>
      </c>
      <c r="L164" s="170">
        <f ca="1">IFERROR(__xludf.DUMMYFUNCTION("""COMPUTED_VALUE"""),0)</f>
        <v>0</v>
      </c>
      <c r="M164" s="170">
        <f ca="1">IFERROR(__xludf.DUMMYFUNCTION("""COMPUTED_VALUE"""),0)</f>
        <v>0</v>
      </c>
      <c r="N164" s="170">
        <f ca="1">IFERROR(__xludf.DUMMYFUNCTION("""COMPUTED_VALUE"""),0)</f>
        <v>0</v>
      </c>
      <c r="O164" s="170">
        <f ca="1">IFERROR(__xludf.DUMMYFUNCTION("""COMPUTED_VALUE"""),0)</f>
        <v>0</v>
      </c>
      <c r="P164" s="170">
        <f ca="1">IFERROR(__xludf.DUMMYFUNCTION("""COMPUTED_VALUE"""),258.4)</f>
        <v>258.39999999999998</v>
      </c>
      <c r="Q164" s="170">
        <f ca="1">IFERROR(__xludf.DUMMYFUNCTION("""COMPUTED_VALUE"""),0)</f>
        <v>0</v>
      </c>
      <c r="R164" s="170">
        <f ca="1">IFERROR(__xludf.DUMMYFUNCTION("""COMPUTED_VALUE"""),0)</f>
        <v>0</v>
      </c>
      <c r="S164" s="170">
        <f ca="1">IFERROR(__xludf.DUMMYFUNCTION("""COMPUTED_VALUE"""),0)</f>
        <v>0</v>
      </c>
      <c r="T164" s="170">
        <f ca="1">IFERROR(__xludf.DUMMYFUNCTION("""COMPUTED_VALUE"""),0)</f>
        <v>0</v>
      </c>
      <c r="U164" s="170">
        <f ca="1"/>
        <v>3438.4</v>
      </c>
    </row>
    <row r="165" spans="1:21" ht="12.75">
      <c r="A165" s="162" t="str">
        <f ca="1">IFERROR(__xludf.DUMMYFUNCTION("""COMPUTED_VALUE"""),"Dianópolis")</f>
        <v>Dianópolis</v>
      </c>
      <c r="B165" s="162" t="str">
        <f ca="1">IFERROR(__xludf.DUMMYFUNCTION("""COMPUTED_VALUE"""),"Taipas do Tocantins")</f>
        <v>Taipas do Tocantins</v>
      </c>
      <c r="C165" s="163" t="str">
        <f ca="1">IFERROR(__xludf.DUMMYFUNCTION("""COMPUTED_VALUE"""),"A.A. E. EST. JOAQUIM FRANCISCO AZEVEDO")</f>
        <v>A.A. E. EST. JOAQUIM FRANCISCO AZEVEDO</v>
      </c>
      <c r="D165" s="164" t="str">
        <f ca="1">IFERROR(__xludf.DUMMYFUNCTION("""COMPUTED_VALUE"""),"01136011000166")</f>
        <v>01136011000166</v>
      </c>
      <c r="E165" s="165" t="str">
        <f ca="1">IFERROR(__xludf.DUMMYFUNCTION("""COMPUTED_VALUE"""),"001")</f>
        <v>001</v>
      </c>
      <c r="F165" s="165" t="str">
        <f ca="1">IFERROR(__xludf.DUMMYFUNCTION("""COMPUTED_VALUE"""),"1307")</f>
        <v>1307</v>
      </c>
      <c r="G165" s="165" t="str">
        <f ca="1">IFERROR(__xludf.DUMMYFUNCTION("""COMPUTED_VALUE"""),"0106291")</f>
        <v>0106291</v>
      </c>
      <c r="H165" s="165">
        <f ca="1">IFERROR(__xludf.DUMMYFUNCTION("""COMPUTED_VALUE"""),0)</f>
        <v>0</v>
      </c>
      <c r="I165" s="165">
        <f ca="1">IFERROR(__xludf.DUMMYFUNCTION("""COMPUTED_VALUE"""),0)</f>
        <v>0</v>
      </c>
      <c r="J165" s="165">
        <f ca="1">IFERROR(__xludf.DUMMYFUNCTION("""COMPUTED_VALUE"""),1670)</f>
        <v>1670</v>
      </c>
      <c r="K165" s="165">
        <f ca="1">IFERROR(__xludf.DUMMYFUNCTION("""COMPUTED_VALUE"""),0)</f>
        <v>0</v>
      </c>
      <c r="L165" s="165">
        <f ca="1">IFERROR(__xludf.DUMMYFUNCTION("""COMPUTED_VALUE"""),0)</f>
        <v>0</v>
      </c>
      <c r="M165" s="165">
        <f ca="1">IFERROR(__xludf.DUMMYFUNCTION("""COMPUTED_VALUE"""),0)</f>
        <v>0</v>
      </c>
      <c r="N165" s="165">
        <f ca="1">IFERROR(__xludf.DUMMYFUNCTION("""COMPUTED_VALUE"""),0)</f>
        <v>0</v>
      </c>
      <c r="O165" s="165">
        <f ca="1">IFERROR(__xludf.DUMMYFUNCTION("""COMPUTED_VALUE"""),0)</f>
        <v>0</v>
      </c>
      <c r="P165" s="165">
        <f ca="1">IFERROR(__xludf.DUMMYFUNCTION("""COMPUTED_VALUE"""),190.4)</f>
        <v>190.4</v>
      </c>
      <c r="Q165" s="165">
        <f ca="1">IFERROR(__xludf.DUMMYFUNCTION("""COMPUTED_VALUE"""),660)</f>
        <v>660</v>
      </c>
      <c r="R165" s="165">
        <f ca="1">IFERROR(__xludf.DUMMYFUNCTION("""COMPUTED_VALUE"""),0)</f>
        <v>0</v>
      </c>
      <c r="S165" s="165">
        <f ca="1">IFERROR(__xludf.DUMMYFUNCTION("""COMPUTED_VALUE"""),0)</f>
        <v>0</v>
      </c>
      <c r="T165" s="165">
        <f ca="1">IFERROR(__xludf.DUMMYFUNCTION("""COMPUTED_VALUE"""),155.799999999999)</f>
        <v>155.79999999999899</v>
      </c>
      <c r="U165" s="165">
        <f ca="1"/>
        <v>2676.1999999999989</v>
      </c>
    </row>
    <row r="166" spans="1:21" ht="12.75">
      <c r="A166" s="167" t="str">
        <f ca="1">IFERROR(__xludf.DUMMYFUNCTION("""COMPUTED_VALUE"""),"Guaraí")</f>
        <v>Guaraí</v>
      </c>
      <c r="B166" s="167" t="str">
        <f ca="1">IFERROR(__xludf.DUMMYFUNCTION("""COMPUTED_VALUE"""),"Colmeia")</f>
        <v>Colmeia</v>
      </c>
      <c r="C166" s="168" t="str">
        <f ca="1">IFERROR(__xludf.DUMMYFUNCTION("""COMPUTED_VALUE"""),"A.A.  COL. EST. SERRA DAS CORDILHEIRAS")</f>
        <v>A.A.  COL. EST. SERRA DAS CORDILHEIRAS</v>
      </c>
      <c r="D166" s="169" t="str">
        <f ca="1">IFERROR(__xludf.DUMMYFUNCTION("""COMPUTED_VALUE"""),"01138330000100")</f>
        <v>01138330000100</v>
      </c>
      <c r="E166" s="170" t="str">
        <f ca="1">IFERROR(__xludf.DUMMYFUNCTION("""COMPUTED_VALUE"""),"001")</f>
        <v>001</v>
      </c>
      <c r="F166" s="170" t="str">
        <f ca="1">IFERROR(__xludf.DUMMYFUNCTION("""COMPUTED_VALUE"""),"1306")</f>
        <v>1306</v>
      </c>
      <c r="G166" s="170" t="str">
        <f ca="1">IFERROR(__xludf.DUMMYFUNCTION("""COMPUTED_VALUE"""),"102776")</f>
        <v>102776</v>
      </c>
      <c r="H166" s="170">
        <f ca="1">IFERROR(__xludf.DUMMYFUNCTION("""COMPUTED_VALUE"""),0)</f>
        <v>0</v>
      </c>
      <c r="I166" s="170">
        <f ca="1">IFERROR(__xludf.DUMMYFUNCTION("""COMPUTED_VALUE"""),0)</f>
        <v>0</v>
      </c>
      <c r="J166" s="170">
        <f ca="1">IFERROR(__xludf.DUMMYFUNCTION("""COMPUTED_VALUE"""),3560)</f>
        <v>3560</v>
      </c>
      <c r="K166" s="170">
        <f ca="1">IFERROR(__xludf.DUMMYFUNCTION("""COMPUTED_VALUE"""),0)</f>
        <v>0</v>
      </c>
      <c r="L166" s="170">
        <f ca="1">IFERROR(__xludf.DUMMYFUNCTION("""COMPUTED_VALUE"""),0)</f>
        <v>0</v>
      </c>
      <c r="M166" s="170">
        <f ca="1">IFERROR(__xludf.DUMMYFUNCTION("""COMPUTED_VALUE"""),0)</f>
        <v>0</v>
      </c>
      <c r="N166" s="170">
        <f ca="1">IFERROR(__xludf.DUMMYFUNCTION("""COMPUTED_VALUE"""),0)</f>
        <v>0</v>
      </c>
      <c r="O166" s="170">
        <f ca="1">IFERROR(__xludf.DUMMYFUNCTION("""COMPUTED_VALUE"""),0)</f>
        <v>0</v>
      </c>
      <c r="P166" s="170">
        <f ca="1">IFERROR(__xludf.DUMMYFUNCTION("""COMPUTED_VALUE"""),489.599999999999)</f>
        <v>489.599999999999</v>
      </c>
      <c r="Q166" s="170">
        <f ca="1">IFERROR(__xludf.DUMMYFUNCTION("""COMPUTED_VALUE"""),5180)</f>
        <v>5180</v>
      </c>
      <c r="R166" s="170">
        <f ca="1">IFERROR(__xludf.DUMMYFUNCTION("""COMPUTED_VALUE"""),0)</f>
        <v>0</v>
      </c>
      <c r="S166" s="170">
        <f ca="1">IFERROR(__xludf.DUMMYFUNCTION("""COMPUTED_VALUE"""),0)</f>
        <v>0</v>
      </c>
      <c r="T166" s="170">
        <f ca="1">IFERROR(__xludf.DUMMYFUNCTION("""COMPUTED_VALUE"""),131.2)</f>
        <v>131.19999999999999</v>
      </c>
      <c r="U166" s="170">
        <f ca="1"/>
        <v>9360.7999999999993</v>
      </c>
    </row>
    <row r="167" spans="1:21" ht="12.75">
      <c r="A167" s="162" t="str">
        <f ca="1">IFERROR(__xludf.DUMMYFUNCTION("""COMPUTED_VALUE"""),"Guaraí")</f>
        <v>Guaraí</v>
      </c>
      <c r="B167" s="162" t="str">
        <f ca="1">IFERROR(__xludf.DUMMYFUNCTION("""COMPUTED_VALUE"""),"Colmeia")</f>
        <v>Colmeia</v>
      </c>
      <c r="C167" s="163" t="str">
        <f ca="1">IFERROR(__xludf.DUMMYFUNCTION("""COMPUTED_VALUE"""),"A..A. ESC. ESPECIAL  FILHOS DA LUZ")</f>
        <v>A..A. ESC. ESPECIAL  FILHOS DA LUZ</v>
      </c>
      <c r="D167" s="164" t="str">
        <f ca="1">IFERROR(__xludf.DUMMYFUNCTION("""COMPUTED_VALUE"""),"07921086000134")</f>
        <v>07921086000134</v>
      </c>
      <c r="E167" s="165" t="str">
        <f ca="1">IFERROR(__xludf.DUMMYFUNCTION("""COMPUTED_VALUE"""),"001")</f>
        <v>001</v>
      </c>
      <c r="F167" s="165" t="str">
        <f ca="1">IFERROR(__xludf.DUMMYFUNCTION("""COMPUTED_VALUE"""),"1306")</f>
        <v>1306</v>
      </c>
      <c r="G167" s="165" t="str">
        <f ca="1">IFERROR(__xludf.DUMMYFUNCTION("""COMPUTED_VALUE"""),"167940")</f>
        <v>167940</v>
      </c>
      <c r="H167" s="165">
        <f ca="1">IFERROR(__xludf.DUMMYFUNCTION("""COMPUTED_VALUE"""),0)</f>
        <v>0</v>
      </c>
      <c r="I167" s="165">
        <f ca="1">IFERROR(__xludf.DUMMYFUNCTION("""COMPUTED_VALUE"""),144)</f>
        <v>144</v>
      </c>
      <c r="J167" s="165">
        <f ca="1">IFERROR(__xludf.DUMMYFUNCTION("""COMPUTED_VALUE"""),0)</f>
        <v>0</v>
      </c>
      <c r="K167" s="165">
        <f ca="1">IFERROR(__xludf.DUMMYFUNCTION("""COMPUTED_VALUE"""),0)</f>
        <v>0</v>
      </c>
      <c r="L167" s="165">
        <f ca="1">IFERROR(__xludf.DUMMYFUNCTION("""COMPUTED_VALUE"""),0)</f>
        <v>0</v>
      </c>
      <c r="M167" s="165">
        <f ca="1">IFERROR(__xludf.DUMMYFUNCTION("""COMPUTED_VALUE"""),0)</f>
        <v>0</v>
      </c>
      <c r="N167" s="165">
        <f ca="1">IFERROR(__xludf.DUMMYFUNCTION("""COMPUTED_VALUE"""),0)</f>
        <v>0</v>
      </c>
      <c r="O167" s="165">
        <f ca="1">IFERROR(__xludf.DUMMYFUNCTION("""COMPUTED_VALUE"""),0)</f>
        <v>0</v>
      </c>
      <c r="P167" s="165">
        <f ca="1">IFERROR(__xludf.DUMMYFUNCTION("""COMPUTED_VALUE"""),258.4)</f>
        <v>258.39999999999998</v>
      </c>
      <c r="Q167" s="165">
        <f ca="1">IFERROR(__xludf.DUMMYFUNCTION("""COMPUTED_VALUE"""),0)</f>
        <v>0</v>
      </c>
      <c r="R167" s="165">
        <f ca="1">IFERROR(__xludf.DUMMYFUNCTION("""COMPUTED_VALUE"""),0)</f>
        <v>0</v>
      </c>
      <c r="S167" s="165">
        <f ca="1">IFERROR(__xludf.DUMMYFUNCTION("""COMPUTED_VALUE"""),0)</f>
        <v>0</v>
      </c>
      <c r="T167" s="165">
        <f ca="1">IFERROR(__xludf.DUMMYFUNCTION("""COMPUTED_VALUE"""),762.599999999999)</f>
        <v>762.599999999999</v>
      </c>
      <c r="U167" s="165">
        <f ca="1"/>
        <v>1164.9999999999991</v>
      </c>
    </row>
    <row r="168" spans="1:21" ht="12.75">
      <c r="A168" s="167" t="str">
        <f ca="1">IFERROR(__xludf.DUMMYFUNCTION("""COMPUTED_VALUE"""),"Guaraí")</f>
        <v>Guaraí</v>
      </c>
      <c r="B168" s="167" t="str">
        <f ca="1">IFERROR(__xludf.DUMMYFUNCTION("""COMPUTED_VALUE"""),"Colmeia")</f>
        <v>Colmeia</v>
      </c>
      <c r="C168" s="168" t="str">
        <f ca="1">IFERROR(__xludf.DUMMYFUNCTION("""COMPUTED_VALUE"""),"A.A. ESC. EST. ARY RIBEIRO VALADAO FILHO")</f>
        <v>A.A. ESC. EST. ARY RIBEIRO VALADAO FILHO</v>
      </c>
      <c r="D168" s="169" t="str">
        <f ca="1">IFERROR(__xludf.DUMMYFUNCTION("""COMPUTED_VALUE"""),"01138331000155")</f>
        <v>01138331000155</v>
      </c>
      <c r="E168" s="170" t="str">
        <f ca="1">IFERROR(__xludf.DUMMYFUNCTION("""COMPUTED_VALUE"""),"001")</f>
        <v>001</v>
      </c>
      <c r="F168" s="170" t="str">
        <f ca="1">IFERROR(__xludf.DUMMYFUNCTION("""COMPUTED_VALUE"""),"1306")</f>
        <v>1306</v>
      </c>
      <c r="G168" s="170" t="str">
        <f ca="1">IFERROR(__xludf.DUMMYFUNCTION("""COMPUTED_VALUE"""),"102806")</f>
        <v>102806</v>
      </c>
      <c r="H168" s="170">
        <f ca="1">IFERROR(__xludf.DUMMYFUNCTION("""COMPUTED_VALUE"""),0)</f>
        <v>0</v>
      </c>
      <c r="I168" s="170">
        <f ca="1">IFERROR(__xludf.DUMMYFUNCTION("""COMPUTED_VALUE"""),0)</f>
        <v>0</v>
      </c>
      <c r="J168" s="170">
        <f ca="1">IFERROR(__xludf.DUMMYFUNCTION("""COMPUTED_VALUE"""),1850)</f>
        <v>1850</v>
      </c>
      <c r="K168" s="170">
        <f ca="1">IFERROR(__xludf.DUMMYFUNCTION("""COMPUTED_VALUE"""),0)</f>
        <v>0</v>
      </c>
      <c r="L168" s="170">
        <f ca="1">IFERROR(__xludf.DUMMYFUNCTION("""COMPUTED_VALUE"""),0)</f>
        <v>0</v>
      </c>
      <c r="M168" s="170">
        <f ca="1">IFERROR(__xludf.DUMMYFUNCTION("""COMPUTED_VALUE"""),0)</f>
        <v>0</v>
      </c>
      <c r="N168" s="170">
        <f ca="1">IFERROR(__xludf.DUMMYFUNCTION("""COMPUTED_VALUE"""),0)</f>
        <v>0</v>
      </c>
      <c r="O168" s="170">
        <f ca="1">IFERROR(__xludf.DUMMYFUNCTION("""COMPUTED_VALUE"""),0)</f>
        <v>0</v>
      </c>
      <c r="P168" s="170">
        <f ca="1">IFERROR(__xludf.DUMMYFUNCTION("""COMPUTED_VALUE"""),122.399999999999)</f>
        <v>122.399999999999</v>
      </c>
      <c r="Q168" s="170">
        <f ca="1">IFERROR(__xludf.DUMMYFUNCTION("""COMPUTED_VALUE"""),330)</f>
        <v>330</v>
      </c>
      <c r="R168" s="170">
        <f ca="1">IFERROR(__xludf.DUMMYFUNCTION("""COMPUTED_VALUE"""),0)</f>
        <v>0</v>
      </c>
      <c r="S168" s="170">
        <f ca="1">IFERROR(__xludf.DUMMYFUNCTION("""COMPUTED_VALUE"""),0)</f>
        <v>0</v>
      </c>
      <c r="T168" s="170">
        <f ca="1">IFERROR(__xludf.DUMMYFUNCTION("""COMPUTED_VALUE"""),0)</f>
        <v>0</v>
      </c>
      <c r="U168" s="170">
        <f ca="1"/>
        <v>2302.3999999999987</v>
      </c>
    </row>
    <row r="169" spans="1:21" ht="12.75">
      <c r="A169" s="162" t="str">
        <f ca="1">IFERROR(__xludf.DUMMYFUNCTION("""COMPUTED_VALUE"""),"Guaraí")</f>
        <v>Guaraí</v>
      </c>
      <c r="B169" s="162" t="str">
        <f ca="1">IFERROR(__xludf.DUMMYFUNCTION("""COMPUTED_VALUE"""),"Colmeia")</f>
        <v>Colmeia</v>
      </c>
      <c r="C169" s="163" t="str">
        <f ca="1">IFERROR(__xludf.DUMMYFUNCTION("""COMPUTED_VALUE"""),"A.A. ESC. EST. JUSCELINO K. DE OLIVEIRA")</f>
        <v>A.A. ESC. EST. JUSCELINO K. DE OLIVEIRA</v>
      </c>
      <c r="D169" s="164" t="str">
        <f ca="1">IFERROR(__xludf.DUMMYFUNCTION("""COMPUTED_VALUE"""),"01138328000131")</f>
        <v>01138328000131</v>
      </c>
      <c r="E169" s="165" t="str">
        <f ca="1">IFERROR(__xludf.DUMMYFUNCTION("""COMPUTED_VALUE"""),"001")</f>
        <v>001</v>
      </c>
      <c r="F169" s="165" t="str">
        <f ca="1">IFERROR(__xludf.DUMMYFUNCTION("""COMPUTED_VALUE"""),"1306")</f>
        <v>1306</v>
      </c>
      <c r="G169" s="165" t="str">
        <f ca="1">IFERROR(__xludf.DUMMYFUNCTION("""COMPUTED_VALUE"""),"102768")</f>
        <v>102768</v>
      </c>
      <c r="H169" s="165">
        <f ca="1">IFERROR(__xludf.DUMMYFUNCTION("""COMPUTED_VALUE"""),0)</f>
        <v>0</v>
      </c>
      <c r="I169" s="165">
        <f ca="1">IFERROR(__xludf.DUMMYFUNCTION("""COMPUTED_VALUE"""),0)</f>
        <v>0</v>
      </c>
      <c r="J169" s="165">
        <f ca="1">IFERROR(__xludf.DUMMYFUNCTION("""COMPUTED_VALUE"""),260)</f>
        <v>260</v>
      </c>
      <c r="K169" s="165">
        <f ca="1">IFERROR(__xludf.DUMMYFUNCTION("""COMPUTED_VALUE"""),0)</f>
        <v>0</v>
      </c>
      <c r="L169" s="165">
        <f ca="1">IFERROR(__xludf.DUMMYFUNCTION("""COMPUTED_VALUE"""),0)</f>
        <v>0</v>
      </c>
      <c r="M169" s="165">
        <f ca="1">IFERROR(__xludf.DUMMYFUNCTION("""COMPUTED_VALUE"""),0)</f>
        <v>0</v>
      </c>
      <c r="N169" s="165">
        <f ca="1">IFERROR(__xludf.DUMMYFUNCTION("""COMPUTED_VALUE"""),0)</f>
        <v>0</v>
      </c>
      <c r="O169" s="165">
        <f ca="1">IFERROR(__xludf.DUMMYFUNCTION("""COMPUTED_VALUE"""),0)</f>
        <v>0</v>
      </c>
      <c r="P169" s="165">
        <f ca="1">IFERROR(__xludf.DUMMYFUNCTION("""COMPUTED_VALUE"""),0)</f>
        <v>0</v>
      </c>
      <c r="Q169" s="165">
        <f ca="1">IFERROR(__xludf.DUMMYFUNCTION("""COMPUTED_VALUE"""),210)</f>
        <v>210</v>
      </c>
      <c r="R169" s="165">
        <f ca="1">IFERROR(__xludf.DUMMYFUNCTION("""COMPUTED_VALUE"""),0)</f>
        <v>0</v>
      </c>
      <c r="S169" s="165">
        <f ca="1">IFERROR(__xludf.DUMMYFUNCTION("""COMPUTED_VALUE"""),0)</f>
        <v>0</v>
      </c>
      <c r="T169" s="165">
        <f ca="1">IFERROR(__xludf.DUMMYFUNCTION("""COMPUTED_VALUE"""),0)</f>
        <v>0</v>
      </c>
      <c r="U169" s="165">
        <f ca="1"/>
        <v>470</v>
      </c>
    </row>
    <row r="170" spans="1:21" ht="12.75">
      <c r="A170" s="167" t="str">
        <f ca="1">IFERROR(__xludf.DUMMYFUNCTION("""COMPUTED_VALUE"""),"Guaraí")</f>
        <v>Guaraí</v>
      </c>
      <c r="B170" s="167" t="str">
        <f ca="1">IFERROR(__xludf.DUMMYFUNCTION("""COMPUTED_VALUE"""),"Couto Magalhaes")</f>
        <v>Couto Magalhaes</v>
      </c>
      <c r="C170" s="168" t="str">
        <f ca="1">IFERROR(__xludf.DUMMYFUNCTION("""COMPUTED_VALUE"""),"A.A. COL. EST. ARCHANGELA MILHOMEM")</f>
        <v>A.A. COL. EST. ARCHANGELA MILHOMEM</v>
      </c>
      <c r="D170" s="169" t="str">
        <f ca="1">IFERROR(__xludf.DUMMYFUNCTION("""COMPUTED_VALUE"""),"01138334000199")</f>
        <v>01138334000199</v>
      </c>
      <c r="E170" s="170" t="str">
        <f ca="1">IFERROR(__xludf.DUMMYFUNCTION("""COMPUTED_VALUE"""),"001")</f>
        <v>001</v>
      </c>
      <c r="F170" s="170" t="str">
        <f ca="1">IFERROR(__xludf.DUMMYFUNCTION("""COMPUTED_VALUE"""),"2094")</f>
        <v>2094</v>
      </c>
      <c r="G170" s="170" t="str">
        <f ca="1">IFERROR(__xludf.DUMMYFUNCTION("""COMPUTED_VALUE"""),"50385")</f>
        <v>50385</v>
      </c>
      <c r="H170" s="170">
        <f ca="1">IFERROR(__xludf.DUMMYFUNCTION("""COMPUTED_VALUE"""),0)</f>
        <v>0</v>
      </c>
      <c r="I170" s="170">
        <f ca="1">IFERROR(__xludf.DUMMYFUNCTION("""COMPUTED_VALUE"""),0)</f>
        <v>0</v>
      </c>
      <c r="J170" s="170">
        <f ca="1">IFERROR(__xludf.DUMMYFUNCTION("""COMPUTED_VALUE"""),0)</f>
        <v>0</v>
      </c>
      <c r="K170" s="170">
        <f ca="1">IFERROR(__xludf.DUMMYFUNCTION("""COMPUTED_VALUE"""),0)</f>
        <v>0</v>
      </c>
      <c r="L170" s="170">
        <f ca="1">IFERROR(__xludf.DUMMYFUNCTION("""COMPUTED_VALUE"""),0)</f>
        <v>0</v>
      </c>
      <c r="M170" s="170">
        <f ca="1">IFERROR(__xludf.DUMMYFUNCTION("""COMPUTED_VALUE"""),0)</f>
        <v>0</v>
      </c>
      <c r="N170" s="170">
        <f ca="1">IFERROR(__xludf.DUMMYFUNCTION("""COMPUTED_VALUE"""),0)</f>
        <v>0</v>
      </c>
      <c r="O170" s="170">
        <f ca="1">IFERROR(__xludf.DUMMYFUNCTION("""COMPUTED_VALUE"""),0)</f>
        <v>0</v>
      </c>
      <c r="P170" s="170">
        <f ca="1">IFERROR(__xludf.DUMMYFUNCTION("""COMPUTED_VALUE"""),163.2)</f>
        <v>163.19999999999999</v>
      </c>
      <c r="Q170" s="170">
        <f ca="1">IFERROR(__xludf.DUMMYFUNCTION("""COMPUTED_VALUE"""),520)</f>
        <v>520</v>
      </c>
      <c r="R170" s="170">
        <f ca="1">IFERROR(__xludf.DUMMYFUNCTION("""COMPUTED_VALUE"""),10850.4)</f>
        <v>10850.4</v>
      </c>
      <c r="S170" s="170">
        <f ca="1">IFERROR(__xludf.DUMMYFUNCTION("""COMPUTED_VALUE"""),0)</f>
        <v>0</v>
      </c>
      <c r="T170" s="170">
        <f ca="1">IFERROR(__xludf.DUMMYFUNCTION("""COMPUTED_VALUE"""),0)</f>
        <v>0</v>
      </c>
      <c r="U170" s="170">
        <f ca="1"/>
        <v>11533.6</v>
      </c>
    </row>
    <row r="171" spans="1:21" ht="12.75">
      <c r="A171" s="162" t="str">
        <f ca="1">IFERROR(__xludf.DUMMYFUNCTION("""COMPUTED_VALUE"""),"Guaraí")</f>
        <v>Guaraí</v>
      </c>
      <c r="B171" s="162" t="str">
        <f ca="1">IFERROR(__xludf.DUMMYFUNCTION("""COMPUTED_VALUE"""),"Couto Magalhaes")</f>
        <v>Couto Magalhaes</v>
      </c>
      <c r="C171" s="163" t="str">
        <f ca="1">IFERROR(__xludf.DUMMYFUNCTION("""COMPUTED_VALUE"""),"A.A. ESC. ESPECIAL  DEUS É FIEL")</f>
        <v>A.A. ESC. ESPECIAL  DEUS É FIEL</v>
      </c>
      <c r="D171" s="164" t="str">
        <f ca="1">IFERROR(__xludf.DUMMYFUNCTION("""COMPUTED_VALUE"""),"17467216000164")</f>
        <v>17467216000164</v>
      </c>
      <c r="E171" s="165" t="str">
        <f ca="1">IFERROR(__xludf.DUMMYFUNCTION("""COMPUTED_VALUE"""),"001")</f>
        <v>001</v>
      </c>
      <c r="F171" s="165" t="str">
        <f ca="1">IFERROR(__xludf.DUMMYFUNCTION("""COMPUTED_VALUE"""),"1306")</f>
        <v>1306</v>
      </c>
      <c r="G171" s="165" t="str">
        <f ca="1">IFERROR(__xludf.DUMMYFUNCTION("""COMPUTED_VALUE"""),"265969")</f>
        <v>265969</v>
      </c>
      <c r="H171" s="165">
        <f ca="1">IFERROR(__xludf.DUMMYFUNCTION("""COMPUTED_VALUE"""),0)</f>
        <v>0</v>
      </c>
      <c r="I171" s="165">
        <f ca="1">IFERROR(__xludf.DUMMYFUNCTION("""COMPUTED_VALUE"""),0)</f>
        <v>0</v>
      </c>
      <c r="J171" s="165">
        <f ca="1">IFERROR(__xludf.DUMMYFUNCTION("""COMPUTED_VALUE"""),130)</f>
        <v>130</v>
      </c>
      <c r="K171" s="165">
        <f ca="1">IFERROR(__xludf.DUMMYFUNCTION("""COMPUTED_VALUE"""),0)</f>
        <v>0</v>
      </c>
      <c r="L171" s="165">
        <f ca="1">IFERROR(__xludf.DUMMYFUNCTION("""COMPUTED_VALUE"""),0)</f>
        <v>0</v>
      </c>
      <c r="M171" s="165">
        <f ca="1">IFERROR(__xludf.DUMMYFUNCTION("""COMPUTED_VALUE"""),0)</f>
        <v>0</v>
      </c>
      <c r="N171" s="165">
        <f ca="1">IFERROR(__xludf.DUMMYFUNCTION("""COMPUTED_VALUE"""),0)</f>
        <v>0</v>
      </c>
      <c r="O171" s="165">
        <f ca="1">IFERROR(__xludf.DUMMYFUNCTION("""COMPUTED_VALUE"""),0)</f>
        <v>0</v>
      </c>
      <c r="P171" s="165">
        <f ca="1">IFERROR(__xludf.DUMMYFUNCTION("""COMPUTED_VALUE"""),217.6)</f>
        <v>217.6</v>
      </c>
      <c r="Q171" s="165">
        <f ca="1">IFERROR(__xludf.DUMMYFUNCTION("""COMPUTED_VALUE"""),0)</f>
        <v>0</v>
      </c>
      <c r="R171" s="165">
        <f ca="1">IFERROR(__xludf.DUMMYFUNCTION("""COMPUTED_VALUE"""),0)</f>
        <v>0</v>
      </c>
      <c r="S171" s="165">
        <f ca="1">IFERROR(__xludf.DUMMYFUNCTION("""COMPUTED_VALUE"""),0)</f>
        <v>0</v>
      </c>
      <c r="T171" s="165">
        <f ca="1">IFERROR(__xludf.DUMMYFUNCTION("""COMPUTED_VALUE"""),336.2)</f>
        <v>336.2</v>
      </c>
      <c r="U171" s="165">
        <f ca="1"/>
        <v>683.8</v>
      </c>
    </row>
    <row r="172" spans="1:21" ht="12.75">
      <c r="A172" s="167" t="str">
        <f ca="1">IFERROR(__xludf.DUMMYFUNCTION("""COMPUTED_VALUE"""),"Guaraí")</f>
        <v>Guaraí</v>
      </c>
      <c r="B172" s="167" t="str">
        <f ca="1">IFERROR(__xludf.DUMMYFUNCTION("""COMPUTED_VALUE"""),"Couto Magalhaes")</f>
        <v>Couto Magalhaes</v>
      </c>
      <c r="C172" s="168" t="str">
        <f ca="1">IFERROR(__xludf.DUMMYFUNCTION("""COMPUTED_VALUE"""),"A.A. ESC. EST. ARLINDA ROSA DE SOUZA")</f>
        <v>A.A. ESC. EST. ARLINDA ROSA DE SOUZA</v>
      </c>
      <c r="D172" s="169" t="str">
        <f ca="1">IFERROR(__xludf.DUMMYFUNCTION("""COMPUTED_VALUE"""),"01221143000196")</f>
        <v>01221143000196</v>
      </c>
      <c r="E172" s="170" t="str">
        <f ca="1">IFERROR(__xludf.DUMMYFUNCTION("""COMPUTED_VALUE"""),"001")</f>
        <v>001</v>
      </c>
      <c r="F172" s="170" t="str">
        <f ca="1">IFERROR(__xludf.DUMMYFUNCTION("""COMPUTED_VALUE"""),"2094")</f>
        <v>2094</v>
      </c>
      <c r="G172" s="170" t="str">
        <f ca="1">IFERROR(__xludf.DUMMYFUNCTION("""COMPUTED_VALUE"""),"50350")</f>
        <v>50350</v>
      </c>
      <c r="H172" s="170">
        <f ca="1">IFERROR(__xludf.DUMMYFUNCTION("""COMPUTED_VALUE"""),0)</f>
        <v>0</v>
      </c>
      <c r="I172" s="170">
        <f ca="1">IFERROR(__xludf.DUMMYFUNCTION("""COMPUTED_VALUE"""),0)</f>
        <v>0</v>
      </c>
      <c r="J172" s="170">
        <f ca="1">IFERROR(__xludf.DUMMYFUNCTION("""COMPUTED_VALUE"""),1580)</f>
        <v>1580</v>
      </c>
      <c r="K172" s="170">
        <f ca="1">IFERROR(__xludf.DUMMYFUNCTION("""COMPUTED_VALUE"""),0)</f>
        <v>0</v>
      </c>
      <c r="L172" s="170">
        <f ca="1">IFERROR(__xludf.DUMMYFUNCTION("""COMPUTED_VALUE"""),0)</f>
        <v>0</v>
      </c>
      <c r="M172" s="170">
        <f ca="1">IFERROR(__xludf.DUMMYFUNCTION("""COMPUTED_VALUE"""),0)</f>
        <v>0</v>
      </c>
      <c r="N172" s="170">
        <f ca="1">IFERROR(__xludf.DUMMYFUNCTION("""COMPUTED_VALUE"""),0)</f>
        <v>0</v>
      </c>
      <c r="O172" s="170">
        <f ca="1">IFERROR(__xludf.DUMMYFUNCTION("""COMPUTED_VALUE"""),0)</f>
        <v>0</v>
      </c>
      <c r="P172" s="170">
        <f ca="1">IFERROR(__xludf.DUMMYFUNCTION("""COMPUTED_VALUE"""),0)</f>
        <v>0</v>
      </c>
      <c r="Q172" s="170">
        <f ca="1">IFERROR(__xludf.DUMMYFUNCTION("""COMPUTED_VALUE"""),0)</f>
        <v>0</v>
      </c>
      <c r="R172" s="170">
        <f ca="1">IFERROR(__xludf.DUMMYFUNCTION("""COMPUTED_VALUE"""),0)</f>
        <v>0</v>
      </c>
      <c r="S172" s="170">
        <f ca="1">IFERROR(__xludf.DUMMYFUNCTION("""COMPUTED_VALUE"""),0)</f>
        <v>0</v>
      </c>
      <c r="T172" s="170">
        <f ca="1">IFERROR(__xludf.DUMMYFUNCTION("""COMPUTED_VALUE"""),0)</f>
        <v>0</v>
      </c>
      <c r="U172" s="170">
        <f ca="1"/>
        <v>1580</v>
      </c>
    </row>
    <row r="173" spans="1:21" ht="12.75">
      <c r="A173" s="162" t="str">
        <f ca="1">IFERROR(__xludf.DUMMYFUNCTION("""COMPUTED_VALUE"""),"Guaraí")</f>
        <v>Guaraí</v>
      </c>
      <c r="B173" s="162" t="str">
        <f ca="1">IFERROR(__xludf.DUMMYFUNCTION("""COMPUTED_VALUE"""),"Couto Magalhaes")</f>
        <v>Couto Magalhaes</v>
      </c>
      <c r="C173" s="163" t="str">
        <f ca="1">IFERROR(__xludf.DUMMYFUNCTION("""COMPUTED_VALUE"""),"A.A. ESCOLAR DA E. EST.ULTIMO DE CARVALHO")</f>
        <v>A.A. ESCOLAR DA E. EST.ULTIMO DE CARVALHO</v>
      </c>
      <c r="D173" s="164" t="str">
        <f ca="1">IFERROR(__xludf.DUMMYFUNCTION("""COMPUTED_VALUE"""),"04315063000198")</f>
        <v>04315063000198</v>
      </c>
      <c r="E173" s="165" t="str">
        <f ca="1">IFERROR(__xludf.DUMMYFUNCTION("""COMPUTED_VALUE"""),"001")</f>
        <v>001</v>
      </c>
      <c r="F173" s="165" t="str">
        <f ca="1">IFERROR(__xludf.DUMMYFUNCTION("""COMPUTED_VALUE"""),"1306")</f>
        <v>1306</v>
      </c>
      <c r="G173" s="165" t="str">
        <f ca="1">IFERROR(__xludf.DUMMYFUNCTION("""COMPUTED_VALUE"""),"74802")</f>
        <v>74802</v>
      </c>
      <c r="H173" s="165">
        <f ca="1">IFERROR(__xludf.DUMMYFUNCTION("""COMPUTED_VALUE"""),0)</f>
        <v>0</v>
      </c>
      <c r="I173" s="165">
        <f ca="1">IFERROR(__xludf.DUMMYFUNCTION("""COMPUTED_VALUE"""),0)</f>
        <v>0</v>
      </c>
      <c r="J173" s="165">
        <f ca="1">IFERROR(__xludf.DUMMYFUNCTION("""COMPUTED_VALUE"""),460)</f>
        <v>460</v>
      </c>
      <c r="K173" s="165">
        <f ca="1">IFERROR(__xludf.DUMMYFUNCTION("""COMPUTED_VALUE"""),0)</f>
        <v>0</v>
      </c>
      <c r="L173" s="165">
        <f ca="1">IFERROR(__xludf.DUMMYFUNCTION("""COMPUTED_VALUE"""),0)</f>
        <v>0</v>
      </c>
      <c r="M173" s="165">
        <f ca="1">IFERROR(__xludf.DUMMYFUNCTION("""COMPUTED_VALUE"""),0)</f>
        <v>0</v>
      </c>
      <c r="N173" s="165">
        <f ca="1">IFERROR(__xludf.DUMMYFUNCTION("""COMPUTED_VALUE"""),0)</f>
        <v>0</v>
      </c>
      <c r="O173" s="165">
        <f ca="1">IFERROR(__xludf.DUMMYFUNCTION("""COMPUTED_VALUE"""),0)</f>
        <v>0</v>
      </c>
      <c r="P173" s="165">
        <f ca="1">IFERROR(__xludf.DUMMYFUNCTION("""COMPUTED_VALUE"""),190.4)</f>
        <v>190.4</v>
      </c>
      <c r="Q173" s="165">
        <f ca="1">IFERROR(__xludf.DUMMYFUNCTION("""COMPUTED_VALUE"""),190)</f>
        <v>190</v>
      </c>
      <c r="R173" s="165">
        <f ca="1">IFERROR(__xludf.DUMMYFUNCTION("""COMPUTED_VALUE"""),0)</f>
        <v>0</v>
      </c>
      <c r="S173" s="165">
        <f ca="1">IFERROR(__xludf.DUMMYFUNCTION("""COMPUTED_VALUE"""),0)</f>
        <v>0</v>
      </c>
      <c r="T173" s="165">
        <f ca="1">IFERROR(__xludf.DUMMYFUNCTION("""COMPUTED_VALUE"""),139.399999999999)</f>
        <v>139.39999999999901</v>
      </c>
      <c r="U173" s="165">
        <f ca="1"/>
        <v>979.79999999999905</v>
      </c>
    </row>
    <row r="174" spans="1:21" ht="12.75">
      <c r="A174" s="167" t="str">
        <f ca="1">IFERROR(__xludf.DUMMYFUNCTION("""COMPUTED_VALUE"""),"Guaraí")</f>
        <v>Guaraí</v>
      </c>
      <c r="B174" s="167" t="str">
        <f ca="1">IFERROR(__xludf.DUMMYFUNCTION("""COMPUTED_VALUE"""),"Fortaleza do Tabocao")</f>
        <v>Fortaleza do Tabocao</v>
      </c>
      <c r="C174" s="168" t="str">
        <f ca="1">IFERROR(__xludf.DUMMYFUNCTION("""COMPUTED_VALUE"""),"ASSOC. DE APOIO A ESCOLA ESPECIAL EDSON DUTRA")</f>
        <v>ASSOC. DE APOIO A ESCOLA ESPECIAL EDSON DUTRA</v>
      </c>
      <c r="D174" s="169" t="str">
        <f ca="1">IFERROR(__xludf.DUMMYFUNCTION("""COMPUTED_VALUE"""),"09405159000160")</f>
        <v>09405159000160</v>
      </c>
      <c r="E174" s="170" t="str">
        <f ca="1">IFERROR(__xludf.DUMMYFUNCTION("""COMPUTED_VALUE"""),"104")</f>
        <v>104</v>
      </c>
      <c r="F174" s="170" t="str">
        <f ca="1">IFERROR(__xludf.DUMMYFUNCTION("""COMPUTED_VALUE"""),"4481")</f>
        <v>4481</v>
      </c>
      <c r="G174" s="170" t="str">
        <f ca="1">IFERROR(__xludf.DUMMYFUNCTION("""COMPUTED_VALUE"""),"3982")</f>
        <v>3982</v>
      </c>
      <c r="H174" s="170">
        <f ca="1">IFERROR(__xludf.DUMMYFUNCTION("""COMPUTED_VALUE"""),0)</f>
        <v>0</v>
      </c>
      <c r="I174" s="170">
        <f ca="1">IFERROR(__xludf.DUMMYFUNCTION("""COMPUTED_VALUE"""),43.2)</f>
        <v>43.2</v>
      </c>
      <c r="J174" s="170">
        <f ca="1">IFERROR(__xludf.DUMMYFUNCTION("""COMPUTED_VALUE"""),20)</f>
        <v>20</v>
      </c>
      <c r="K174" s="170">
        <f ca="1">IFERROR(__xludf.DUMMYFUNCTION("""COMPUTED_VALUE"""),0)</f>
        <v>0</v>
      </c>
      <c r="L174" s="170">
        <f ca="1">IFERROR(__xludf.DUMMYFUNCTION("""COMPUTED_VALUE"""),0)</f>
        <v>0</v>
      </c>
      <c r="M174" s="170">
        <f ca="1">IFERROR(__xludf.DUMMYFUNCTION("""COMPUTED_VALUE"""),0)</f>
        <v>0</v>
      </c>
      <c r="N174" s="170">
        <f ca="1">IFERROR(__xludf.DUMMYFUNCTION("""COMPUTED_VALUE"""),0)</f>
        <v>0</v>
      </c>
      <c r="O174" s="170">
        <f ca="1">IFERROR(__xludf.DUMMYFUNCTION("""COMPUTED_VALUE"""),0)</f>
        <v>0</v>
      </c>
      <c r="P174" s="170">
        <f ca="1">IFERROR(__xludf.DUMMYFUNCTION("""COMPUTED_VALUE"""),190.4)</f>
        <v>190.4</v>
      </c>
      <c r="Q174" s="170">
        <f ca="1">IFERROR(__xludf.DUMMYFUNCTION("""COMPUTED_VALUE"""),0)</f>
        <v>0</v>
      </c>
      <c r="R174" s="170">
        <f ca="1">IFERROR(__xludf.DUMMYFUNCTION("""COMPUTED_VALUE"""),0)</f>
        <v>0</v>
      </c>
      <c r="S174" s="170">
        <f ca="1">IFERROR(__xludf.DUMMYFUNCTION("""COMPUTED_VALUE"""),0)</f>
        <v>0</v>
      </c>
      <c r="T174" s="170">
        <f ca="1">IFERROR(__xludf.DUMMYFUNCTION("""COMPUTED_VALUE"""),131.2)</f>
        <v>131.19999999999999</v>
      </c>
      <c r="U174" s="170">
        <f ca="1"/>
        <v>384.8</v>
      </c>
    </row>
    <row r="175" spans="1:21" ht="12.75">
      <c r="A175" s="162" t="str">
        <f ca="1">IFERROR(__xludf.DUMMYFUNCTION("""COMPUTED_VALUE"""),"Guaraí")</f>
        <v>Guaraí</v>
      </c>
      <c r="B175" s="162" t="str">
        <f ca="1">IFERROR(__xludf.DUMMYFUNCTION("""COMPUTED_VALUE"""),"Fortaleza do Tabocao")</f>
        <v>Fortaleza do Tabocao</v>
      </c>
      <c r="C175" s="163" t="str">
        <f ca="1">IFERROR(__xludf.DUMMYFUNCTION("""COMPUTED_VALUE"""),"A.A. DA ESC. EST. MAJOR JUVENAL P.DE SOUZA")</f>
        <v>A.A. DA ESC. EST. MAJOR JUVENAL P.DE SOUZA</v>
      </c>
      <c r="D175" s="164" t="str">
        <f ca="1">IFERROR(__xludf.DUMMYFUNCTION("""COMPUTED_VALUE"""),"01408714000104")</f>
        <v>01408714000104</v>
      </c>
      <c r="E175" s="165" t="str">
        <f ca="1">IFERROR(__xludf.DUMMYFUNCTION("""COMPUTED_VALUE"""),"001")</f>
        <v>001</v>
      </c>
      <c r="F175" s="165" t="str">
        <f ca="1">IFERROR(__xludf.DUMMYFUNCTION("""COMPUTED_VALUE"""),"2094")</f>
        <v>2094</v>
      </c>
      <c r="G175" s="165" t="str">
        <f ca="1">IFERROR(__xludf.DUMMYFUNCTION("""COMPUTED_VALUE"""),"46743X")</f>
        <v>46743X</v>
      </c>
      <c r="H175" s="165">
        <f ca="1">IFERROR(__xludf.DUMMYFUNCTION("""COMPUTED_VALUE"""),0)</f>
        <v>0</v>
      </c>
      <c r="I175" s="165">
        <f ca="1">IFERROR(__xludf.DUMMYFUNCTION("""COMPUTED_VALUE"""),0)</f>
        <v>0</v>
      </c>
      <c r="J175" s="165">
        <f ca="1">IFERROR(__xludf.DUMMYFUNCTION("""COMPUTED_VALUE"""),0)</f>
        <v>0</v>
      </c>
      <c r="K175" s="165">
        <f ca="1">IFERROR(__xludf.DUMMYFUNCTION("""COMPUTED_VALUE"""),2630.39999999999)</f>
        <v>2630.3999999999901</v>
      </c>
      <c r="L175" s="165">
        <f ca="1">IFERROR(__xludf.DUMMYFUNCTION("""COMPUTED_VALUE"""),0)</f>
        <v>0</v>
      </c>
      <c r="M175" s="165">
        <f ca="1">IFERROR(__xludf.DUMMYFUNCTION("""COMPUTED_VALUE"""),0)</f>
        <v>0</v>
      </c>
      <c r="N175" s="165">
        <f ca="1">IFERROR(__xludf.DUMMYFUNCTION("""COMPUTED_VALUE"""),0)</f>
        <v>0</v>
      </c>
      <c r="O175" s="165">
        <f ca="1">IFERROR(__xludf.DUMMYFUNCTION("""COMPUTED_VALUE"""),0)</f>
        <v>0</v>
      </c>
      <c r="P175" s="165">
        <f ca="1">IFERROR(__xludf.DUMMYFUNCTION("""COMPUTED_VALUE"""),258.4)</f>
        <v>258.39999999999998</v>
      </c>
      <c r="Q175" s="165">
        <f ca="1">IFERROR(__xludf.DUMMYFUNCTION("""COMPUTED_VALUE"""),0)</f>
        <v>0</v>
      </c>
      <c r="R175" s="165">
        <f ca="1">IFERROR(__xludf.DUMMYFUNCTION("""COMPUTED_VALUE"""),0)</f>
        <v>0</v>
      </c>
      <c r="S175" s="165">
        <f ca="1">IFERROR(__xludf.DUMMYFUNCTION("""COMPUTED_VALUE"""),6758.4)</f>
        <v>6758.4</v>
      </c>
      <c r="T175" s="165">
        <f ca="1">IFERROR(__xludf.DUMMYFUNCTION("""COMPUTED_VALUE"""),0)</f>
        <v>0</v>
      </c>
      <c r="U175" s="165">
        <f ca="1"/>
        <v>9647.1999999999898</v>
      </c>
    </row>
    <row r="176" spans="1:21" ht="12.75">
      <c r="A176" s="167" t="str">
        <f ca="1">IFERROR(__xludf.DUMMYFUNCTION("""COMPUTED_VALUE"""),"Guaraí")</f>
        <v>Guaraí</v>
      </c>
      <c r="B176" s="167" t="str">
        <f ca="1">IFERROR(__xludf.DUMMYFUNCTION("""COMPUTED_VALUE"""),"Goianorte")</f>
        <v>Goianorte</v>
      </c>
      <c r="C176" s="168" t="str">
        <f ca="1">IFERROR(__xludf.DUMMYFUNCTION("""COMPUTED_VALUE"""),"A.A. DA ESC. EST. ANTENOR BARREIRA")</f>
        <v>A.A. DA ESC. EST. ANTENOR BARREIRA</v>
      </c>
      <c r="D176" s="169" t="str">
        <f ca="1">IFERROR(__xludf.DUMMYFUNCTION("""COMPUTED_VALUE"""),"02069808000150")</f>
        <v>02069808000150</v>
      </c>
      <c r="E176" s="170" t="str">
        <f ca="1">IFERROR(__xludf.DUMMYFUNCTION("""COMPUTED_VALUE"""),"001")</f>
        <v>001</v>
      </c>
      <c r="F176" s="170" t="str">
        <f ca="1">IFERROR(__xludf.DUMMYFUNCTION("""COMPUTED_VALUE"""),"1306")</f>
        <v>1306</v>
      </c>
      <c r="G176" s="170" t="str">
        <f ca="1">IFERROR(__xludf.DUMMYFUNCTION("""COMPUTED_VALUE"""),"54186")</f>
        <v>54186</v>
      </c>
      <c r="H176" s="170">
        <f ca="1">IFERROR(__xludf.DUMMYFUNCTION("""COMPUTED_VALUE"""),0)</f>
        <v>0</v>
      </c>
      <c r="I176" s="170">
        <f ca="1">IFERROR(__xludf.DUMMYFUNCTION("""COMPUTED_VALUE"""),0)</f>
        <v>0</v>
      </c>
      <c r="J176" s="170">
        <f ca="1">IFERROR(__xludf.DUMMYFUNCTION("""COMPUTED_VALUE"""),1200)</f>
        <v>1200</v>
      </c>
      <c r="K176" s="170">
        <f ca="1">IFERROR(__xludf.DUMMYFUNCTION("""COMPUTED_VALUE"""),0)</f>
        <v>0</v>
      </c>
      <c r="L176" s="170">
        <f ca="1">IFERROR(__xludf.DUMMYFUNCTION("""COMPUTED_VALUE"""),0)</f>
        <v>0</v>
      </c>
      <c r="M176" s="170">
        <f ca="1">IFERROR(__xludf.DUMMYFUNCTION("""COMPUTED_VALUE"""),0)</f>
        <v>0</v>
      </c>
      <c r="N176" s="170">
        <f ca="1">IFERROR(__xludf.DUMMYFUNCTION("""COMPUTED_VALUE"""),0)</f>
        <v>0</v>
      </c>
      <c r="O176" s="170">
        <f ca="1">IFERROR(__xludf.DUMMYFUNCTION("""COMPUTED_VALUE"""),0)</f>
        <v>0</v>
      </c>
      <c r="P176" s="170">
        <f ca="1">IFERROR(__xludf.DUMMYFUNCTION("""COMPUTED_VALUE"""),190.4)</f>
        <v>190.4</v>
      </c>
      <c r="Q176" s="170">
        <f ca="1">IFERROR(__xludf.DUMMYFUNCTION("""COMPUTED_VALUE"""),1900)</f>
        <v>1900</v>
      </c>
      <c r="R176" s="170">
        <f ca="1">IFERROR(__xludf.DUMMYFUNCTION("""COMPUTED_VALUE"""),0)</f>
        <v>0</v>
      </c>
      <c r="S176" s="170">
        <f ca="1">IFERROR(__xludf.DUMMYFUNCTION("""COMPUTED_VALUE"""),0)</f>
        <v>0</v>
      </c>
      <c r="T176" s="170">
        <f ca="1">IFERROR(__xludf.DUMMYFUNCTION("""COMPUTED_VALUE"""),0)</f>
        <v>0</v>
      </c>
      <c r="U176" s="170">
        <f ca="1"/>
        <v>3290.4</v>
      </c>
    </row>
    <row r="177" spans="1:21" ht="12.75">
      <c r="A177" s="162" t="str">
        <f ca="1">IFERROR(__xludf.DUMMYFUNCTION("""COMPUTED_VALUE"""),"Guaraí")</f>
        <v>Guaraí</v>
      </c>
      <c r="B177" s="162" t="str">
        <f ca="1">IFERROR(__xludf.DUMMYFUNCTION("""COMPUTED_VALUE"""),"Goianorte")</f>
        <v>Goianorte</v>
      </c>
      <c r="C177" s="163" t="str">
        <f ca="1">IFERROR(__xludf.DUMMYFUNCTION("""COMPUTED_VALUE"""),"ASSOC. DE APOIO DA ESCOLA ESPECIAL NOVOV PARAÍSO - APAE")</f>
        <v>ASSOC. DE APOIO DA ESCOLA ESPECIAL NOVOV PARAÍSO - APAE</v>
      </c>
      <c r="D177" s="164" t="str">
        <f ca="1">IFERROR(__xludf.DUMMYFUNCTION("""COMPUTED_VALUE"""),"09510602000163")</f>
        <v>09510602000163</v>
      </c>
      <c r="E177" s="165" t="str">
        <f ca="1">IFERROR(__xludf.DUMMYFUNCTION("""COMPUTED_VALUE"""),"001")</f>
        <v>001</v>
      </c>
      <c r="F177" s="165" t="str">
        <f ca="1">IFERROR(__xludf.DUMMYFUNCTION("""COMPUTED_VALUE"""),"1306")</f>
        <v>1306</v>
      </c>
      <c r="G177" s="165" t="str">
        <f ca="1">IFERROR(__xludf.DUMMYFUNCTION("""COMPUTED_VALUE"""),"138258")</f>
        <v>138258</v>
      </c>
      <c r="H177" s="165">
        <f ca="1">IFERROR(__xludf.DUMMYFUNCTION("""COMPUTED_VALUE"""),0)</f>
        <v>0</v>
      </c>
      <c r="I177" s="165">
        <f ca="1">IFERROR(__xludf.DUMMYFUNCTION("""COMPUTED_VALUE"""),57.6)</f>
        <v>57.6</v>
      </c>
      <c r="J177" s="165">
        <f ca="1">IFERROR(__xludf.DUMMYFUNCTION("""COMPUTED_VALUE"""),650)</f>
        <v>650</v>
      </c>
      <c r="K177" s="165">
        <f ca="1">IFERROR(__xludf.DUMMYFUNCTION("""COMPUTED_VALUE"""),0)</f>
        <v>0</v>
      </c>
      <c r="L177" s="165">
        <f ca="1">IFERROR(__xludf.DUMMYFUNCTION("""COMPUTED_VALUE"""),0)</f>
        <v>0</v>
      </c>
      <c r="M177" s="165">
        <f ca="1">IFERROR(__xludf.DUMMYFUNCTION("""COMPUTED_VALUE"""),0)</f>
        <v>0</v>
      </c>
      <c r="N177" s="165">
        <f ca="1">IFERROR(__xludf.DUMMYFUNCTION("""COMPUTED_VALUE"""),0)</f>
        <v>0</v>
      </c>
      <c r="O177" s="165">
        <f ca="1">IFERROR(__xludf.DUMMYFUNCTION("""COMPUTED_VALUE"""),0)</f>
        <v>0</v>
      </c>
      <c r="P177" s="165">
        <f ca="1">IFERROR(__xludf.DUMMYFUNCTION("""COMPUTED_VALUE"""),176.799999999999)</f>
        <v>176.79999999999899</v>
      </c>
      <c r="Q177" s="165">
        <f ca="1">IFERROR(__xludf.DUMMYFUNCTION("""COMPUTED_VALUE"""),0)</f>
        <v>0</v>
      </c>
      <c r="R177" s="165">
        <f ca="1">IFERROR(__xludf.DUMMYFUNCTION("""COMPUTED_VALUE"""),0)</f>
        <v>0</v>
      </c>
      <c r="S177" s="165">
        <f ca="1">IFERROR(__xludf.DUMMYFUNCTION("""COMPUTED_VALUE"""),0)</f>
        <v>0</v>
      </c>
      <c r="T177" s="165">
        <f ca="1">IFERROR(__xludf.DUMMYFUNCTION("""COMPUTED_VALUE"""),180.399999999999)</f>
        <v>180.39999999999901</v>
      </c>
      <c r="U177" s="165">
        <f ca="1"/>
        <v>1064.7999999999979</v>
      </c>
    </row>
    <row r="178" spans="1:21" ht="12.75">
      <c r="A178" s="167" t="str">
        <f ca="1">IFERROR(__xludf.DUMMYFUNCTION("""COMPUTED_VALUE"""),"Guaraí")</f>
        <v>Guaraí</v>
      </c>
      <c r="B178" s="167" t="str">
        <f ca="1">IFERROR(__xludf.DUMMYFUNCTION("""COMPUTED_VALUE"""),"Goianorte")</f>
        <v>Goianorte</v>
      </c>
      <c r="C178" s="168" t="str">
        <f ca="1">IFERROR(__xludf.DUMMYFUNCTION("""COMPUTED_VALUE"""),"A.A.  DA ESCOLA ESTADUAL MORRO DO MATO")</f>
        <v>A.A.  DA ESCOLA ESTADUAL MORRO DO MATO</v>
      </c>
      <c r="D178" s="169" t="str">
        <f ca="1">IFERROR(__xludf.DUMMYFUNCTION("""COMPUTED_VALUE"""),"01990368000107")</f>
        <v>01990368000107</v>
      </c>
      <c r="E178" s="170" t="str">
        <f ca="1">IFERROR(__xludf.DUMMYFUNCTION("""COMPUTED_VALUE"""),"001")</f>
        <v>001</v>
      </c>
      <c r="F178" s="170" t="str">
        <f ca="1">IFERROR(__xludf.DUMMYFUNCTION("""COMPUTED_VALUE"""),"1306")</f>
        <v>1306</v>
      </c>
      <c r="G178" s="170" t="str">
        <f ca="1">IFERROR(__xludf.DUMMYFUNCTION("""COMPUTED_VALUE"""),"54178")</f>
        <v>54178</v>
      </c>
      <c r="H178" s="170">
        <f ca="1">IFERROR(__xludf.DUMMYFUNCTION("""COMPUTED_VALUE"""),0)</f>
        <v>0</v>
      </c>
      <c r="I178" s="170">
        <f ca="1">IFERROR(__xludf.DUMMYFUNCTION("""COMPUTED_VALUE"""),0)</f>
        <v>0</v>
      </c>
      <c r="J178" s="170">
        <f ca="1">IFERROR(__xludf.DUMMYFUNCTION("""COMPUTED_VALUE"""),2050)</f>
        <v>2050</v>
      </c>
      <c r="K178" s="170">
        <f ca="1">IFERROR(__xludf.DUMMYFUNCTION("""COMPUTED_VALUE"""),0)</f>
        <v>0</v>
      </c>
      <c r="L178" s="170">
        <f ca="1">IFERROR(__xludf.DUMMYFUNCTION("""COMPUTED_VALUE"""),0)</f>
        <v>0</v>
      </c>
      <c r="M178" s="170">
        <f ca="1">IFERROR(__xludf.DUMMYFUNCTION("""COMPUTED_VALUE"""),0)</f>
        <v>0</v>
      </c>
      <c r="N178" s="170">
        <f ca="1">IFERROR(__xludf.DUMMYFUNCTION("""COMPUTED_VALUE"""),0)</f>
        <v>0</v>
      </c>
      <c r="O178" s="170">
        <f ca="1">IFERROR(__xludf.DUMMYFUNCTION("""COMPUTED_VALUE"""),0)</f>
        <v>0</v>
      </c>
      <c r="P178" s="170">
        <f ca="1">IFERROR(__xludf.DUMMYFUNCTION("""COMPUTED_VALUE"""),394.4)</f>
        <v>394.4</v>
      </c>
      <c r="Q178" s="170">
        <f ca="1">IFERROR(__xludf.DUMMYFUNCTION("""COMPUTED_VALUE"""),0)</f>
        <v>0</v>
      </c>
      <c r="R178" s="170">
        <f ca="1">IFERROR(__xludf.DUMMYFUNCTION("""COMPUTED_VALUE"""),0)</f>
        <v>0</v>
      </c>
      <c r="S178" s="170">
        <f ca="1">IFERROR(__xludf.DUMMYFUNCTION("""COMPUTED_VALUE"""),0)</f>
        <v>0</v>
      </c>
      <c r="T178" s="170">
        <f ca="1">IFERROR(__xludf.DUMMYFUNCTION("""COMPUTED_VALUE"""),754.4)</f>
        <v>754.4</v>
      </c>
      <c r="U178" s="170">
        <f ca="1"/>
        <v>3198.8</v>
      </c>
    </row>
    <row r="179" spans="1:21" ht="12.75">
      <c r="A179" s="162" t="str">
        <f ca="1">IFERROR(__xludf.DUMMYFUNCTION("""COMPUTED_VALUE"""),"Guaraí")</f>
        <v>Guaraí</v>
      </c>
      <c r="B179" s="162" t="str">
        <f ca="1">IFERROR(__xludf.DUMMYFUNCTION("""COMPUTED_VALUE"""),"Guarai")</f>
        <v>Guarai</v>
      </c>
      <c r="C179" s="163" t="str">
        <f ca="1">IFERROR(__xludf.DUMMYFUNCTION("""COMPUTED_VALUE"""),"ASSOC. DE APOIO ESC. EST. OQUERLINA TORRES")</f>
        <v>ASSOC. DE APOIO ESC. EST. OQUERLINA TORRES</v>
      </c>
      <c r="D179" s="164" t="str">
        <f ca="1">IFERROR(__xludf.DUMMYFUNCTION("""COMPUTED_VALUE"""),"01421201000125")</f>
        <v>01421201000125</v>
      </c>
      <c r="E179" s="165" t="str">
        <f ca="1">IFERROR(__xludf.DUMMYFUNCTION("""COMPUTED_VALUE"""),"001")</f>
        <v>001</v>
      </c>
      <c r="F179" s="165" t="str">
        <f ca="1">IFERROR(__xludf.DUMMYFUNCTION("""COMPUTED_VALUE"""),"2094")</f>
        <v>2094</v>
      </c>
      <c r="G179" s="165" t="str">
        <f ca="1">IFERROR(__xludf.DUMMYFUNCTION("""COMPUTED_VALUE"""),"19266X")</f>
        <v>19266X</v>
      </c>
      <c r="H179" s="165">
        <f ca="1">IFERROR(__xludf.DUMMYFUNCTION("""COMPUTED_VALUE"""),0)</f>
        <v>0</v>
      </c>
      <c r="I179" s="165">
        <f ca="1">IFERROR(__xludf.DUMMYFUNCTION("""COMPUTED_VALUE"""),0)</f>
        <v>0</v>
      </c>
      <c r="J179" s="165">
        <f ca="1">IFERROR(__xludf.DUMMYFUNCTION("""COMPUTED_VALUE"""),0)</f>
        <v>0</v>
      </c>
      <c r="K179" s="165">
        <f ca="1">IFERROR(__xludf.DUMMYFUNCTION("""COMPUTED_VALUE"""),0)</f>
        <v>0</v>
      </c>
      <c r="L179" s="165">
        <f ca="1">IFERROR(__xludf.DUMMYFUNCTION("""COMPUTED_VALUE"""),0)</f>
        <v>0</v>
      </c>
      <c r="M179" s="165">
        <f ca="1">IFERROR(__xludf.DUMMYFUNCTION("""COMPUTED_VALUE"""),0)</f>
        <v>0</v>
      </c>
      <c r="N179" s="165">
        <f ca="1">IFERROR(__xludf.DUMMYFUNCTION("""COMPUTED_VALUE"""),0)</f>
        <v>0</v>
      </c>
      <c r="O179" s="165">
        <f ca="1">IFERROR(__xludf.DUMMYFUNCTION("""COMPUTED_VALUE"""),0)</f>
        <v>0</v>
      </c>
      <c r="P179" s="165">
        <f ca="1">IFERROR(__xludf.DUMMYFUNCTION("""COMPUTED_VALUE"""),176.799999999999)</f>
        <v>176.79999999999899</v>
      </c>
      <c r="Q179" s="165">
        <f ca="1">IFERROR(__xludf.DUMMYFUNCTION("""COMPUTED_VALUE"""),0)</f>
        <v>0</v>
      </c>
      <c r="R179" s="165">
        <f ca="1">IFERROR(__xludf.DUMMYFUNCTION("""COMPUTED_VALUE"""),0)</f>
        <v>0</v>
      </c>
      <c r="S179" s="165">
        <f ca="1">IFERROR(__xludf.DUMMYFUNCTION("""COMPUTED_VALUE"""),11724.8)</f>
        <v>11724.8</v>
      </c>
      <c r="T179" s="165">
        <f ca="1">IFERROR(__xludf.DUMMYFUNCTION("""COMPUTED_VALUE"""),0)</f>
        <v>0</v>
      </c>
      <c r="U179" s="165">
        <f ca="1"/>
        <v>11901.599999999999</v>
      </c>
    </row>
    <row r="180" spans="1:21" ht="12.75">
      <c r="A180" s="167" t="str">
        <f ca="1">IFERROR(__xludf.DUMMYFUNCTION("""COMPUTED_VALUE"""),"Guaraí")</f>
        <v>Guaraí</v>
      </c>
      <c r="B180" s="167" t="str">
        <f ca="1">IFERROR(__xludf.DUMMYFUNCTION("""COMPUTED_VALUE"""),"Guarai")</f>
        <v>Guarai</v>
      </c>
      <c r="C180" s="168" t="str">
        <f ca="1">IFERROR(__xludf.DUMMYFUNCTION("""COMPUTED_VALUE"""),"A.A.  AS ESC. EST. ANTONIO ALENCAR LEAO")</f>
        <v>A.A.  AS ESC. EST. ANTONIO ALENCAR LEAO</v>
      </c>
      <c r="D180" s="169" t="str">
        <f ca="1">IFERROR(__xludf.DUMMYFUNCTION("""COMPUTED_VALUE"""),"01575370000110")</f>
        <v>01575370000110</v>
      </c>
      <c r="E180" s="170" t="str">
        <f ca="1">IFERROR(__xludf.DUMMYFUNCTION("""COMPUTED_VALUE"""),"001")</f>
        <v>001</v>
      </c>
      <c r="F180" s="170" t="str">
        <f ca="1">IFERROR(__xludf.DUMMYFUNCTION("""COMPUTED_VALUE"""),"2094")</f>
        <v>2094</v>
      </c>
      <c r="G180" s="170" t="str">
        <f ca="1">IFERROR(__xludf.DUMMYFUNCTION("""COMPUTED_VALUE"""),"476536")</f>
        <v>476536</v>
      </c>
      <c r="H180" s="170">
        <f ca="1">IFERROR(__xludf.DUMMYFUNCTION("""COMPUTED_VALUE"""),0)</f>
        <v>0</v>
      </c>
      <c r="I180" s="170">
        <f ca="1">IFERROR(__xludf.DUMMYFUNCTION("""COMPUTED_VALUE"""),0)</f>
        <v>0</v>
      </c>
      <c r="J180" s="170">
        <f ca="1">IFERROR(__xludf.DUMMYFUNCTION("""COMPUTED_VALUE"""),3860)</f>
        <v>3860</v>
      </c>
      <c r="K180" s="170">
        <f ca="1">IFERROR(__xludf.DUMMYFUNCTION("""COMPUTED_VALUE"""),0)</f>
        <v>0</v>
      </c>
      <c r="L180" s="170">
        <f ca="1">IFERROR(__xludf.DUMMYFUNCTION("""COMPUTED_VALUE"""),0)</f>
        <v>0</v>
      </c>
      <c r="M180" s="170">
        <f ca="1">IFERROR(__xludf.DUMMYFUNCTION("""COMPUTED_VALUE"""),0)</f>
        <v>0</v>
      </c>
      <c r="N180" s="170">
        <f ca="1">IFERROR(__xludf.DUMMYFUNCTION("""COMPUTED_VALUE"""),0)</f>
        <v>0</v>
      </c>
      <c r="O180" s="170">
        <f ca="1">IFERROR(__xludf.DUMMYFUNCTION("""COMPUTED_VALUE"""),0)</f>
        <v>0</v>
      </c>
      <c r="P180" s="170">
        <f ca="1">IFERROR(__xludf.DUMMYFUNCTION("""COMPUTED_VALUE"""),149.6)</f>
        <v>149.6</v>
      </c>
      <c r="Q180" s="170">
        <f ca="1">IFERROR(__xludf.DUMMYFUNCTION("""COMPUTED_VALUE"""),0)</f>
        <v>0</v>
      </c>
      <c r="R180" s="170">
        <f ca="1">IFERROR(__xludf.DUMMYFUNCTION("""COMPUTED_VALUE"""),0)</f>
        <v>0</v>
      </c>
      <c r="S180" s="170">
        <f ca="1">IFERROR(__xludf.DUMMYFUNCTION("""COMPUTED_VALUE"""),0)</f>
        <v>0</v>
      </c>
      <c r="T180" s="170">
        <f ca="1">IFERROR(__xludf.DUMMYFUNCTION("""COMPUTED_VALUE"""),0)</f>
        <v>0</v>
      </c>
      <c r="U180" s="170">
        <f ca="1"/>
        <v>4009.6</v>
      </c>
    </row>
    <row r="181" spans="1:21" ht="12.75">
      <c r="A181" s="162" t="str">
        <f ca="1">IFERROR(__xludf.DUMMYFUNCTION("""COMPUTED_VALUE"""),"Guaraí")</f>
        <v>Guaraí</v>
      </c>
      <c r="B181" s="162" t="str">
        <f ca="1">IFERROR(__xludf.DUMMYFUNCTION("""COMPUTED_VALUE"""),"Guarai")</f>
        <v>Guarai</v>
      </c>
      <c r="C181" s="163" t="str">
        <f ca="1">IFERROR(__xludf.DUMMYFUNCTION("""COMPUTED_VALUE"""),"A.A. DO COL. EST. DONA ANAIDES B.MIRANDA")</f>
        <v>A.A. DO COL. EST. DONA ANAIDES B.MIRANDA</v>
      </c>
      <c r="D181" s="164" t="str">
        <f ca="1">IFERROR(__xludf.DUMMYFUNCTION("""COMPUTED_VALUE"""),"01867376000160")</f>
        <v>01867376000160</v>
      </c>
      <c r="E181" s="165" t="str">
        <f ca="1">IFERROR(__xludf.DUMMYFUNCTION("""COMPUTED_VALUE"""),"001")</f>
        <v>001</v>
      </c>
      <c r="F181" s="165" t="str">
        <f ca="1">IFERROR(__xludf.DUMMYFUNCTION("""COMPUTED_VALUE"""),"2094")</f>
        <v>2094</v>
      </c>
      <c r="G181" s="165" t="str">
        <f ca="1">IFERROR(__xludf.DUMMYFUNCTION("""COMPUTED_VALUE"""),"472123")</f>
        <v>472123</v>
      </c>
      <c r="H181" s="165">
        <f ca="1">IFERROR(__xludf.DUMMYFUNCTION("""COMPUTED_VALUE"""),0)</f>
        <v>0</v>
      </c>
      <c r="I181" s="165">
        <f ca="1">IFERROR(__xludf.DUMMYFUNCTION("""COMPUTED_VALUE"""),0)</f>
        <v>0</v>
      </c>
      <c r="J181" s="165">
        <f ca="1">IFERROR(__xludf.DUMMYFUNCTION("""COMPUTED_VALUE"""),3290)</f>
        <v>3290</v>
      </c>
      <c r="K181" s="165">
        <f ca="1">IFERROR(__xludf.DUMMYFUNCTION("""COMPUTED_VALUE"""),0)</f>
        <v>0</v>
      </c>
      <c r="L181" s="165">
        <f ca="1">IFERROR(__xludf.DUMMYFUNCTION("""COMPUTED_VALUE"""),0)</f>
        <v>0</v>
      </c>
      <c r="M181" s="165">
        <f ca="1">IFERROR(__xludf.DUMMYFUNCTION("""COMPUTED_VALUE"""),0)</f>
        <v>0</v>
      </c>
      <c r="N181" s="165">
        <f ca="1">IFERROR(__xludf.DUMMYFUNCTION("""COMPUTED_VALUE"""),0)</f>
        <v>0</v>
      </c>
      <c r="O181" s="165">
        <f ca="1">IFERROR(__xludf.DUMMYFUNCTION("""COMPUTED_VALUE"""),0)</f>
        <v>0</v>
      </c>
      <c r="P181" s="165">
        <f ca="1">IFERROR(__xludf.DUMMYFUNCTION("""COMPUTED_VALUE"""),122.399999999999)</f>
        <v>122.399999999999</v>
      </c>
      <c r="Q181" s="165">
        <f ca="1">IFERROR(__xludf.DUMMYFUNCTION("""COMPUTED_VALUE"""),2080)</f>
        <v>2080</v>
      </c>
      <c r="R181" s="165">
        <f ca="1">IFERROR(__xludf.DUMMYFUNCTION("""COMPUTED_VALUE"""),0)</f>
        <v>0</v>
      </c>
      <c r="S181" s="165">
        <f ca="1">IFERROR(__xludf.DUMMYFUNCTION("""COMPUTED_VALUE"""),0)</f>
        <v>0</v>
      </c>
      <c r="T181" s="165">
        <f ca="1">IFERROR(__xludf.DUMMYFUNCTION("""COMPUTED_VALUE"""),0)</f>
        <v>0</v>
      </c>
      <c r="U181" s="165">
        <f ca="1"/>
        <v>5492.4</v>
      </c>
    </row>
    <row r="182" spans="1:21" ht="12.75">
      <c r="A182" s="167" t="str">
        <f ca="1">IFERROR(__xludf.DUMMYFUNCTION("""COMPUTED_VALUE"""),"Guaraí")</f>
        <v>Guaraí</v>
      </c>
      <c r="B182" s="167" t="str">
        <f ca="1">IFERROR(__xludf.DUMMYFUNCTION("""COMPUTED_VALUE"""),"Guarai")</f>
        <v>Guarai</v>
      </c>
      <c r="C182" s="168" t="str">
        <f ca="1">IFERROR(__xludf.DUMMYFUNCTION("""COMPUTED_VALUE"""),"A. ESCOLAR COM.COL. EST.RAIMUNDO A.LEAO")</f>
        <v>A. ESCOLAR COM.COL. EST.RAIMUNDO A.LEAO</v>
      </c>
      <c r="D182" s="169" t="str">
        <f ca="1">IFERROR(__xludf.DUMMYFUNCTION("""COMPUTED_VALUE"""),"00880649000144")</f>
        <v>00880649000144</v>
      </c>
      <c r="E182" s="170" t="str">
        <f ca="1">IFERROR(__xludf.DUMMYFUNCTION("""COMPUTED_VALUE"""),"001")</f>
        <v>001</v>
      </c>
      <c r="F182" s="170" t="str">
        <f ca="1">IFERROR(__xludf.DUMMYFUNCTION("""COMPUTED_VALUE"""),"2094")</f>
        <v>2094</v>
      </c>
      <c r="G182" s="170" t="str">
        <f ca="1">IFERROR(__xludf.DUMMYFUNCTION("""COMPUTED_VALUE"""),"0472719")</f>
        <v>0472719</v>
      </c>
      <c r="H182" s="170">
        <f ca="1">IFERROR(__xludf.DUMMYFUNCTION("""COMPUTED_VALUE"""),0)</f>
        <v>0</v>
      </c>
      <c r="I182" s="170">
        <f ca="1">IFERROR(__xludf.DUMMYFUNCTION("""COMPUTED_VALUE"""),0)</f>
        <v>0</v>
      </c>
      <c r="J182" s="170">
        <f ca="1">IFERROR(__xludf.DUMMYFUNCTION("""COMPUTED_VALUE"""),1690)</f>
        <v>1690</v>
      </c>
      <c r="K182" s="170">
        <f ca="1">IFERROR(__xludf.DUMMYFUNCTION("""COMPUTED_VALUE"""),0)</f>
        <v>0</v>
      </c>
      <c r="L182" s="170">
        <f ca="1">IFERROR(__xludf.DUMMYFUNCTION("""COMPUTED_VALUE"""),0)</f>
        <v>0</v>
      </c>
      <c r="M182" s="170">
        <f ca="1">IFERROR(__xludf.DUMMYFUNCTION("""COMPUTED_VALUE"""),0)</f>
        <v>0</v>
      </c>
      <c r="N182" s="170">
        <f ca="1">IFERROR(__xludf.DUMMYFUNCTION("""COMPUTED_VALUE"""),0)</f>
        <v>0</v>
      </c>
      <c r="O182" s="170">
        <f ca="1">IFERROR(__xludf.DUMMYFUNCTION("""COMPUTED_VALUE"""),0)</f>
        <v>0</v>
      </c>
      <c r="P182" s="170">
        <f ca="1">IFERROR(__xludf.DUMMYFUNCTION("""COMPUTED_VALUE"""),163.2)</f>
        <v>163.19999999999999</v>
      </c>
      <c r="Q182" s="170">
        <f ca="1">IFERROR(__xludf.DUMMYFUNCTION("""COMPUTED_VALUE"""),0)</f>
        <v>0</v>
      </c>
      <c r="R182" s="170">
        <f ca="1">IFERROR(__xludf.DUMMYFUNCTION("""COMPUTED_VALUE"""),0)</f>
        <v>0</v>
      </c>
      <c r="S182" s="170">
        <f ca="1">IFERROR(__xludf.DUMMYFUNCTION("""COMPUTED_VALUE"""),0)</f>
        <v>0</v>
      </c>
      <c r="T182" s="170">
        <f ca="1">IFERROR(__xludf.DUMMYFUNCTION("""COMPUTED_VALUE"""),1516.99999999999)</f>
        <v>1516.99999999999</v>
      </c>
      <c r="U182" s="170">
        <f ca="1"/>
        <v>3370.1999999999898</v>
      </c>
    </row>
    <row r="183" spans="1:21" ht="12.75">
      <c r="A183" s="162" t="str">
        <f ca="1">IFERROR(__xludf.DUMMYFUNCTION("""COMPUTED_VALUE"""),"Guaraí")</f>
        <v>Guaraí</v>
      </c>
      <c r="B183" s="162" t="str">
        <f ca="1">IFERROR(__xludf.DUMMYFUNCTION("""COMPUTED_VALUE"""),"Guarai")</f>
        <v>Guarai</v>
      </c>
      <c r="C183" s="163" t="str">
        <f ca="1">IFERROR(__xludf.DUMMYFUNCTION("""COMPUTED_VALUE"""),"ASSOCIAÇÃO DE APOIO A ESCOLA ESPECIAL ESTRELA DA ESPERANÇA")</f>
        <v>ASSOCIAÇÃO DE APOIO A ESCOLA ESPECIAL ESTRELA DA ESPERANÇA</v>
      </c>
      <c r="D183" s="164" t="str">
        <f ca="1">IFERROR(__xludf.DUMMYFUNCTION("""COMPUTED_VALUE"""),"07938604000122")</f>
        <v>07938604000122</v>
      </c>
      <c r="E183" s="165" t="str">
        <f ca="1">IFERROR(__xludf.DUMMYFUNCTION("""COMPUTED_VALUE"""),"001")</f>
        <v>001</v>
      </c>
      <c r="F183" s="165" t="str">
        <f ca="1">IFERROR(__xludf.DUMMYFUNCTION("""COMPUTED_VALUE"""),"2094")</f>
        <v>2094</v>
      </c>
      <c r="G183" s="165" t="str">
        <f ca="1">IFERROR(__xludf.DUMMYFUNCTION("""COMPUTED_VALUE"""),"211621")</f>
        <v>211621</v>
      </c>
      <c r="H183" s="165">
        <f ca="1">IFERROR(__xludf.DUMMYFUNCTION("""COMPUTED_VALUE"""),0)</f>
        <v>0</v>
      </c>
      <c r="I183" s="165">
        <f ca="1">IFERROR(__xludf.DUMMYFUNCTION("""COMPUTED_VALUE"""),43.2)</f>
        <v>43.2</v>
      </c>
      <c r="J183" s="165">
        <f ca="1">IFERROR(__xludf.DUMMYFUNCTION("""COMPUTED_VALUE"""),200)</f>
        <v>200</v>
      </c>
      <c r="K183" s="165">
        <f ca="1">IFERROR(__xludf.DUMMYFUNCTION("""COMPUTED_VALUE"""),0)</f>
        <v>0</v>
      </c>
      <c r="L183" s="165">
        <f ca="1">IFERROR(__xludf.DUMMYFUNCTION("""COMPUTED_VALUE"""),0)</f>
        <v>0</v>
      </c>
      <c r="M183" s="165">
        <f ca="1">IFERROR(__xludf.DUMMYFUNCTION("""COMPUTED_VALUE"""),0)</f>
        <v>0</v>
      </c>
      <c r="N183" s="165">
        <f ca="1">IFERROR(__xludf.DUMMYFUNCTION("""COMPUTED_VALUE"""),0)</f>
        <v>0</v>
      </c>
      <c r="O183" s="165">
        <f ca="1">IFERROR(__xludf.DUMMYFUNCTION("""COMPUTED_VALUE"""),0)</f>
        <v>0</v>
      </c>
      <c r="P183" s="165">
        <f ca="1">IFERROR(__xludf.DUMMYFUNCTION("""COMPUTED_VALUE"""),163.2)</f>
        <v>163.19999999999999</v>
      </c>
      <c r="Q183" s="165">
        <f ca="1">IFERROR(__xludf.DUMMYFUNCTION("""COMPUTED_VALUE"""),0)</f>
        <v>0</v>
      </c>
      <c r="R183" s="165">
        <f ca="1">IFERROR(__xludf.DUMMYFUNCTION("""COMPUTED_VALUE"""),0)</f>
        <v>0</v>
      </c>
      <c r="S183" s="165">
        <f ca="1">IFERROR(__xludf.DUMMYFUNCTION("""COMPUTED_VALUE"""),0)</f>
        <v>0</v>
      </c>
      <c r="T183" s="165">
        <f ca="1">IFERROR(__xludf.DUMMYFUNCTION("""COMPUTED_VALUE"""),500.199999999999)</f>
        <v>500.19999999999902</v>
      </c>
      <c r="U183" s="165">
        <f ca="1"/>
        <v>906.599999999999</v>
      </c>
    </row>
    <row r="184" spans="1:21" ht="12.75">
      <c r="A184" s="167" t="str">
        <f ca="1">IFERROR(__xludf.DUMMYFUNCTION("""COMPUTED_VALUE"""),"Guaraí")</f>
        <v>Guaraí</v>
      </c>
      <c r="B184" s="167" t="str">
        <f ca="1">IFERROR(__xludf.DUMMYFUNCTION("""COMPUTED_VALUE"""),"Guarai")</f>
        <v>Guarai</v>
      </c>
      <c r="C184" s="168" t="str">
        <f ca="1">IFERROR(__xludf.DUMMYFUNCTION("""COMPUTED_VALUE"""),"A.A. ESC. EST.IRINEU ALBANO HENDGES")</f>
        <v>A.A. ESC. EST.IRINEU ALBANO HENDGES</v>
      </c>
      <c r="D184" s="169" t="str">
        <f ca="1">IFERROR(__xludf.DUMMYFUNCTION("""COMPUTED_VALUE"""),"01136012000100")</f>
        <v>01136012000100</v>
      </c>
      <c r="E184" s="170" t="str">
        <f ca="1">IFERROR(__xludf.DUMMYFUNCTION("""COMPUTED_VALUE"""),"001")</f>
        <v>001</v>
      </c>
      <c r="F184" s="170" t="str">
        <f ca="1">IFERROR(__xludf.DUMMYFUNCTION("""COMPUTED_VALUE"""),"2094")</f>
        <v>2094</v>
      </c>
      <c r="G184" s="170" t="str">
        <f ca="1">IFERROR(__xludf.DUMMYFUNCTION("""COMPUTED_VALUE"""),"0472433")</f>
        <v>0472433</v>
      </c>
      <c r="H184" s="170">
        <f ca="1">IFERROR(__xludf.DUMMYFUNCTION("""COMPUTED_VALUE"""),0)</f>
        <v>0</v>
      </c>
      <c r="I184" s="170">
        <f ca="1">IFERROR(__xludf.DUMMYFUNCTION("""COMPUTED_VALUE"""),0)</f>
        <v>0</v>
      </c>
      <c r="J184" s="170">
        <f ca="1">IFERROR(__xludf.DUMMYFUNCTION("""COMPUTED_VALUE"""),4360)</f>
        <v>4360</v>
      </c>
      <c r="K184" s="170">
        <f ca="1">IFERROR(__xludf.DUMMYFUNCTION("""COMPUTED_VALUE"""),0)</f>
        <v>0</v>
      </c>
      <c r="L184" s="170">
        <f ca="1">IFERROR(__xludf.DUMMYFUNCTION("""COMPUTED_VALUE"""),0)</f>
        <v>0</v>
      </c>
      <c r="M184" s="170">
        <f ca="1">IFERROR(__xludf.DUMMYFUNCTION("""COMPUTED_VALUE"""),0)</f>
        <v>0</v>
      </c>
      <c r="N184" s="170">
        <f ca="1">IFERROR(__xludf.DUMMYFUNCTION("""COMPUTED_VALUE"""),0)</f>
        <v>0</v>
      </c>
      <c r="O184" s="170">
        <f ca="1">IFERROR(__xludf.DUMMYFUNCTION("""COMPUTED_VALUE"""),0)</f>
        <v>0</v>
      </c>
      <c r="P184" s="170">
        <f ca="1">IFERROR(__xludf.DUMMYFUNCTION("""COMPUTED_VALUE"""),299.2)</f>
        <v>299.2</v>
      </c>
      <c r="Q184" s="170">
        <f ca="1">IFERROR(__xludf.DUMMYFUNCTION("""COMPUTED_VALUE"""),8120)</f>
        <v>8120</v>
      </c>
      <c r="R184" s="170">
        <f ca="1">IFERROR(__xludf.DUMMYFUNCTION("""COMPUTED_VALUE"""),0)</f>
        <v>0</v>
      </c>
      <c r="S184" s="170">
        <f ca="1">IFERROR(__xludf.DUMMYFUNCTION("""COMPUTED_VALUE"""),0)</f>
        <v>0</v>
      </c>
      <c r="T184" s="170">
        <f ca="1">IFERROR(__xludf.DUMMYFUNCTION("""COMPUTED_VALUE"""),0)</f>
        <v>0</v>
      </c>
      <c r="U184" s="170">
        <f ca="1"/>
        <v>12779.2</v>
      </c>
    </row>
    <row r="185" spans="1:21" ht="12.75">
      <c r="A185" s="162" t="str">
        <f ca="1">IFERROR(__xludf.DUMMYFUNCTION("""COMPUTED_VALUE"""),"Guaraí")</f>
        <v>Guaraí</v>
      </c>
      <c r="B185" s="162" t="str">
        <f ca="1">IFERROR(__xludf.DUMMYFUNCTION("""COMPUTED_VALUE"""),"Guarai")</f>
        <v>Guarai</v>
      </c>
      <c r="C185" s="163" t="str">
        <f ca="1">IFERROR(__xludf.DUMMYFUNCTION("""COMPUTED_VALUE"""),"A.A. ESCOLA EST. JOSE COSTA SOARES")</f>
        <v>A.A. ESCOLA EST. JOSE COSTA SOARES</v>
      </c>
      <c r="D185" s="164" t="str">
        <f ca="1">IFERROR(__xludf.DUMMYFUNCTION("""COMPUTED_VALUE"""),"01421200000180")</f>
        <v>01421200000180</v>
      </c>
      <c r="E185" s="165" t="str">
        <f ca="1">IFERROR(__xludf.DUMMYFUNCTION("""COMPUTED_VALUE"""),"001")</f>
        <v>001</v>
      </c>
      <c r="F185" s="165" t="str">
        <f ca="1">IFERROR(__xludf.DUMMYFUNCTION("""COMPUTED_VALUE"""),"2094")</f>
        <v>2094</v>
      </c>
      <c r="G185" s="165" t="str">
        <f ca="1">IFERROR(__xludf.DUMMYFUNCTION("""COMPUTED_VALUE"""),"471577")</f>
        <v>471577</v>
      </c>
      <c r="H185" s="165">
        <f ca="1">IFERROR(__xludf.DUMMYFUNCTION("""COMPUTED_VALUE"""),0)</f>
        <v>0</v>
      </c>
      <c r="I185" s="165">
        <f ca="1">IFERROR(__xludf.DUMMYFUNCTION("""COMPUTED_VALUE"""),0)</f>
        <v>0</v>
      </c>
      <c r="J185" s="165">
        <f ca="1">IFERROR(__xludf.DUMMYFUNCTION("""COMPUTED_VALUE"""),1490)</f>
        <v>1490</v>
      </c>
      <c r="K185" s="165">
        <f ca="1">IFERROR(__xludf.DUMMYFUNCTION("""COMPUTED_VALUE"""),0)</f>
        <v>0</v>
      </c>
      <c r="L185" s="165">
        <f ca="1">IFERROR(__xludf.DUMMYFUNCTION("""COMPUTED_VALUE"""),0)</f>
        <v>0</v>
      </c>
      <c r="M185" s="165">
        <f ca="1">IFERROR(__xludf.DUMMYFUNCTION("""COMPUTED_VALUE"""),0)</f>
        <v>0</v>
      </c>
      <c r="N185" s="165">
        <f ca="1">IFERROR(__xludf.DUMMYFUNCTION("""COMPUTED_VALUE"""),0)</f>
        <v>0</v>
      </c>
      <c r="O185" s="165">
        <f ca="1">IFERROR(__xludf.DUMMYFUNCTION("""COMPUTED_VALUE"""),0)</f>
        <v>0</v>
      </c>
      <c r="P185" s="165">
        <f ca="1">IFERROR(__xludf.DUMMYFUNCTION("""COMPUTED_VALUE"""),149.6)</f>
        <v>149.6</v>
      </c>
      <c r="Q185" s="165">
        <f ca="1">IFERROR(__xludf.DUMMYFUNCTION("""COMPUTED_VALUE"""),0)</f>
        <v>0</v>
      </c>
      <c r="R185" s="165">
        <f ca="1">IFERROR(__xludf.DUMMYFUNCTION("""COMPUTED_VALUE"""),0)</f>
        <v>0</v>
      </c>
      <c r="S185" s="165">
        <f ca="1">IFERROR(__xludf.DUMMYFUNCTION("""COMPUTED_VALUE"""),0)</f>
        <v>0</v>
      </c>
      <c r="T185" s="165">
        <f ca="1">IFERROR(__xludf.DUMMYFUNCTION("""COMPUTED_VALUE"""),0)</f>
        <v>0</v>
      </c>
      <c r="U185" s="165">
        <f ca="1"/>
        <v>1639.6</v>
      </c>
    </row>
    <row r="186" spans="1:21" ht="12.75">
      <c r="A186" s="167" t="str">
        <f ca="1">IFERROR(__xludf.DUMMYFUNCTION("""COMPUTED_VALUE"""),"Guaraí")</f>
        <v>Guaraí</v>
      </c>
      <c r="B186" s="167" t="str">
        <f ca="1">IFERROR(__xludf.DUMMYFUNCTION("""COMPUTED_VALUE"""),"Itapora do Tocantins")</f>
        <v>Itapora do Tocantins</v>
      </c>
      <c r="C186" s="168" t="str">
        <f ca="1">IFERROR(__xludf.DUMMYFUNCTION("""COMPUTED_VALUE"""),"A.A. COL. EST. FRANCISCA ALVES ALENCAR")</f>
        <v>A.A. COL. EST. FRANCISCA ALVES ALENCAR</v>
      </c>
      <c r="D186" s="169" t="str">
        <f ca="1">IFERROR(__xludf.DUMMYFUNCTION("""COMPUTED_VALUE"""),"01190193000153")</f>
        <v>01190193000153</v>
      </c>
      <c r="E186" s="170" t="str">
        <f ca="1">IFERROR(__xludf.DUMMYFUNCTION("""COMPUTED_VALUE"""),"001")</f>
        <v>001</v>
      </c>
      <c r="F186" s="170" t="str">
        <f ca="1">IFERROR(__xludf.DUMMYFUNCTION("""COMPUTED_VALUE"""),"1306")</f>
        <v>1306</v>
      </c>
      <c r="G186" s="170" t="str">
        <f ca="1">IFERROR(__xludf.DUMMYFUNCTION("""COMPUTED_VALUE"""),"102865")</f>
        <v>102865</v>
      </c>
      <c r="H186" s="170">
        <f ca="1">IFERROR(__xludf.DUMMYFUNCTION("""COMPUTED_VALUE"""),0)</f>
        <v>0</v>
      </c>
      <c r="I186" s="170">
        <f ca="1">IFERROR(__xludf.DUMMYFUNCTION("""COMPUTED_VALUE"""),0)</f>
        <v>0</v>
      </c>
      <c r="J186" s="170">
        <f ca="1">IFERROR(__xludf.DUMMYFUNCTION("""COMPUTED_VALUE"""),1090)</f>
        <v>1090</v>
      </c>
      <c r="K186" s="170">
        <f ca="1">IFERROR(__xludf.DUMMYFUNCTION("""COMPUTED_VALUE"""),0)</f>
        <v>0</v>
      </c>
      <c r="L186" s="170">
        <f ca="1">IFERROR(__xludf.DUMMYFUNCTION("""COMPUTED_VALUE"""),0)</f>
        <v>0</v>
      </c>
      <c r="M186" s="170">
        <f ca="1">IFERROR(__xludf.DUMMYFUNCTION("""COMPUTED_VALUE"""),0)</f>
        <v>0</v>
      </c>
      <c r="N186" s="170">
        <f ca="1">IFERROR(__xludf.DUMMYFUNCTION("""COMPUTED_VALUE"""),0)</f>
        <v>0</v>
      </c>
      <c r="O186" s="170">
        <f ca="1">IFERROR(__xludf.DUMMYFUNCTION("""COMPUTED_VALUE"""),0)</f>
        <v>0</v>
      </c>
      <c r="P186" s="170">
        <f ca="1">IFERROR(__xludf.DUMMYFUNCTION("""COMPUTED_VALUE"""),136)</f>
        <v>136</v>
      </c>
      <c r="Q186" s="170">
        <f ca="1">IFERROR(__xludf.DUMMYFUNCTION("""COMPUTED_VALUE"""),770)</f>
        <v>770</v>
      </c>
      <c r="R186" s="170">
        <f ca="1">IFERROR(__xludf.DUMMYFUNCTION("""COMPUTED_VALUE"""),0)</f>
        <v>0</v>
      </c>
      <c r="S186" s="170">
        <f ca="1">IFERROR(__xludf.DUMMYFUNCTION("""COMPUTED_VALUE"""),0)</f>
        <v>0</v>
      </c>
      <c r="T186" s="170">
        <f ca="1">IFERROR(__xludf.DUMMYFUNCTION("""COMPUTED_VALUE"""),254.2)</f>
        <v>254.2</v>
      </c>
      <c r="U186" s="170">
        <f ca="1"/>
        <v>2250.1999999999998</v>
      </c>
    </row>
    <row r="187" spans="1:21" ht="12.75">
      <c r="A187" s="162" t="str">
        <f ca="1">IFERROR(__xludf.DUMMYFUNCTION("""COMPUTED_VALUE"""),"Guaraí")</f>
        <v>Guaraí</v>
      </c>
      <c r="B187" s="162" t="str">
        <f ca="1">IFERROR(__xludf.DUMMYFUNCTION("""COMPUTED_VALUE"""),"Pequizeiro")</f>
        <v>Pequizeiro</v>
      </c>
      <c r="C187" s="163" t="str">
        <f ca="1">IFERROR(__xludf.DUMMYFUNCTION("""COMPUTED_VALUE"""),"ASSOC. DE APOIO ESC. EST. 1º DE JUNHO")</f>
        <v>ASSOC. DE APOIO ESC. EST. 1º DE JUNHO</v>
      </c>
      <c r="D187" s="164" t="str">
        <f ca="1">IFERROR(__xludf.DUMMYFUNCTION("""COMPUTED_VALUE"""),"02060455000128")</f>
        <v>02060455000128</v>
      </c>
      <c r="E187" s="165" t="str">
        <f ca="1">IFERROR(__xludf.DUMMYFUNCTION("""COMPUTED_VALUE"""),"001")</f>
        <v>001</v>
      </c>
      <c r="F187" s="165" t="str">
        <f ca="1">IFERROR(__xludf.DUMMYFUNCTION("""COMPUTED_VALUE"""),"1306")</f>
        <v>1306</v>
      </c>
      <c r="G187" s="165" t="str">
        <f ca="1">IFERROR(__xludf.DUMMYFUNCTION("""COMPUTED_VALUE"""),"147214")</f>
        <v>147214</v>
      </c>
      <c r="H187" s="165">
        <f ca="1">IFERROR(__xludf.DUMMYFUNCTION("""COMPUTED_VALUE"""),0)</f>
        <v>0</v>
      </c>
      <c r="I187" s="165">
        <f ca="1">IFERROR(__xludf.DUMMYFUNCTION("""COMPUTED_VALUE"""),0)</f>
        <v>0</v>
      </c>
      <c r="J187" s="165">
        <f ca="1">IFERROR(__xludf.DUMMYFUNCTION("""COMPUTED_VALUE"""),0)</f>
        <v>0</v>
      </c>
      <c r="K187" s="165">
        <f ca="1">IFERROR(__xludf.DUMMYFUNCTION("""COMPUTED_VALUE"""),0)</f>
        <v>0</v>
      </c>
      <c r="L187" s="165">
        <f ca="1">IFERROR(__xludf.DUMMYFUNCTION("""COMPUTED_VALUE"""),0)</f>
        <v>0</v>
      </c>
      <c r="M187" s="165">
        <f ca="1">IFERROR(__xludf.DUMMYFUNCTION("""COMPUTED_VALUE"""),0)</f>
        <v>0</v>
      </c>
      <c r="N187" s="165">
        <f ca="1">IFERROR(__xludf.DUMMYFUNCTION("""COMPUTED_VALUE"""),0)</f>
        <v>0</v>
      </c>
      <c r="O187" s="165">
        <f ca="1">IFERROR(__xludf.DUMMYFUNCTION("""COMPUTED_VALUE"""),0)</f>
        <v>0</v>
      </c>
      <c r="P187" s="165">
        <f ca="1">IFERROR(__xludf.DUMMYFUNCTION("""COMPUTED_VALUE"""),0)</f>
        <v>0</v>
      </c>
      <c r="Q187" s="165">
        <f ca="1">IFERROR(__xludf.DUMMYFUNCTION("""COMPUTED_VALUE"""),1830)</f>
        <v>1830</v>
      </c>
      <c r="R187" s="165">
        <f ca="1">IFERROR(__xludf.DUMMYFUNCTION("""COMPUTED_VALUE"""),0)</f>
        <v>0</v>
      </c>
      <c r="S187" s="165">
        <f ca="1">IFERROR(__xludf.DUMMYFUNCTION("""COMPUTED_VALUE"""),0)</f>
        <v>0</v>
      </c>
      <c r="T187" s="165">
        <f ca="1">IFERROR(__xludf.DUMMYFUNCTION("""COMPUTED_VALUE"""),0)</f>
        <v>0</v>
      </c>
      <c r="U187" s="165">
        <f ca="1"/>
        <v>1830</v>
      </c>
    </row>
    <row r="188" spans="1:21" ht="12.75">
      <c r="A188" s="167" t="str">
        <f ca="1">IFERROR(__xludf.DUMMYFUNCTION("""COMPUTED_VALUE"""),"Guaraí")</f>
        <v>Guaraí</v>
      </c>
      <c r="B188" s="167" t="str">
        <f ca="1">IFERROR(__xludf.DUMMYFUNCTION("""COMPUTED_VALUE"""),"Pequizeiro")</f>
        <v>Pequizeiro</v>
      </c>
      <c r="C188" s="168" t="str">
        <f ca="1">IFERROR(__xludf.DUMMYFUNCTION("""COMPUTED_VALUE"""),"A.A. DO COLEGIO ESTADUAL BERNARDO SAYAO")</f>
        <v>A.A. DO COLEGIO ESTADUAL BERNARDO SAYAO</v>
      </c>
      <c r="D188" s="169" t="str">
        <f ca="1">IFERROR(__xludf.DUMMYFUNCTION("""COMPUTED_VALUE"""),"02160863000151")</f>
        <v>02160863000151</v>
      </c>
      <c r="E188" s="170" t="str">
        <f ca="1">IFERROR(__xludf.DUMMYFUNCTION("""COMPUTED_VALUE"""),"001")</f>
        <v>001</v>
      </c>
      <c r="F188" s="170" t="str">
        <f ca="1">IFERROR(__xludf.DUMMYFUNCTION("""COMPUTED_VALUE"""),"1306")</f>
        <v>1306</v>
      </c>
      <c r="G188" s="170" t="str">
        <f ca="1">IFERROR(__xludf.DUMMYFUNCTION("""COMPUTED_VALUE"""),"53910")</f>
        <v>53910</v>
      </c>
      <c r="H188" s="170">
        <f ca="1">IFERROR(__xludf.DUMMYFUNCTION("""COMPUTED_VALUE"""),0)</f>
        <v>0</v>
      </c>
      <c r="I188" s="170">
        <f ca="1">IFERROR(__xludf.DUMMYFUNCTION("""COMPUTED_VALUE"""),0)</f>
        <v>0</v>
      </c>
      <c r="J188" s="170">
        <f ca="1">IFERROR(__xludf.DUMMYFUNCTION("""COMPUTED_VALUE"""),1530)</f>
        <v>1530</v>
      </c>
      <c r="K188" s="170">
        <f ca="1">IFERROR(__xludf.DUMMYFUNCTION("""COMPUTED_VALUE"""),0)</f>
        <v>0</v>
      </c>
      <c r="L188" s="170">
        <f ca="1">IFERROR(__xludf.DUMMYFUNCTION("""COMPUTED_VALUE"""),0)</f>
        <v>0</v>
      </c>
      <c r="M188" s="170">
        <f ca="1">IFERROR(__xludf.DUMMYFUNCTION("""COMPUTED_VALUE"""),0)</f>
        <v>0</v>
      </c>
      <c r="N188" s="170">
        <f ca="1">IFERROR(__xludf.DUMMYFUNCTION("""COMPUTED_VALUE"""),0)</f>
        <v>0</v>
      </c>
      <c r="O188" s="170">
        <f ca="1">IFERROR(__xludf.DUMMYFUNCTION("""COMPUTED_VALUE"""),0)</f>
        <v>0</v>
      </c>
      <c r="P188" s="170">
        <f ca="1">IFERROR(__xludf.DUMMYFUNCTION("""COMPUTED_VALUE"""),312.8)</f>
        <v>312.8</v>
      </c>
      <c r="Q188" s="170">
        <f ca="1">IFERROR(__xludf.DUMMYFUNCTION("""COMPUTED_VALUE"""),0)</f>
        <v>0</v>
      </c>
      <c r="R188" s="170">
        <f ca="1">IFERROR(__xludf.DUMMYFUNCTION("""COMPUTED_VALUE"""),0)</f>
        <v>0</v>
      </c>
      <c r="S188" s="170">
        <f ca="1">IFERROR(__xludf.DUMMYFUNCTION("""COMPUTED_VALUE"""),0)</f>
        <v>0</v>
      </c>
      <c r="T188" s="170">
        <f ca="1">IFERROR(__xludf.DUMMYFUNCTION("""COMPUTED_VALUE"""),180.399999999999)</f>
        <v>180.39999999999901</v>
      </c>
      <c r="U188" s="170">
        <f ca="1"/>
        <v>2023.1999999999989</v>
      </c>
    </row>
    <row r="189" spans="1:21" ht="12.75">
      <c r="A189" s="162" t="str">
        <f ca="1">IFERROR(__xludf.DUMMYFUNCTION("""COMPUTED_VALUE"""),"Guaraí")</f>
        <v>Guaraí</v>
      </c>
      <c r="B189" s="162" t="str">
        <f ca="1">IFERROR(__xludf.DUMMYFUNCTION("""COMPUTED_VALUE"""),"Presidente Kennedy")</f>
        <v>Presidente Kennedy</v>
      </c>
      <c r="C189" s="163" t="str">
        <f ca="1">IFERROR(__xludf.DUMMYFUNCTION("""COMPUTED_VALUE"""),"A.PAIS E M.COL. EST. JUSCELINO KUBITSCHEK")</f>
        <v>A.PAIS E M.COL. EST. JUSCELINO KUBITSCHEK</v>
      </c>
      <c r="D189" s="164" t="str">
        <f ca="1">IFERROR(__xludf.DUMMYFUNCTION("""COMPUTED_VALUE"""),"02060456000172")</f>
        <v>02060456000172</v>
      </c>
      <c r="E189" s="165" t="str">
        <f ca="1">IFERROR(__xludf.DUMMYFUNCTION("""COMPUTED_VALUE"""),"001")</f>
        <v>001</v>
      </c>
      <c r="F189" s="165" t="str">
        <f ca="1">IFERROR(__xludf.DUMMYFUNCTION("""COMPUTED_VALUE"""),"2094")</f>
        <v>2094</v>
      </c>
      <c r="G189" s="165" t="str">
        <f ca="1">IFERROR(__xludf.DUMMYFUNCTION("""COMPUTED_VALUE"""),"047553X")</f>
        <v>047553X</v>
      </c>
      <c r="H189" s="165">
        <f ca="1">IFERROR(__xludf.DUMMYFUNCTION("""COMPUTED_VALUE"""),0)</f>
        <v>0</v>
      </c>
      <c r="I189" s="165">
        <f ca="1">IFERROR(__xludf.DUMMYFUNCTION("""COMPUTED_VALUE"""),0)</f>
        <v>0</v>
      </c>
      <c r="J189" s="165">
        <f ca="1">IFERROR(__xludf.DUMMYFUNCTION("""COMPUTED_VALUE"""),1410)</f>
        <v>1410</v>
      </c>
      <c r="K189" s="165">
        <f ca="1">IFERROR(__xludf.DUMMYFUNCTION("""COMPUTED_VALUE"""),0)</f>
        <v>0</v>
      </c>
      <c r="L189" s="165">
        <f ca="1">IFERROR(__xludf.DUMMYFUNCTION("""COMPUTED_VALUE"""),0)</f>
        <v>0</v>
      </c>
      <c r="M189" s="165">
        <f ca="1">IFERROR(__xludf.DUMMYFUNCTION("""COMPUTED_VALUE"""),0)</f>
        <v>0</v>
      </c>
      <c r="N189" s="165">
        <f ca="1">IFERROR(__xludf.DUMMYFUNCTION("""COMPUTED_VALUE"""),0)</f>
        <v>0</v>
      </c>
      <c r="O189" s="165">
        <f ca="1">IFERROR(__xludf.DUMMYFUNCTION("""COMPUTED_VALUE"""),0)</f>
        <v>0</v>
      </c>
      <c r="P189" s="165">
        <f ca="1">IFERROR(__xludf.DUMMYFUNCTION("""COMPUTED_VALUE"""),163.2)</f>
        <v>163.19999999999999</v>
      </c>
      <c r="Q189" s="165">
        <f ca="1">IFERROR(__xludf.DUMMYFUNCTION("""COMPUTED_VALUE"""),930)</f>
        <v>930</v>
      </c>
      <c r="R189" s="165">
        <f ca="1">IFERROR(__xludf.DUMMYFUNCTION("""COMPUTED_VALUE"""),0)</f>
        <v>0</v>
      </c>
      <c r="S189" s="165">
        <f ca="1">IFERROR(__xludf.DUMMYFUNCTION("""COMPUTED_VALUE"""),0)</f>
        <v>0</v>
      </c>
      <c r="T189" s="165">
        <f ca="1">IFERROR(__xludf.DUMMYFUNCTION("""COMPUTED_VALUE"""),0)</f>
        <v>0</v>
      </c>
      <c r="U189" s="165">
        <f ca="1"/>
        <v>2503.1999999999998</v>
      </c>
    </row>
    <row r="190" spans="1:21" ht="12.75">
      <c r="A190" s="167" t="str">
        <f ca="1">IFERROR(__xludf.DUMMYFUNCTION("""COMPUTED_VALUE"""),"Gurupi")</f>
        <v>Gurupi</v>
      </c>
      <c r="B190" s="167" t="str">
        <f ca="1">IFERROR(__xludf.DUMMYFUNCTION("""COMPUTED_VALUE"""),"Alianca do Tocantins")</f>
        <v>Alianca do Tocantins</v>
      </c>
      <c r="C190" s="168" t="str">
        <f ca="1">IFERROR(__xludf.DUMMYFUNCTION("""COMPUTED_VALUE"""),"ASS. APOIO COL. EST. ANITA CASSIMIRO MORENO")</f>
        <v>ASS. APOIO COL. EST. ANITA CASSIMIRO MORENO</v>
      </c>
      <c r="D190" s="169" t="str">
        <f ca="1">IFERROR(__xludf.DUMMYFUNCTION("""COMPUTED_VALUE"""),"01304570000138")</f>
        <v>01304570000138</v>
      </c>
      <c r="E190" s="170" t="str">
        <f ca="1">IFERROR(__xludf.DUMMYFUNCTION("""COMPUTED_VALUE"""),"001")</f>
        <v>001</v>
      </c>
      <c r="F190" s="170" t="str">
        <f ca="1">IFERROR(__xludf.DUMMYFUNCTION("""COMPUTED_VALUE"""),"3972")</f>
        <v>3972</v>
      </c>
      <c r="G190" s="170" t="str">
        <f ca="1">IFERROR(__xludf.DUMMYFUNCTION("""COMPUTED_VALUE"""),"245984")</f>
        <v>245984</v>
      </c>
      <c r="H190" s="170">
        <f ca="1">IFERROR(__xludf.DUMMYFUNCTION("""COMPUTED_VALUE"""),0)</f>
        <v>0</v>
      </c>
      <c r="I190" s="170">
        <f ca="1">IFERROR(__xludf.DUMMYFUNCTION("""COMPUTED_VALUE"""),0)</f>
        <v>0</v>
      </c>
      <c r="J190" s="170">
        <f ca="1">IFERROR(__xludf.DUMMYFUNCTION("""COMPUTED_VALUE"""),1050)</f>
        <v>1050</v>
      </c>
      <c r="K190" s="170">
        <f ca="1">IFERROR(__xludf.DUMMYFUNCTION("""COMPUTED_VALUE"""),0)</f>
        <v>0</v>
      </c>
      <c r="L190" s="170">
        <f ca="1">IFERROR(__xludf.DUMMYFUNCTION("""COMPUTED_VALUE"""),0)</f>
        <v>0</v>
      </c>
      <c r="M190" s="170">
        <f ca="1">IFERROR(__xludf.DUMMYFUNCTION("""COMPUTED_VALUE"""),0)</f>
        <v>0</v>
      </c>
      <c r="N190" s="170">
        <f ca="1">IFERROR(__xludf.DUMMYFUNCTION("""COMPUTED_VALUE"""),0)</f>
        <v>0</v>
      </c>
      <c r="O190" s="170">
        <f ca="1">IFERROR(__xludf.DUMMYFUNCTION("""COMPUTED_VALUE"""),0)</f>
        <v>0</v>
      </c>
      <c r="P190" s="170">
        <f ca="1">IFERROR(__xludf.DUMMYFUNCTION("""COMPUTED_VALUE"""),0)</f>
        <v>0</v>
      </c>
      <c r="Q190" s="170">
        <f ca="1">IFERROR(__xludf.DUMMYFUNCTION("""COMPUTED_VALUE"""),1580)</f>
        <v>1580</v>
      </c>
      <c r="R190" s="170">
        <f ca="1">IFERROR(__xludf.DUMMYFUNCTION("""COMPUTED_VALUE"""),0)</f>
        <v>0</v>
      </c>
      <c r="S190" s="170">
        <f ca="1">IFERROR(__xludf.DUMMYFUNCTION("""COMPUTED_VALUE"""),0)</f>
        <v>0</v>
      </c>
      <c r="T190" s="170">
        <f ca="1">IFERROR(__xludf.DUMMYFUNCTION("""COMPUTED_VALUE"""),0)</f>
        <v>0</v>
      </c>
      <c r="U190" s="170">
        <f ca="1"/>
        <v>2630</v>
      </c>
    </row>
    <row r="191" spans="1:21" ht="12.75">
      <c r="A191" s="162" t="str">
        <f ca="1">IFERROR(__xludf.DUMMYFUNCTION("""COMPUTED_VALUE"""),"Gurupi")</f>
        <v>Gurupi</v>
      </c>
      <c r="B191" s="162" t="str">
        <f ca="1">IFERROR(__xludf.DUMMYFUNCTION("""COMPUTED_VALUE"""),"Alianca do Tocantins")</f>
        <v>Alianca do Tocantins</v>
      </c>
      <c r="C191" s="163" t="str">
        <f ca="1">IFERROR(__xludf.DUMMYFUNCTION("""COMPUTED_VALUE"""),"A.A.  AO EDUCANDARIO EVANGELICO JERUSALEM")</f>
        <v>A.A.  AO EDUCANDARIO EVANGELICO JERUSALEM</v>
      </c>
      <c r="D191" s="164" t="str">
        <f ca="1">IFERROR(__xludf.DUMMYFUNCTION("""COMPUTED_VALUE"""),"03172227000102")</f>
        <v>03172227000102</v>
      </c>
      <c r="E191" s="165" t="str">
        <f ca="1">IFERROR(__xludf.DUMMYFUNCTION("""COMPUTED_VALUE"""),"001")</f>
        <v>001</v>
      </c>
      <c r="F191" s="165" t="str">
        <f ca="1">IFERROR(__xludf.DUMMYFUNCTION("""COMPUTED_VALUE"""),"3972")</f>
        <v>3972</v>
      </c>
      <c r="G191" s="165" t="str">
        <f ca="1">IFERROR(__xludf.DUMMYFUNCTION("""COMPUTED_VALUE"""),"54666")</f>
        <v>54666</v>
      </c>
      <c r="H191" s="165">
        <f ca="1">IFERROR(__xludf.DUMMYFUNCTION("""COMPUTED_VALUE"""),0)</f>
        <v>0</v>
      </c>
      <c r="I191" s="165">
        <f ca="1">IFERROR(__xludf.DUMMYFUNCTION("""COMPUTED_VALUE"""),0)</f>
        <v>0</v>
      </c>
      <c r="J191" s="165">
        <f ca="1">IFERROR(__xludf.DUMMYFUNCTION("""COMPUTED_VALUE"""),1030)</f>
        <v>1030</v>
      </c>
      <c r="K191" s="165">
        <f ca="1">IFERROR(__xludf.DUMMYFUNCTION("""COMPUTED_VALUE"""),0)</f>
        <v>0</v>
      </c>
      <c r="L191" s="165">
        <f ca="1">IFERROR(__xludf.DUMMYFUNCTION("""COMPUTED_VALUE"""),0)</f>
        <v>0</v>
      </c>
      <c r="M191" s="165">
        <f ca="1">IFERROR(__xludf.DUMMYFUNCTION("""COMPUTED_VALUE"""),0)</f>
        <v>0</v>
      </c>
      <c r="N191" s="165">
        <f ca="1">IFERROR(__xludf.DUMMYFUNCTION("""COMPUTED_VALUE"""),0)</f>
        <v>0</v>
      </c>
      <c r="O191" s="165">
        <f ca="1">IFERROR(__xludf.DUMMYFUNCTION("""COMPUTED_VALUE"""),0)</f>
        <v>0</v>
      </c>
      <c r="P191" s="165">
        <f ca="1">IFERROR(__xludf.DUMMYFUNCTION("""COMPUTED_VALUE"""),0)</f>
        <v>0</v>
      </c>
      <c r="Q191" s="165">
        <f ca="1">IFERROR(__xludf.DUMMYFUNCTION("""COMPUTED_VALUE"""),0)</f>
        <v>0</v>
      </c>
      <c r="R191" s="165">
        <f ca="1">IFERROR(__xludf.DUMMYFUNCTION("""COMPUTED_VALUE"""),0)</f>
        <v>0</v>
      </c>
      <c r="S191" s="165">
        <f ca="1">IFERROR(__xludf.DUMMYFUNCTION("""COMPUTED_VALUE"""),0)</f>
        <v>0</v>
      </c>
      <c r="T191" s="165">
        <f ca="1">IFERROR(__xludf.DUMMYFUNCTION("""COMPUTED_VALUE"""),0)</f>
        <v>0</v>
      </c>
      <c r="U191" s="165">
        <f ca="1"/>
        <v>1030</v>
      </c>
    </row>
    <row r="192" spans="1:21" ht="12.75">
      <c r="A192" s="167" t="str">
        <f ca="1">IFERROR(__xludf.DUMMYFUNCTION("""COMPUTED_VALUE"""),"Gurupi")</f>
        <v>Gurupi</v>
      </c>
      <c r="B192" s="167" t="str">
        <f ca="1">IFERROR(__xludf.DUMMYFUNCTION("""COMPUTED_VALUE"""),"Alianca do Tocantins")</f>
        <v>Alianca do Tocantins</v>
      </c>
      <c r="C192" s="168" t="str">
        <f ca="1">IFERROR(__xludf.DUMMYFUNCTION("""COMPUTED_VALUE"""),"ASSOCIAÇÃO DE APOIO A ESCOLA ESPECIAL AMOR FRATERNAL")</f>
        <v>ASSOCIAÇÃO DE APOIO A ESCOLA ESPECIAL AMOR FRATERNAL</v>
      </c>
      <c r="D192" s="169" t="str">
        <f ca="1">IFERROR(__xludf.DUMMYFUNCTION("""COMPUTED_VALUE"""),"07953958000146")</f>
        <v>07953958000146</v>
      </c>
      <c r="E192" s="170" t="str">
        <f ca="1">IFERROR(__xludf.DUMMYFUNCTION("""COMPUTED_VALUE"""),"001")</f>
        <v>001</v>
      </c>
      <c r="F192" s="170" t="str">
        <f ca="1">IFERROR(__xludf.DUMMYFUNCTION("""COMPUTED_VALUE"""),"3972")</f>
        <v>3972</v>
      </c>
      <c r="G192" s="170" t="str">
        <f ca="1">IFERROR(__xludf.DUMMYFUNCTION("""COMPUTED_VALUE"""),"90115")</f>
        <v>90115</v>
      </c>
      <c r="H192" s="170">
        <f ca="1">IFERROR(__xludf.DUMMYFUNCTION("""COMPUTED_VALUE"""),0)</f>
        <v>0</v>
      </c>
      <c r="I192" s="170">
        <f ca="1">IFERROR(__xludf.DUMMYFUNCTION("""COMPUTED_VALUE"""),129.6)</f>
        <v>129.6</v>
      </c>
      <c r="J192" s="170">
        <f ca="1">IFERROR(__xludf.DUMMYFUNCTION("""COMPUTED_VALUE"""),0)</f>
        <v>0</v>
      </c>
      <c r="K192" s="170">
        <f ca="1">IFERROR(__xludf.DUMMYFUNCTION("""COMPUTED_VALUE"""),0)</f>
        <v>0</v>
      </c>
      <c r="L192" s="170">
        <f ca="1">IFERROR(__xludf.DUMMYFUNCTION("""COMPUTED_VALUE"""),0)</f>
        <v>0</v>
      </c>
      <c r="M192" s="170">
        <f ca="1">IFERROR(__xludf.DUMMYFUNCTION("""COMPUTED_VALUE"""),0)</f>
        <v>0</v>
      </c>
      <c r="N192" s="170">
        <f ca="1">IFERROR(__xludf.DUMMYFUNCTION("""COMPUTED_VALUE"""),0)</f>
        <v>0</v>
      </c>
      <c r="O192" s="170">
        <f ca="1">IFERROR(__xludf.DUMMYFUNCTION("""COMPUTED_VALUE"""),0)</f>
        <v>0</v>
      </c>
      <c r="P192" s="170">
        <f ca="1">IFERROR(__xludf.DUMMYFUNCTION("""COMPUTED_VALUE"""),476)</f>
        <v>476</v>
      </c>
      <c r="Q192" s="170">
        <f ca="1">IFERROR(__xludf.DUMMYFUNCTION("""COMPUTED_VALUE"""),0)</f>
        <v>0</v>
      </c>
      <c r="R192" s="170">
        <f ca="1">IFERROR(__xludf.DUMMYFUNCTION("""COMPUTED_VALUE"""),0)</f>
        <v>0</v>
      </c>
      <c r="S192" s="170">
        <f ca="1">IFERROR(__xludf.DUMMYFUNCTION("""COMPUTED_VALUE"""),0)</f>
        <v>0</v>
      </c>
      <c r="T192" s="170">
        <f ca="1">IFERROR(__xludf.DUMMYFUNCTION("""COMPUTED_VALUE"""),533)</f>
        <v>533</v>
      </c>
      <c r="U192" s="170">
        <f ca="1"/>
        <v>1138.5999999999999</v>
      </c>
    </row>
    <row r="193" spans="1:21" ht="12.75">
      <c r="A193" s="162" t="str">
        <f ca="1">IFERROR(__xludf.DUMMYFUNCTION("""COMPUTED_VALUE"""),"Gurupi")</f>
        <v>Gurupi</v>
      </c>
      <c r="B193" s="162" t="str">
        <f ca="1">IFERROR(__xludf.DUMMYFUNCTION("""COMPUTED_VALUE"""),"Alianca do Tocantins")</f>
        <v>Alianca do Tocantins</v>
      </c>
      <c r="C193" s="163" t="str">
        <f ca="1">IFERROR(__xludf.DUMMYFUNCTION("""COMPUTED_VALUE"""),"A. PAIS E MESTRES ESC. EST.N.SRA.DO CARMO")</f>
        <v>A. PAIS E MESTRES ESC. EST.N.SRA.DO CARMO</v>
      </c>
      <c r="D193" s="164" t="str">
        <f ca="1">IFERROR(__xludf.DUMMYFUNCTION("""COMPUTED_VALUE"""),"01034192000110")</f>
        <v>01034192000110</v>
      </c>
      <c r="E193" s="165" t="str">
        <f ca="1">IFERROR(__xludf.DUMMYFUNCTION("""COMPUTED_VALUE"""),"001")</f>
        <v>001</v>
      </c>
      <c r="F193" s="165" t="str">
        <f ca="1">IFERROR(__xludf.DUMMYFUNCTION("""COMPUTED_VALUE"""),"3972")</f>
        <v>3972</v>
      </c>
      <c r="G193" s="165" t="str">
        <f ca="1">IFERROR(__xludf.DUMMYFUNCTION("""COMPUTED_VALUE"""),"243590")</f>
        <v>243590</v>
      </c>
      <c r="H193" s="165">
        <f ca="1">IFERROR(__xludf.DUMMYFUNCTION("""COMPUTED_VALUE"""),0)</f>
        <v>0</v>
      </c>
      <c r="I193" s="165">
        <f ca="1">IFERROR(__xludf.DUMMYFUNCTION("""COMPUTED_VALUE"""),0)</f>
        <v>0</v>
      </c>
      <c r="J193" s="165">
        <f ca="1">IFERROR(__xludf.DUMMYFUNCTION("""COMPUTED_VALUE"""),0)</f>
        <v>0</v>
      </c>
      <c r="K193" s="165">
        <f ca="1">IFERROR(__xludf.DUMMYFUNCTION("""COMPUTED_VALUE"""),3315.39999999999)</f>
        <v>3315.3999999999901</v>
      </c>
      <c r="L193" s="165">
        <f ca="1">IFERROR(__xludf.DUMMYFUNCTION("""COMPUTED_VALUE"""),0)</f>
        <v>0</v>
      </c>
      <c r="M193" s="165">
        <f ca="1">IFERROR(__xludf.DUMMYFUNCTION("""COMPUTED_VALUE"""),0)</f>
        <v>0</v>
      </c>
      <c r="N193" s="165">
        <f ca="1">IFERROR(__xludf.DUMMYFUNCTION("""COMPUTED_VALUE"""),0)</f>
        <v>0</v>
      </c>
      <c r="O193" s="165">
        <f ca="1">IFERROR(__xludf.DUMMYFUNCTION("""COMPUTED_VALUE"""),0)</f>
        <v>0</v>
      </c>
      <c r="P193" s="165">
        <f ca="1">IFERROR(__xludf.DUMMYFUNCTION("""COMPUTED_VALUE"""),285.599999999999)</f>
        <v>285.599999999999</v>
      </c>
      <c r="Q193" s="165">
        <f ca="1">IFERROR(__xludf.DUMMYFUNCTION("""COMPUTED_VALUE"""),0)</f>
        <v>0</v>
      </c>
      <c r="R193" s="165">
        <f ca="1">IFERROR(__xludf.DUMMYFUNCTION("""COMPUTED_VALUE"""),712.4)</f>
        <v>712.4</v>
      </c>
      <c r="S193" s="165">
        <f ca="1">IFERROR(__xludf.DUMMYFUNCTION("""COMPUTED_VALUE"""),0)</f>
        <v>0</v>
      </c>
      <c r="T193" s="165">
        <f ca="1">IFERROR(__xludf.DUMMYFUNCTION("""COMPUTED_VALUE"""),0)</f>
        <v>0</v>
      </c>
      <c r="U193" s="165">
        <f ca="1"/>
        <v>4313.3999999999887</v>
      </c>
    </row>
    <row r="194" spans="1:21" ht="12.75">
      <c r="A194" s="167" t="str">
        <f ca="1">IFERROR(__xludf.DUMMYFUNCTION("""COMPUTED_VALUE"""),"Gurupi")</f>
        <v>Gurupi</v>
      </c>
      <c r="B194" s="167" t="str">
        <f ca="1">IFERROR(__xludf.DUMMYFUNCTION("""COMPUTED_VALUE"""),"Alvorada")</f>
        <v>Alvorada</v>
      </c>
      <c r="C194" s="168" t="str">
        <f ca="1">IFERROR(__xludf.DUMMYFUNCTION("""COMPUTED_VALUE"""),"ASS. APOIO COL. EST. ADJULIO BALTHAZAR")</f>
        <v>ASS. APOIO COL. EST. ADJULIO BALTHAZAR</v>
      </c>
      <c r="D194" s="169" t="str">
        <f ca="1">IFERROR(__xludf.DUMMYFUNCTION("""COMPUTED_VALUE"""),"01138432000126")</f>
        <v>01138432000126</v>
      </c>
      <c r="E194" s="170" t="str">
        <f ca="1">IFERROR(__xludf.DUMMYFUNCTION("""COMPUTED_VALUE"""),"001")</f>
        <v>001</v>
      </c>
      <c r="F194" s="170" t="str">
        <f ca="1">IFERROR(__xludf.DUMMYFUNCTION("""COMPUTED_VALUE"""),"1303")</f>
        <v>1303</v>
      </c>
      <c r="G194" s="170" t="str">
        <f ca="1">IFERROR(__xludf.DUMMYFUNCTION("""COMPUTED_VALUE"""),"103462")</f>
        <v>103462</v>
      </c>
      <c r="H194" s="170">
        <f ca="1">IFERROR(__xludf.DUMMYFUNCTION("""COMPUTED_VALUE"""),0)</f>
        <v>0</v>
      </c>
      <c r="I194" s="170">
        <f ca="1">IFERROR(__xludf.DUMMYFUNCTION("""COMPUTED_VALUE"""),0)</f>
        <v>0</v>
      </c>
      <c r="J194" s="170">
        <f ca="1">IFERROR(__xludf.DUMMYFUNCTION("""COMPUTED_VALUE"""),2080)</f>
        <v>2080</v>
      </c>
      <c r="K194" s="170">
        <f ca="1">IFERROR(__xludf.DUMMYFUNCTION("""COMPUTED_VALUE"""),0)</f>
        <v>0</v>
      </c>
      <c r="L194" s="170">
        <f ca="1">IFERROR(__xludf.DUMMYFUNCTION("""COMPUTED_VALUE"""),0)</f>
        <v>0</v>
      </c>
      <c r="M194" s="170">
        <f ca="1">IFERROR(__xludf.DUMMYFUNCTION("""COMPUTED_VALUE"""),0)</f>
        <v>0</v>
      </c>
      <c r="N194" s="170">
        <f ca="1">IFERROR(__xludf.DUMMYFUNCTION("""COMPUTED_VALUE"""),0)</f>
        <v>0</v>
      </c>
      <c r="O194" s="170">
        <f ca="1">IFERROR(__xludf.DUMMYFUNCTION("""COMPUTED_VALUE"""),0)</f>
        <v>0</v>
      </c>
      <c r="P194" s="170">
        <f ca="1">IFERROR(__xludf.DUMMYFUNCTION("""COMPUTED_VALUE"""),0)</f>
        <v>0</v>
      </c>
      <c r="Q194" s="170">
        <f ca="1">IFERROR(__xludf.DUMMYFUNCTION("""COMPUTED_VALUE"""),0)</f>
        <v>0</v>
      </c>
      <c r="R194" s="170">
        <f ca="1">IFERROR(__xludf.DUMMYFUNCTION("""COMPUTED_VALUE"""),0)</f>
        <v>0</v>
      </c>
      <c r="S194" s="170">
        <f ca="1">IFERROR(__xludf.DUMMYFUNCTION("""COMPUTED_VALUE"""),0)</f>
        <v>0</v>
      </c>
      <c r="T194" s="170">
        <f ca="1">IFERROR(__xludf.DUMMYFUNCTION("""COMPUTED_VALUE"""),0)</f>
        <v>0</v>
      </c>
      <c r="U194" s="170">
        <f ca="1"/>
        <v>2080</v>
      </c>
    </row>
    <row r="195" spans="1:21" ht="12.75">
      <c r="A195" s="162" t="str">
        <f ca="1">IFERROR(__xludf.DUMMYFUNCTION("""COMPUTED_VALUE"""),"Gurupi")</f>
        <v>Gurupi</v>
      </c>
      <c r="B195" s="162" t="str">
        <f ca="1">IFERROR(__xludf.DUMMYFUNCTION("""COMPUTED_VALUE"""),"Alvorada")</f>
        <v>Alvorada</v>
      </c>
      <c r="C195" s="163" t="str">
        <f ca="1">IFERROR(__xludf.DUMMYFUNCTION("""COMPUTED_VALUE"""),"A.A.  COLEGIO ESTADUAL DE ALVORADA")</f>
        <v>A.A.  COLEGIO ESTADUAL DE ALVORADA</v>
      </c>
      <c r="D195" s="164" t="str">
        <f ca="1">IFERROR(__xludf.DUMMYFUNCTION("""COMPUTED_VALUE"""),"01269283000134")</f>
        <v>01269283000134</v>
      </c>
      <c r="E195" s="165" t="str">
        <f ca="1">IFERROR(__xludf.DUMMYFUNCTION("""COMPUTED_VALUE"""),"001")</f>
        <v>001</v>
      </c>
      <c r="F195" s="165" t="str">
        <f ca="1">IFERROR(__xludf.DUMMYFUNCTION("""COMPUTED_VALUE"""),"1303")</f>
        <v>1303</v>
      </c>
      <c r="G195" s="165" t="str">
        <f ca="1">IFERROR(__xludf.DUMMYFUNCTION("""COMPUTED_VALUE"""),"0088544")</f>
        <v>0088544</v>
      </c>
      <c r="H195" s="165">
        <f ca="1">IFERROR(__xludf.DUMMYFUNCTION("""COMPUTED_VALUE"""),0)</f>
        <v>0</v>
      </c>
      <c r="I195" s="165">
        <f ca="1">IFERROR(__xludf.DUMMYFUNCTION("""COMPUTED_VALUE"""),0)</f>
        <v>0</v>
      </c>
      <c r="J195" s="165">
        <f ca="1">IFERROR(__xludf.DUMMYFUNCTION("""COMPUTED_VALUE"""),0)</f>
        <v>0</v>
      </c>
      <c r="K195" s="165">
        <f ca="1">IFERROR(__xludf.DUMMYFUNCTION("""COMPUTED_VALUE"""),0)</f>
        <v>0</v>
      </c>
      <c r="L195" s="165">
        <f ca="1">IFERROR(__xludf.DUMMYFUNCTION("""COMPUTED_VALUE"""),0)</f>
        <v>0</v>
      </c>
      <c r="M195" s="165">
        <f ca="1">IFERROR(__xludf.DUMMYFUNCTION("""COMPUTED_VALUE"""),0)</f>
        <v>0</v>
      </c>
      <c r="N195" s="165">
        <f ca="1">IFERROR(__xludf.DUMMYFUNCTION("""COMPUTED_VALUE"""),0)</f>
        <v>0</v>
      </c>
      <c r="O195" s="165">
        <f ca="1">IFERROR(__xludf.DUMMYFUNCTION("""COMPUTED_VALUE"""),0)</f>
        <v>0</v>
      </c>
      <c r="P195" s="165">
        <f ca="1">IFERROR(__xludf.DUMMYFUNCTION("""COMPUTED_VALUE"""),0)</f>
        <v>0</v>
      </c>
      <c r="Q195" s="165">
        <f ca="1">IFERROR(__xludf.DUMMYFUNCTION("""COMPUTED_VALUE"""),3130)</f>
        <v>3130</v>
      </c>
      <c r="R195" s="165">
        <f ca="1">IFERROR(__xludf.DUMMYFUNCTION("""COMPUTED_VALUE"""),0)</f>
        <v>0</v>
      </c>
      <c r="S195" s="165">
        <f ca="1">IFERROR(__xludf.DUMMYFUNCTION("""COMPUTED_VALUE"""),0)</f>
        <v>0</v>
      </c>
      <c r="T195" s="165">
        <f ca="1">IFERROR(__xludf.DUMMYFUNCTION("""COMPUTED_VALUE"""),0)</f>
        <v>0</v>
      </c>
      <c r="U195" s="165">
        <f ca="1"/>
        <v>3130</v>
      </c>
    </row>
    <row r="196" spans="1:21" ht="12.75">
      <c r="A196" s="167" t="str">
        <f ca="1">IFERROR(__xludf.DUMMYFUNCTION("""COMPUTED_VALUE"""),"Gurupi")</f>
        <v>Gurupi</v>
      </c>
      <c r="B196" s="167" t="str">
        <f ca="1">IFERROR(__xludf.DUMMYFUNCTION("""COMPUTED_VALUE"""),"Alvorada")</f>
        <v>Alvorada</v>
      </c>
      <c r="C196" s="168" t="str">
        <f ca="1">IFERROR(__xludf.DUMMYFUNCTION("""COMPUTED_VALUE"""),"A.P.A.DOS EXCEP. DE ALVORADA-APAE")</f>
        <v>A.P.A.DOS EXCEP. DE ALVORADA-APAE</v>
      </c>
      <c r="D196" s="169" t="str">
        <f ca="1">IFERROR(__xludf.DUMMYFUNCTION("""COMPUTED_VALUE"""),"02201735000109")</f>
        <v>02201735000109</v>
      </c>
      <c r="E196" s="170" t="str">
        <f ca="1">IFERROR(__xludf.DUMMYFUNCTION("""COMPUTED_VALUE"""),"001")</f>
        <v>001</v>
      </c>
      <c r="F196" s="170" t="str">
        <f ca="1">IFERROR(__xludf.DUMMYFUNCTION("""COMPUTED_VALUE"""),"1303")</f>
        <v>1303</v>
      </c>
      <c r="G196" s="170" t="str">
        <f ca="1">IFERROR(__xludf.DUMMYFUNCTION("""COMPUTED_VALUE"""),"101826")</f>
        <v>101826</v>
      </c>
      <c r="H196" s="170">
        <f ca="1">IFERROR(__xludf.DUMMYFUNCTION("""COMPUTED_VALUE"""),0)</f>
        <v>0</v>
      </c>
      <c r="I196" s="170">
        <f ca="1">IFERROR(__xludf.DUMMYFUNCTION("""COMPUTED_VALUE"""),201.6)</f>
        <v>201.6</v>
      </c>
      <c r="J196" s="170">
        <f ca="1">IFERROR(__xludf.DUMMYFUNCTION("""COMPUTED_VALUE"""),60)</f>
        <v>60</v>
      </c>
      <c r="K196" s="170">
        <f ca="1">IFERROR(__xludf.DUMMYFUNCTION("""COMPUTED_VALUE"""),0)</f>
        <v>0</v>
      </c>
      <c r="L196" s="170">
        <f ca="1">IFERROR(__xludf.DUMMYFUNCTION("""COMPUTED_VALUE"""),0)</f>
        <v>0</v>
      </c>
      <c r="M196" s="170">
        <f ca="1">IFERROR(__xludf.DUMMYFUNCTION("""COMPUTED_VALUE"""),0)</f>
        <v>0</v>
      </c>
      <c r="N196" s="170">
        <f ca="1">IFERROR(__xludf.DUMMYFUNCTION("""COMPUTED_VALUE"""),0)</f>
        <v>0</v>
      </c>
      <c r="O196" s="170">
        <f ca="1">IFERROR(__xludf.DUMMYFUNCTION("""COMPUTED_VALUE"""),0)</f>
        <v>0</v>
      </c>
      <c r="P196" s="170">
        <f ca="1">IFERROR(__xludf.DUMMYFUNCTION("""COMPUTED_VALUE"""),353.599999999999)</f>
        <v>353.599999999999</v>
      </c>
      <c r="Q196" s="170">
        <f ca="1">IFERROR(__xludf.DUMMYFUNCTION("""COMPUTED_VALUE"""),0)</f>
        <v>0</v>
      </c>
      <c r="R196" s="170">
        <f ca="1">IFERROR(__xludf.DUMMYFUNCTION("""COMPUTED_VALUE"""),0)</f>
        <v>0</v>
      </c>
      <c r="S196" s="170">
        <f ca="1">IFERROR(__xludf.DUMMYFUNCTION("""COMPUTED_VALUE"""),0)</f>
        <v>0</v>
      </c>
      <c r="T196" s="170">
        <f ca="1">IFERROR(__xludf.DUMMYFUNCTION("""COMPUTED_VALUE"""),590.4)</f>
        <v>590.4</v>
      </c>
      <c r="U196" s="170">
        <f ca="1"/>
        <v>1205.599999999999</v>
      </c>
    </row>
    <row r="197" spans="1:21" ht="12.75">
      <c r="A197" s="162" t="str">
        <f ca="1">IFERROR(__xludf.DUMMYFUNCTION("""COMPUTED_VALUE"""),"Gurupi")</f>
        <v>Gurupi</v>
      </c>
      <c r="B197" s="162" t="str">
        <f ca="1">IFERROR(__xludf.DUMMYFUNCTION("""COMPUTED_VALUE"""),"Alvorada")</f>
        <v>Alvorada</v>
      </c>
      <c r="C197" s="163" t="str">
        <f ca="1">IFERROR(__xludf.DUMMYFUNCTION("""COMPUTED_VALUE"""),"ASS. APOIO ESC. EST. ANA MARIA DE JESUS")</f>
        <v>ASS. APOIO ESC. EST. ANA MARIA DE JESUS</v>
      </c>
      <c r="D197" s="164" t="str">
        <f ca="1">IFERROR(__xludf.DUMMYFUNCTION("""COMPUTED_VALUE"""),"01221145000185")</f>
        <v>01221145000185</v>
      </c>
      <c r="E197" s="165" t="str">
        <f ca="1">IFERROR(__xludf.DUMMYFUNCTION("""COMPUTED_VALUE"""),"001")</f>
        <v>001</v>
      </c>
      <c r="F197" s="165" t="str">
        <f ca="1">IFERROR(__xludf.DUMMYFUNCTION("""COMPUTED_VALUE"""),"1303")</f>
        <v>1303</v>
      </c>
      <c r="G197" s="165" t="str">
        <f ca="1">IFERROR(__xludf.DUMMYFUNCTION("""COMPUTED_VALUE"""),"103691")</f>
        <v>103691</v>
      </c>
      <c r="H197" s="165">
        <f ca="1">IFERROR(__xludf.DUMMYFUNCTION("""COMPUTED_VALUE"""),0)</f>
        <v>0</v>
      </c>
      <c r="I197" s="165">
        <f ca="1">IFERROR(__xludf.DUMMYFUNCTION("""COMPUTED_VALUE"""),0)</f>
        <v>0</v>
      </c>
      <c r="J197" s="165">
        <f ca="1">IFERROR(__xludf.DUMMYFUNCTION("""COMPUTED_VALUE"""),700)</f>
        <v>700</v>
      </c>
      <c r="K197" s="165">
        <f ca="1">IFERROR(__xludf.DUMMYFUNCTION("""COMPUTED_VALUE"""),0)</f>
        <v>0</v>
      </c>
      <c r="L197" s="165">
        <f ca="1">IFERROR(__xludf.DUMMYFUNCTION("""COMPUTED_VALUE"""),0)</f>
        <v>0</v>
      </c>
      <c r="M197" s="165">
        <f ca="1">IFERROR(__xludf.DUMMYFUNCTION("""COMPUTED_VALUE"""),0)</f>
        <v>0</v>
      </c>
      <c r="N197" s="165">
        <f ca="1">IFERROR(__xludf.DUMMYFUNCTION("""COMPUTED_VALUE"""),0)</f>
        <v>0</v>
      </c>
      <c r="O197" s="165">
        <f ca="1">IFERROR(__xludf.DUMMYFUNCTION("""COMPUTED_VALUE"""),0)</f>
        <v>0</v>
      </c>
      <c r="P197" s="165">
        <f ca="1">IFERROR(__xludf.DUMMYFUNCTION("""COMPUTED_VALUE"""),136)</f>
        <v>136</v>
      </c>
      <c r="Q197" s="165">
        <f ca="1">IFERROR(__xludf.DUMMYFUNCTION("""COMPUTED_VALUE"""),0)</f>
        <v>0</v>
      </c>
      <c r="R197" s="165">
        <f ca="1">IFERROR(__xludf.DUMMYFUNCTION("""COMPUTED_VALUE"""),0)</f>
        <v>0</v>
      </c>
      <c r="S197" s="165">
        <f ca="1">IFERROR(__xludf.DUMMYFUNCTION("""COMPUTED_VALUE"""),0)</f>
        <v>0</v>
      </c>
      <c r="T197" s="165">
        <f ca="1">IFERROR(__xludf.DUMMYFUNCTION("""COMPUTED_VALUE"""),516.599999999999)</f>
        <v>516.599999999999</v>
      </c>
      <c r="U197" s="165">
        <f ca="1"/>
        <v>1352.599999999999</v>
      </c>
    </row>
    <row r="198" spans="1:21" ht="12.75">
      <c r="A198" s="167" t="str">
        <f ca="1">IFERROR(__xludf.DUMMYFUNCTION("""COMPUTED_VALUE"""),"Gurupi")</f>
        <v>Gurupi</v>
      </c>
      <c r="B198" s="167" t="str">
        <f ca="1">IFERROR(__xludf.DUMMYFUNCTION("""COMPUTED_VALUE"""),"Araguacu")</f>
        <v>Araguacu</v>
      </c>
      <c r="C198" s="168" t="str">
        <f ca="1">IFERROR(__xludf.DUMMYFUNCTION("""COMPUTED_VALUE"""),"ASS. APOIO ESC. EST. JOAO TAVARES MARTINS")</f>
        <v>ASS. APOIO ESC. EST. JOAO TAVARES MARTINS</v>
      </c>
      <c r="D198" s="169" t="str">
        <f ca="1">IFERROR(__xludf.DUMMYFUNCTION("""COMPUTED_VALUE"""),"01133707000139")</f>
        <v>01133707000139</v>
      </c>
      <c r="E198" s="170" t="str">
        <f ca="1">IFERROR(__xludf.DUMMYFUNCTION("""COMPUTED_VALUE"""),"001")</f>
        <v>001</v>
      </c>
      <c r="F198" s="170" t="str">
        <f ca="1">IFERROR(__xludf.DUMMYFUNCTION("""COMPUTED_VALUE"""),"1304")</f>
        <v>1304</v>
      </c>
      <c r="G198" s="170" t="str">
        <f ca="1">IFERROR(__xludf.DUMMYFUNCTION("""COMPUTED_VALUE"""),"112542")</f>
        <v>112542</v>
      </c>
      <c r="H198" s="170">
        <f ca="1">IFERROR(__xludf.DUMMYFUNCTION("""COMPUTED_VALUE"""),0)</f>
        <v>0</v>
      </c>
      <c r="I198" s="170">
        <f ca="1">IFERROR(__xludf.DUMMYFUNCTION("""COMPUTED_VALUE"""),0)</f>
        <v>0</v>
      </c>
      <c r="J198" s="170">
        <f ca="1">IFERROR(__xludf.DUMMYFUNCTION("""COMPUTED_VALUE"""),0)</f>
        <v>0</v>
      </c>
      <c r="K198" s="170">
        <f ca="1">IFERROR(__xludf.DUMMYFUNCTION("""COMPUTED_VALUE"""),0)</f>
        <v>0</v>
      </c>
      <c r="L198" s="170">
        <f ca="1">IFERROR(__xludf.DUMMYFUNCTION("""COMPUTED_VALUE"""),0)</f>
        <v>0</v>
      </c>
      <c r="M198" s="170">
        <f ca="1">IFERROR(__xludf.DUMMYFUNCTION("""COMPUTED_VALUE"""),0)</f>
        <v>0</v>
      </c>
      <c r="N198" s="170">
        <f ca="1">IFERROR(__xludf.DUMMYFUNCTION("""COMPUTED_VALUE"""),0)</f>
        <v>0</v>
      </c>
      <c r="O198" s="170">
        <f ca="1">IFERROR(__xludf.DUMMYFUNCTION("""COMPUTED_VALUE"""),0)</f>
        <v>0</v>
      </c>
      <c r="P198" s="170">
        <f ca="1">IFERROR(__xludf.DUMMYFUNCTION("""COMPUTED_VALUE"""),0)</f>
        <v>0</v>
      </c>
      <c r="Q198" s="170">
        <f ca="1">IFERROR(__xludf.DUMMYFUNCTION("""COMPUTED_VALUE"""),2760)</f>
        <v>2760</v>
      </c>
      <c r="R198" s="170">
        <f ca="1">IFERROR(__xludf.DUMMYFUNCTION("""COMPUTED_VALUE"""),0)</f>
        <v>0</v>
      </c>
      <c r="S198" s="170">
        <f ca="1">IFERROR(__xludf.DUMMYFUNCTION("""COMPUTED_VALUE"""),0)</f>
        <v>0</v>
      </c>
      <c r="T198" s="170">
        <f ca="1">IFERROR(__xludf.DUMMYFUNCTION("""COMPUTED_VALUE"""),0)</f>
        <v>0</v>
      </c>
      <c r="U198" s="170">
        <f ca="1"/>
        <v>2760</v>
      </c>
    </row>
    <row r="199" spans="1:21" ht="12.75">
      <c r="A199" s="162" t="str">
        <f ca="1">IFERROR(__xludf.DUMMYFUNCTION("""COMPUTED_VALUE"""),"Gurupi")</f>
        <v>Gurupi</v>
      </c>
      <c r="B199" s="162" t="str">
        <f ca="1">IFERROR(__xludf.DUMMYFUNCTION("""COMPUTED_VALUE"""),"Araguacu")</f>
        <v>Araguacu</v>
      </c>
      <c r="C199" s="163" t="str">
        <f ca="1">IFERROR(__xludf.DUMMYFUNCTION("""COMPUTED_VALUE"""),"A..A. ESC. ESPECIAL  ABELINHA EM BUSCA DO SABER")</f>
        <v>A..A. ESC. ESPECIAL  ABELINHA EM BUSCA DO SABER</v>
      </c>
      <c r="D199" s="164" t="str">
        <f ca="1">IFERROR(__xludf.DUMMYFUNCTION("""COMPUTED_VALUE"""),"07924466000122")</f>
        <v>07924466000122</v>
      </c>
      <c r="E199" s="165" t="str">
        <f ca="1">IFERROR(__xludf.DUMMYFUNCTION("""COMPUTED_VALUE"""),"001")</f>
        <v>001</v>
      </c>
      <c r="F199" s="165" t="str">
        <f ca="1">IFERROR(__xludf.DUMMYFUNCTION("""COMPUTED_VALUE"""),"1304")</f>
        <v>1304</v>
      </c>
      <c r="G199" s="165" t="str">
        <f ca="1">IFERROR(__xludf.DUMMYFUNCTION("""COMPUTED_VALUE"""),"136417")</f>
        <v>136417</v>
      </c>
      <c r="H199" s="165">
        <f ca="1">IFERROR(__xludf.DUMMYFUNCTION("""COMPUTED_VALUE"""),0)</f>
        <v>0</v>
      </c>
      <c r="I199" s="165">
        <f ca="1">IFERROR(__xludf.DUMMYFUNCTION("""COMPUTED_VALUE"""),57.6)</f>
        <v>57.6</v>
      </c>
      <c r="J199" s="165">
        <f ca="1">IFERROR(__xludf.DUMMYFUNCTION("""COMPUTED_VALUE"""),60)</f>
        <v>60</v>
      </c>
      <c r="K199" s="165">
        <f ca="1">IFERROR(__xludf.DUMMYFUNCTION("""COMPUTED_VALUE"""),0)</f>
        <v>0</v>
      </c>
      <c r="L199" s="165">
        <f ca="1">IFERROR(__xludf.DUMMYFUNCTION("""COMPUTED_VALUE"""),0)</f>
        <v>0</v>
      </c>
      <c r="M199" s="165">
        <f ca="1">IFERROR(__xludf.DUMMYFUNCTION("""COMPUTED_VALUE"""),0)</f>
        <v>0</v>
      </c>
      <c r="N199" s="165">
        <f ca="1">IFERROR(__xludf.DUMMYFUNCTION("""COMPUTED_VALUE"""),0)</f>
        <v>0</v>
      </c>
      <c r="O199" s="165">
        <f ca="1">IFERROR(__xludf.DUMMYFUNCTION("""COMPUTED_VALUE"""),0)</f>
        <v>0</v>
      </c>
      <c r="P199" s="165">
        <f ca="1">IFERROR(__xludf.DUMMYFUNCTION("""COMPUTED_VALUE"""),231.2)</f>
        <v>231.2</v>
      </c>
      <c r="Q199" s="165">
        <f ca="1">IFERROR(__xludf.DUMMYFUNCTION("""COMPUTED_VALUE"""),0)</f>
        <v>0</v>
      </c>
      <c r="R199" s="165">
        <f ca="1">IFERROR(__xludf.DUMMYFUNCTION("""COMPUTED_VALUE"""),0)</f>
        <v>0</v>
      </c>
      <c r="S199" s="165">
        <f ca="1">IFERROR(__xludf.DUMMYFUNCTION("""COMPUTED_VALUE"""),0)</f>
        <v>0</v>
      </c>
      <c r="T199" s="165">
        <f ca="1">IFERROR(__xludf.DUMMYFUNCTION("""COMPUTED_VALUE"""),582.199999999999)</f>
        <v>582.19999999999902</v>
      </c>
      <c r="U199" s="165">
        <f ca="1"/>
        <v>930.99999999999898</v>
      </c>
    </row>
    <row r="200" spans="1:21" ht="12.75">
      <c r="A200" s="167" t="str">
        <f ca="1">IFERROR(__xludf.DUMMYFUNCTION("""COMPUTED_VALUE"""),"Gurupi")</f>
        <v>Gurupi</v>
      </c>
      <c r="B200" s="167" t="str">
        <f ca="1">IFERROR(__xludf.DUMMYFUNCTION("""COMPUTED_VALUE"""),"Araguacu")</f>
        <v>Araguacu</v>
      </c>
      <c r="C200" s="168" t="str">
        <f ca="1">IFERROR(__xludf.DUMMYFUNCTION("""COMPUTED_VALUE"""),"ASS. APOIO ESC. EST. SALVADOR CAETANO")</f>
        <v>ASS. APOIO ESC. EST. SALVADOR CAETANO</v>
      </c>
      <c r="D200" s="169" t="str">
        <f ca="1">IFERROR(__xludf.DUMMYFUNCTION("""COMPUTED_VALUE"""),"01341484000103")</f>
        <v>01341484000103</v>
      </c>
      <c r="E200" s="170" t="str">
        <f ca="1">IFERROR(__xludf.DUMMYFUNCTION("""COMPUTED_VALUE"""),"001")</f>
        <v>001</v>
      </c>
      <c r="F200" s="170" t="str">
        <f ca="1">IFERROR(__xludf.DUMMYFUNCTION("""COMPUTED_VALUE"""),"1304")</f>
        <v>1304</v>
      </c>
      <c r="G200" s="170" t="str">
        <f ca="1">IFERROR(__xludf.DUMMYFUNCTION("""COMPUTED_VALUE"""),"0105589")</f>
        <v>0105589</v>
      </c>
      <c r="H200" s="170">
        <f ca="1">IFERROR(__xludf.DUMMYFUNCTION("""COMPUTED_VALUE"""),0)</f>
        <v>0</v>
      </c>
      <c r="I200" s="170">
        <f ca="1">IFERROR(__xludf.DUMMYFUNCTION("""COMPUTED_VALUE"""),0)</f>
        <v>0</v>
      </c>
      <c r="J200" s="170">
        <f ca="1">IFERROR(__xludf.DUMMYFUNCTION("""COMPUTED_VALUE"""),2300)</f>
        <v>2300</v>
      </c>
      <c r="K200" s="170">
        <f ca="1">IFERROR(__xludf.DUMMYFUNCTION("""COMPUTED_VALUE"""),0)</f>
        <v>0</v>
      </c>
      <c r="L200" s="170">
        <f ca="1">IFERROR(__xludf.DUMMYFUNCTION("""COMPUTED_VALUE"""),0)</f>
        <v>0</v>
      </c>
      <c r="M200" s="170">
        <f ca="1">IFERROR(__xludf.DUMMYFUNCTION("""COMPUTED_VALUE"""),0)</f>
        <v>0</v>
      </c>
      <c r="N200" s="170">
        <f ca="1">IFERROR(__xludf.DUMMYFUNCTION("""COMPUTED_VALUE"""),0)</f>
        <v>0</v>
      </c>
      <c r="O200" s="170">
        <f ca="1">IFERROR(__xludf.DUMMYFUNCTION("""COMPUTED_VALUE"""),0)</f>
        <v>0</v>
      </c>
      <c r="P200" s="170">
        <f ca="1">IFERROR(__xludf.DUMMYFUNCTION("""COMPUTED_VALUE"""),353.599999999999)</f>
        <v>353.599999999999</v>
      </c>
      <c r="Q200" s="170">
        <f ca="1">IFERROR(__xludf.DUMMYFUNCTION("""COMPUTED_VALUE"""),0)</f>
        <v>0</v>
      </c>
      <c r="R200" s="170">
        <f ca="1">IFERROR(__xludf.DUMMYFUNCTION("""COMPUTED_VALUE"""),0)</f>
        <v>0</v>
      </c>
      <c r="S200" s="170">
        <f ca="1">IFERROR(__xludf.DUMMYFUNCTION("""COMPUTED_VALUE"""),0)</f>
        <v>0</v>
      </c>
      <c r="T200" s="170">
        <f ca="1">IFERROR(__xludf.DUMMYFUNCTION("""COMPUTED_VALUE"""),0)</f>
        <v>0</v>
      </c>
      <c r="U200" s="170">
        <f ca="1"/>
        <v>2653.599999999999</v>
      </c>
    </row>
    <row r="201" spans="1:21" ht="12.75">
      <c r="A201" s="162" t="str">
        <f ca="1">IFERROR(__xludf.DUMMYFUNCTION("""COMPUTED_VALUE"""),"Gurupi")</f>
        <v>Gurupi</v>
      </c>
      <c r="B201" s="162" t="str">
        <f ca="1">IFERROR(__xludf.DUMMYFUNCTION("""COMPUTED_VALUE"""),"Cariri do Tocantins")</f>
        <v>Cariri do Tocantins</v>
      </c>
      <c r="C201" s="163" t="str">
        <f ca="1">IFERROR(__xludf.DUMMYFUNCTION("""COMPUTED_VALUE"""),"ASS. APOIO ESCOLA ESTADUAL TARSO DUTRA")</f>
        <v>ASS. APOIO ESCOLA ESTADUAL TARSO DUTRA</v>
      </c>
      <c r="D201" s="164" t="str">
        <f ca="1">IFERROR(__xludf.DUMMYFUNCTION("""COMPUTED_VALUE"""),"01239275000145")</f>
        <v>01239275000145</v>
      </c>
      <c r="E201" s="165" t="str">
        <f ca="1">IFERROR(__xludf.DUMMYFUNCTION("""COMPUTED_VALUE"""),"001")</f>
        <v>001</v>
      </c>
      <c r="F201" s="165" t="str">
        <f ca="1">IFERROR(__xludf.DUMMYFUNCTION("""COMPUTED_VALUE"""),"0794")</f>
        <v>0794</v>
      </c>
      <c r="G201" s="165" t="str">
        <f ca="1">IFERROR(__xludf.DUMMYFUNCTION("""COMPUTED_VALUE"""),"245496")</f>
        <v>245496</v>
      </c>
      <c r="H201" s="165">
        <f ca="1">IFERROR(__xludf.DUMMYFUNCTION("""COMPUTED_VALUE"""),0)</f>
        <v>0</v>
      </c>
      <c r="I201" s="165">
        <f ca="1">IFERROR(__xludf.DUMMYFUNCTION("""COMPUTED_VALUE"""),0)</f>
        <v>0</v>
      </c>
      <c r="J201" s="165">
        <f ca="1">IFERROR(__xludf.DUMMYFUNCTION("""COMPUTED_VALUE"""),900)</f>
        <v>900</v>
      </c>
      <c r="K201" s="165">
        <f ca="1">IFERROR(__xludf.DUMMYFUNCTION("""COMPUTED_VALUE"""),0)</f>
        <v>0</v>
      </c>
      <c r="L201" s="165">
        <f ca="1">IFERROR(__xludf.DUMMYFUNCTION("""COMPUTED_VALUE"""),0)</f>
        <v>0</v>
      </c>
      <c r="M201" s="165">
        <f ca="1">IFERROR(__xludf.DUMMYFUNCTION("""COMPUTED_VALUE"""),0)</f>
        <v>0</v>
      </c>
      <c r="N201" s="165">
        <f ca="1">IFERROR(__xludf.DUMMYFUNCTION("""COMPUTED_VALUE"""),0)</f>
        <v>0</v>
      </c>
      <c r="O201" s="165">
        <f ca="1">IFERROR(__xludf.DUMMYFUNCTION("""COMPUTED_VALUE"""),0)</f>
        <v>0</v>
      </c>
      <c r="P201" s="165">
        <f ca="1">IFERROR(__xludf.DUMMYFUNCTION("""COMPUTED_VALUE"""),0)</f>
        <v>0</v>
      </c>
      <c r="Q201" s="165">
        <f ca="1">IFERROR(__xludf.DUMMYFUNCTION("""COMPUTED_VALUE"""),1520)</f>
        <v>1520</v>
      </c>
      <c r="R201" s="165">
        <f ca="1">IFERROR(__xludf.DUMMYFUNCTION("""COMPUTED_VALUE"""),0)</f>
        <v>0</v>
      </c>
      <c r="S201" s="165">
        <f ca="1">IFERROR(__xludf.DUMMYFUNCTION("""COMPUTED_VALUE"""),0)</f>
        <v>0</v>
      </c>
      <c r="T201" s="165">
        <f ca="1">IFERROR(__xludf.DUMMYFUNCTION("""COMPUTED_VALUE"""),122.999999999999)</f>
        <v>122.99999999999901</v>
      </c>
      <c r="U201" s="165">
        <f ca="1"/>
        <v>2542.9999999999991</v>
      </c>
    </row>
    <row r="202" spans="1:21" ht="12.75">
      <c r="A202" s="167" t="str">
        <f ca="1">IFERROR(__xludf.DUMMYFUNCTION("""COMPUTED_VALUE"""),"Gurupi")</f>
        <v>Gurupi</v>
      </c>
      <c r="B202" s="167" t="str">
        <f ca="1">IFERROR(__xludf.DUMMYFUNCTION("""COMPUTED_VALUE"""),"Crixas do Tocantins")</f>
        <v>Crixas do Tocantins</v>
      </c>
      <c r="C202" s="168" t="str">
        <f ca="1">IFERROR(__xludf.DUMMYFUNCTION("""COMPUTED_VALUE"""),"ASSOC. DE AP. DA ESC. EST. OLAVO BILAC")</f>
        <v>ASSOC. DE AP. DA ESC. EST. OLAVO BILAC</v>
      </c>
      <c r="D202" s="169" t="str">
        <f ca="1">IFERROR(__xludf.DUMMYFUNCTION("""COMPUTED_VALUE"""),"01892440000163")</f>
        <v>01892440000163</v>
      </c>
      <c r="E202" s="170" t="str">
        <f ca="1">IFERROR(__xludf.DUMMYFUNCTION("""COMPUTED_VALUE"""),"001")</f>
        <v>001</v>
      </c>
      <c r="F202" s="170" t="str">
        <f ca="1">IFERROR(__xludf.DUMMYFUNCTION("""COMPUTED_VALUE"""),"0794")</f>
        <v>0794</v>
      </c>
      <c r="G202" s="170" t="str">
        <f ca="1">IFERROR(__xludf.DUMMYFUNCTION("""COMPUTED_VALUE"""),"13498")</f>
        <v>13498</v>
      </c>
      <c r="H202" s="170">
        <f ca="1">IFERROR(__xludf.DUMMYFUNCTION("""COMPUTED_VALUE"""),0)</f>
        <v>0</v>
      </c>
      <c r="I202" s="170">
        <f ca="1">IFERROR(__xludf.DUMMYFUNCTION("""COMPUTED_VALUE"""),0)</f>
        <v>0</v>
      </c>
      <c r="J202" s="170">
        <f ca="1">IFERROR(__xludf.DUMMYFUNCTION("""COMPUTED_VALUE"""),610)</f>
        <v>610</v>
      </c>
      <c r="K202" s="170">
        <f ca="1">IFERROR(__xludf.DUMMYFUNCTION("""COMPUTED_VALUE"""),0)</f>
        <v>0</v>
      </c>
      <c r="L202" s="170">
        <f ca="1">IFERROR(__xludf.DUMMYFUNCTION("""COMPUTED_VALUE"""),0)</f>
        <v>0</v>
      </c>
      <c r="M202" s="170">
        <f ca="1">IFERROR(__xludf.DUMMYFUNCTION("""COMPUTED_VALUE"""),0)</f>
        <v>0</v>
      </c>
      <c r="N202" s="170">
        <f ca="1">IFERROR(__xludf.DUMMYFUNCTION("""COMPUTED_VALUE"""),0)</f>
        <v>0</v>
      </c>
      <c r="O202" s="170">
        <f ca="1">IFERROR(__xludf.DUMMYFUNCTION("""COMPUTED_VALUE"""),0)</f>
        <v>0</v>
      </c>
      <c r="P202" s="170">
        <f ca="1">IFERROR(__xludf.DUMMYFUNCTION("""COMPUTED_VALUE"""),0)</f>
        <v>0</v>
      </c>
      <c r="Q202" s="170">
        <f ca="1">IFERROR(__xludf.DUMMYFUNCTION("""COMPUTED_VALUE"""),530)</f>
        <v>530</v>
      </c>
      <c r="R202" s="170">
        <f ca="1">IFERROR(__xludf.DUMMYFUNCTION("""COMPUTED_VALUE"""),0)</f>
        <v>0</v>
      </c>
      <c r="S202" s="170">
        <f ca="1">IFERROR(__xludf.DUMMYFUNCTION("""COMPUTED_VALUE"""),0)</f>
        <v>0</v>
      </c>
      <c r="T202" s="170">
        <f ca="1">IFERROR(__xludf.DUMMYFUNCTION("""COMPUTED_VALUE"""),0)</f>
        <v>0</v>
      </c>
      <c r="U202" s="170">
        <f ca="1"/>
        <v>1140</v>
      </c>
    </row>
    <row r="203" spans="1:21" ht="12.75">
      <c r="A203" s="162" t="str">
        <f ca="1">IFERROR(__xludf.DUMMYFUNCTION("""COMPUTED_VALUE"""),"Gurupi")</f>
        <v>Gurupi</v>
      </c>
      <c r="B203" s="162" t="str">
        <f ca="1">IFERROR(__xludf.DUMMYFUNCTION("""COMPUTED_VALUE"""),"Duere")</f>
        <v>Duere</v>
      </c>
      <c r="C203" s="163" t="str">
        <f ca="1">IFERROR(__xludf.DUMMYFUNCTION("""COMPUTED_VALUE"""),"A.P.MESTRES DA ESCOLA EST.ELESBAO LIMA")</f>
        <v>A.P.MESTRES DA ESCOLA EST.ELESBAO LIMA</v>
      </c>
      <c r="D203" s="164" t="str">
        <f ca="1">IFERROR(__xludf.DUMMYFUNCTION("""COMPUTED_VALUE"""),"01865387000101")</f>
        <v>01865387000101</v>
      </c>
      <c r="E203" s="165" t="str">
        <f ca="1">IFERROR(__xludf.DUMMYFUNCTION("""COMPUTED_VALUE"""),"001")</f>
        <v>001</v>
      </c>
      <c r="F203" s="165" t="str">
        <f ca="1">IFERROR(__xludf.DUMMYFUNCTION("""COMPUTED_VALUE"""),"0794")</f>
        <v>0794</v>
      </c>
      <c r="G203" s="165" t="str">
        <f ca="1">IFERROR(__xludf.DUMMYFUNCTION("""COMPUTED_VALUE"""),"6758X")</f>
        <v>6758X</v>
      </c>
      <c r="H203" s="165">
        <f ca="1">IFERROR(__xludf.DUMMYFUNCTION("""COMPUTED_VALUE"""),0)</f>
        <v>0</v>
      </c>
      <c r="I203" s="165">
        <f ca="1">IFERROR(__xludf.DUMMYFUNCTION("""COMPUTED_VALUE"""),0)</f>
        <v>0</v>
      </c>
      <c r="J203" s="165">
        <f ca="1">IFERROR(__xludf.DUMMYFUNCTION("""COMPUTED_VALUE"""),2860)</f>
        <v>2860</v>
      </c>
      <c r="K203" s="165">
        <f ca="1">IFERROR(__xludf.DUMMYFUNCTION("""COMPUTED_VALUE"""),0)</f>
        <v>0</v>
      </c>
      <c r="L203" s="165">
        <f ca="1">IFERROR(__xludf.DUMMYFUNCTION("""COMPUTED_VALUE"""),0)</f>
        <v>0</v>
      </c>
      <c r="M203" s="165">
        <f ca="1">IFERROR(__xludf.DUMMYFUNCTION("""COMPUTED_VALUE"""),0)</f>
        <v>0</v>
      </c>
      <c r="N203" s="165">
        <f ca="1">IFERROR(__xludf.DUMMYFUNCTION("""COMPUTED_VALUE"""),0)</f>
        <v>0</v>
      </c>
      <c r="O203" s="165">
        <f ca="1">IFERROR(__xludf.DUMMYFUNCTION("""COMPUTED_VALUE"""),0)</f>
        <v>0</v>
      </c>
      <c r="P203" s="165">
        <f ca="1">IFERROR(__xludf.DUMMYFUNCTION("""COMPUTED_VALUE"""),326.4)</f>
        <v>326.39999999999998</v>
      </c>
      <c r="Q203" s="165">
        <f ca="1">IFERROR(__xludf.DUMMYFUNCTION("""COMPUTED_VALUE"""),1380)</f>
        <v>1380</v>
      </c>
      <c r="R203" s="165">
        <f ca="1">IFERROR(__xludf.DUMMYFUNCTION("""COMPUTED_VALUE"""),0)</f>
        <v>0</v>
      </c>
      <c r="S203" s="165">
        <f ca="1">IFERROR(__xludf.DUMMYFUNCTION("""COMPUTED_VALUE"""),0)</f>
        <v>0</v>
      </c>
      <c r="T203" s="165">
        <f ca="1">IFERROR(__xludf.DUMMYFUNCTION("""COMPUTED_VALUE"""),0)</f>
        <v>0</v>
      </c>
      <c r="U203" s="165">
        <f ca="1"/>
        <v>4566.3999999999996</v>
      </c>
    </row>
    <row r="204" spans="1:21" ht="12.75">
      <c r="A204" s="167" t="str">
        <f ca="1">IFERROR(__xludf.DUMMYFUNCTION("""COMPUTED_VALUE"""),"Gurupi")</f>
        <v>Gurupi</v>
      </c>
      <c r="B204" s="167" t="str">
        <f ca="1">IFERROR(__xludf.DUMMYFUNCTION("""COMPUTED_VALUE"""),"Figueiropolis")</f>
        <v>Figueiropolis</v>
      </c>
      <c r="C204" s="168" t="str">
        <f ca="1">IFERROR(__xludf.DUMMYFUNCTION("""COMPUTED_VALUE"""),"A. APOIO COL. EST. ALAIR SENA CONCEICAO")</f>
        <v>A. APOIO COL. EST. ALAIR SENA CONCEICAO</v>
      </c>
      <c r="D204" s="169" t="str">
        <f ca="1">IFERROR(__xludf.DUMMYFUNCTION("""COMPUTED_VALUE"""),"01257080000128")</f>
        <v>01257080000128</v>
      </c>
      <c r="E204" s="170" t="str">
        <f ca="1">IFERROR(__xludf.DUMMYFUNCTION("""COMPUTED_VALUE"""),"001")</f>
        <v>001</v>
      </c>
      <c r="F204" s="170" t="str">
        <f ca="1">IFERROR(__xludf.DUMMYFUNCTION("""COMPUTED_VALUE"""),"3978")</f>
        <v>3978</v>
      </c>
      <c r="G204" s="170" t="str">
        <f ca="1">IFERROR(__xludf.DUMMYFUNCTION("""COMPUTED_VALUE"""),"52639")</f>
        <v>52639</v>
      </c>
      <c r="H204" s="170">
        <f ca="1">IFERROR(__xludf.DUMMYFUNCTION("""COMPUTED_VALUE"""),0)</f>
        <v>0</v>
      </c>
      <c r="I204" s="170">
        <f ca="1">IFERROR(__xludf.DUMMYFUNCTION("""COMPUTED_VALUE"""),0)</f>
        <v>0</v>
      </c>
      <c r="J204" s="170">
        <f ca="1">IFERROR(__xludf.DUMMYFUNCTION("""COMPUTED_VALUE"""),0)</f>
        <v>0</v>
      </c>
      <c r="K204" s="170">
        <f ca="1">IFERROR(__xludf.DUMMYFUNCTION("""COMPUTED_VALUE"""),0)</f>
        <v>0</v>
      </c>
      <c r="L204" s="170">
        <f ca="1">IFERROR(__xludf.DUMMYFUNCTION("""COMPUTED_VALUE"""),0)</f>
        <v>0</v>
      </c>
      <c r="M204" s="170">
        <f ca="1">IFERROR(__xludf.DUMMYFUNCTION("""COMPUTED_VALUE"""),0)</f>
        <v>0</v>
      </c>
      <c r="N204" s="170">
        <f ca="1">IFERROR(__xludf.DUMMYFUNCTION("""COMPUTED_VALUE"""),0)</f>
        <v>0</v>
      </c>
      <c r="O204" s="170">
        <f ca="1">IFERROR(__xludf.DUMMYFUNCTION("""COMPUTED_VALUE"""),0)</f>
        <v>0</v>
      </c>
      <c r="P204" s="170">
        <f ca="1">IFERROR(__xludf.DUMMYFUNCTION("""COMPUTED_VALUE"""),0)</f>
        <v>0</v>
      </c>
      <c r="Q204" s="170">
        <f ca="1">IFERROR(__xludf.DUMMYFUNCTION("""COMPUTED_VALUE"""),1610)</f>
        <v>1610</v>
      </c>
      <c r="R204" s="170">
        <f ca="1">IFERROR(__xludf.DUMMYFUNCTION("""COMPUTED_VALUE"""),0)</f>
        <v>0</v>
      </c>
      <c r="S204" s="170">
        <f ca="1">IFERROR(__xludf.DUMMYFUNCTION("""COMPUTED_VALUE"""),0)</f>
        <v>0</v>
      </c>
      <c r="T204" s="170">
        <f ca="1">IFERROR(__xludf.DUMMYFUNCTION("""COMPUTED_VALUE"""),0)</f>
        <v>0</v>
      </c>
      <c r="U204" s="170">
        <f ca="1"/>
        <v>1610</v>
      </c>
    </row>
    <row r="205" spans="1:21" ht="12.75">
      <c r="A205" s="162" t="str">
        <f ca="1">IFERROR(__xludf.DUMMYFUNCTION("""COMPUTED_VALUE"""),"Gurupi")</f>
        <v>Gurupi</v>
      </c>
      <c r="B205" s="162" t="str">
        <f ca="1">IFERROR(__xludf.DUMMYFUNCTION("""COMPUTED_VALUE"""),"Figueiropolis")</f>
        <v>Figueiropolis</v>
      </c>
      <c r="C205" s="163" t="str">
        <f ca="1">IFERROR(__xludf.DUMMYFUNCTION("""COMPUTED_VALUE"""),"A. APOIO COLEGIO EST. CANDIDO FIGUEIRA")</f>
        <v>A. APOIO COLEGIO EST. CANDIDO FIGUEIRA</v>
      </c>
      <c r="D205" s="164" t="str">
        <f ca="1">IFERROR(__xludf.DUMMYFUNCTION("""COMPUTED_VALUE"""),"01262902000169")</f>
        <v>01262902000169</v>
      </c>
      <c r="E205" s="165" t="str">
        <f ca="1">IFERROR(__xludf.DUMMYFUNCTION("""COMPUTED_VALUE"""),"001")</f>
        <v>001</v>
      </c>
      <c r="F205" s="165" t="str">
        <f ca="1">IFERROR(__xludf.DUMMYFUNCTION("""COMPUTED_VALUE"""),"3978")</f>
        <v>3978</v>
      </c>
      <c r="G205" s="165" t="str">
        <f ca="1">IFERROR(__xludf.DUMMYFUNCTION("""COMPUTED_VALUE"""),"4802X")</f>
        <v>4802X</v>
      </c>
      <c r="H205" s="165">
        <f ca="1">IFERROR(__xludf.DUMMYFUNCTION("""COMPUTED_VALUE"""),0)</f>
        <v>0</v>
      </c>
      <c r="I205" s="165">
        <f ca="1">IFERROR(__xludf.DUMMYFUNCTION("""COMPUTED_VALUE"""),0)</f>
        <v>0</v>
      </c>
      <c r="J205" s="165">
        <f ca="1">IFERROR(__xludf.DUMMYFUNCTION("""COMPUTED_VALUE"""),3280)</f>
        <v>3280</v>
      </c>
      <c r="K205" s="165">
        <f ca="1">IFERROR(__xludf.DUMMYFUNCTION("""COMPUTED_VALUE"""),0)</f>
        <v>0</v>
      </c>
      <c r="L205" s="165">
        <f ca="1">IFERROR(__xludf.DUMMYFUNCTION("""COMPUTED_VALUE"""),0)</f>
        <v>0</v>
      </c>
      <c r="M205" s="165">
        <f ca="1">IFERROR(__xludf.DUMMYFUNCTION("""COMPUTED_VALUE"""),0)</f>
        <v>0</v>
      </c>
      <c r="N205" s="165">
        <f ca="1">IFERROR(__xludf.DUMMYFUNCTION("""COMPUTED_VALUE"""),0)</f>
        <v>0</v>
      </c>
      <c r="O205" s="165">
        <f ca="1">IFERROR(__xludf.DUMMYFUNCTION("""COMPUTED_VALUE"""),0)</f>
        <v>0</v>
      </c>
      <c r="P205" s="165">
        <f ca="1">IFERROR(__xludf.DUMMYFUNCTION("""COMPUTED_VALUE"""),163.2)</f>
        <v>163.19999999999999</v>
      </c>
      <c r="Q205" s="165">
        <f ca="1">IFERROR(__xludf.DUMMYFUNCTION("""COMPUTED_VALUE"""),0)</f>
        <v>0</v>
      </c>
      <c r="R205" s="165">
        <f ca="1">IFERROR(__xludf.DUMMYFUNCTION("""COMPUTED_VALUE"""),0)</f>
        <v>0</v>
      </c>
      <c r="S205" s="165">
        <f ca="1">IFERROR(__xludf.DUMMYFUNCTION("""COMPUTED_VALUE"""),0)</f>
        <v>0</v>
      </c>
      <c r="T205" s="165">
        <f ca="1">IFERROR(__xludf.DUMMYFUNCTION("""COMPUTED_VALUE"""),0)</f>
        <v>0</v>
      </c>
      <c r="U205" s="165">
        <f ca="1"/>
        <v>3443.2</v>
      </c>
    </row>
    <row r="206" spans="1:21" ht="12.75">
      <c r="A206" s="167" t="str">
        <f ca="1">IFERROR(__xludf.DUMMYFUNCTION("""COMPUTED_VALUE"""),"Gurupi")</f>
        <v>Gurupi</v>
      </c>
      <c r="B206" s="167" t="str">
        <f ca="1">IFERROR(__xludf.DUMMYFUNCTION("""COMPUTED_VALUE"""),"Formoso do Araguaia")</f>
        <v>Formoso do Araguaia</v>
      </c>
      <c r="C206" s="168" t="str">
        <f ca="1">IFERROR(__xludf.DUMMYFUNCTION("""COMPUTED_VALUE"""),"A.P.E MESTRES DA E. E.BENEDITO P.BANDEIRA")</f>
        <v>A.P.E MESTRES DA E. E.BENEDITO P.BANDEIRA</v>
      </c>
      <c r="D206" s="169" t="str">
        <f ca="1">IFERROR(__xludf.DUMMYFUNCTION("""COMPUTED_VALUE"""),"01136026000124")</f>
        <v>01136026000124</v>
      </c>
      <c r="E206" s="170" t="str">
        <f ca="1">IFERROR(__xludf.DUMMYFUNCTION("""COMPUTED_VALUE"""),"001")</f>
        <v>001</v>
      </c>
      <c r="F206" s="170" t="str">
        <f ca="1">IFERROR(__xludf.DUMMYFUNCTION("""COMPUTED_VALUE"""),"3123")</f>
        <v>3123</v>
      </c>
      <c r="G206" s="170" t="str">
        <f ca="1">IFERROR(__xludf.DUMMYFUNCTION("""COMPUTED_VALUE"""),"0303240")</f>
        <v>0303240</v>
      </c>
      <c r="H206" s="170">
        <f ca="1">IFERROR(__xludf.DUMMYFUNCTION("""COMPUTED_VALUE"""),0)</f>
        <v>0</v>
      </c>
      <c r="I206" s="170">
        <f ca="1">IFERROR(__xludf.DUMMYFUNCTION("""COMPUTED_VALUE"""),0)</f>
        <v>0</v>
      </c>
      <c r="J206" s="170">
        <f ca="1">IFERROR(__xludf.DUMMYFUNCTION("""COMPUTED_VALUE"""),990)</f>
        <v>990</v>
      </c>
      <c r="K206" s="170">
        <f ca="1">IFERROR(__xludf.DUMMYFUNCTION("""COMPUTED_VALUE"""),0)</f>
        <v>0</v>
      </c>
      <c r="L206" s="170">
        <f ca="1">IFERROR(__xludf.DUMMYFUNCTION("""COMPUTED_VALUE"""),0)</f>
        <v>0</v>
      </c>
      <c r="M206" s="170">
        <f ca="1">IFERROR(__xludf.DUMMYFUNCTION("""COMPUTED_VALUE"""),0)</f>
        <v>0</v>
      </c>
      <c r="N206" s="170">
        <f ca="1">IFERROR(__xludf.DUMMYFUNCTION("""COMPUTED_VALUE"""),0)</f>
        <v>0</v>
      </c>
      <c r="O206" s="170">
        <f ca="1">IFERROR(__xludf.DUMMYFUNCTION("""COMPUTED_VALUE"""),0)</f>
        <v>0</v>
      </c>
      <c r="P206" s="170">
        <f ca="1">IFERROR(__xludf.DUMMYFUNCTION("""COMPUTED_VALUE"""),0)</f>
        <v>0</v>
      </c>
      <c r="Q206" s="170">
        <f ca="1">IFERROR(__xludf.DUMMYFUNCTION("""COMPUTED_VALUE"""),850)</f>
        <v>850</v>
      </c>
      <c r="R206" s="170">
        <f ca="1">IFERROR(__xludf.DUMMYFUNCTION("""COMPUTED_VALUE"""),0)</f>
        <v>0</v>
      </c>
      <c r="S206" s="170">
        <f ca="1">IFERROR(__xludf.DUMMYFUNCTION("""COMPUTED_VALUE"""),0)</f>
        <v>0</v>
      </c>
      <c r="T206" s="170">
        <f ca="1">IFERROR(__xludf.DUMMYFUNCTION("""COMPUTED_VALUE"""),0)</f>
        <v>0</v>
      </c>
      <c r="U206" s="170">
        <f ca="1"/>
        <v>1840</v>
      </c>
    </row>
    <row r="207" spans="1:21" ht="12.75">
      <c r="A207" s="162" t="str">
        <f ca="1">IFERROR(__xludf.DUMMYFUNCTION("""COMPUTED_VALUE"""),"Gurupi")</f>
        <v>Gurupi</v>
      </c>
      <c r="B207" s="162" t="str">
        <f ca="1">IFERROR(__xludf.DUMMYFUNCTION("""COMPUTED_VALUE"""),"Formoso do Araguaia")</f>
        <v>Formoso do Araguaia</v>
      </c>
      <c r="C207" s="163" t="str">
        <f ca="1">IFERROR(__xludf.DUMMYFUNCTION("""COMPUTED_VALUE"""),"A.A. COLEGIO ESTADUAL TIRADENTES")</f>
        <v>A.A. COLEGIO ESTADUAL TIRADENTES</v>
      </c>
      <c r="D207" s="164" t="str">
        <f ca="1">IFERROR(__xludf.DUMMYFUNCTION("""COMPUTED_VALUE"""),"01263350000103")</f>
        <v>01263350000103</v>
      </c>
      <c r="E207" s="165" t="str">
        <f ca="1">IFERROR(__xludf.DUMMYFUNCTION("""COMPUTED_VALUE"""),"001")</f>
        <v>001</v>
      </c>
      <c r="F207" s="165" t="str">
        <f ca="1">IFERROR(__xludf.DUMMYFUNCTION("""COMPUTED_VALUE"""),"3123")</f>
        <v>3123</v>
      </c>
      <c r="G207" s="165" t="str">
        <f ca="1">IFERROR(__xludf.DUMMYFUNCTION("""COMPUTED_VALUE"""),"302988")</f>
        <v>302988</v>
      </c>
      <c r="H207" s="165">
        <f ca="1">IFERROR(__xludf.DUMMYFUNCTION("""COMPUTED_VALUE"""),0)</f>
        <v>0</v>
      </c>
      <c r="I207" s="165">
        <f ca="1">IFERROR(__xludf.DUMMYFUNCTION("""COMPUTED_VALUE"""),0)</f>
        <v>0</v>
      </c>
      <c r="J207" s="165">
        <f ca="1">IFERROR(__xludf.DUMMYFUNCTION("""COMPUTED_VALUE"""),0)</f>
        <v>0</v>
      </c>
      <c r="K207" s="165">
        <f ca="1">IFERROR(__xludf.DUMMYFUNCTION("""COMPUTED_VALUE"""),0)</f>
        <v>0</v>
      </c>
      <c r="L207" s="165">
        <f ca="1">IFERROR(__xludf.DUMMYFUNCTION("""COMPUTED_VALUE"""),0)</f>
        <v>0</v>
      </c>
      <c r="M207" s="165">
        <f ca="1">IFERROR(__xludf.DUMMYFUNCTION("""COMPUTED_VALUE"""),0)</f>
        <v>0</v>
      </c>
      <c r="N207" s="165">
        <f ca="1">IFERROR(__xludf.DUMMYFUNCTION("""COMPUTED_VALUE"""),0)</f>
        <v>0</v>
      </c>
      <c r="O207" s="165">
        <f ca="1">IFERROR(__xludf.DUMMYFUNCTION("""COMPUTED_VALUE"""),0)</f>
        <v>0</v>
      </c>
      <c r="P207" s="165">
        <f ca="1">IFERROR(__xludf.DUMMYFUNCTION("""COMPUTED_VALUE"""),0)</f>
        <v>0</v>
      </c>
      <c r="Q207" s="165">
        <f ca="1">IFERROR(__xludf.DUMMYFUNCTION("""COMPUTED_VALUE"""),2490)</f>
        <v>2490</v>
      </c>
      <c r="R207" s="165">
        <f ca="1">IFERROR(__xludf.DUMMYFUNCTION("""COMPUTED_VALUE"""),0)</f>
        <v>0</v>
      </c>
      <c r="S207" s="165">
        <f ca="1">IFERROR(__xludf.DUMMYFUNCTION("""COMPUTED_VALUE"""),0)</f>
        <v>0</v>
      </c>
      <c r="T207" s="165">
        <f ca="1">IFERROR(__xludf.DUMMYFUNCTION("""COMPUTED_VALUE"""),0)</f>
        <v>0</v>
      </c>
      <c r="U207" s="165">
        <f ca="1"/>
        <v>2490</v>
      </c>
    </row>
    <row r="208" spans="1:21" ht="12.75">
      <c r="A208" s="167" t="str">
        <f ca="1">IFERROR(__xludf.DUMMYFUNCTION("""COMPUTED_VALUE"""),"Gurupi")</f>
        <v>Gurupi</v>
      </c>
      <c r="B208" s="167" t="str">
        <f ca="1">IFERROR(__xludf.DUMMYFUNCTION("""COMPUTED_VALUE"""),"Formoso do Araguaia")</f>
        <v>Formoso do Araguaia</v>
      </c>
      <c r="C208" s="168" t="str">
        <f ca="1">IFERROR(__xludf.DUMMYFUNCTION("""COMPUTED_VALUE"""),"A.A. ESC ESPECIAL ANJO DA GUARDA")</f>
        <v>A.A. ESC ESPECIAL ANJO DA GUARDA</v>
      </c>
      <c r="D208" s="169" t="str">
        <f ca="1">IFERROR(__xludf.DUMMYFUNCTION("""COMPUTED_VALUE"""),"17617389000111")</f>
        <v>17617389000111</v>
      </c>
      <c r="E208" s="170" t="str">
        <f ca="1">IFERROR(__xludf.DUMMYFUNCTION("""COMPUTED_VALUE"""),"001")</f>
        <v>001</v>
      </c>
      <c r="F208" s="170" t="str">
        <f ca="1">IFERROR(__xludf.DUMMYFUNCTION("""COMPUTED_VALUE"""),"3123")</f>
        <v>3123</v>
      </c>
      <c r="G208" s="170" t="str">
        <f ca="1">IFERROR(__xludf.DUMMYFUNCTION("""COMPUTED_VALUE"""),"168211")</f>
        <v>168211</v>
      </c>
      <c r="H208" s="170">
        <f ca="1">IFERROR(__xludf.DUMMYFUNCTION("""COMPUTED_VALUE"""),0)</f>
        <v>0</v>
      </c>
      <c r="I208" s="170">
        <f ca="1">IFERROR(__xludf.DUMMYFUNCTION("""COMPUTED_VALUE"""),0)</f>
        <v>0</v>
      </c>
      <c r="J208" s="170">
        <f ca="1">IFERROR(__xludf.DUMMYFUNCTION("""COMPUTED_VALUE"""),280)</f>
        <v>280</v>
      </c>
      <c r="K208" s="170">
        <f ca="1">IFERROR(__xludf.DUMMYFUNCTION("""COMPUTED_VALUE"""),0)</f>
        <v>0</v>
      </c>
      <c r="L208" s="170">
        <f ca="1">IFERROR(__xludf.DUMMYFUNCTION("""COMPUTED_VALUE"""),0)</f>
        <v>0</v>
      </c>
      <c r="M208" s="170">
        <f ca="1">IFERROR(__xludf.DUMMYFUNCTION("""COMPUTED_VALUE"""),0)</f>
        <v>0</v>
      </c>
      <c r="N208" s="170">
        <f ca="1">IFERROR(__xludf.DUMMYFUNCTION("""COMPUTED_VALUE"""),0)</f>
        <v>0</v>
      </c>
      <c r="O208" s="170">
        <f ca="1">IFERROR(__xludf.DUMMYFUNCTION("""COMPUTED_VALUE"""),0)</f>
        <v>0</v>
      </c>
      <c r="P208" s="170">
        <f ca="1">IFERROR(__xludf.DUMMYFUNCTION("""COMPUTED_VALUE"""),476)</f>
        <v>476</v>
      </c>
      <c r="Q208" s="170">
        <f ca="1">IFERROR(__xludf.DUMMYFUNCTION("""COMPUTED_VALUE"""),0)</f>
        <v>0</v>
      </c>
      <c r="R208" s="170">
        <f ca="1">IFERROR(__xludf.DUMMYFUNCTION("""COMPUTED_VALUE"""),0)</f>
        <v>0</v>
      </c>
      <c r="S208" s="170">
        <f ca="1">IFERROR(__xludf.DUMMYFUNCTION("""COMPUTED_VALUE"""),0)</f>
        <v>0</v>
      </c>
      <c r="T208" s="170">
        <f ca="1">IFERROR(__xludf.DUMMYFUNCTION("""COMPUTED_VALUE"""),360.799999999999)</f>
        <v>360.79999999999899</v>
      </c>
      <c r="U208" s="170">
        <f ca="1"/>
        <v>1116.799999999999</v>
      </c>
    </row>
    <row r="209" spans="1:21" ht="12.75">
      <c r="A209" s="162" t="str">
        <f ca="1">IFERROR(__xludf.DUMMYFUNCTION("""COMPUTED_VALUE"""),"Gurupi")</f>
        <v>Gurupi</v>
      </c>
      <c r="B209" s="162" t="str">
        <f ca="1">IFERROR(__xludf.DUMMYFUNCTION("""COMPUTED_VALUE"""),"Formoso do Araguaia")</f>
        <v>Formoso do Araguaia</v>
      </c>
      <c r="C209" s="163" t="str">
        <f ca="1">IFERROR(__xludf.DUMMYFUNCTION("""COMPUTED_VALUE"""),"A.A. ESC. EST. DONA GERCINA BORGES TEIXEIRA")</f>
        <v>A.A. ESC. EST. DONA GERCINA BORGES TEIXEIRA</v>
      </c>
      <c r="D209" s="164" t="str">
        <f ca="1">IFERROR(__xludf.DUMMYFUNCTION("""COMPUTED_VALUE"""),"01268334000103")</f>
        <v>01268334000103</v>
      </c>
      <c r="E209" s="165" t="str">
        <f ca="1">IFERROR(__xludf.DUMMYFUNCTION("""COMPUTED_VALUE"""),"001")</f>
        <v>001</v>
      </c>
      <c r="F209" s="165" t="str">
        <f ca="1">IFERROR(__xludf.DUMMYFUNCTION("""COMPUTED_VALUE"""),"3123")</f>
        <v>3123</v>
      </c>
      <c r="G209" s="165" t="str">
        <f ca="1">IFERROR(__xludf.DUMMYFUNCTION("""COMPUTED_VALUE"""),"302880")</f>
        <v>302880</v>
      </c>
      <c r="H209" s="165">
        <f ca="1">IFERROR(__xludf.DUMMYFUNCTION("""COMPUTED_VALUE"""),0)</f>
        <v>0</v>
      </c>
      <c r="I209" s="165">
        <f ca="1">IFERROR(__xludf.DUMMYFUNCTION("""COMPUTED_VALUE"""),0)</f>
        <v>0</v>
      </c>
      <c r="J209" s="165">
        <f ca="1">IFERROR(__xludf.DUMMYFUNCTION("""COMPUTED_VALUE"""),7740)</f>
        <v>7740</v>
      </c>
      <c r="K209" s="165">
        <f ca="1">IFERROR(__xludf.DUMMYFUNCTION("""COMPUTED_VALUE"""),0)</f>
        <v>0</v>
      </c>
      <c r="L209" s="165">
        <f ca="1">IFERROR(__xludf.DUMMYFUNCTION("""COMPUTED_VALUE"""),0)</f>
        <v>0</v>
      </c>
      <c r="M209" s="165">
        <f ca="1">IFERROR(__xludf.DUMMYFUNCTION("""COMPUTED_VALUE"""),0)</f>
        <v>0</v>
      </c>
      <c r="N209" s="165">
        <f ca="1">IFERROR(__xludf.DUMMYFUNCTION("""COMPUTED_VALUE"""),0)</f>
        <v>0</v>
      </c>
      <c r="O209" s="165">
        <f ca="1">IFERROR(__xludf.DUMMYFUNCTION("""COMPUTED_VALUE"""),0)</f>
        <v>0</v>
      </c>
      <c r="P209" s="165">
        <f ca="1">IFERROR(__xludf.DUMMYFUNCTION("""COMPUTED_VALUE"""),761.6)</f>
        <v>761.6</v>
      </c>
      <c r="Q209" s="165">
        <f ca="1">IFERROR(__xludf.DUMMYFUNCTION("""COMPUTED_VALUE"""),0)</f>
        <v>0</v>
      </c>
      <c r="R209" s="165">
        <f ca="1">IFERROR(__xludf.DUMMYFUNCTION("""COMPUTED_VALUE"""),0)</f>
        <v>0</v>
      </c>
      <c r="S209" s="165">
        <f ca="1">IFERROR(__xludf.DUMMYFUNCTION("""COMPUTED_VALUE"""),0)</f>
        <v>0</v>
      </c>
      <c r="T209" s="165">
        <f ca="1">IFERROR(__xludf.DUMMYFUNCTION("""COMPUTED_VALUE"""),1393.99999999999)</f>
        <v>1393.99999999999</v>
      </c>
      <c r="U209" s="165">
        <f ca="1"/>
        <v>9895.5999999999913</v>
      </c>
    </row>
    <row r="210" spans="1:21" ht="12.75">
      <c r="A210" s="167" t="str">
        <f ca="1">IFERROR(__xludf.DUMMYFUNCTION("""COMPUTED_VALUE"""),"Gurupi")</f>
        <v>Gurupi</v>
      </c>
      <c r="B210" s="167" t="str">
        <f ca="1">IFERROR(__xludf.DUMMYFUNCTION("""COMPUTED_VALUE"""),"Formoso do Araguaia")</f>
        <v>Formoso do Araguaia</v>
      </c>
      <c r="C210" s="168" t="str">
        <f ca="1">IFERROR(__xludf.DUMMYFUNCTION("""COMPUTED_VALUE"""),"ASSOCIAÇÃO DE APOIO DA ESCOLA INDÍGENA TAINÁ DA ALDEIA CANUANA")</f>
        <v>ASSOCIAÇÃO DE APOIO DA ESCOLA INDÍGENA TAINÁ DA ALDEIA CANUANA</v>
      </c>
      <c r="D210" s="169" t="str">
        <f ca="1">IFERROR(__xludf.DUMMYFUNCTION("""COMPUTED_VALUE"""),"27701257000127")</f>
        <v>27701257000127</v>
      </c>
      <c r="E210" s="170" t="str">
        <f ca="1">IFERROR(__xludf.DUMMYFUNCTION("""COMPUTED_VALUE"""),"001")</f>
        <v>001</v>
      </c>
      <c r="F210" s="170" t="str">
        <f ca="1">IFERROR(__xludf.DUMMYFUNCTION("""COMPUTED_VALUE"""),"3123")</f>
        <v>3123</v>
      </c>
      <c r="G210" s="170" t="str">
        <f ca="1">IFERROR(__xludf.DUMMYFUNCTION("""COMPUTED_VALUE"""),"171174")</f>
        <v>171174</v>
      </c>
      <c r="H210" s="170">
        <f ca="1">IFERROR(__xludf.DUMMYFUNCTION("""COMPUTED_VALUE"""),0)</f>
        <v>0</v>
      </c>
      <c r="I210" s="170">
        <f ca="1">IFERROR(__xludf.DUMMYFUNCTION("""COMPUTED_VALUE"""),0)</f>
        <v>0</v>
      </c>
      <c r="J210" s="170">
        <f ca="1">IFERROR(__xludf.DUMMYFUNCTION("""COMPUTED_VALUE"""),0)</f>
        <v>0</v>
      </c>
      <c r="K210" s="170">
        <f ca="1">IFERROR(__xludf.DUMMYFUNCTION("""COMPUTED_VALUE"""),0)</f>
        <v>0</v>
      </c>
      <c r="L210" s="170">
        <f ca="1">IFERROR(__xludf.DUMMYFUNCTION("""COMPUTED_VALUE"""),0)</f>
        <v>0</v>
      </c>
      <c r="M210" s="170">
        <f ca="1">IFERROR(__xludf.DUMMYFUNCTION("""COMPUTED_VALUE"""),0)</f>
        <v>0</v>
      </c>
      <c r="N210" s="170">
        <f ca="1">IFERROR(__xludf.DUMMYFUNCTION("""COMPUTED_VALUE"""),0)</f>
        <v>0</v>
      </c>
      <c r="O210" s="170">
        <f ca="1">IFERROR(__xludf.DUMMYFUNCTION("""COMPUTED_VALUE"""),2081.2)</f>
        <v>2081.1999999999998</v>
      </c>
      <c r="P210" s="170">
        <f ca="1">IFERROR(__xludf.DUMMYFUNCTION("""COMPUTED_VALUE"""),0)</f>
        <v>0</v>
      </c>
      <c r="Q210" s="170">
        <f ca="1">IFERROR(__xludf.DUMMYFUNCTION("""COMPUTED_VALUE"""),0)</f>
        <v>0</v>
      </c>
      <c r="R210" s="170">
        <f ca="1">IFERROR(__xludf.DUMMYFUNCTION("""COMPUTED_VALUE"""),0)</f>
        <v>0</v>
      </c>
      <c r="S210" s="170">
        <f ca="1">IFERROR(__xludf.DUMMYFUNCTION("""COMPUTED_VALUE"""),0)</f>
        <v>0</v>
      </c>
      <c r="T210" s="170">
        <f ca="1">IFERROR(__xludf.DUMMYFUNCTION("""COMPUTED_VALUE"""),0)</f>
        <v>0</v>
      </c>
      <c r="U210" s="170">
        <f ca="1"/>
        <v>2081.1999999999998</v>
      </c>
    </row>
    <row r="211" spans="1:21" ht="12.75">
      <c r="A211" s="162" t="str">
        <f ca="1">IFERROR(__xludf.DUMMYFUNCTION("""COMPUTED_VALUE"""),"Gurupi")</f>
        <v>Gurupi</v>
      </c>
      <c r="B211" s="162" t="str">
        <f ca="1">IFERROR(__xludf.DUMMYFUNCTION("""COMPUTED_VALUE"""),"Formoso do Araguaia")</f>
        <v>Formoso do Araguaia</v>
      </c>
      <c r="C211" s="163" t="str">
        <f ca="1">IFERROR(__xludf.DUMMYFUNCTION("""COMPUTED_VALUE"""),"ASSOCIAÇÃO DE APOIO DA ESCOLA INDÍGENA TEMANARE")</f>
        <v>ASSOCIAÇÃO DE APOIO DA ESCOLA INDÍGENA TEMANARE</v>
      </c>
      <c r="D211" s="164" t="str">
        <f ca="1">IFERROR(__xludf.DUMMYFUNCTION("""COMPUTED_VALUE"""),"47800676000123")</f>
        <v>47800676000123</v>
      </c>
      <c r="E211" s="165" t="str">
        <f ca="1">IFERROR(__xludf.DUMMYFUNCTION("""COMPUTED_VALUE"""),"001")</f>
        <v>001</v>
      </c>
      <c r="F211" s="165" t="str">
        <f ca="1">IFERROR(__xludf.DUMMYFUNCTION("""COMPUTED_VALUE"""),"3123")</f>
        <v>3123</v>
      </c>
      <c r="G211" s="165" t="str">
        <f ca="1">IFERROR(__xludf.DUMMYFUNCTION("""COMPUTED_VALUE"""),"207160")</f>
        <v>207160</v>
      </c>
      <c r="H211" s="165">
        <f ca="1">IFERROR(__xludf.DUMMYFUNCTION("""COMPUTED_VALUE"""),0)</f>
        <v>0</v>
      </c>
      <c r="I211" s="165">
        <f ca="1">IFERROR(__xludf.DUMMYFUNCTION("""COMPUTED_VALUE"""),0)</f>
        <v>0</v>
      </c>
      <c r="J211" s="165">
        <f ca="1">IFERROR(__xludf.DUMMYFUNCTION("""COMPUTED_VALUE"""),0)</f>
        <v>0</v>
      </c>
      <c r="K211" s="165">
        <f ca="1">IFERROR(__xludf.DUMMYFUNCTION("""COMPUTED_VALUE"""),0)</f>
        <v>0</v>
      </c>
      <c r="L211" s="165">
        <f ca="1">IFERROR(__xludf.DUMMYFUNCTION("""COMPUTED_VALUE"""),0)</f>
        <v>0</v>
      </c>
      <c r="M211" s="165">
        <f ca="1">IFERROR(__xludf.DUMMYFUNCTION("""COMPUTED_VALUE"""),0)</f>
        <v>0</v>
      </c>
      <c r="N211" s="165">
        <f ca="1">IFERROR(__xludf.DUMMYFUNCTION("""COMPUTED_VALUE"""),0)</f>
        <v>0</v>
      </c>
      <c r="O211" s="165">
        <f ca="1">IFERROR(__xludf.DUMMYFUNCTION("""COMPUTED_VALUE"""),1685.6)</f>
        <v>1685.6</v>
      </c>
      <c r="P211" s="165">
        <f ca="1">IFERROR(__xludf.DUMMYFUNCTION("""COMPUTED_VALUE"""),0)</f>
        <v>0</v>
      </c>
      <c r="Q211" s="165">
        <f ca="1">IFERROR(__xludf.DUMMYFUNCTION("""COMPUTED_VALUE"""),0)</f>
        <v>0</v>
      </c>
      <c r="R211" s="165">
        <f ca="1">IFERROR(__xludf.DUMMYFUNCTION("""COMPUTED_VALUE"""),0)</f>
        <v>0</v>
      </c>
      <c r="S211" s="165">
        <f ca="1">IFERROR(__xludf.DUMMYFUNCTION("""COMPUTED_VALUE"""),0)</f>
        <v>0</v>
      </c>
      <c r="T211" s="165">
        <f ca="1">IFERROR(__xludf.DUMMYFUNCTION("""COMPUTED_VALUE"""),0)</f>
        <v>0</v>
      </c>
      <c r="U211" s="165">
        <f ca="1"/>
        <v>1685.6</v>
      </c>
    </row>
    <row r="212" spans="1:21" ht="12.75">
      <c r="A212" s="167" t="str">
        <f ca="1">IFERROR(__xludf.DUMMYFUNCTION("""COMPUTED_VALUE"""),"Gurupi")</f>
        <v>Gurupi</v>
      </c>
      <c r="B212" s="167" t="str">
        <f ca="1">IFERROR(__xludf.DUMMYFUNCTION("""COMPUTED_VALUE"""),"Formoso do Araguaia")</f>
        <v>Formoso do Araguaia</v>
      </c>
      <c r="C212" s="168" t="str">
        <f ca="1">IFERROR(__xludf.DUMMYFUNCTION("""COMPUTED_VALUE"""),"ASSOCIAÇÃO DE APOIO ESCOLAR DA ESCOLA INDÍGENA TXUIRI HINÃ")</f>
        <v>ASSOCIAÇÃO DE APOIO ESCOLAR DA ESCOLA INDÍGENA TXUIRI HINÃ</v>
      </c>
      <c r="D212" s="169" t="str">
        <f ca="1">IFERROR(__xludf.DUMMYFUNCTION("""COMPUTED_VALUE"""),"47801073000146")</f>
        <v>47801073000146</v>
      </c>
      <c r="E212" s="170" t="str">
        <f ca="1">IFERROR(__xludf.DUMMYFUNCTION("""COMPUTED_VALUE"""),"001")</f>
        <v>001</v>
      </c>
      <c r="F212" s="170" t="str">
        <f ca="1">IFERROR(__xludf.DUMMYFUNCTION("""COMPUTED_VALUE"""),"3123")</f>
        <v>3123</v>
      </c>
      <c r="G212" s="170" t="str">
        <f ca="1">IFERROR(__xludf.DUMMYFUNCTION("""COMPUTED_VALUE"""),"206458")</f>
        <v>206458</v>
      </c>
      <c r="H212" s="170">
        <f ca="1">IFERROR(__xludf.DUMMYFUNCTION("""COMPUTED_VALUE"""),0)</f>
        <v>0</v>
      </c>
      <c r="I212" s="170">
        <f ca="1">IFERROR(__xludf.DUMMYFUNCTION("""COMPUTED_VALUE"""),0)</f>
        <v>0</v>
      </c>
      <c r="J212" s="170">
        <f ca="1">IFERROR(__xludf.DUMMYFUNCTION("""COMPUTED_VALUE"""),0)</f>
        <v>0</v>
      </c>
      <c r="K212" s="170">
        <f ca="1">IFERROR(__xludf.DUMMYFUNCTION("""COMPUTED_VALUE"""),0)</f>
        <v>0</v>
      </c>
      <c r="L212" s="170">
        <f ca="1">IFERROR(__xludf.DUMMYFUNCTION("""COMPUTED_VALUE"""),0)</f>
        <v>0</v>
      </c>
      <c r="M212" s="170">
        <f ca="1">IFERROR(__xludf.DUMMYFUNCTION("""COMPUTED_VALUE"""),0)</f>
        <v>0</v>
      </c>
      <c r="N212" s="170">
        <f ca="1">IFERROR(__xludf.DUMMYFUNCTION("""COMPUTED_VALUE"""),0)</f>
        <v>0</v>
      </c>
      <c r="O212" s="170">
        <f ca="1">IFERROR(__xludf.DUMMYFUNCTION("""COMPUTED_VALUE"""),1341.6)</f>
        <v>1341.6</v>
      </c>
      <c r="P212" s="170">
        <f ca="1">IFERROR(__xludf.DUMMYFUNCTION("""COMPUTED_VALUE"""),0)</f>
        <v>0</v>
      </c>
      <c r="Q212" s="170">
        <f ca="1">IFERROR(__xludf.DUMMYFUNCTION("""COMPUTED_VALUE"""),0)</f>
        <v>0</v>
      </c>
      <c r="R212" s="170">
        <f ca="1">IFERROR(__xludf.DUMMYFUNCTION("""COMPUTED_VALUE"""),0)</f>
        <v>0</v>
      </c>
      <c r="S212" s="170">
        <f ca="1">IFERROR(__xludf.DUMMYFUNCTION("""COMPUTED_VALUE"""),0)</f>
        <v>0</v>
      </c>
      <c r="T212" s="170">
        <f ca="1">IFERROR(__xludf.DUMMYFUNCTION("""COMPUTED_VALUE"""),0)</f>
        <v>0</v>
      </c>
      <c r="U212" s="170">
        <f ca="1"/>
        <v>1341.6</v>
      </c>
    </row>
    <row r="213" spans="1:21" ht="12.75">
      <c r="A213" s="162" t="str">
        <f ca="1">IFERROR(__xludf.DUMMYFUNCTION("""COMPUTED_VALUE"""),"Gurupi")</f>
        <v>Gurupi</v>
      </c>
      <c r="B213" s="162" t="str">
        <f ca="1">IFERROR(__xludf.DUMMYFUNCTION("""COMPUTED_VALUE"""),"Formoso do Araguaia")</f>
        <v>Formoso do Araguaia</v>
      </c>
      <c r="C213" s="163" t="str">
        <f ca="1">IFERROR(__xludf.DUMMYFUNCTION("""COMPUTED_VALUE"""),"ASSOCIAÇÃO DE APOIO ESCOLAR DA ESCOLA INDÍGENA WATAKURI")</f>
        <v>ASSOCIAÇÃO DE APOIO ESCOLAR DA ESCOLA INDÍGENA WATAKURI</v>
      </c>
      <c r="D213" s="164" t="str">
        <f ca="1">IFERROR(__xludf.DUMMYFUNCTION("""COMPUTED_VALUE"""),"48057828000102")</f>
        <v>48057828000102</v>
      </c>
      <c r="E213" s="165" t="str">
        <f ca="1">IFERROR(__xludf.DUMMYFUNCTION("""COMPUTED_VALUE"""),"001")</f>
        <v>001</v>
      </c>
      <c r="F213" s="165" t="str">
        <f ca="1">IFERROR(__xludf.DUMMYFUNCTION("""COMPUTED_VALUE"""),"3123")</f>
        <v>3123</v>
      </c>
      <c r="G213" s="165" t="str">
        <f ca="1">IFERROR(__xludf.DUMMYFUNCTION("""COMPUTED_VALUE"""),"206695")</f>
        <v>206695</v>
      </c>
      <c r="H213" s="165">
        <f ca="1">IFERROR(__xludf.DUMMYFUNCTION("""COMPUTED_VALUE"""),0)</f>
        <v>0</v>
      </c>
      <c r="I213" s="165">
        <f ca="1">IFERROR(__xludf.DUMMYFUNCTION("""COMPUTED_VALUE"""),0)</f>
        <v>0</v>
      </c>
      <c r="J213" s="165">
        <f ca="1">IFERROR(__xludf.DUMMYFUNCTION("""COMPUTED_VALUE"""),0)</f>
        <v>0</v>
      </c>
      <c r="K213" s="165">
        <f ca="1">IFERROR(__xludf.DUMMYFUNCTION("""COMPUTED_VALUE"""),0)</f>
        <v>0</v>
      </c>
      <c r="L213" s="165">
        <f ca="1">IFERROR(__xludf.DUMMYFUNCTION("""COMPUTED_VALUE"""),0)</f>
        <v>0</v>
      </c>
      <c r="M213" s="165">
        <f ca="1">IFERROR(__xludf.DUMMYFUNCTION("""COMPUTED_VALUE"""),0)</f>
        <v>0</v>
      </c>
      <c r="N213" s="165">
        <f ca="1">IFERROR(__xludf.DUMMYFUNCTION("""COMPUTED_VALUE"""),0)</f>
        <v>0</v>
      </c>
      <c r="O213" s="165">
        <f ca="1">IFERROR(__xludf.DUMMYFUNCTION("""COMPUTED_VALUE"""),1341.6)</f>
        <v>1341.6</v>
      </c>
      <c r="P213" s="165">
        <f ca="1">IFERROR(__xludf.DUMMYFUNCTION("""COMPUTED_VALUE"""),0)</f>
        <v>0</v>
      </c>
      <c r="Q213" s="165">
        <f ca="1">IFERROR(__xludf.DUMMYFUNCTION("""COMPUTED_VALUE"""),0)</f>
        <v>0</v>
      </c>
      <c r="R213" s="165">
        <f ca="1">IFERROR(__xludf.DUMMYFUNCTION("""COMPUTED_VALUE"""),0)</f>
        <v>0</v>
      </c>
      <c r="S213" s="165">
        <f ca="1">IFERROR(__xludf.DUMMYFUNCTION("""COMPUTED_VALUE"""),0)</f>
        <v>0</v>
      </c>
      <c r="T213" s="165">
        <f ca="1">IFERROR(__xludf.DUMMYFUNCTION("""COMPUTED_VALUE"""),0)</f>
        <v>0</v>
      </c>
      <c r="U213" s="165">
        <f ca="1"/>
        <v>1341.6</v>
      </c>
    </row>
    <row r="214" spans="1:21" ht="12.75">
      <c r="A214" s="167" t="str">
        <f ca="1">IFERROR(__xludf.DUMMYFUNCTION("""COMPUTED_VALUE"""),"Gurupi")</f>
        <v>Gurupi</v>
      </c>
      <c r="B214" s="167" t="str">
        <f ca="1">IFERROR(__xludf.DUMMYFUNCTION("""COMPUTED_VALUE"""),"Gurupi")</f>
        <v>Gurupi</v>
      </c>
      <c r="C214" s="168" t="str">
        <f ca="1">IFERROR(__xludf.DUMMYFUNCTION("""COMPUTED_VALUE"""),"A.A. ESC. EST.ISOL.E IND.REG.DE GURUPI")</f>
        <v>A.A. ESC. EST.ISOL.E IND.REG.DE GURUPI</v>
      </c>
      <c r="D214" s="169" t="str">
        <f ca="1">IFERROR(__xludf.DUMMYFUNCTION("""COMPUTED_VALUE"""),"03011592000135")</f>
        <v>03011592000135</v>
      </c>
      <c r="E214" s="170" t="str">
        <f ca="1">IFERROR(__xludf.DUMMYFUNCTION("""COMPUTED_VALUE"""),"001")</f>
        <v>001</v>
      </c>
      <c r="F214" s="170" t="str">
        <f ca="1">IFERROR(__xludf.DUMMYFUNCTION("""COMPUTED_VALUE"""),"0794")</f>
        <v>0794</v>
      </c>
      <c r="G214" s="170" t="str">
        <f ca="1">IFERROR(__xludf.DUMMYFUNCTION("""COMPUTED_VALUE"""),"67563")</f>
        <v>67563</v>
      </c>
      <c r="H214" s="170">
        <f ca="1">IFERROR(__xludf.DUMMYFUNCTION("""COMPUTED_VALUE"""),0)</f>
        <v>0</v>
      </c>
      <c r="I214" s="170">
        <f ca="1">IFERROR(__xludf.DUMMYFUNCTION("""COMPUTED_VALUE"""),0)</f>
        <v>0</v>
      </c>
      <c r="J214" s="170">
        <f ca="1">IFERROR(__xludf.DUMMYFUNCTION("""COMPUTED_VALUE"""),0)</f>
        <v>0</v>
      </c>
      <c r="K214" s="170">
        <f ca="1">IFERROR(__xludf.DUMMYFUNCTION("""COMPUTED_VALUE"""),0)</f>
        <v>0</v>
      </c>
      <c r="L214" s="170">
        <f ca="1">IFERROR(__xludf.DUMMYFUNCTION("""COMPUTED_VALUE"""),0)</f>
        <v>0</v>
      </c>
      <c r="M214" s="170">
        <f ca="1">IFERROR(__xludf.DUMMYFUNCTION("""COMPUTED_VALUE"""),0)</f>
        <v>0</v>
      </c>
      <c r="N214" s="170">
        <f ca="1">IFERROR(__xludf.DUMMYFUNCTION("""COMPUTED_VALUE"""),0)</f>
        <v>0</v>
      </c>
      <c r="O214" s="170">
        <f ca="1">IFERROR(__xludf.DUMMYFUNCTION("""COMPUTED_VALUE"""),2803.6)</f>
        <v>2803.6</v>
      </c>
      <c r="P214" s="170">
        <f ca="1">IFERROR(__xludf.DUMMYFUNCTION("""COMPUTED_VALUE"""),0)</f>
        <v>0</v>
      </c>
      <c r="Q214" s="170">
        <f ca="1">IFERROR(__xludf.DUMMYFUNCTION("""COMPUTED_VALUE"""),0)</f>
        <v>0</v>
      </c>
      <c r="R214" s="170">
        <f ca="1">IFERROR(__xludf.DUMMYFUNCTION("""COMPUTED_VALUE"""),0)</f>
        <v>0</v>
      </c>
      <c r="S214" s="170">
        <f ca="1">IFERROR(__xludf.DUMMYFUNCTION("""COMPUTED_VALUE"""),0)</f>
        <v>0</v>
      </c>
      <c r="T214" s="170">
        <f ca="1">IFERROR(__xludf.DUMMYFUNCTION("""COMPUTED_VALUE"""),0)</f>
        <v>0</v>
      </c>
      <c r="U214" s="170">
        <f ca="1"/>
        <v>2803.6</v>
      </c>
    </row>
    <row r="215" spans="1:21" ht="12.75">
      <c r="A215" s="162" t="str">
        <f ca="1">IFERROR(__xludf.DUMMYFUNCTION("""COMPUTED_VALUE"""),"Gurupi")</f>
        <v>Gurupi</v>
      </c>
      <c r="B215" s="162" t="str">
        <f ca="1">IFERROR(__xludf.DUMMYFUNCTION("""COMPUTED_VALUE"""),"Gurupi")</f>
        <v>Gurupi</v>
      </c>
      <c r="C215" s="163" t="str">
        <f ca="1">IFERROR(__xludf.DUMMYFUNCTION("""COMPUTED_VALUE"""),"ASSOC. A. CENTRO DE ENS. MÉDIO ARY R. VALADÃO FILHO")</f>
        <v>ASSOC. A. CENTRO DE ENS. MÉDIO ARY R. VALADÃO FILHO</v>
      </c>
      <c r="D215" s="164" t="str">
        <f ca="1">IFERROR(__xludf.DUMMYFUNCTION("""COMPUTED_VALUE"""),"02152392000130")</f>
        <v>02152392000130</v>
      </c>
      <c r="E215" s="165" t="str">
        <f ca="1">IFERROR(__xludf.DUMMYFUNCTION("""COMPUTED_VALUE"""),"001")</f>
        <v>001</v>
      </c>
      <c r="F215" s="165" t="str">
        <f ca="1">IFERROR(__xludf.DUMMYFUNCTION("""COMPUTED_VALUE"""),"0794")</f>
        <v>0794</v>
      </c>
      <c r="G215" s="165" t="str">
        <f ca="1">IFERROR(__xludf.DUMMYFUNCTION("""COMPUTED_VALUE"""),"420646")</f>
        <v>420646</v>
      </c>
      <c r="H215" s="165">
        <f ca="1">IFERROR(__xludf.DUMMYFUNCTION("""COMPUTED_VALUE"""),0)</f>
        <v>0</v>
      </c>
      <c r="I215" s="165">
        <f ca="1">IFERROR(__xludf.DUMMYFUNCTION("""COMPUTED_VALUE"""),0)</f>
        <v>0</v>
      </c>
      <c r="J215" s="165">
        <f ca="1">IFERROR(__xludf.DUMMYFUNCTION("""COMPUTED_VALUE"""),0)</f>
        <v>0</v>
      </c>
      <c r="K215" s="165">
        <f ca="1">IFERROR(__xludf.DUMMYFUNCTION("""COMPUTED_VALUE"""),0)</f>
        <v>0</v>
      </c>
      <c r="L215" s="165">
        <f ca="1">IFERROR(__xludf.DUMMYFUNCTION("""COMPUTED_VALUE"""),0)</f>
        <v>0</v>
      </c>
      <c r="M215" s="165">
        <f ca="1">IFERROR(__xludf.DUMMYFUNCTION("""COMPUTED_VALUE"""),0)</f>
        <v>0</v>
      </c>
      <c r="N215" s="165">
        <f ca="1">IFERROR(__xludf.DUMMYFUNCTION("""COMPUTED_VALUE"""),0)</f>
        <v>0</v>
      </c>
      <c r="O215" s="165">
        <f ca="1">IFERROR(__xludf.DUMMYFUNCTION("""COMPUTED_VALUE"""),0)</f>
        <v>0</v>
      </c>
      <c r="P215" s="165">
        <f ca="1">IFERROR(__xludf.DUMMYFUNCTION("""COMPUTED_VALUE"""),394.4)</f>
        <v>394.4</v>
      </c>
      <c r="Q215" s="165">
        <f ca="1">IFERROR(__xludf.DUMMYFUNCTION("""COMPUTED_VALUE"""),7860)</f>
        <v>7860</v>
      </c>
      <c r="R215" s="165">
        <f ca="1">IFERROR(__xludf.DUMMYFUNCTION("""COMPUTED_VALUE"""),0)</f>
        <v>0</v>
      </c>
      <c r="S215" s="165">
        <f ca="1">IFERROR(__xludf.DUMMYFUNCTION("""COMPUTED_VALUE"""),0)</f>
        <v>0</v>
      </c>
      <c r="T215" s="165">
        <f ca="1">IFERROR(__xludf.DUMMYFUNCTION("""COMPUTED_VALUE"""),0)</f>
        <v>0</v>
      </c>
      <c r="U215" s="165">
        <f ca="1"/>
        <v>8254.4</v>
      </c>
    </row>
    <row r="216" spans="1:21" ht="12.75">
      <c r="A216" s="167" t="str">
        <f ca="1">IFERROR(__xludf.DUMMYFUNCTION("""COMPUTED_VALUE"""),"Gurupi")</f>
        <v>Gurupi</v>
      </c>
      <c r="B216" s="167" t="str">
        <f ca="1">IFERROR(__xludf.DUMMYFUNCTION("""COMPUTED_VALUE"""),"Gurupi")</f>
        <v>Gurupi</v>
      </c>
      <c r="C216" s="168" t="str">
        <f ca="1">IFERROR(__xludf.DUMMYFUNCTION("""COMPUTED_VALUE"""),"ASSOC. DE APOIO ESC. EST. BOM JESUS")</f>
        <v>ASSOC. DE APOIO ESC. EST. BOM JESUS</v>
      </c>
      <c r="D216" s="169" t="str">
        <f ca="1">IFERROR(__xludf.DUMMYFUNCTION("""COMPUTED_VALUE"""),"01865430000139")</f>
        <v>01865430000139</v>
      </c>
      <c r="E216" s="170" t="str">
        <f ca="1">IFERROR(__xludf.DUMMYFUNCTION("""COMPUTED_VALUE"""),"001")</f>
        <v>001</v>
      </c>
      <c r="F216" s="170" t="str">
        <f ca="1">IFERROR(__xludf.DUMMYFUNCTION("""COMPUTED_VALUE"""),"0794")</f>
        <v>0794</v>
      </c>
      <c r="G216" s="170" t="str">
        <f ca="1">IFERROR(__xludf.DUMMYFUNCTION("""COMPUTED_VALUE"""),"420603")</f>
        <v>420603</v>
      </c>
      <c r="H216" s="170">
        <f ca="1">IFERROR(__xludf.DUMMYFUNCTION("""COMPUTED_VALUE"""),0)</f>
        <v>0</v>
      </c>
      <c r="I216" s="170">
        <f ca="1">IFERROR(__xludf.DUMMYFUNCTION("""COMPUTED_VALUE"""),0)</f>
        <v>0</v>
      </c>
      <c r="J216" s="170">
        <f ca="1">IFERROR(__xludf.DUMMYFUNCTION("""COMPUTED_VALUE"""),0)</f>
        <v>0</v>
      </c>
      <c r="K216" s="170">
        <f ca="1">IFERROR(__xludf.DUMMYFUNCTION("""COMPUTED_VALUE"""),0)</f>
        <v>0</v>
      </c>
      <c r="L216" s="170">
        <f ca="1">IFERROR(__xludf.DUMMYFUNCTION("""COMPUTED_VALUE"""),0)</f>
        <v>0</v>
      </c>
      <c r="M216" s="170">
        <f ca="1">IFERROR(__xludf.DUMMYFUNCTION("""COMPUTED_VALUE"""),0)</f>
        <v>0</v>
      </c>
      <c r="N216" s="170">
        <f ca="1">IFERROR(__xludf.DUMMYFUNCTION("""COMPUTED_VALUE"""),0)</f>
        <v>0</v>
      </c>
      <c r="O216" s="170">
        <f ca="1">IFERROR(__xludf.DUMMYFUNCTION("""COMPUTED_VALUE"""),0)</f>
        <v>0</v>
      </c>
      <c r="P216" s="170">
        <f ca="1">IFERROR(__xludf.DUMMYFUNCTION("""COMPUTED_VALUE"""),231.2)</f>
        <v>231.2</v>
      </c>
      <c r="Q216" s="170">
        <f ca="1">IFERROR(__xludf.DUMMYFUNCTION("""COMPUTED_VALUE"""),0)</f>
        <v>0</v>
      </c>
      <c r="R216" s="170">
        <f ca="1">IFERROR(__xludf.DUMMYFUNCTION("""COMPUTED_VALUE"""),0)</f>
        <v>0</v>
      </c>
      <c r="S216" s="170">
        <f ca="1">IFERROR(__xludf.DUMMYFUNCTION("""COMPUTED_VALUE"""),14950.4)</f>
        <v>14950.4</v>
      </c>
      <c r="T216" s="170">
        <f ca="1">IFERROR(__xludf.DUMMYFUNCTION("""COMPUTED_VALUE"""),0)</f>
        <v>0</v>
      </c>
      <c r="U216" s="170">
        <f ca="1"/>
        <v>15181.6</v>
      </c>
    </row>
    <row r="217" spans="1:21" ht="12.75">
      <c r="A217" s="162" t="str">
        <f ca="1">IFERROR(__xludf.DUMMYFUNCTION("""COMPUTED_VALUE"""),"Gurupi")</f>
        <v>Gurupi</v>
      </c>
      <c r="B217" s="162" t="str">
        <f ca="1">IFERROR(__xludf.DUMMYFUNCTION("""COMPUTED_VALUE"""),"Gurupi")</f>
        <v>Gurupi</v>
      </c>
      <c r="C217" s="163" t="str">
        <f ca="1">IFERROR(__xludf.DUMMYFUNCTION("""COMPUTED_VALUE"""),"ASSOC. DE APOIO COL. EST. DE GURUPI")</f>
        <v>ASSOC. DE APOIO COL. EST. DE GURUPI</v>
      </c>
      <c r="D217" s="164" t="str">
        <f ca="1">IFERROR(__xludf.DUMMYFUNCTION("""COMPUTED_VALUE"""),"01887135000183")</f>
        <v>01887135000183</v>
      </c>
      <c r="E217" s="165" t="str">
        <f ca="1">IFERROR(__xludf.DUMMYFUNCTION("""COMPUTED_VALUE"""),"001")</f>
        <v>001</v>
      </c>
      <c r="F217" s="165" t="str">
        <f ca="1">IFERROR(__xludf.DUMMYFUNCTION("""COMPUTED_VALUE"""),"0794")</f>
        <v>0794</v>
      </c>
      <c r="G217" s="165" t="str">
        <f ca="1">IFERROR(__xludf.DUMMYFUNCTION("""COMPUTED_VALUE"""),"420700")</f>
        <v>420700</v>
      </c>
      <c r="H217" s="165">
        <f ca="1">IFERROR(__xludf.DUMMYFUNCTION("""COMPUTED_VALUE"""),0)</f>
        <v>0</v>
      </c>
      <c r="I217" s="165">
        <f ca="1">IFERROR(__xludf.DUMMYFUNCTION("""COMPUTED_VALUE"""),0)</f>
        <v>0</v>
      </c>
      <c r="J217" s="165">
        <f ca="1">IFERROR(__xludf.DUMMYFUNCTION("""COMPUTED_VALUE"""),0)</f>
        <v>0</v>
      </c>
      <c r="K217" s="165">
        <f ca="1">IFERROR(__xludf.DUMMYFUNCTION("""COMPUTED_VALUE"""),0)</f>
        <v>0</v>
      </c>
      <c r="L217" s="165">
        <f ca="1">IFERROR(__xludf.DUMMYFUNCTION("""COMPUTED_VALUE"""),0)</f>
        <v>0</v>
      </c>
      <c r="M217" s="165">
        <f ca="1">IFERROR(__xludf.DUMMYFUNCTION("""COMPUTED_VALUE"""),0)</f>
        <v>0</v>
      </c>
      <c r="N217" s="165">
        <f ca="1">IFERROR(__xludf.DUMMYFUNCTION("""COMPUTED_VALUE"""),0)</f>
        <v>0</v>
      </c>
      <c r="O217" s="165">
        <f ca="1">IFERROR(__xludf.DUMMYFUNCTION("""COMPUTED_VALUE"""),0)</f>
        <v>0</v>
      </c>
      <c r="P217" s="165">
        <f ca="1">IFERROR(__xludf.DUMMYFUNCTION("""COMPUTED_VALUE"""),108.8)</f>
        <v>108.8</v>
      </c>
      <c r="Q217" s="165">
        <f ca="1">IFERROR(__xludf.DUMMYFUNCTION("""COMPUTED_VALUE"""),0)</f>
        <v>0</v>
      </c>
      <c r="R217" s="165">
        <f ca="1">IFERROR(__xludf.DUMMYFUNCTION("""COMPUTED_VALUE"""),0)</f>
        <v>0</v>
      </c>
      <c r="S217" s="165">
        <f ca="1">IFERROR(__xludf.DUMMYFUNCTION("""COMPUTED_VALUE"""),4710.4)</f>
        <v>4710.3999999999996</v>
      </c>
      <c r="T217" s="165">
        <f ca="1">IFERROR(__xludf.DUMMYFUNCTION("""COMPUTED_VALUE"""),0)</f>
        <v>0</v>
      </c>
      <c r="U217" s="165">
        <f ca="1"/>
        <v>4819.2</v>
      </c>
    </row>
    <row r="218" spans="1:21" ht="12.75">
      <c r="A218" s="167" t="str">
        <f ca="1">IFERROR(__xludf.DUMMYFUNCTION("""COMPUTED_VALUE"""),"Gurupi")</f>
        <v>Gurupi</v>
      </c>
      <c r="B218" s="167" t="str">
        <f ca="1">IFERROR(__xludf.DUMMYFUNCTION("""COMPUTED_VALUE"""),"Gurupi")</f>
        <v>Gurupi</v>
      </c>
      <c r="C218" s="168" t="str">
        <f ca="1">IFERROR(__xludf.DUMMYFUNCTION("""COMPUTED_VALUE"""),"A.A.  DO COL. PAROQUIAL BERNARDO SAYAO")</f>
        <v>A.A.  DO COL. PAROQUIAL BERNARDO SAYAO</v>
      </c>
      <c r="D218" s="169" t="str">
        <f ca="1">IFERROR(__xludf.DUMMYFUNCTION("""COMPUTED_VALUE"""),"01865371000107")</f>
        <v>01865371000107</v>
      </c>
      <c r="E218" s="170" t="str">
        <f ca="1">IFERROR(__xludf.DUMMYFUNCTION("""COMPUTED_VALUE"""),"001")</f>
        <v>001</v>
      </c>
      <c r="F218" s="170" t="str">
        <f ca="1">IFERROR(__xludf.DUMMYFUNCTION("""COMPUTED_VALUE"""),"0794")</f>
        <v>0794</v>
      </c>
      <c r="G218" s="170" t="str">
        <f ca="1">IFERROR(__xludf.DUMMYFUNCTION("""COMPUTED_VALUE"""),"66796")</f>
        <v>66796</v>
      </c>
      <c r="H218" s="170">
        <f ca="1">IFERROR(__xludf.DUMMYFUNCTION("""COMPUTED_VALUE"""),0)</f>
        <v>0</v>
      </c>
      <c r="I218" s="170">
        <f ca="1">IFERROR(__xludf.DUMMYFUNCTION("""COMPUTED_VALUE"""),0)</f>
        <v>0</v>
      </c>
      <c r="J218" s="170">
        <f ca="1">IFERROR(__xludf.DUMMYFUNCTION("""COMPUTED_VALUE"""),5310)</f>
        <v>5310</v>
      </c>
      <c r="K218" s="170">
        <f ca="1">IFERROR(__xludf.DUMMYFUNCTION("""COMPUTED_VALUE"""),0)</f>
        <v>0</v>
      </c>
      <c r="L218" s="170">
        <f ca="1">IFERROR(__xludf.DUMMYFUNCTION("""COMPUTED_VALUE"""),0)</f>
        <v>0</v>
      </c>
      <c r="M218" s="170">
        <f ca="1">IFERROR(__xludf.DUMMYFUNCTION("""COMPUTED_VALUE"""),0)</f>
        <v>0</v>
      </c>
      <c r="N218" s="170">
        <f ca="1">IFERROR(__xludf.DUMMYFUNCTION("""COMPUTED_VALUE"""),0)</f>
        <v>0</v>
      </c>
      <c r="O218" s="170">
        <f ca="1">IFERROR(__xludf.DUMMYFUNCTION("""COMPUTED_VALUE"""),0)</f>
        <v>0</v>
      </c>
      <c r="P218" s="170">
        <f ca="1">IFERROR(__xludf.DUMMYFUNCTION("""COMPUTED_VALUE"""),435.2)</f>
        <v>435.2</v>
      </c>
      <c r="Q218" s="170">
        <f ca="1">IFERROR(__xludf.DUMMYFUNCTION("""COMPUTED_VALUE"""),0)</f>
        <v>0</v>
      </c>
      <c r="R218" s="170">
        <f ca="1">IFERROR(__xludf.DUMMYFUNCTION("""COMPUTED_VALUE"""),0)</f>
        <v>0</v>
      </c>
      <c r="S218" s="170">
        <f ca="1">IFERROR(__xludf.DUMMYFUNCTION("""COMPUTED_VALUE"""),0)</f>
        <v>0</v>
      </c>
      <c r="T218" s="170">
        <f ca="1">IFERROR(__xludf.DUMMYFUNCTION("""COMPUTED_VALUE"""),0)</f>
        <v>0</v>
      </c>
      <c r="U218" s="170">
        <f ca="1"/>
        <v>5745.2</v>
      </c>
    </row>
    <row r="219" spans="1:21" ht="12.75">
      <c r="A219" s="162" t="str">
        <f ca="1">IFERROR(__xludf.DUMMYFUNCTION("""COMPUTED_VALUE"""),"Gurupi")</f>
        <v>Gurupi</v>
      </c>
      <c r="B219" s="162" t="str">
        <f ca="1">IFERROR(__xludf.DUMMYFUNCTION("""COMPUTED_VALUE"""),"Gurupi")</f>
        <v>Gurupi</v>
      </c>
      <c r="C219" s="163" t="str">
        <f ca="1">IFERROR(__xludf.DUMMYFUNCTION("""COMPUTED_VALUE"""),"A.A.  ESCOLAR DO COL. EST. JOSE SEABRA")</f>
        <v>A.A.  ESCOLAR DO COL. EST. JOSE SEABRA</v>
      </c>
      <c r="D219" s="164" t="str">
        <f ca="1">IFERROR(__xludf.DUMMYFUNCTION("""COMPUTED_VALUE"""),"01910570000181")</f>
        <v>01910570000181</v>
      </c>
      <c r="E219" s="165" t="str">
        <f ca="1">IFERROR(__xludf.DUMMYFUNCTION("""COMPUTED_VALUE"""),"001")</f>
        <v>001</v>
      </c>
      <c r="F219" s="165" t="str">
        <f ca="1">IFERROR(__xludf.DUMMYFUNCTION("""COMPUTED_VALUE"""),"0794")</f>
        <v>0794</v>
      </c>
      <c r="G219" s="165" t="str">
        <f ca="1">IFERROR(__xludf.DUMMYFUNCTION("""COMPUTED_VALUE"""),"66982")</f>
        <v>66982</v>
      </c>
      <c r="H219" s="165">
        <f ca="1">IFERROR(__xludf.DUMMYFUNCTION("""COMPUTED_VALUE"""),0)</f>
        <v>0</v>
      </c>
      <c r="I219" s="165">
        <f ca="1">IFERROR(__xludf.DUMMYFUNCTION("""COMPUTED_VALUE"""),0)</f>
        <v>0</v>
      </c>
      <c r="J219" s="165">
        <f ca="1">IFERROR(__xludf.DUMMYFUNCTION("""COMPUTED_VALUE"""),0)</f>
        <v>0</v>
      </c>
      <c r="K219" s="165">
        <f ca="1">IFERROR(__xludf.DUMMYFUNCTION("""COMPUTED_VALUE"""),17426.3999999999)</f>
        <v>17426.3999999999</v>
      </c>
      <c r="L219" s="165">
        <f ca="1">IFERROR(__xludf.DUMMYFUNCTION("""COMPUTED_VALUE"""),0)</f>
        <v>0</v>
      </c>
      <c r="M219" s="165">
        <f ca="1">IFERROR(__xludf.DUMMYFUNCTION("""COMPUTED_VALUE"""),0)</f>
        <v>0</v>
      </c>
      <c r="N219" s="165">
        <f ca="1">IFERROR(__xludf.DUMMYFUNCTION("""COMPUTED_VALUE"""),0)</f>
        <v>0</v>
      </c>
      <c r="O219" s="165">
        <f ca="1">IFERROR(__xludf.DUMMYFUNCTION("""COMPUTED_VALUE"""),0)</f>
        <v>0</v>
      </c>
      <c r="P219" s="165">
        <f ca="1">IFERROR(__xludf.DUMMYFUNCTION("""COMPUTED_VALUE"""),0)</f>
        <v>0</v>
      </c>
      <c r="Q219" s="165">
        <f ca="1">IFERROR(__xludf.DUMMYFUNCTION("""COMPUTED_VALUE"""),0)</f>
        <v>0</v>
      </c>
      <c r="R219" s="165">
        <f ca="1">IFERROR(__xludf.DUMMYFUNCTION("""COMPUTED_VALUE"""),0)</f>
        <v>0</v>
      </c>
      <c r="S219" s="165">
        <f ca="1">IFERROR(__xludf.DUMMYFUNCTION("""COMPUTED_VALUE"""),0)</f>
        <v>0</v>
      </c>
      <c r="T219" s="165">
        <f ca="1">IFERROR(__xludf.DUMMYFUNCTION("""COMPUTED_VALUE"""),0)</f>
        <v>0</v>
      </c>
      <c r="U219" s="165">
        <f ca="1"/>
        <v>17426.3999999999</v>
      </c>
    </row>
    <row r="220" spans="1:21" ht="12.75">
      <c r="A220" s="167" t="str">
        <f ca="1">IFERROR(__xludf.DUMMYFUNCTION("""COMPUTED_VALUE"""),"Gurupi")</f>
        <v>Gurupi</v>
      </c>
      <c r="B220" s="167" t="str">
        <f ca="1">IFERROR(__xludf.DUMMYFUNCTION("""COMPUTED_VALUE"""),"Gurupi")</f>
        <v>Gurupi</v>
      </c>
      <c r="C220" s="168" t="str">
        <f ca="1">IFERROR(__xludf.DUMMYFUNCTION("""COMPUTED_VALUE"""),"A.P.M.AL.MAIORES DE ID.C.POSITIVO GURUPI")</f>
        <v>A.P.M.AL.MAIORES DE ID.C.POSITIVO GURUPI</v>
      </c>
      <c r="D220" s="169" t="str">
        <f ca="1">IFERROR(__xludf.DUMMYFUNCTION("""COMPUTED_VALUE"""),"01865432000128")</f>
        <v>01865432000128</v>
      </c>
      <c r="E220" s="170" t="str">
        <f ca="1">IFERROR(__xludf.DUMMYFUNCTION("""COMPUTED_VALUE"""),"104")</f>
        <v>104</v>
      </c>
      <c r="F220" s="170" t="str">
        <f ca="1">IFERROR(__xludf.DUMMYFUNCTION("""COMPUTED_VALUE"""),"0793")</f>
        <v>0793</v>
      </c>
      <c r="G220" s="170" t="str">
        <f ca="1">IFERROR(__xludf.DUMMYFUNCTION("""COMPUTED_VALUE"""),"12138")</f>
        <v>12138</v>
      </c>
      <c r="H220" s="170">
        <f ca="1">IFERROR(__xludf.DUMMYFUNCTION("""COMPUTED_VALUE"""),0)</f>
        <v>0</v>
      </c>
      <c r="I220" s="170">
        <f ca="1">IFERROR(__xludf.DUMMYFUNCTION("""COMPUTED_VALUE"""),0)</f>
        <v>0</v>
      </c>
      <c r="J220" s="170">
        <f ca="1">IFERROR(__xludf.DUMMYFUNCTION("""COMPUTED_VALUE"""),4510)</f>
        <v>4510</v>
      </c>
      <c r="K220" s="170">
        <f ca="1">IFERROR(__xludf.DUMMYFUNCTION("""COMPUTED_VALUE"""),0)</f>
        <v>0</v>
      </c>
      <c r="L220" s="170">
        <f ca="1">IFERROR(__xludf.DUMMYFUNCTION("""COMPUTED_VALUE"""),0)</f>
        <v>0</v>
      </c>
      <c r="M220" s="170">
        <f ca="1">IFERROR(__xludf.DUMMYFUNCTION("""COMPUTED_VALUE"""),0)</f>
        <v>0</v>
      </c>
      <c r="N220" s="170">
        <f ca="1">IFERROR(__xludf.DUMMYFUNCTION("""COMPUTED_VALUE"""),0)</f>
        <v>0</v>
      </c>
      <c r="O220" s="170">
        <f ca="1">IFERROR(__xludf.DUMMYFUNCTION("""COMPUTED_VALUE"""),0)</f>
        <v>0</v>
      </c>
      <c r="P220" s="170">
        <f ca="1">IFERROR(__xludf.DUMMYFUNCTION("""COMPUTED_VALUE"""),0)</f>
        <v>0</v>
      </c>
      <c r="Q220" s="170">
        <f ca="1">IFERROR(__xludf.DUMMYFUNCTION("""COMPUTED_VALUE"""),0)</f>
        <v>0</v>
      </c>
      <c r="R220" s="170">
        <f ca="1">IFERROR(__xludf.DUMMYFUNCTION("""COMPUTED_VALUE"""),0)</f>
        <v>0</v>
      </c>
      <c r="S220" s="170">
        <f ca="1">IFERROR(__xludf.DUMMYFUNCTION("""COMPUTED_VALUE"""),0)</f>
        <v>0</v>
      </c>
      <c r="T220" s="170">
        <f ca="1">IFERROR(__xludf.DUMMYFUNCTION("""COMPUTED_VALUE"""),0)</f>
        <v>0</v>
      </c>
      <c r="U220" s="170">
        <f ca="1"/>
        <v>4510</v>
      </c>
    </row>
    <row r="221" spans="1:21" ht="12.75">
      <c r="A221" s="162" t="str">
        <f ca="1">IFERROR(__xludf.DUMMYFUNCTION("""COMPUTED_VALUE"""),"Gurupi")</f>
        <v>Gurupi</v>
      </c>
      <c r="B221" s="162" t="str">
        <f ca="1">IFERROR(__xludf.DUMMYFUNCTION("""COMPUTED_VALUE"""),"Gurupi")</f>
        <v>Gurupi</v>
      </c>
      <c r="C221" s="163" t="str">
        <f ca="1">IFERROR(__xludf.DUMMYFUNCTION("""COMPUTED_VALUE"""),"INSTITUTO SOCIAL EVANG DE GURUPI/EDUC. EVANG. EBENÉZER")</f>
        <v>INSTITUTO SOCIAL EVANG DE GURUPI/EDUC. EVANG. EBENÉZER</v>
      </c>
      <c r="D221" s="164" t="str">
        <f ca="1">IFERROR(__xludf.DUMMYFUNCTION("""COMPUTED_VALUE"""),"17194297000176")</f>
        <v>17194297000176</v>
      </c>
      <c r="E221" s="165" t="str">
        <f ca="1">IFERROR(__xludf.DUMMYFUNCTION("""COMPUTED_VALUE"""),"001")</f>
        <v>001</v>
      </c>
      <c r="F221" s="165" t="str">
        <f ca="1">IFERROR(__xludf.DUMMYFUNCTION("""COMPUTED_VALUE"""),"0794")</f>
        <v>0794</v>
      </c>
      <c r="G221" s="165" t="str">
        <f ca="1">IFERROR(__xludf.DUMMYFUNCTION("""COMPUTED_VALUE"""),"493066")</f>
        <v>493066</v>
      </c>
      <c r="H221" s="165">
        <f ca="1">IFERROR(__xludf.DUMMYFUNCTION("""COMPUTED_VALUE"""),0)</f>
        <v>0</v>
      </c>
      <c r="I221" s="165">
        <f ca="1">IFERROR(__xludf.DUMMYFUNCTION("""COMPUTED_VALUE"""),0)</f>
        <v>0</v>
      </c>
      <c r="J221" s="165">
        <f ca="1">IFERROR(__xludf.DUMMYFUNCTION("""COMPUTED_VALUE"""),7500)</f>
        <v>7500</v>
      </c>
      <c r="K221" s="165">
        <f ca="1">IFERROR(__xludf.DUMMYFUNCTION("""COMPUTED_VALUE"""),0)</f>
        <v>0</v>
      </c>
      <c r="L221" s="165">
        <f ca="1">IFERROR(__xludf.DUMMYFUNCTION("""COMPUTED_VALUE"""),0)</f>
        <v>0</v>
      </c>
      <c r="M221" s="165">
        <f ca="1">IFERROR(__xludf.DUMMYFUNCTION("""COMPUTED_VALUE"""),0)</f>
        <v>0</v>
      </c>
      <c r="N221" s="165">
        <f ca="1">IFERROR(__xludf.DUMMYFUNCTION("""COMPUTED_VALUE"""),0)</f>
        <v>0</v>
      </c>
      <c r="O221" s="165">
        <f ca="1">IFERROR(__xludf.DUMMYFUNCTION("""COMPUTED_VALUE"""),0)</f>
        <v>0</v>
      </c>
      <c r="P221" s="165">
        <f ca="1">IFERROR(__xludf.DUMMYFUNCTION("""COMPUTED_VALUE"""),0)</f>
        <v>0</v>
      </c>
      <c r="Q221" s="165">
        <f ca="1">IFERROR(__xludf.DUMMYFUNCTION("""COMPUTED_VALUE"""),0)</f>
        <v>0</v>
      </c>
      <c r="R221" s="165">
        <f ca="1">IFERROR(__xludf.DUMMYFUNCTION("""COMPUTED_VALUE"""),0)</f>
        <v>0</v>
      </c>
      <c r="S221" s="165">
        <f ca="1">IFERROR(__xludf.DUMMYFUNCTION("""COMPUTED_VALUE"""),0)</f>
        <v>0</v>
      </c>
      <c r="T221" s="165">
        <f ca="1">IFERROR(__xludf.DUMMYFUNCTION("""COMPUTED_VALUE"""),0)</f>
        <v>0</v>
      </c>
      <c r="U221" s="165">
        <f ca="1"/>
        <v>7500</v>
      </c>
    </row>
    <row r="222" spans="1:21" ht="12.75">
      <c r="A222" s="167" t="str">
        <f ca="1">IFERROR(__xludf.DUMMYFUNCTION("""COMPUTED_VALUE"""),"Gurupi")</f>
        <v>Gurupi</v>
      </c>
      <c r="B222" s="167" t="str">
        <f ca="1">IFERROR(__xludf.DUMMYFUNCTION("""COMPUTED_VALUE"""),"Gurupi")</f>
        <v>Gurupi</v>
      </c>
      <c r="C222" s="168" t="str">
        <f ca="1">IFERROR(__xludf.DUMMYFUNCTION("""COMPUTED_VALUE"""),"ASSOCIAÇÃO DE APOIO A ESCOLA ESPECIAL SÃO FRANCISCO DE ASSIS")</f>
        <v>ASSOCIAÇÃO DE APOIO A ESCOLA ESPECIAL SÃO FRANCISCO DE ASSIS</v>
      </c>
      <c r="D222" s="169" t="str">
        <f ca="1">IFERROR(__xludf.DUMMYFUNCTION("""COMPUTED_VALUE"""),"07947356000186")</f>
        <v>07947356000186</v>
      </c>
      <c r="E222" s="170" t="str">
        <f ca="1">IFERROR(__xludf.DUMMYFUNCTION("""COMPUTED_VALUE"""),"001")</f>
        <v>001</v>
      </c>
      <c r="F222" s="170" t="str">
        <f ca="1">IFERROR(__xludf.DUMMYFUNCTION("""COMPUTED_VALUE"""),"0794")</f>
        <v>0794</v>
      </c>
      <c r="G222" s="170" t="str">
        <f ca="1">IFERROR(__xludf.DUMMYFUNCTION("""COMPUTED_VALUE"""),"431109")</f>
        <v>431109</v>
      </c>
      <c r="H222" s="170">
        <f ca="1">IFERROR(__xludf.DUMMYFUNCTION("""COMPUTED_VALUE"""),0)</f>
        <v>0</v>
      </c>
      <c r="I222" s="170">
        <f ca="1">IFERROR(__xludf.DUMMYFUNCTION("""COMPUTED_VALUE"""),331.2)</f>
        <v>331.2</v>
      </c>
      <c r="J222" s="170">
        <f ca="1">IFERROR(__xludf.DUMMYFUNCTION("""COMPUTED_VALUE"""),220)</f>
        <v>220</v>
      </c>
      <c r="K222" s="170">
        <f ca="1">IFERROR(__xludf.DUMMYFUNCTION("""COMPUTED_VALUE"""),0)</f>
        <v>0</v>
      </c>
      <c r="L222" s="170">
        <f ca="1">IFERROR(__xludf.DUMMYFUNCTION("""COMPUTED_VALUE"""),0)</f>
        <v>0</v>
      </c>
      <c r="M222" s="170">
        <f ca="1">IFERROR(__xludf.DUMMYFUNCTION("""COMPUTED_VALUE"""),0)</f>
        <v>0</v>
      </c>
      <c r="N222" s="170">
        <f ca="1">IFERROR(__xludf.DUMMYFUNCTION("""COMPUTED_VALUE"""),0)</f>
        <v>0</v>
      </c>
      <c r="O222" s="170">
        <f ca="1">IFERROR(__xludf.DUMMYFUNCTION("""COMPUTED_VALUE"""),0)</f>
        <v>0</v>
      </c>
      <c r="P222" s="170">
        <f ca="1">IFERROR(__xludf.DUMMYFUNCTION("""COMPUTED_VALUE"""),258.4)</f>
        <v>258.39999999999998</v>
      </c>
      <c r="Q222" s="170">
        <f ca="1">IFERROR(__xludf.DUMMYFUNCTION("""COMPUTED_VALUE"""),0)</f>
        <v>0</v>
      </c>
      <c r="R222" s="170">
        <f ca="1">IFERROR(__xludf.DUMMYFUNCTION("""COMPUTED_VALUE"""),0)</f>
        <v>0</v>
      </c>
      <c r="S222" s="170">
        <f ca="1">IFERROR(__xludf.DUMMYFUNCTION("""COMPUTED_VALUE"""),0)</f>
        <v>0</v>
      </c>
      <c r="T222" s="170">
        <f ca="1">IFERROR(__xludf.DUMMYFUNCTION("""COMPUTED_VALUE"""),926.599999999999)</f>
        <v>926.599999999999</v>
      </c>
      <c r="U222" s="170">
        <f ca="1"/>
        <v>1736.1999999999989</v>
      </c>
    </row>
    <row r="223" spans="1:21" ht="12.75">
      <c r="A223" s="162" t="str">
        <f ca="1">IFERROR(__xludf.DUMMYFUNCTION("""COMPUTED_VALUE"""),"Gurupi")</f>
        <v>Gurupi</v>
      </c>
      <c r="B223" s="162" t="str">
        <f ca="1">IFERROR(__xludf.DUMMYFUNCTION("""COMPUTED_VALUE"""),"Gurupi")</f>
        <v>Gurupi</v>
      </c>
      <c r="C223" s="163" t="str">
        <f ca="1">IFERROR(__xludf.DUMMYFUNCTION("""COMPUTED_VALUE"""),"A.A. ESC. EST. DR. JOAQUIM P. DA COSTA")</f>
        <v>A.A. ESC. EST. DR. JOAQUIM P. DA COSTA</v>
      </c>
      <c r="D223" s="164" t="str">
        <f ca="1">IFERROR(__xludf.DUMMYFUNCTION("""COMPUTED_VALUE"""),"01865386000167")</f>
        <v>01865386000167</v>
      </c>
      <c r="E223" s="165" t="str">
        <f ca="1">IFERROR(__xludf.DUMMYFUNCTION("""COMPUTED_VALUE"""),"001")</f>
        <v>001</v>
      </c>
      <c r="F223" s="165" t="str">
        <f ca="1">IFERROR(__xludf.DUMMYFUNCTION("""COMPUTED_VALUE"""),"0794")</f>
        <v>0794</v>
      </c>
      <c r="G223" s="165" t="str">
        <f ca="1">IFERROR(__xludf.DUMMYFUNCTION("""COMPUTED_VALUE"""),"67288")</f>
        <v>67288</v>
      </c>
      <c r="H223" s="165">
        <f ca="1">IFERROR(__xludf.DUMMYFUNCTION("""COMPUTED_VALUE"""),0)</f>
        <v>0</v>
      </c>
      <c r="I223" s="165">
        <f ca="1">IFERROR(__xludf.DUMMYFUNCTION("""COMPUTED_VALUE"""),0)</f>
        <v>0</v>
      </c>
      <c r="J223" s="165">
        <f ca="1">IFERROR(__xludf.DUMMYFUNCTION("""COMPUTED_VALUE"""),2250)</f>
        <v>2250</v>
      </c>
      <c r="K223" s="165">
        <f ca="1">IFERROR(__xludf.DUMMYFUNCTION("""COMPUTED_VALUE"""),0)</f>
        <v>0</v>
      </c>
      <c r="L223" s="165">
        <f ca="1">IFERROR(__xludf.DUMMYFUNCTION("""COMPUTED_VALUE"""),0)</f>
        <v>0</v>
      </c>
      <c r="M223" s="165">
        <f ca="1">IFERROR(__xludf.DUMMYFUNCTION("""COMPUTED_VALUE"""),0)</f>
        <v>0</v>
      </c>
      <c r="N223" s="165">
        <f ca="1">IFERROR(__xludf.DUMMYFUNCTION("""COMPUTED_VALUE"""),0)</f>
        <v>0</v>
      </c>
      <c r="O223" s="165">
        <f ca="1">IFERROR(__xludf.DUMMYFUNCTION("""COMPUTED_VALUE"""),0)</f>
        <v>0</v>
      </c>
      <c r="P223" s="165">
        <f ca="1">IFERROR(__xludf.DUMMYFUNCTION("""COMPUTED_VALUE"""),462.4)</f>
        <v>462.4</v>
      </c>
      <c r="Q223" s="165">
        <f ca="1">IFERROR(__xludf.DUMMYFUNCTION("""COMPUTED_VALUE"""),6610)</f>
        <v>6610</v>
      </c>
      <c r="R223" s="165">
        <f ca="1">IFERROR(__xludf.DUMMYFUNCTION("""COMPUTED_VALUE"""),0)</f>
        <v>0</v>
      </c>
      <c r="S223" s="165">
        <f ca="1">IFERROR(__xludf.DUMMYFUNCTION("""COMPUTED_VALUE"""),0)</f>
        <v>0</v>
      </c>
      <c r="T223" s="165">
        <f ca="1">IFERROR(__xludf.DUMMYFUNCTION("""COMPUTED_VALUE"""),426.4)</f>
        <v>426.4</v>
      </c>
      <c r="U223" s="165">
        <f ca="1"/>
        <v>9748.7999999999993</v>
      </c>
    </row>
    <row r="224" spans="1:21" ht="12.75">
      <c r="A224" s="167" t="str">
        <f ca="1">IFERROR(__xludf.DUMMYFUNCTION("""COMPUTED_VALUE"""),"Gurupi")</f>
        <v>Gurupi</v>
      </c>
      <c r="B224" s="167" t="str">
        <f ca="1">IFERROR(__xludf.DUMMYFUNCTION("""COMPUTED_VALUE"""),"Gurupi")</f>
        <v>Gurupi</v>
      </c>
      <c r="C224" s="168" t="str">
        <f ca="1">IFERROR(__xludf.DUMMYFUNCTION("""COMPUTED_VALUE"""),"A.A. ESCOLAR DA ESC. EST. DR.WALDIR LINS")</f>
        <v>A.A. ESCOLAR DA ESC. EST. DR.WALDIR LINS</v>
      </c>
      <c r="D224" s="169" t="str">
        <f ca="1">IFERROR(__xludf.DUMMYFUNCTION("""COMPUTED_VALUE"""),"01936535000131")</f>
        <v>01936535000131</v>
      </c>
      <c r="E224" s="170" t="str">
        <f ca="1">IFERROR(__xludf.DUMMYFUNCTION("""COMPUTED_VALUE"""),"001")</f>
        <v>001</v>
      </c>
      <c r="F224" s="170" t="str">
        <f ca="1">IFERROR(__xludf.DUMMYFUNCTION("""COMPUTED_VALUE"""),"0794")</f>
        <v>0794</v>
      </c>
      <c r="G224" s="170" t="str">
        <f ca="1">IFERROR(__xludf.DUMMYFUNCTION("""COMPUTED_VALUE"""),"66966")</f>
        <v>66966</v>
      </c>
      <c r="H224" s="170">
        <f ca="1">IFERROR(__xludf.DUMMYFUNCTION("""COMPUTED_VALUE"""),0)</f>
        <v>0</v>
      </c>
      <c r="I224" s="170">
        <f ca="1">IFERROR(__xludf.DUMMYFUNCTION("""COMPUTED_VALUE"""),0)</f>
        <v>0</v>
      </c>
      <c r="J224" s="170">
        <f ca="1">IFERROR(__xludf.DUMMYFUNCTION("""COMPUTED_VALUE"""),40)</f>
        <v>40</v>
      </c>
      <c r="K224" s="170">
        <f ca="1">IFERROR(__xludf.DUMMYFUNCTION("""COMPUTED_VALUE"""),0)</f>
        <v>0</v>
      </c>
      <c r="L224" s="170">
        <f ca="1">IFERROR(__xludf.DUMMYFUNCTION("""COMPUTED_VALUE"""),0)</f>
        <v>0</v>
      </c>
      <c r="M224" s="170">
        <f ca="1">IFERROR(__xludf.DUMMYFUNCTION("""COMPUTED_VALUE"""),0)</f>
        <v>0</v>
      </c>
      <c r="N224" s="170">
        <f ca="1">IFERROR(__xludf.DUMMYFUNCTION("""COMPUTED_VALUE"""),0)</f>
        <v>0</v>
      </c>
      <c r="O224" s="170">
        <f ca="1">IFERROR(__xludf.DUMMYFUNCTION("""COMPUTED_VALUE"""),0)</f>
        <v>0</v>
      </c>
      <c r="P224" s="170">
        <f ca="1">IFERROR(__xludf.DUMMYFUNCTION("""COMPUTED_VALUE"""),163.2)</f>
        <v>163.19999999999999</v>
      </c>
      <c r="Q224" s="170">
        <f ca="1">IFERROR(__xludf.DUMMYFUNCTION("""COMPUTED_VALUE"""),1130)</f>
        <v>1130</v>
      </c>
      <c r="R224" s="170">
        <f ca="1">IFERROR(__xludf.DUMMYFUNCTION("""COMPUTED_VALUE"""),0)</f>
        <v>0</v>
      </c>
      <c r="S224" s="170">
        <f ca="1">IFERROR(__xludf.DUMMYFUNCTION("""COMPUTED_VALUE"""),0)</f>
        <v>0</v>
      </c>
      <c r="T224" s="170">
        <f ca="1">IFERROR(__xludf.DUMMYFUNCTION("""COMPUTED_VALUE"""),0)</f>
        <v>0</v>
      </c>
      <c r="U224" s="170">
        <f ca="1"/>
        <v>1333.2</v>
      </c>
    </row>
    <row r="225" spans="1:21" ht="12.75">
      <c r="A225" s="162" t="str">
        <f ca="1">IFERROR(__xludf.DUMMYFUNCTION("""COMPUTED_VALUE"""),"Gurupi")</f>
        <v>Gurupi</v>
      </c>
      <c r="B225" s="162" t="str">
        <f ca="1">IFERROR(__xludf.DUMMYFUNCTION("""COMPUTED_VALUE"""),"Gurupi")</f>
        <v>Gurupi</v>
      </c>
      <c r="C225" s="163" t="str">
        <f ca="1">IFERROR(__xludf.DUMMYFUNCTION("""COMPUTED_VALUE"""),"A. EDUCACIONAL PRES. COSTA E SILVA")</f>
        <v>A. EDUCACIONAL PRES. COSTA E SILVA</v>
      </c>
      <c r="D225" s="164" t="str">
        <f ca="1">IFERROR(__xludf.DUMMYFUNCTION("""COMPUTED_VALUE"""),"01888719000173")</f>
        <v>01888719000173</v>
      </c>
      <c r="E225" s="165" t="str">
        <f ca="1">IFERROR(__xludf.DUMMYFUNCTION("""COMPUTED_VALUE"""),"001")</f>
        <v>001</v>
      </c>
      <c r="F225" s="165" t="str">
        <f ca="1">IFERROR(__xludf.DUMMYFUNCTION("""COMPUTED_VALUE"""),"0794")</f>
        <v>0794</v>
      </c>
      <c r="G225" s="165" t="str">
        <f ca="1">IFERROR(__xludf.DUMMYFUNCTION("""COMPUTED_VALUE"""),"67490")</f>
        <v>67490</v>
      </c>
      <c r="H225" s="165">
        <f ca="1">IFERROR(__xludf.DUMMYFUNCTION("""COMPUTED_VALUE"""),0)</f>
        <v>0</v>
      </c>
      <c r="I225" s="165">
        <f ca="1">IFERROR(__xludf.DUMMYFUNCTION("""COMPUTED_VALUE"""),0)</f>
        <v>0</v>
      </c>
      <c r="J225" s="165">
        <f ca="1">IFERROR(__xludf.DUMMYFUNCTION("""COMPUTED_VALUE"""),0)</f>
        <v>0</v>
      </c>
      <c r="K225" s="165">
        <f ca="1">IFERROR(__xludf.DUMMYFUNCTION("""COMPUTED_VALUE"""),22742)</f>
        <v>22742</v>
      </c>
      <c r="L225" s="165">
        <f ca="1">IFERROR(__xludf.DUMMYFUNCTION("""COMPUTED_VALUE"""),0)</f>
        <v>0</v>
      </c>
      <c r="M225" s="165">
        <f ca="1">IFERROR(__xludf.DUMMYFUNCTION("""COMPUTED_VALUE"""),0)</f>
        <v>0</v>
      </c>
      <c r="N225" s="165">
        <f ca="1">IFERROR(__xludf.DUMMYFUNCTION("""COMPUTED_VALUE"""),0)</f>
        <v>0</v>
      </c>
      <c r="O225" s="165">
        <f ca="1">IFERROR(__xludf.DUMMYFUNCTION("""COMPUTED_VALUE"""),0)</f>
        <v>0</v>
      </c>
      <c r="P225" s="165">
        <f ca="1">IFERROR(__xludf.DUMMYFUNCTION("""COMPUTED_VALUE"""),734.4)</f>
        <v>734.4</v>
      </c>
      <c r="Q225" s="165">
        <f ca="1">IFERROR(__xludf.DUMMYFUNCTION("""COMPUTED_VALUE"""),0)</f>
        <v>0</v>
      </c>
      <c r="R225" s="165">
        <f ca="1">IFERROR(__xludf.DUMMYFUNCTION("""COMPUTED_VALUE"""),8220)</f>
        <v>8220</v>
      </c>
      <c r="S225" s="165">
        <f ca="1">IFERROR(__xludf.DUMMYFUNCTION("""COMPUTED_VALUE"""),0)</f>
        <v>0</v>
      </c>
      <c r="T225" s="165">
        <f ca="1">IFERROR(__xludf.DUMMYFUNCTION("""COMPUTED_VALUE"""),0)</f>
        <v>0</v>
      </c>
      <c r="U225" s="165">
        <f ca="1"/>
        <v>31696.400000000001</v>
      </c>
    </row>
    <row r="226" spans="1:21" ht="12.75">
      <c r="A226" s="167" t="str">
        <f ca="1">IFERROR(__xludf.DUMMYFUNCTION("""COMPUTED_VALUE"""),"Gurupi")</f>
        <v>Gurupi</v>
      </c>
      <c r="B226" s="167" t="str">
        <f ca="1">IFERROR(__xludf.DUMMYFUNCTION("""COMPUTED_VALUE"""),"Gurupi")</f>
        <v>Gurupi</v>
      </c>
      <c r="C226" s="168" t="str">
        <f ca="1">IFERROR(__xludf.DUMMYFUNCTION("""COMPUTED_VALUE"""),"A.A. ESC. EST. HERCILIA CARVALHO DA SILVA")</f>
        <v>A.A. ESC. EST. HERCILIA CARVALHO DA SILVA</v>
      </c>
      <c r="D226" s="169" t="str">
        <f ca="1">IFERROR(__xludf.DUMMYFUNCTION("""COMPUTED_VALUE"""),"01465790000143")</f>
        <v>01465790000143</v>
      </c>
      <c r="E226" s="170" t="str">
        <f ca="1">IFERROR(__xludf.DUMMYFUNCTION("""COMPUTED_VALUE"""),"001")</f>
        <v>001</v>
      </c>
      <c r="F226" s="170" t="str">
        <f ca="1">IFERROR(__xludf.DUMMYFUNCTION("""COMPUTED_VALUE"""),"0794")</f>
        <v>0794</v>
      </c>
      <c r="G226" s="170" t="str">
        <f ca="1">IFERROR(__xludf.DUMMYFUNCTION("""COMPUTED_VALUE"""),"66834")</f>
        <v>66834</v>
      </c>
      <c r="H226" s="170">
        <f ca="1">IFERROR(__xludf.DUMMYFUNCTION("""COMPUTED_VALUE"""),0)</f>
        <v>0</v>
      </c>
      <c r="I226" s="170">
        <f ca="1">IFERROR(__xludf.DUMMYFUNCTION("""COMPUTED_VALUE"""),0)</f>
        <v>0</v>
      </c>
      <c r="J226" s="170">
        <f ca="1">IFERROR(__xludf.DUMMYFUNCTION("""COMPUTED_VALUE"""),3180)</f>
        <v>3180</v>
      </c>
      <c r="K226" s="170">
        <f ca="1">IFERROR(__xludf.DUMMYFUNCTION("""COMPUTED_VALUE"""),0)</f>
        <v>0</v>
      </c>
      <c r="L226" s="170">
        <f ca="1">IFERROR(__xludf.DUMMYFUNCTION("""COMPUTED_VALUE"""),0)</f>
        <v>0</v>
      </c>
      <c r="M226" s="170">
        <f ca="1">IFERROR(__xludf.DUMMYFUNCTION("""COMPUTED_VALUE"""),0)</f>
        <v>0</v>
      </c>
      <c r="N226" s="170">
        <f ca="1">IFERROR(__xludf.DUMMYFUNCTION("""COMPUTED_VALUE"""),0)</f>
        <v>0</v>
      </c>
      <c r="O226" s="170">
        <f ca="1">IFERROR(__xludf.DUMMYFUNCTION("""COMPUTED_VALUE"""),0)</f>
        <v>0</v>
      </c>
      <c r="P226" s="170">
        <f ca="1">IFERROR(__xludf.DUMMYFUNCTION("""COMPUTED_VALUE"""),244.799999999999)</f>
        <v>244.79999999999899</v>
      </c>
      <c r="Q226" s="170">
        <f ca="1">IFERROR(__xludf.DUMMYFUNCTION("""COMPUTED_VALUE"""),1660)</f>
        <v>1660</v>
      </c>
      <c r="R226" s="170">
        <f ca="1">IFERROR(__xludf.DUMMYFUNCTION("""COMPUTED_VALUE"""),0)</f>
        <v>0</v>
      </c>
      <c r="S226" s="170">
        <f ca="1">IFERROR(__xludf.DUMMYFUNCTION("""COMPUTED_VALUE"""),0)</f>
        <v>0</v>
      </c>
      <c r="T226" s="170">
        <f ca="1">IFERROR(__xludf.DUMMYFUNCTION("""COMPUTED_VALUE"""),0)</f>
        <v>0</v>
      </c>
      <c r="U226" s="170">
        <f ca="1"/>
        <v>5084.7999999999993</v>
      </c>
    </row>
    <row r="227" spans="1:21" ht="12.75">
      <c r="A227" s="162" t="str">
        <f ca="1">IFERROR(__xludf.DUMMYFUNCTION("""COMPUTED_VALUE"""),"Gurupi")</f>
        <v>Gurupi</v>
      </c>
      <c r="B227" s="162" t="str">
        <f ca="1">IFERROR(__xludf.DUMMYFUNCTION("""COMPUTED_VALUE"""),"Gurupi")</f>
        <v>Gurupi</v>
      </c>
      <c r="C227" s="163" t="str">
        <f ca="1">IFERROR(__xludf.DUMMYFUNCTION("""COMPUTED_VALUE"""),"A.A. DA ESCOLA ESTADUAL RUI BARBOSA")</f>
        <v>A.A. DA ESCOLA ESTADUAL RUI BARBOSA</v>
      </c>
      <c r="D227" s="164" t="str">
        <f ca="1">IFERROR(__xludf.DUMMYFUNCTION("""COMPUTED_VALUE"""),"43753475000161")</f>
        <v>43753475000161</v>
      </c>
      <c r="E227" s="165" t="str">
        <f ca="1">IFERROR(__xludf.DUMMYFUNCTION("""COMPUTED_VALUE"""),"001")</f>
        <v>001</v>
      </c>
      <c r="F227" s="165" t="str">
        <f ca="1">IFERROR(__xludf.DUMMYFUNCTION("""COMPUTED_VALUE"""),"0794")</f>
        <v>0794</v>
      </c>
      <c r="G227" s="165" t="str">
        <f ca="1">IFERROR(__xludf.DUMMYFUNCTION("""COMPUTED_VALUE"""),"682969")</f>
        <v>682969</v>
      </c>
      <c r="H227" s="165">
        <f ca="1">IFERROR(__xludf.DUMMYFUNCTION("""COMPUTED_VALUE"""),0)</f>
        <v>0</v>
      </c>
      <c r="I227" s="165">
        <f ca="1">IFERROR(__xludf.DUMMYFUNCTION("""COMPUTED_VALUE"""),0)</f>
        <v>0</v>
      </c>
      <c r="J227" s="165">
        <f ca="1">IFERROR(__xludf.DUMMYFUNCTION("""COMPUTED_VALUE"""),0)</f>
        <v>0</v>
      </c>
      <c r="K227" s="165">
        <f ca="1">IFERROR(__xludf.DUMMYFUNCTION("""COMPUTED_VALUE"""),0)</f>
        <v>0</v>
      </c>
      <c r="L227" s="165">
        <f ca="1">IFERROR(__xludf.DUMMYFUNCTION("""COMPUTED_VALUE"""),0)</f>
        <v>0</v>
      </c>
      <c r="M227" s="165">
        <f ca="1">IFERROR(__xludf.DUMMYFUNCTION("""COMPUTED_VALUE"""),0)</f>
        <v>0</v>
      </c>
      <c r="N227" s="165">
        <f ca="1">IFERROR(__xludf.DUMMYFUNCTION("""COMPUTED_VALUE"""),0)</f>
        <v>0</v>
      </c>
      <c r="O227" s="165">
        <f ca="1">IFERROR(__xludf.DUMMYFUNCTION("""COMPUTED_VALUE"""),0)</f>
        <v>0</v>
      </c>
      <c r="P227" s="165">
        <f ca="1">IFERROR(__xludf.DUMMYFUNCTION("""COMPUTED_VALUE"""),0)</f>
        <v>0</v>
      </c>
      <c r="Q227" s="165">
        <f ca="1">IFERROR(__xludf.DUMMYFUNCTION("""COMPUTED_VALUE"""),0)</f>
        <v>0</v>
      </c>
      <c r="R227" s="165">
        <f ca="1">IFERROR(__xludf.DUMMYFUNCTION("""COMPUTED_VALUE"""),0)</f>
        <v>0</v>
      </c>
      <c r="S227" s="165">
        <f ca="1">IFERROR(__xludf.DUMMYFUNCTION("""COMPUTED_VALUE"""),0)</f>
        <v>0</v>
      </c>
      <c r="T227" s="165">
        <f ca="1">IFERROR(__xludf.DUMMYFUNCTION("""COMPUTED_VALUE"""),2025.39999999999)</f>
        <v>2025.3999999999901</v>
      </c>
      <c r="U227" s="165">
        <f ca="1"/>
        <v>2025.3999999999901</v>
      </c>
    </row>
    <row r="228" spans="1:21" ht="12.75">
      <c r="A228" s="167" t="str">
        <f ca="1">IFERROR(__xludf.DUMMYFUNCTION("""COMPUTED_VALUE"""),"Gurupi")</f>
        <v>Gurupi</v>
      </c>
      <c r="B228" s="167" t="str">
        <f ca="1">IFERROR(__xludf.DUMMYFUNCTION("""COMPUTED_VALUE"""),"Gurupi")</f>
        <v>Gurupi</v>
      </c>
      <c r="C228" s="168" t="str">
        <f ca="1">IFERROR(__xludf.DUMMYFUNCTION("""COMPUTED_VALUE"""),"A. DE PAIS E MESTRES/ESC. EST. VILA GUARACY")</f>
        <v>A. DE PAIS E MESTRES/ESC. EST. VILA GUARACY</v>
      </c>
      <c r="D228" s="169" t="str">
        <f ca="1">IFERROR(__xludf.DUMMYFUNCTION("""COMPUTED_VALUE"""),"01918955000195")</f>
        <v>01918955000195</v>
      </c>
      <c r="E228" s="170" t="str">
        <f ca="1">IFERROR(__xludf.DUMMYFUNCTION("""COMPUTED_VALUE"""),"001")</f>
        <v>001</v>
      </c>
      <c r="F228" s="170" t="str">
        <f ca="1">IFERROR(__xludf.DUMMYFUNCTION("""COMPUTED_VALUE"""),"0794")</f>
        <v>0794</v>
      </c>
      <c r="G228" s="170" t="str">
        <f ca="1">IFERROR(__xludf.DUMMYFUNCTION("""COMPUTED_VALUE"""),"67008")</f>
        <v>67008</v>
      </c>
      <c r="H228" s="170">
        <f ca="1">IFERROR(__xludf.DUMMYFUNCTION("""COMPUTED_VALUE"""),0)</f>
        <v>0</v>
      </c>
      <c r="I228" s="170">
        <f ca="1">IFERROR(__xludf.DUMMYFUNCTION("""COMPUTED_VALUE"""),0)</f>
        <v>0</v>
      </c>
      <c r="J228" s="170">
        <f ca="1">IFERROR(__xludf.DUMMYFUNCTION("""COMPUTED_VALUE"""),1760)</f>
        <v>1760</v>
      </c>
      <c r="K228" s="170">
        <f ca="1">IFERROR(__xludf.DUMMYFUNCTION("""COMPUTED_VALUE"""),0)</f>
        <v>0</v>
      </c>
      <c r="L228" s="170">
        <f ca="1">IFERROR(__xludf.DUMMYFUNCTION("""COMPUTED_VALUE"""),0)</f>
        <v>0</v>
      </c>
      <c r="M228" s="170">
        <f ca="1">IFERROR(__xludf.DUMMYFUNCTION("""COMPUTED_VALUE"""),0)</f>
        <v>0</v>
      </c>
      <c r="N228" s="170">
        <f ca="1">IFERROR(__xludf.DUMMYFUNCTION("""COMPUTED_VALUE"""),0)</f>
        <v>0</v>
      </c>
      <c r="O228" s="170">
        <f ca="1">IFERROR(__xludf.DUMMYFUNCTION("""COMPUTED_VALUE"""),0)</f>
        <v>0</v>
      </c>
      <c r="P228" s="170">
        <f ca="1">IFERROR(__xludf.DUMMYFUNCTION("""COMPUTED_VALUE"""),204)</f>
        <v>204</v>
      </c>
      <c r="Q228" s="170">
        <f ca="1">IFERROR(__xludf.DUMMYFUNCTION("""COMPUTED_VALUE"""),0)</f>
        <v>0</v>
      </c>
      <c r="R228" s="170">
        <f ca="1">IFERROR(__xludf.DUMMYFUNCTION("""COMPUTED_VALUE"""),0)</f>
        <v>0</v>
      </c>
      <c r="S228" s="170">
        <f ca="1">IFERROR(__xludf.DUMMYFUNCTION("""COMPUTED_VALUE"""),0)</f>
        <v>0</v>
      </c>
      <c r="T228" s="170">
        <f ca="1">IFERROR(__xludf.DUMMYFUNCTION("""COMPUTED_VALUE"""),0)</f>
        <v>0</v>
      </c>
      <c r="U228" s="170">
        <f ca="1"/>
        <v>1964</v>
      </c>
    </row>
    <row r="229" spans="1:21" ht="12.75">
      <c r="A229" s="162" t="str">
        <f ca="1">IFERROR(__xludf.DUMMYFUNCTION("""COMPUTED_VALUE"""),"Gurupi")</f>
        <v>Gurupi</v>
      </c>
      <c r="B229" s="162" t="str">
        <f ca="1">IFERROR(__xludf.DUMMYFUNCTION("""COMPUTED_VALUE"""),"Gurupi")</f>
        <v>Gurupi</v>
      </c>
      <c r="C229" s="163" t="str">
        <f ca="1">IFERROR(__xludf.DUMMYFUNCTION("""COMPUTED_VALUE"""),"APM. DA INSTITUIÇÃO BENEFICENTE IRMÃ DULCE")</f>
        <v>APM. DA INSTITUIÇÃO BENEFICENTE IRMÃ DULCE</v>
      </c>
      <c r="D229" s="164" t="str">
        <f ca="1">IFERROR(__xludf.DUMMYFUNCTION("""COMPUTED_VALUE"""),"10807313000100")</f>
        <v>10807313000100</v>
      </c>
      <c r="E229" s="165" t="str">
        <f ca="1">IFERROR(__xludf.DUMMYFUNCTION("""COMPUTED_VALUE"""),"001")</f>
        <v>001</v>
      </c>
      <c r="F229" s="165" t="str">
        <f ca="1">IFERROR(__xludf.DUMMYFUNCTION("""COMPUTED_VALUE"""),"0794")</f>
        <v>0794</v>
      </c>
      <c r="G229" s="165" t="str">
        <f ca="1">IFERROR(__xludf.DUMMYFUNCTION("""COMPUTED_VALUE"""),"447218")</f>
        <v>447218</v>
      </c>
      <c r="H229" s="165">
        <f ca="1">IFERROR(__xludf.DUMMYFUNCTION("""COMPUTED_VALUE"""),0)</f>
        <v>0</v>
      </c>
      <c r="I229" s="165">
        <f ca="1">IFERROR(__xludf.DUMMYFUNCTION("""COMPUTED_VALUE"""),0)</f>
        <v>0</v>
      </c>
      <c r="J229" s="165">
        <f ca="1">IFERROR(__xludf.DUMMYFUNCTION("""COMPUTED_VALUE"""),0)</f>
        <v>0</v>
      </c>
      <c r="K229" s="165">
        <f ca="1">IFERROR(__xludf.DUMMYFUNCTION("""COMPUTED_VALUE"""),5069)</f>
        <v>5069</v>
      </c>
      <c r="L229" s="165">
        <f ca="1">IFERROR(__xludf.DUMMYFUNCTION("""COMPUTED_VALUE"""),0)</f>
        <v>0</v>
      </c>
      <c r="M229" s="165">
        <f ca="1">IFERROR(__xludf.DUMMYFUNCTION("""COMPUTED_VALUE"""),0)</f>
        <v>0</v>
      </c>
      <c r="N229" s="165">
        <f ca="1">IFERROR(__xludf.DUMMYFUNCTION("""COMPUTED_VALUE"""),0)</f>
        <v>0</v>
      </c>
      <c r="O229" s="165">
        <f ca="1">IFERROR(__xludf.DUMMYFUNCTION("""COMPUTED_VALUE"""),0)</f>
        <v>0</v>
      </c>
      <c r="P229" s="165">
        <f ca="1">IFERROR(__xludf.DUMMYFUNCTION("""COMPUTED_VALUE"""),0)</f>
        <v>0</v>
      </c>
      <c r="Q229" s="165">
        <f ca="1">IFERROR(__xludf.DUMMYFUNCTION("""COMPUTED_VALUE"""),0)</f>
        <v>0</v>
      </c>
      <c r="R229" s="165">
        <f ca="1">IFERROR(__xludf.DUMMYFUNCTION("""COMPUTED_VALUE"""),0)</f>
        <v>0</v>
      </c>
      <c r="S229" s="165">
        <f ca="1">IFERROR(__xludf.DUMMYFUNCTION("""COMPUTED_VALUE"""),0)</f>
        <v>0</v>
      </c>
      <c r="T229" s="165">
        <f ca="1">IFERROR(__xludf.DUMMYFUNCTION("""COMPUTED_VALUE"""),0)</f>
        <v>0</v>
      </c>
      <c r="U229" s="165">
        <f ca="1"/>
        <v>5069</v>
      </c>
    </row>
    <row r="230" spans="1:21" ht="12.75">
      <c r="A230" s="167" t="str">
        <f ca="1">IFERROR(__xludf.DUMMYFUNCTION("""COMPUTED_VALUE"""),"Gurupi")</f>
        <v>Gurupi</v>
      </c>
      <c r="B230" s="167" t="str">
        <f ca="1">IFERROR(__xludf.DUMMYFUNCTION("""COMPUTED_VALUE"""),"Gurupi")</f>
        <v>Gurupi</v>
      </c>
      <c r="C230" s="168" t="str">
        <f ca="1">IFERROR(__xludf.DUMMYFUNCTION("""COMPUTED_VALUE"""),"ASSOC APOIO INSTITUTO EDUCACIONAL PASSO A PASSO")</f>
        <v>ASSOC APOIO INSTITUTO EDUCACIONAL PASSO A PASSO</v>
      </c>
      <c r="D230" s="169" t="str">
        <f ca="1">IFERROR(__xludf.DUMMYFUNCTION("""COMPUTED_VALUE"""),"10450172000110")</f>
        <v>10450172000110</v>
      </c>
      <c r="E230" s="170" t="str">
        <f ca="1">IFERROR(__xludf.DUMMYFUNCTION("""COMPUTED_VALUE"""),"001")</f>
        <v>001</v>
      </c>
      <c r="F230" s="170" t="str">
        <f ca="1">IFERROR(__xludf.DUMMYFUNCTION("""COMPUTED_VALUE"""),"0794")</f>
        <v>0794</v>
      </c>
      <c r="G230" s="170" t="str">
        <f ca="1">IFERROR(__xludf.DUMMYFUNCTION("""COMPUTED_VALUE"""),"414263")</f>
        <v>414263</v>
      </c>
      <c r="H230" s="170">
        <f ca="1">IFERROR(__xludf.DUMMYFUNCTION("""COMPUTED_VALUE"""),0)</f>
        <v>0</v>
      </c>
      <c r="I230" s="170">
        <f ca="1">IFERROR(__xludf.DUMMYFUNCTION("""COMPUTED_VALUE"""),0)</f>
        <v>0</v>
      </c>
      <c r="J230" s="170">
        <f ca="1">IFERROR(__xludf.DUMMYFUNCTION("""COMPUTED_VALUE"""),4200)</f>
        <v>4200</v>
      </c>
      <c r="K230" s="170">
        <f ca="1">IFERROR(__xludf.DUMMYFUNCTION("""COMPUTED_VALUE"""),0)</f>
        <v>0</v>
      </c>
      <c r="L230" s="170">
        <f ca="1">IFERROR(__xludf.DUMMYFUNCTION("""COMPUTED_VALUE"""),0)</f>
        <v>0</v>
      </c>
      <c r="M230" s="170">
        <f ca="1">IFERROR(__xludf.DUMMYFUNCTION("""COMPUTED_VALUE"""),0)</f>
        <v>0</v>
      </c>
      <c r="N230" s="170">
        <f ca="1">IFERROR(__xludf.DUMMYFUNCTION("""COMPUTED_VALUE"""),0)</f>
        <v>0</v>
      </c>
      <c r="O230" s="170">
        <f ca="1">IFERROR(__xludf.DUMMYFUNCTION("""COMPUTED_VALUE"""),0)</f>
        <v>0</v>
      </c>
      <c r="P230" s="170">
        <f ca="1">IFERROR(__xludf.DUMMYFUNCTION("""COMPUTED_VALUE"""),0)</f>
        <v>0</v>
      </c>
      <c r="Q230" s="170">
        <f ca="1">IFERROR(__xludf.DUMMYFUNCTION("""COMPUTED_VALUE"""),0)</f>
        <v>0</v>
      </c>
      <c r="R230" s="170">
        <f ca="1">IFERROR(__xludf.DUMMYFUNCTION("""COMPUTED_VALUE"""),0)</f>
        <v>0</v>
      </c>
      <c r="S230" s="170">
        <f ca="1">IFERROR(__xludf.DUMMYFUNCTION("""COMPUTED_VALUE"""),0)</f>
        <v>0</v>
      </c>
      <c r="T230" s="170">
        <f ca="1">IFERROR(__xludf.DUMMYFUNCTION("""COMPUTED_VALUE"""),0)</f>
        <v>0</v>
      </c>
      <c r="U230" s="170">
        <f ca="1"/>
        <v>4200</v>
      </c>
    </row>
    <row r="231" spans="1:21" ht="12.75">
      <c r="A231" s="162" t="str">
        <f ca="1">IFERROR(__xludf.DUMMYFUNCTION("""COMPUTED_VALUE"""),"Gurupi")</f>
        <v>Gurupi</v>
      </c>
      <c r="B231" s="162" t="str">
        <f ca="1">IFERROR(__xludf.DUMMYFUNCTION("""COMPUTED_VALUE"""),"Gurupi")</f>
        <v>Gurupi</v>
      </c>
      <c r="C231" s="163" t="str">
        <f ca="1">IFERROR(__xludf.DUMMYFUNCTION("""COMPUTED_VALUE"""),"A.A. DO INSTITUTO PRESBITERIANO ARAGUAIA")</f>
        <v>A.A. DO INSTITUTO PRESBITERIANO ARAGUAIA</v>
      </c>
      <c r="D231" s="164" t="str">
        <f ca="1">IFERROR(__xludf.DUMMYFUNCTION("""COMPUTED_VALUE"""),"03060918000114")</f>
        <v>03060918000114</v>
      </c>
      <c r="E231" s="165" t="str">
        <f ca="1">IFERROR(__xludf.DUMMYFUNCTION("""COMPUTED_VALUE"""),"104")</f>
        <v>104</v>
      </c>
      <c r="F231" s="165" t="str">
        <f ca="1">IFERROR(__xludf.DUMMYFUNCTION("""COMPUTED_VALUE"""),"0793")</f>
        <v>0793</v>
      </c>
      <c r="G231" s="165" t="str">
        <f ca="1">IFERROR(__xludf.DUMMYFUNCTION("""COMPUTED_VALUE"""),"12090")</f>
        <v>12090</v>
      </c>
      <c r="H231" s="165">
        <f ca="1">IFERROR(__xludf.DUMMYFUNCTION("""COMPUTED_VALUE"""),0)</f>
        <v>0</v>
      </c>
      <c r="I231" s="165">
        <f ca="1">IFERROR(__xludf.DUMMYFUNCTION("""COMPUTED_VALUE"""),0)</f>
        <v>0</v>
      </c>
      <c r="J231" s="165">
        <f ca="1">IFERROR(__xludf.DUMMYFUNCTION("""COMPUTED_VALUE"""),6360)</f>
        <v>6360</v>
      </c>
      <c r="K231" s="165">
        <f ca="1">IFERROR(__xludf.DUMMYFUNCTION("""COMPUTED_VALUE"""),0)</f>
        <v>0</v>
      </c>
      <c r="L231" s="165">
        <f ca="1">IFERROR(__xludf.DUMMYFUNCTION("""COMPUTED_VALUE"""),0)</f>
        <v>0</v>
      </c>
      <c r="M231" s="165">
        <f ca="1">IFERROR(__xludf.DUMMYFUNCTION("""COMPUTED_VALUE"""),0)</f>
        <v>0</v>
      </c>
      <c r="N231" s="165">
        <f ca="1">IFERROR(__xludf.DUMMYFUNCTION("""COMPUTED_VALUE"""),0)</f>
        <v>0</v>
      </c>
      <c r="O231" s="165">
        <f ca="1">IFERROR(__xludf.DUMMYFUNCTION("""COMPUTED_VALUE"""),0)</f>
        <v>0</v>
      </c>
      <c r="P231" s="165">
        <f ca="1">IFERROR(__xludf.DUMMYFUNCTION("""COMPUTED_VALUE"""),367.2)</f>
        <v>367.2</v>
      </c>
      <c r="Q231" s="165">
        <f ca="1">IFERROR(__xludf.DUMMYFUNCTION("""COMPUTED_VALUE"""),4630)</f>
        <v>4630</v>
      </c>
      <c r="R231" s="165">
        <f ca="1">IFERROR(__xludf.DUMMYFUNCTION("""COMPUTED_VALUE"""),0)</f>
        <v>0</v>
      </c>
      <c r="S231" s="165">
        <f ca="1">IFERROR(__xludf.DUMMYFUNCTION("""COMPUTED_VALUE"""),0)</f>
        <v>0</v>
      </c>
      <c r="T231" s="165">
        <f ca="1">IFERROR(__xludf.DUMMYFUNCTION("""COMPUTED_VALUE"""),0)</f>
        <v>0</v>
      </c>
      <c r="U231" s="165">
        <f ca="1"/>
        <v>11357.2</v>
      </c>
    </row>
    <row r="232" spans="1:21" ht="12.75">
      <c r="A232" s="167" t="str">
        <f ca="1">IFERROR(__xludf.DUMMYFUNCTION("""COMPUTED_VALUE"""),"Gurupi")</f>
        <v>Gurupi</v>
      </c>
      <c r="B232" s="167" t="str">
        <f ca="1">IFERROR(__xludf.DUMMYFUNCTION("""COMPUTED_VALUE"""),"Gurupi")</f>
        <v>Gurupi</v>
      </c>
      <c r="C232" s="168" t="str">
        <f ca="1">IFERROR(__xludf.DUMMYFUNCTION("""COMPUTED_VALUE"""),"A.A. DO INSTITUTO PRESBITERIANO EDUCACIONAL")</f>
        <v>A.A. DO INSTITUTO PRESBITERIANO EDUCACIONAL</v>
      </c>
      <c r="D232" s="169" t="str">
        <f ca="1">IFERROR(__xludf.DUMMYFUNCTION("""COMPUTED_VALUE"""),"07217559000117")</f>
        <v>07217559000117</v>
      </c>
      <c r="E232" s="170" t="str">
        <f ca="1">IFERROR(__xludf.DUMMYFUNCTION("""COMPUTED_VALUE"""),"104")</f>
        <v>104</v>
      </c>
      <c r="F232" s="170" t="str">
        <f ca="1">IFERROR(__xludf.DUMMYFUNCTION("""COMPUTED_VALUE"""),"0793")</f>
        <v>0793</v>
      </c>
      <c r="G232" s="170" t="str">
        <f ca="1">IFERROR(__xludf.DUMMYFUNCTION("""COMPUTED_VALUE"""),"2663")</f>
        <v>2663</v>
      </c>
      <c r="H232" s="170">
        <f ca="1">IFERROR(__xludf.DUMMYFUNCTION("""COMPUTED_VALUE"""),0)</f>
        <v>0</v>
      </c>
      <c r="I232" s="170">
        <f ca="1">IFERROR(__xludf.DUMMYFUNCTION("""COMPUTED_VALUE"""),0)</f>
        <v>0</v>
      </c>
      <c r="J232" s="170">
        <f ca="1">IFERROR(__xludf.DUMMYFUNCTION("""COMPUTED_VALUE"""),2600)</f>
        <v>2600</v>
      </c>
      <c r="K232" s="170">
        <f ca="1">IFERROR(__xludf.DUMMYFUNCTION("""COMPUTED_VALUE"""),0)</f>
        <v>0</v>
      </c>
      <c r="L232" s="170">
        <f ca="1">IFERROR(__xludf.DUMMYFUNCTION("""COMPUTED_VALUE"""),0)</f>
        <v>0</v>
      </c>
      <c r="M232" s="170">
        <f ca="1">IFERROR(__xludf.DUMMYFUNCTION("""COMPUTED_VALUE"""),0)</f>
        <v>0</v>
      </c>
      <c r="N232" s="170">
        <f ca="1">IFERROR(__xludf.DUMMYFUNCTION("""COMPUTED_VALUE"""),0)</f>
        <v>0</v>
      </c>
      <c r="O232" s="170">
        <f ca="1">IFERROR(__xludf.DUMMYFUNCTION("""COMPUTED_VALUE"""),0)</f>
        <v>0</v>
      </c>
      <c r="P232" s="170">
        <f ca="1">IFERROR(__xludf.DUMMYFUNCTION("""COMPUTED_VALUE"""),0)</f>
        <v>0</v>
      </c>
      <c r="Q232" s="170">
        <f ca="1">IFERROR(__xludf.DUMMYFUNCTION("""COMPUTED_VALUE"""),0)</f>
        <v>0</v>
      </c>
      <c r="R232" s="170">
        <f ca="1">IFERROR(__xludf.DUMMYFUNCTION("""COMPUTED_VALUE"""),0)</f>
        <v>0</v>
      </c>
      <c r="S232" s="170">
        <f ca="1">IFERROR(__xludf.DUMMYFUNCTION("""COMPUTED_VALUE"""),0)</f>
        <v>0</v>
      </c>
      <c r="T232" s="170">
        <f ca="1">IFERROR(__xludf.DUMMYFUNCTION("""COMPUTED_VALUE"""),0)</f>
        <v>0</v>
      </c>
      <c r="U232" s="170">
        <f ca="1"/>
        <v>2600</v>
      </c>
    </row>
    <row r="233" spans="1:21" ht="12.75">
      <c r="A233" s="162" t="str">
        <f ca="1">IFERROR(__xludf.DUMMYFUNCTION("""COMPUTED_VALUE"""),"Gurupi")</f>
        <v>Gurupi</v>
      </c>
      <c r="B233" s="162" t="str">
        <f ca="1">IFERROR(__xludf.DUMMYFUNCTION("""COMPUTED_VALUE"""),"Jau do Tocantins")</f>
        <v>Jau do Tocantins</v>
      </c>
      <c r="C233" s="163" t="str">
        <f ca="1">IFERROR(__xludf.DUMMYFUNCTION("""COMPUTED_VALUE"""),"AAEC PEDRO LUIZ BONFIM/ADELÁIDE FRANCISCO SOARES")</f>
        <v>AAEC PEDRO LUIZ BONFIM/ADELÁIDE FRANCISCO SOARES</v>
      </c>
      <c r="D233" s="164" t="str">
        <f ca="1">IFERROR(__xludf.DUMMYFUNCTION("""COMPUTED_VALUE"""),"02080228000164")</f>
        <v>02080228000164</v>
      </c>
      <c r="E233" s="165" t="str">
        <f ca="1">IFERROR(__xludf.DUMMYFUNCTION("""COMPUTED_VALUE"""),"001")</f>
        <v>001</v>
      </c>
      <c r="F233" s="165" t="str">
        <f ca="1">IFERROR(__xludf.DUMMYFUNCTION("""COMPUTED_VALUE"""),"0794")</f>
        <v>0794</v>
      </c>
      <c r="G233" s="165" t="str">
        <f ca="1">IFERROR(__xludf.DUMMYFUNCTION("""COMPUTED_VALUE"""),"420743")</f>
        <v>420743</v>
      </c>
      <c r="H233" s="165">
        <f ca="1">IFERROR(__xludf.DUMMYFUNCTION("""COMPUTED_VALUE"""),0)</f>
        <v>0</v>
      </c>
      <c r="I233" s="165">
        <f ca="1">IFERROR(__xludf.DUMMYFUNCTION("""COMPUTED_VALUE"""),0)</f>
        <v>0</v>
      </c>
      <c r="J233" s="165">
        <f ca="1">IFERROR(__xludf.DUMMYFUNCTION("""COMPUTED_VALUE"""),0)</f>
        <v>0</v>
      </c>
      <c r="K233" s="165">
        <f ca="1">IFERROR(__xludf.DUMMYFUNCTION("""COMPUTED_VALUE"""),0)</f>
        <v>0</v>
      </c>
      <c r="L233" s="165">
        <f ca="1">IFERROR(__xludf.DUMMYFUNCTION("""COMPUTED_VALUE"""),0)</f>
        <v>0</v>
      </c>
      <c r="M233" s="165">
        <f ca="1">IFERROR(__xludf.DUMMYFUNCTION("""COMPUTED_VALUE"""),0)</f>
        <v>0</v>
      </c>
      <c r="N233" s="165">
        <f ca="1">IFERROR(__xludf.DUMMYFUNCTION("""COMPUTED_VALUE"""),0)</f>
        <v>0</v>
      </c>
      <c r="O233" s="165">
        <f ca="1">IFERROR(__xludf.DUMMYFUNCTION("""COMPUTED_VALUE"""),0)</f>
        <v>0</v>
      </c>
      <c r="P233" s="165">
        <f ca="1">IFERROR(__xludf.DUMMYFUNCTION("""COMPUTED_VALUE"""),0)</f>
        <v>0</v>
      </c>
      <c r="Q233" s="165">
        <f ca="1">IFERROR(__xludf.DUMMYFUNCTION("""COMPUTED_VALUE"""),1300)</f>
        <v>1300</v>
      </c>
      <c r="R233" s="165">
        <f ca="1">IFERROR(__xludf.DUMMYFUNCTION("""COMPUTED_VALUE"""),0)</f>
        <v>0</v>
      </c>
      <c r="S233" s="165">
        <f ca="1">IFERROR(__xludf.DUMMYFUNCTION("""COMPUTED_VALUE"""),0)</f>
        <v>0</v>
      </c>
      <c r="T233" s="165">
        <f ca="1">IFERROR(__xludf.DUMMYFUNCTION("""COMPUTED_VALUE"""),0)</f>
        <v>0</v>
      </c>
      <c r="U233" s="165">
        <f ca="1"/>
        <v>1300</v>
      </c>
    </row>
    <row r="234" spans="1:21" ht="12.75">
      <c r="A234" s="167" t="str">
        <f ca="1">IFERROR(__xludf.DUMMYFUNCTION("""COMPUTED_VALUE"""),"Gurupi")</f>
        <v>Gurupi</v>
      </c>
      <c r="B234" s="167" t="str">
        <f ca="1">IFERROR(__xludf.DUMMYFUNCTION("""COMPUTED_VALUE"""),"Palmeiropolis")</f>
        <v>Palmeiropolis</v>
      </c>
      <c r="C234" s="168" t="str">
        <f ca="1">IFERROR(__xludf.DUMMYFUNCTION("""COMPUTED_VALUE"""),"A.A. ESCOLA ESTADUAL PROFESSORA ONEIDES")</f>
        <v>A.A. ESCOLA ESTADUAL PROFESSORA ONEIDES</v>
      </c>
      <c r="D234" s="169" t="str">
        <f ca="1">IFERROR(__xludf.DUMMYFUNCTION("""COMPUTED_VALUE"""),"01262903000103")</f>
        <v>01262903000103</v>
      </c>
      <c r="E234" s="170" t="str">
        <f ca="1">IFERROR(__xludf.DUMMYFUNCTION("""COMPUTED_VALUE"""),"001")</f>
        <v>001</v>
      </c>
      <c r="F234" s="170" t="str">
        <f ca="1">IFERROR(__xludf.DUMMYFUNCTION("""COMPUTED_VALUE"""),"4608")</f>
        <v>4608</v>
      </c>
      <c r="G234" s="170" t="str">
        <f ca="1">IFERROR(__xludf.DUMMYFUNCTION("""COMPUTED_VALUE"""),"79758")</f>
        <v>79758</v>
      </c>
      <c r="H234" s="170">
        <f ca="1">IFERROR(__xludf.DUMMYFUNCTION("""COMPUTED_VALUE"""),0)</f>
        <v>0</v>
      </c>
      <c r="I234" s="170">
        <f ca="1">IFERROR(__xludf.DUMMYFUNCTION("""COMPUTED_VALUE"""),0)</f>
        <v>0</v>
      </c>
      <c r="J234" s="170">
        <f ca="1">IFERROR(__xludf.DUMMYFUNCTION("""COMPUTED_VALUE"""),2320)</f>
        <v>2320</v>
      </c>
      <c r="K234" s="170">
        <f ca="1">IFERROR(__xludf.DUMMYFUNCTION("""COMPUTED_VALUE"""),0)</f>
        <v>0</v>
      </c>
      <c r="L234" s="170">
        <f ca="1">IFERROR(__xludf.DUMMYFUNCTION("""COMPUTED_VALUE"""),0)</f>
        <v>0</v>
      </c>
      <c r="M234" s="170">
        <f ca="1">IFERROR(__xludf.DUMMYFUNCTION("""COMPUTED_VALUE"""),0)</f>
        <v>0</v>
      </c>
      <c r="N234" s="170">
        <f ca="1">IFERROR(__xludf.DUMMYFUNCTION("""COMPUTED_VALUE"""),0)</f>
        <v>0</v>
      </c>
      <c r="O234" s="170">
        <f ca="1">IFERROR(__xludf.DUMMYFUNCTION("""COMPUTED_VALUE"""),0)</f>
        <v>0</v>
      </c>
      <c r="P234" s="170">
        <f ca="1">IFERROR(__xludf.DUMMYFUNCTION("""COMPUTED_VALUE"""),353.599999999999)</f>
        <v>353.599999999999</v>
      </c>
      <c r="Q234" s="170">
        <f ca="1">IFERROR(__xludf.DUMMYFUNCTION("""COMPUTED_VALUE"""),1470)</f>
        <v>1470</v>
      </c>
      <c r="R234" s="170">
        <f ca="1">IFERROR(__xludf.DUMMYFUNCTION("""COMPUTED_VALUE"""),0)</f>
        <v>0</v>
      </c>
      <c r="S234" s="170">
        <f ca="1">IFERROR(__xludf.DUMMYFUNCTION("""COMPUTED_VALUE"""),0)</f>
        <v>0</v>
      </c>
      <c r="T234" s="170">
        <f ca="1">IFERROR(__xludf.DUMMYFUNCTION("""COMPUTED_VALUE"""),147.6)</f>
        <v>147.6</v>
      </c>
      <c r="U234" s="170">
        <f ca="1"/>
        <v>4291.1999999999989</v>
      </c>
    </row>
    <row r="235" spans="1:21" ht="12.75">
      <c r="A235" s="162" t="str">
        <f ca="1">IFERROR(__xludf.DUMMYFUNCTION("""COMPUTED_VALUE"""),"Gurupi")</f>
        <v>Gurupi</v>
      </c>
      <c r="B235" s="162" t="str">
        <f ca="1">IFERROR(__xludf.DUMMYFUNCTION("""COMPUTED_VALUE"""),"Palmeiropolis")</f>
        <v>Palmeiropolis</v>
      </c>
      <c r="C235" s="163" t="str">
        <f ca="1">IFERROR(__xludf.DUMMYFUNCTION("""COMPUTED_VALUE"""),"A. A.DO COLEGIO EST. DE PALMEIROPOLIS (COLÉGIO MILITAR)")</f>
        <v>A. A.DO COLEGIO EST. DE PALMEIROPOLIS (COLÉGIO MILITAR)</v>
      </c>
      <c r="D235" s="164" t="str">
        <f ca="1">IFERROR(__xludf.DUMMYFUNCTION("""COMPUTED_VALUE"""),"01210496000190")</f>
        <v>01210496000190</v>
      </c>
      <c r="E235" s="165" t="str">
        <f ca="1">IFERROR(__xludf.DUMMYFUNCTION("""COMPUTED_VALUE"""),"001")</f>
        <v>001</v>
      </c>
      <c r="F235" s="165" t="str">
        <f ca="1">IFERROR(__xludf.DUMMYFUNCTION("""COMPUTED_VALUE"""),"1303")</f>
        <v>1303</v>
      </c>
      <c r="G235" s="165" t="str">
        <f ca="1">IFERROR(__xludf.DUMMYFUNCTION("""COMPUTED_VALUE"""),"97438")</f>
        <v>97438</v>
      </c>
      <c r="H235" s="165">
        <f ca="1">IFERROR(__xludf.DUMMYFUNCTION("""COMPUTED_VALUE"""),0)</f>
        <v>0</v>
      </c>
      <c r="I235" s="165">
        <f ca="1">IFERROR(__xludf.DUMMYFUNCTION("""COMPUTED_VALUE"""),0)</f>
        <v>0</v>
      </c>
      <c r="J235" s="165">
        <f ca="1">IFERROR(__xludf.DUMMYFUNCTION("""COMPUTED_VALUE"""),2220)</f>
        <v>2220</v>
      </c>
      <c r="K235" s="165">
        <f ca="1">IFERROR(__xludf.DUMMYFUNCTION("""COMPUTED_VALUE"""),0)</f>
        <v>0</v>
      </c>
      <c r="L235" s="165">
        <f ca="1">IFERROR(__xludf.DUMMYFUNCTION("""COMPUTED_VALUE"""),0)</f>
        <v>0</v>
      </c>
      <c r="M235" s="165">
        <f ca="1">IFERROR(__xludf.DUMMYFUNCTION("""COMPUTED_VALUE"""),0)</f>
        <v>0</v>
      </c>
      <c r="N235" s="165">
        <f ca="1">IFERROR(__xludf.DUMMYFUNCTION("""COMPUTED_VALUE"""),0)</f>
        <v>0</v>
      </c>
      <c r="O235" s="165">
        <f ca="1">IFERROR(__xludf.DUMMYFUNCTION("""COMPUTED_VALUE"""),0)</f>
        <v>0</v>
      </c>
      <c r="P235" s="165">
        <f ca="1">IFERROR(__xludf.DUMMYFUNCTION("""COMPUTED_VALUE"""),176.799999999999)</f>
        <v>176.79999999999899</v>
      </c>
      <c r="Q235" s="165">
        <f ca="1">IFERROR(__xludf.DUMMYFUNCTION("""COMPUTED_VALUE"""),1670)</f>
        <v>1670</v>
      </c>
      <c r="R235" s="165">
        <f ca="1">IFERROR(__xludf.DUMMYFUNCTION("""COMPUTED_VALUE"""),0)</f>
        <v>0</v>
      </c>
      <c r="S235" s="165">
        <f ca="1">IFERROR(__xludf.DUMMYFUNCTION("""COMPUTED_VALUE"""),0)</f>
        <v>0</v>
      </c>
      <c r="T235" s="165">
        <f ca="1">IFERROR(__xludf.DUMMYFUNCTION("""COMPUTED_VALUE"""),0)</f>
        <v>0</v>
      </c>
      <c r="U235" s="165">
        <f ca="1"/>
        <v>4066.7999999999988</v>
      </c>
    </row>
    <row r="236" spans="1:21" ht="12.75">
      <c r="A236" s="167" t="str">
        <f ca="1">IFERROR(__xludf.DUMMYFUNCTION("""COMPUTED_VALUE"""),"Gurupi")</f>
        <v>Gurupi</v>
      </c>
      <c r="B236" s="167" t="str">
        <f ca="1">IFERROR(__xludf.DUMMYFUNCTION("""COMPUTED_VALUE"""),"Peixe")</f>
        <v>Peixe</v>
      </c>
      <c r="C236" s="168" t="str">
        <f ca="1">IFERROR(__xludf.DUMMYFUNCTION("""COMPUTED_VALUE"""),"A.A. AO COLEGIO ESTADUAL D. ALANO")</f>
        <v>A.A. AO COLEGIO ESTADUAL D. ALANO</v>
      </c>
      <c r="D236" s="169" t="str">
        <f ca="1">IFERROR(__xludf.DUMMYFUNCTION("""COMPUTED_VALUE"""),"01133705000140")</f>
        <v>01133705000140</v>
      </c>
      <c r="E236" s="170" t="str">
        <f ca="1">IFERROR(__xludf.DUMMYFUNCTION("""COMPUTED_VALUE"""),"001")</f>
        <v>001</v>
      </c>
      <c r="F236" s="170" t="str">
        <f ca="1">IFERROR(__xludf.DUMMYFUNCTION("""COMPUTED_VALUE"""),"3979")</f>
        <v>3979</v>
      </c>
      <c r="G236" s="170" t="str">
        <f ca="1">IFERROR(__xludf.DUMMYFUNCTION("""COMPUTED_VALUE"""),"53155")</f>
        <v>53155</v>
      </c>
      <c r="H236" s="170">
        <f ca="1">IFERROR(__xludf.DUMMYFUNCTION("""COMPUTED_VALUE"""),0)</f>
        <v>0</v>
      </c>
      <c r="I236" s="170">
        <f ca="1">IFERROR(__xludf.DUMMYFUNCTION("""COMPUTED_VALUE"""),0)</f>
        <v>0</v>
      </c>
      <c r="J236" s="170">
        <f ca="1">IFERROR(__xludf.DUMMYFUNCTION("""COMPUTED_VALUE"""),0)</f>
        <v>0</v>
      </c>
      <c r="K236" s="170">
        <f ca="1">IFERROR(__xludf.DUMMYFUNCTION("""COMPUTED_VALUE"""),0)</f>
        <v>0</v>
      </c>
      <c r="L236" s="170">
        <f ca="1">IFERROR(__xludf.DUMMYFUNCTION("""COMPUTED_VALUE"""),0)</f>
        <v>0</v>
      </c>
      <c r="M236" s="170">
        <f ca="1">IFERROR(__xludf.DUMMYFUNCTION("""COMPUTED_VALUE"""),0)</f>
        <v>0</v>
      </c>
      <c r="N236" s="170">
        <f ca="1">IFERROR(__xludf.DUMMYFUNCTION("""COMPUTED_VALUE"""),0)</f>
        <v>0</v>
      </c>
      <c r="O236" s="170">
        <f ca="1">IFERROR(__xludf.DUMMYFUNCTION("""COMPUTED_VALUE"""),0)</f>
        <v>0</v>
      </c>
      <c r="P236" s="170">
        <f ca="1">IFERROR(__xludf.DUMMYFUNCTION("""COMPUTED_VALUE"""),0)</f>
        <v>0</v>
      </c>
      <c r="Q236" s="170">
        <f ca="1">IFERROR(__xludf.DUMMYFUNCTION("""COMPUTED_VALUE"""),2860)</f>
        <v>2860</v>
      </c>
      <c r="R236" s="170">
        <f ca="1">IFERROR(__xludf.DUMMYFUNCTION("""COMPUTED_VALUE"""),0)</f>
        <v>0</v>
      </c>
      <c r="S236" s="170">
        <f ca="1">IFERROR(__xludf.DUMMYFUNCTION("""COMPUTED_VALUE"""),0)</f>
        <v>0</v>
      </c>
      <c r="T236" s="170">
        <f ca="1">IFERROR(__xludf.DUMMYFUNCTION("""COMPUTED_VALUE"""),139.399999999999)</f>
        <v>139.39999999999901</v>
      </c>
      <c r="U236" s="170">
        <f ca="1"/>
        <v>2999.3999999999992</v>
      </c>
    </row>
    <row r="237" spans="1:21" ht="12.75">
      <c r="A237" s="162" t="str">
        <f ca="1">IFERROR(__xludf.DUMMYFUNCTION("""COMPUTED_VALUE"""),"Gurupi")</f>
        <v>Gurupi</v>
      </c>
      <c r="B237" s="162" t="str">
        <f ca="1">IFERROR(__xludf.DUMMYFUNCTION("""COMPUTED_VALUE"""),"Peixe")</f>
        <v>Peixe</v>
      </c>
      <c r="C237" s="163" t="str">
        <f ca="1">IFERROR(__xludf.DUMMYFUNCTION("""COMPUTED_VALUE"""),"A.A.  ESC. EST.TANCREDO DE ALMEIDA NEVES")</f>
        <v>A.A.  ESC. EST.TANCREDO DE ALMEIDA NEVES</v>
      </c>
      <c r="D237" s="164" t="str">
        <f ca="1">IFERROR(__xludf.DUMMYFUNCTION("""COMPUTED_VALUE"""),"01136008000142")</f>
        <v>01136008000142</v>
      </c>
      <c r="E237" s="165" t="str">
        <f ca="1">IFERROR(__xludf.DUMMYFUNCTION("""COMPUTED_VALUE"""),"001")</f>
        <v>001</v>
      </c>
      <c r="F237" s="165" t="str">
        <f ca="1">IFERROR(__xludf.DUMMYFUNCTION("""COMPUTED_VALUE"""),"3979")</f>
        <v>3979</v>
      </c>
      <c r="G237" s="165" t="str">
        <f ca="1">IFERROR(__xludf.DUMMYFUNCTION("""COMPUTED_VALUE"""),"52914")</f>
        <v>52914</v>
      </c>
      <c r="H237" s="165">
        <f ca="1">IFERROR(__xludf.DUMMYFUNCTION("""COMPUTED_VALUE"""),0)</f>
        <v>0</v>
      </c>
      <c r="I237" s="165">
        <f ca="1">IFERROR(__xludf.DUMMYFUNCTION("""COMPUTED_VALUE"""),0)</f>
        <v>0</v>
      </c>
      <c r="J237" s="165">
        <f ca="1">IFERROR(__xludf.DUMMYFUNCTION("""COMPUTED_VALUE"""),3560)</f>
        <v>3560</v>
      </c>
      <c r="K237" s="165">
        <f ca="1">IFERROR(__xludf.DUMMYFUNCTION("""COMPUTED_VALUE"""),0)</f>
        <v>0</v>
      </c>
      <c r="L237" s="165">
        <f ca="1">IFERROR(__xludf.DUMMYFUNCTION("""COMPUTED_VALUE"""),0)</f>
        <v>0</v>
      </c>
      <c r="M237" s="165">
        <f ca="1">IFERROR(__xludf.DUMMYFUNCTION("""COMPUTED_VALUE"""),0)</f>
        <v>0</v>
      </c>
      <c r="N237" s="165">
        <f ca="1">IFERROR(__xludf.DUMMYFUNCTION("""COMPUTED_VALUE"""),0)</f>
        <v>0</v>
      </c>
      <c r="O237" s="165">
        <f ca="1">IFERROR(__xludf.DUMMYFUNCTION("""COMPUTED_VALUE"""),0)</f>
        <v>0</v>
      </c>
      <c r="P237" s="165">
        <f ca="1">IFERROR(__xludf.DUMMYFUNCTION("""COMPUTED_VALUE"""),0)</f>
        <v>0</v>
      </c>
      <c r="Q237" s="165">
        <f ca="1">IFERROR(__xludf.DUMMYFUNCTION("""COMPUTED_VALUE"""),0)</f>
        <v>0</v>
      </c>
      <c r="R237" s="165">
        <f ca="1">IFERROR(__xludf.DUMMYFUNCTION("""COMPUTED_VALUE"""),0)</f>
        <v>0</v>
      </c>
      <c r="S237" s="165">
        <f ca="1">IFERROR(__xludf.DUMMYFUNCTION("""COMPUTED_VALUE"""),0)</f>
        <v>0</v>
      </c>
      <c r="T237" s="165">
        <f ca="1">IFERROR(__xludf.DUMMYFUNCTION("""COMPUTED_VALUE"""),0)</f>
        <v>0</v>
      </c>
      <c r="U237" s="165">
        <f ca="1"/>
        <v>3560</v>
      </c>
    </row>
    <row r="238" spans="1:21" ht="12.75">
      <c r="A238" s="167" t="str">
        <f ca="1">IFERROR(__xludf.DUMMYFUNCTION("""COMPUTED_VALUE"""),"Gurupi")</f>
        <v>Gurupi</v>
      </c>
      <c r="B238" s="167" t="str">
        <f ca="1">IFERROR(__xludf.DUMMYFUNCTION("""COMPUTED_VALUE"""),"Sandolandia")</f>
        <v>Sandolandia</v>
      </c>
      <c r="C238" s="168" t="str">
        <f ca="1">IFERROR(__xludf.DUMMYFUNCTION("""COMPUTED_VALUE"""),"A.A. A ESC. EST.NOSSA SENHORA APARECIDA")</f>
        <v>A.A. A ESC. EST.NOSSA SENHORA APARECIDA</v>
      </c>
      <c r="D238" s="169" t="str">
        <f ca="1">IFERROR(__xludf.DUMMYFUNCTION("""COMPUTED_VALUE"""),"01393269000148")</f>
        <v>01393269000148</v>
      </c>
      <c r="E238" s="170" t="str">
        <f ca="1">IFERROR(__xludf.DUMMYFUNCTION("""COMPUTED_VALUE"""),"001")</f>
        <v>001</v>
      </c>
      <c r="F238" s="170" t="str">
        <f ca="1">IFERROR(__xludf.DUMMYFUNCTION("""COMPUTED_VALUE"""),"1304")</f>
        <v>1304</v>
      </c>
      <c r="G238" s="170" t="str">
        <f ca="1">IFERROR(__xludf.DUMMYFUNCTION("""COMPUTED_VALUE"""),"105163")</f>
        <v>105163</v>
      </c>
      <c r="H238" s="170">
        <f ca="1">IFERROR(__xludf.DUMMYFUNCTION("""COMPUTED_VALUE"""),0)</f>
        <v>0</v>
      </c>
      <c r="I238" s="170">
        <f ca="1">IFERROR(__xludf.DUMMYFUNCTION("""COMPUTED_VALUE"""),0)</f>
        <v>0</v>
      </c>
      <c r="J238" s="170">
        <f ca="1">IFERROR(__xludf.DUMMYFUNCTION("""COMPUTED_VALUE"""),2110)</f>
        <v>2110</v>
      </c>
      <c r="K238" s="170">
        <f ca="1">IFERROR(__xludf.DUMMYFUNCTION("""COMPUTED_VALUE"""),0)</f>
        <v>0</v>
      </c>
      <c r="L238" s="170">
        <f ca="1">IFERROR(__xludf.DUMMYFUNCTION("""COMPUTED_VALUE"""),0)</f>
        <v>0</v>
      </c>
      <c r="M238" s="170">
        <f ca="1">IFERROR(__xludf.DUMMYFUNCTION("""COMPUTED_VALUE"""),0)</f>
        <v>0</v>
      </c>
      <c r="N238" s="170">
        <f ca="1">IFERROR(__xludf.DUMMYFUNCTION("""COMPUTED_VALUE"""),0)</f>
        <v>0</v>
      </c>
      <c r="O238" s="170">
        <f ca="1">IFERROR(__xludf.DUMMYFUNCTION("""COMPUTED_VALUE"""),0)</f>
        <v>0</v>
      </c>
      <c r="P238" s="170">
        <f ca="1">IFERROR(__xludf.DUMMYFUNCTION("""COMPUTED_VALUE"""),258.4)</f>
        <v>258.39999999999998</v>
      </c>
      <c r="Q238" s="170">
        <f ca="1">IFERROR(__xludf.DUMMYFUNCTION("""COMPUTED_VALUE"""),1190)</f>
        <v>1190</v>
      </c>
      <c r="R238" s="170">
        <f ca="1">IFERROR(__xludf.DUMMYFUNCTION("""COMPUTED_VALUE"""),0)</f>
        <v>0</v>
      </c>
      <c r="S238" s="170">
        <f ca="1">IFERROR(__xludf.DUMMYFUNCTION("""COMPUTED_VALUE"""),0)</f>
        <v>0</v>
      </c>
      <c r="T238" s="170">
        <f ca="1">IFERROR(__xludf.DUMMYFUNCTION("""COMPUTED_VALUE"""),0)</f>
        <v>0</v>
      </c>
      <c r="U238" s="170">
        <f ca="1"/>
        <v>3558.4</v>
      </c>
    </row>
    <row r="239" spans="1:21" ht="12.75">
      <c r="A239" s="162" t="str">
        <f ca="1">IFERROR(__xludf.DUMMYFUNCTION("""COMPUTED_VALUE"""),"Gurupi")</f>
        <v>Gurupi</v>
      </c>
      <c r="B239" s="162" t="str">
        <f ca="1">IFERROR(__xludf.DUMMYFUNCTION("""COMPUTED_VALUE"""),"Sandolandia")</f>
        <v>Sandolandia</v>
      </c>
      <c r="C239" s="163" t="str">
        <f ca="1">IFERROR(__xludf.DUMMYFUNCTION("""COMPUTED_VALUE"""),"ASS. DE APOIO ESC. EST.PE.JOSE DE ANCHIETA")</f>
        <v>ASS. DE APOIO ESC. EST.PE.JOSE DE ANCHIETA</v>
      </c>
      <c r="D239" s="164" t="str">
        <f ca="1">IFERROR(__xludf.DUMMYFUNCTION("""COMPUTED_VALUE"""),"01190190000110")</f>
        <v>01190190000110</v>
      </c>
      <c r="E239" s="165" t="str">
        <f ca="1">IFERROR(__xludf.DUMMYFUNCTION("""COMPUTED_VALUE"""),"001")</f>
        <v>001</v>
      </c>
      <c r="F239" s="165" t="str">
        <f ca="1">IFERROR(__xludf.DUMMYFUNCTION("""COMPUTED_VALUE"""),"1304")</f>
        <v>1304</v>
      </c>
      <c r="G239" s="165" t="str">
        <f ca="1">IFERROR(__xludf.DUMMYFUNCTION("""COMPUTED_VALUE"""),"105171")</f>
        <v>105171</v>
      </c>
      <c r="H239" s="165">
        <f ca="1">IFERROR(__xludf.DUMMYFUNCTION("""COMPUTED_VALUE"""),0)</f>
        <v>0</v>
      </c>
      <c r="I239" s="165">
        <f ca="1">IFERROR(__xludf.DUMMYFUNCTION("""COMPUTED_VALUE"""),0)</f>
        <v>0</v>
      </c>
      <c r="J239" s="165">
        <f ca="1">IFERROR(__xludf.DUMMYFUNCTION("""COMPUTED_VALUE"""),430)</f>
        <v>430</v>
      </c>
      <c r="K239" s="165">
        <f ca="1">IFERROR(__xludf.DUMMYFUNCTION("""COMPUTED_VALUE"""),0)</f>
        <v>0</v>
      </c>
      <c r="L239" s="165">
        <f ca="1">IFERROR(__xludf.DUMMYFUNCTION("""COMPUTED_VALUE"""),0)</f>
        <v>0</v>
      </c>
      <c r="M239" s="165">
        <f ca="1">IFERROR(__xludf.DUMMYFUNCTION("""COMPUTED_VALUE"""),0)</f>
        <v>0</v>
      </c>
      <c r="N239" s="165">
        <f ca="1">IFERROR(__xludf.DUMMYFUNCTION("""COMPUTED_VALUE"""),0)</f>
        <v>0</v>
      </c>
      <c r="O239" s="165">
        <f ca="1">IFERROR(__xludf.DUMMYFUNCTION("""COMPUTED_VALUE"""),0)</f>
        <v>0</v>
      </c>
      <c r="P239" s="165">
        <f ca="1">IFERROR(__xludf.DUMMYFUNCTION("""COMPUTED_VALUE"""),0)</f>
        <v>0</v>
      </c>
      <c r="Q239" s="165">
        <f ca="1">IFERROR(__xludf.DUMMYFUNCTION("""COMPUTED_VALUE"""),160)</f>
        <v>160</v>
      </c>
      <c r="R239" s="165">
        <f ca="1">IFERROR(__xludf.DUMMYFUNCTION("""COMPUTED_VALUE"""),0)</f>
        <v>0</v>
      </c>
      <c r="S239" s="165">
        <f ca="1">IFERROR(__xludf.DUMMYFUNCTION("""COMPUTED_VALUE"""),0)</f>
        <v>0</v>
      </c>
      <c r="T239" s="165">
        <f ca="1">IFERROR(__xludf.DUMMYFUNCTION("""COMPUTED_VALUE"""),0)</f>
        <v>0</v>
      </c>
      <c r="U239" s="165">
        <f ca="1"/>
        <v>590</v>
      </c>
    </row>
    <row r="240" spans="1:21" ht="12.75">
      <c r="A240" s="167" t="str">
        <f ca="1">IFERROR(__xludf.DUMMYFUNCTION("""COMPUTED_VALUE"""),"Gurupi")</f>
        <v>Gurupi</v>
      </c>
      <c r="B240" s="167" t="str">
        <f ca="1">IFERROR(__xludf.DUMMYFUNCTION("""COMPUTED_VALUE"""),"Sandolandia")</f>
        <v>Sandolandia</v>
      </c>
      <c r="C240" s="168" t="str">
        <f ca="1">IFERROR(__xludf.DUMMYFUNCTION("""COMPUTED_VALUE"""),"A.A.DE APOIO ESCOLAR DA ESCOLA INDÍGENA IJAWALA")</f>
        <v>A.A.DE APOIO ESCOLAR DA ESCOLA INDÍGENA IJAWALA</v>
      </c>
      <c r="D240" s="169" t="str">
        <f ca="1">IFERROR(__xludf.DUMMYFUNCTION("""COMPUTED_VALUE"""),"48240313000143")</f>
        <v>48240313000143</v>
      </c>
      <c r="E240" s="170" t="str">
        <f ca="1">IFERROR(__xludf.DUMMYFUNCTION("""COMPUTED_VALUE"""),"001")</f>
        <v>001</v>
      </c>
      <c r="F240" s="170" t="str">
        <f ca="1">IFERROR(__xludf.DUMMYFUNCTION("""COMPUTED_VALUE"""),"1304")</f>
        <v>1304</v>
      </c>
      <c r="G240" s="170" t="str">
        <f ca="1">IFERROR(__xludf.DUMMYFUNCTION("""COMPUTED_VALUE"""),"1949810")</f>
        <v>1949810</v>
      </c>
      <c r="H240" s="170">
        <f ca="1">IFERROR(__xludf.DUMMYFUNCTION("""COMPUTED_VALUE"""),0)</f>
        <v>0</v>
      </c>
      <c r="I240" s="170">
        <f ca="1">IFERROR(__xludf.DUMMYFUNCTION("""COMPUTED_VALUE"""),0)</f>
        <v>0</v>
      </c>
      <c r="J240" s="170">
        <f ca="1">IFERROR(__xludf.DUMMYFUNCTION("""COMPUTED_VALUE"""),0)</f>
        <v>0</v>
      </c>
      <c r="K240" s="170">
        <f ca="1">IFERROR(__xludf.DUMMYFUNCTION("""COMPUTED_VALUE"""),0)</f>
        <v>0</v>
      </c>
      <c r="L240" s="170">
        <f ca="1">IFERROR(__xludf.DUMMYFUNCTION("""COMPUTED_VALUE"""),0)</f>
        <v>0</v>
      </c>
      <c r="M240" s="170">
        <f ca="1">IFERROR(__xludf.DUMMYFUNCTION("""COMPUTED_VALUE"""),0)</f>
        <v>0</v>
      </c>
      <c r="N240" s="170">
        <f ca="1">IFERROR(__xludf.DUMMYFUNCTION("""COMPUTED_VALUE"""),0)</f>
        <v>0</v>
      </c>
      <c r="O240" s="170">
        <f ca="1">IFERROR(__xludf.DUMMYFUNCTION("""COMPUTED_VALUE"""),1152.39999999999)</f>
        <v>1152.3999999999901</v>
      </c>
      <c r="P240" s="170">
        <f ca="1">IFERROR(__xludf.DUMMYFUNCTION("""COMPUTED_VALUE"""),0)</f>
        <v>0</v>
      </c>
      <c r="Q240" s="170">
        <f ca="1">IFERROR(__xludf.DUMMYFUNCTION("""COMPUTED_VALUE"""),0)</f>
        <v>0</v>
      </c>
      <c r="R240" s="170">
        <f ca="1">IFERROR(__xludf.DUMMYFUNCTION("""COMPUTED_VALUE"""),0)</f>
        <v>0</v>
      </c>
      <c r="S240" s="170">
        <f ca="1">IFERROR(__xludf.DUMMYFUNCTION("""COMPUTED_VALUE"""),0)</f>
        <v>0</v>
      </c>
      <c r="T240" s="170">
        <f ca="1">IFERROR(__xludf.DUMMYFUNCTION("""COMPUTED_VALUE"""),0)</f>
        <v>0</v>
      </c>
      <c r="U240" s="170">
        <f ca="1"/>
        <v>1152.3999999999901</v>
      </c>
    </row>
    <row r="241" spans="1:21" ht="12.75">
      <c r="A241" s="162" t="str">
        <f ca="1">IFERROR(__xludf.DUMMYFUNCTION("""COMPUTED_VALUE"""),"Gurupi")</f>
        <v>Gurupi</v>
      </c>
      <c r="B241" s="162" t="str">
        <f ca="1">IFERROR(__xludf.DUMMYFUNCTION("""COMPUTED_VALUE"""),"Sao Salvador do Tocantins")</f>
        <v>Sao Salvador do Tocantins</v>
      </c>
      <c r="C241" s="163" t="str">
        <f ca="1">IFERROR(__xludf.DUMMYFUNCTION("""COMPUTED_VALUE"""),"A.A. COLEGIO ESTADUAL AGRÍCOLA JOSÉ PORFÍRIO DE SOUZA")</f>
        <v>A.A. COLEGIO ESTADUAL AGRÍCOLA JOSÉ PORFÍRIO DE SOUZA</v>
      </c>
      <c r="D241" s="164" t="str">
        <f ca="1">IFERROR(__xludf.DUMMYFUNCTION("""COMPUTED_VALUE"""),"49952315000128")</f>
        <v>49952315000128</v>
      </c>
      <c r="E241" s="165" t="str">
        <f ca="1">IFERROR(__xludf.DUMMYFUNCTION("""COMPUTED_VALUE"""),"001")</f>
        <v>001</v>
      </c>
      <c r="F241" s="165" t="str">
        <f ca="1">IFERROR(__xludf.DUMMYFUNCTION("""COMPUTED_VALUE"""),"4608")</f>
        <v>4608</v>
      </c>
      <c r="G241" s="165" t="str">
        <f ca="1">IFERROR(__xludf.DUMMYFUNCTION("""COMPUTED_VALUE"""),"183679")</f>
        <v>183679</v>
      </c>
      <c r="H241" s="165">
        <f ca="1">IFERROR(__xludf.DUMMYFUNCTION("""COMPUTED_VALUE"""),0)</f>
        <v>0</v>
      </c>
      <c r="I241" s="165">
        <f ca="1">IFERROR(__xludf.DUMMYFUNCTION("""COMPUTED_VALUE"""),0)</f>
        <v>0</v>
      </c>
      <c r="J241" s="165">
        <f ca="1">IFERROR(__xludf.DUMMYFUNCTION("""COMPUTED_VALUE"""),0)</f>
        <v>0</v>
      </c>
      <c r="K241" s="165">
        <f ca="1">IFERROR(__xludf.DUMMYFUNCTION("""COMPUTED_VALUE"""),2904.39999999999)</f>
        <v>2904.3999999999901</v>
      </c>
      <c r="L241" s="165">
        <f ca="1">IFERROR(__xludf.DUMMYFUNCTION("""COMPUTED_VALUE"""),0)</f>
        <v>0</v>
      </c>
      <c r="M241" s="165">
        <f ca="1">IFERROR(__xludf.DUMMYFUNCTION("""COMPUTED_VALUE"""),0)</f>
        <v>0</v>
      </c>
      <c r="N241" s="165">
        <f ca="1">IFERROR(__xludf.DUMMYFUNCTION("""COMPUTED_VALUE"""),0)</f>
        <v>0</v>
      </c>
      <c r="O241" s="165">
        <f ca="1">IFERROR(__xludf.DUMMYFUNCTION("""COMPUTED_VALUE"""),0)</f>
        <v>0</v>
      </c>
      <c r="P241" s="165">
        <f ca="1">IFERROR(__xludf.DUMMYFUNCTION("""COMPUTED_VALUE"""),0)</f>
        <v>0</v>
      </c>
      <c r="Q241" s="165">
        <f ca="1">IFERROR(__xludf.DUMMYFUNCTION("""COMPUTED_VALUE"""),0)</f>
        <v>0</v>
      </c>
      <c r="R241" s="165">
        <f ca="1">IFERROR(__xludf.DUMMYFUNCTION("""COMPUTED_VALUE"""),2356.4)</f>
        <v>2356.4</v>
      </c>
      <c r="S241" s="165">
        <f ca="1">IFERROR(__xludf.DUMMYFUNCTION("""COMPUTED_VALUE"""),0)</f>
        <v>0</v>
      </c>
      <c r="T241" s="165">
        <f ca="1">IFERROR(__xludf.DUMMYFUNCTION("""COMPUTED_VALUE"""),0)</f>
        <v>0</v>
      </c>
      <c r="U241" s="165">
        <f ca="1"/>
        <v>5260.7999999999902</v>
      </c>
    </row>
    <row r="242" spans="1:21" ht="12.75">
      <c r="A242" s="167" t="str">
        <f ca="1">IFERROR(__xludf.DUMMYFUNCTION("""COMPUTED_VALUE"""),"Gurupi")</f>
        <v>Gurupi</v>
      </c>
      <c r="B242" s="167" t="str">
        <f ca="1">IFERROR(__xludf.DUMMYFUNCTION("""COMPUTED_VALUE"""),"Sao Salvador do Tocantins")</f>
        <v>Sao Salvador do Tocantins</v>
      </c>
      <c r="C242" s="168" t="str">
        <f ca="1">IFERROR(__xludf.DUMMYFUNCTION("""COMPUTED_VALUE"""),"ASS.PAIS E M.ESC. EST.PORTO RIO MARANHAO")</f>
        <v>ASS.PAIS E M.ESC. EST.PORTO RIO MARANHAO</v>
      </c>
      <c r="D242" s="169" t="str">
        <f ca="1">IFERROR(__xludf.DUMMYFUNCTION("""COMPUTED_VALUE"""),"01296366000112")</f>
        <v>01296366000112</v>
      </c>
      <c r="E242" s="170" t="str">
        <f ca="1">IFERROR(__xludf.DUMMYFUNCTION("""COMPUTED_VALUE"""),"001")</f>
        <v>001</v>
      </c>
      <c r="F242" s="170" t="str">
        <f ca="1">IFERROR(__xludf.DUMMYFUNCTION("""COMPUTED_VALUE"""),"4608")</f>
        <v>4608</v>
      </c>
      <c r="G242" s="170" t="str">
        <f ca="1">IFERROR(__xludf.DUMMYFUNCTION("""COMPUTED_VALUE"""),"70270")</f>
        <v>70270</v>
      </c>
      <c r="H242" s="170">
        <f ca="1">IFERROR(__xludf.DUMMYFUNCTION("""COMPUTED_VALUE"""),0)</f>
        <v>0</v>
      </c>
      <c r="I242" s="170">
        <f ca="1">IFERROR(__xludf.DUMMYFUNCTION("""COMPUTED_VALUE"""),0)</f>
        <v>0</v>
      </c>
      <c r="J242" s="170">
        <f ca="1">IFERROR(__xludf.DUMMYFUNCTION("""COMPUTED_VALUE"""),1200)</f>
        <v>1200</v>
      </c>
      <c r="K242" s="170">
        <f ca="1">IFERROR(__xludf.DUMMYFUNCTION("""COMPUTED_VALUE"""),0)</f>
        <v>0</v>
      </c>
      <c r="L242" s="170">
        <f ca="1">IFERROR(__xludf.DUMMYFUNCTION("""COMPUTED_VALUE"""),0)</f>
        <v>0</v>
      </c>
      <c r="M242" s="170">
        <f ca="1">IFERROR(__xludf.DUMMYFUNCTION("""COMPUTED_VALUE"""),0)</f>
        <v>0</v>
      </c>
      <c r="N242" s="170">
        <f ca="1">IFERROR(__xludf.DUMMYFUNCTION("""COMPUTED_VALUE"""),0)</f>
        <v>0</v>
      </c>
      <c r="O242" s="170">
        <f ca="1">IFERROR(__xludf.DUMMYFUNCTION("""COMPUTED_VALUE"""),0)</f>
        <v>0</v>
      </c>
      <c r="P242" s="170">
        <f ca="1">IFERROR(__xludf.DUMMYFUNCTION("""COMPUTED_VALUE"""),0)</f>
        <v>0</v>
      </c>
      <c r="Q242" s="170">
        <f ca="1">IFERROR(__xludf.DUMMYFUNCTION("""COMPUTED_VALUE"""),510)</f>
        <v>510</v>
      </c>
      <c r="R242" s="170">
        <f ca="1">IFERROR(__xludf.DUMMYFUNCTION("""COMPUTED_VALUE"""),0)</f>
        <v>0</v>
      </c>
      <c r="S242" s="170">
        <f ca="1">IFERROR(__xludf.DUMMYFUNCTION("""COMPUTED_VALUE"""),0)</f>
        <v>0</v>
      </c>
      <c r="T242" s="170">
        <f ca="1">IFERROR(__xludf.DUMMYFUNCTION("""COMPUTED_VALUE"""),0)</f>
        <v>0</v>
      </c>
      <c r="U242" s="170">
        <f ca="1"/>
        <v>1710</v>
      </c>
    </row>
    <row r="243" spans="1:21" ht="12.75">
      <c r="A243" s="162" t="str">
        <f ca="1">IFERROR(__xludf.DUMMYFUNCTION("""COMPUTED_VALUE"""),"Gurupi")</f>
        <v>Gurupi</v>
      </c>
      <c r="B243" s="162" t="str">
        <f ca="1">IFERROR(__xludf.DUMMYFUNCTION("""COMPUTED_VALUE"""),"Sao Salvador do Tocantins")</f>
        <v>Sao Salvador do Tocantins</v>
      </c>
      <c r="C243" s="163" t="str">
        <f ca="1">IFERROR(__xludf.DUMMYFUNCTION("""COMPUTED_VALUE"""),"A.A DA ESCOLA ESTADUAL RETIRO")</f>
        <v>A.A DA ESCOLA ESTADUAL RETIRO</v>
      </c>
      <c r="D243" s="164" t="str">
        <f ca="1">IFERROR(__xludf.DUMMYFUNCTION("""COMPUTED_VALUE"""),"04205236000115")</f>
        <v>04205236000115</v>
      </c>
      <c r="E243" s="165" t="str">
        <f ca="1">IFERROR(__xludf.DUMMYFUNCTION("""COMPUTED_VALUE"""),"001")</f>
        <v>001</v>
      </c>
      <c r="F243" s="165" t="str">
        <f ca="1">IFERROR(__xludf.DUMMYFUNCTION("""COMPUTED_VALUE"""),"4608")</f>
        <v>4608</v>
      </c>
      <c r="G243" s="165" t="str">
        <f ca="1">IFERROR(__xludf.DUMMYFUNCTION("""COMPUTED_VALUE"""),"73563")</f>
        <v>73563</v>
      </c>
      <c r="H243" s="165">
        <f ca="1">IFERROR(__xludf.DUMMYFUNCTION("""COMPUTED_VALUE"""),0)</f>
        <v>0</v>
      </c>
      <c r="I243" s="165">
        <f ca="1">IFERROR(__xludf.DUMMYFUNCTION("""COMPUTED_VALUE"""),0)</f>
        <v>0</v>
      </c>
      <c r="J243" s="165">
        <f ca="1">IFERROR(__xludf.DUMMYFUNCTION("""COMPUTED_VALUE"""),0)</f>
        <v>0</v>
      </c>
      <c r="K243" s="165">
        <f ca="1">IFERROR(__xludf.DUMMYFUNCTION("""COMPUTED_VALUE"""),1781)</f>
        <v>1781</v>
      </c>
      <c r="L243" s="165">
        <f ca="1">IFERROR(__xludf.DUMMYFUNCTION("""COMPUTED_VALUE"""),0)</f>
        <v>0</v>
      </c>
      <c r="M243" s="165">
        <f ca="1">IFERROR(__xludf.DUMMYFUNCTION("""COMPUTED_VALUE"""),0)</f>
        <v>0</v>
      </c>
      <c r="N243" s="165">
        <f ca="1">IFERROR(__xludf.DUMMYFUNCTION("""COMPUTED_VALUE"""),0)</f>
        <v>0</v>
      </c>
      <c r="O243" s="165">
        <f ca="1">IFERROR(__xludf.DUMMYFUNCTION("""COMPUTED_VALUE"""),0)</f>
        <v>0</v>
      </c>
      <c r="P243" s="165">
        <f ca="1">IFERROR(__xludf.DUMMYFUNCTION("""COMPUTED_VALUE"""),0)</f>
        <v>0</v>
      </c>
      <c r="Q243" s="165">
        <f ca="1">IFERROR(__xludf.DUMMYFUNCTION("""COMPUTED_VALUE"""),320)</f>
        <v>320</v>
      </c>
      <c r="R243" s="165">
        <f ca="1">IFERROR(__xludf.DUMMYFUNCTION("""COMPUTED_VALUE"""),0)</f>
        <v>0</v>
      </c>
      <c r="S243" s="165">
        <f ca="1">IFERROR(__xludf.DUMMYFUNCTION("""COMPUTED_VALUE"""),0)</f>
        <v>0</v>
      </c>
      <c r="T243" s="165">
        <f ca="1">IFERROR(__xludf.DUMMYFUNCTION("""COMPUTED_VALUE"""),0)</f>
        <v>0</v>
      </c>
      <c r="U243" s="165">
        <f ca="1"/>
        <v>2101</v>
      </c>
    </row>
    <row r="244" spans="1:21" ht="12.75">
      <c r="A244" s="167" t="str">
        <f ca="1">IFERROR(__xludf.DUMMYFUNCTION("""COMPUTED_VALUE"""),"Gurupi")</f>
        <v>Gurupi</v>
      </c>
      <c r="B244" s="167" t="str">
        <f ca="1">IFERROR(__xludf.DUMMYFUNCTION("""COMPUTED_VALUE"""),"Sao Valerio da Natividade")</f>
        <v>Sao Valerio da Natividade</v>
      </c>
      <c r="C244" s="168" t="str">
        <f ca="1">IFERROR(__xludf.DUMMYFUNCTION("""COMPUTED_VALUE"""),"A.P.M.E ALUNOS COL. EST. REGINA S. CAMPOS")</f>
        <v>A.P.M.E ALUNOS COL. EST. REGINA S. CAMPOS</v>
      </c>
      <c r="D244" s="169" t="str">
        <f ca="1">IFERROR(__xludf.DUMMYFUNCTION("""COMPUTED_VALUE"""),"01431377000168")</f>
        <v>01431377000168</v>
      </c>
      <c r="E244" s="170" t="str">
        <f ca="1">IFERROR(__xludf.DUMMYFUNCTION("""COMPUTED_VALUE"""),"001")</f>
        <v>001</v>
      </c>
      <c r="F244" s="170" t="str">
        <f ca="1">IFERROR(__xludf.DUMMYFUNCTION("""COMPUTED_VALUE"""),"0794")</f>
        <v>0794</v>
      </c>
      <c r="G244" s="170" t="str">
        <f ca="1">IFERROR(__xludf.DUMMYFUNCTION("""COMPUTED_VALUE"""),"52477")</f>
        <v>52477</v>
      </c>
      <c r="H244" s="170">
        <f ca="1">IFERROR(__xludf.DUMMYFUNCTION("""COMPUTED_VALUE"""),0)</f>
        <v>0</v>
      </c>
      <c r="I244" s="170">
        <f ca="1">IFERROR(__xludf.DUMMYFUNCTION("""COMPUTED_VALUE"""),0)</f>
        <v>0</v>
      </c>
      <c r="J244" s="170">
        <f ca="1">IFERROR(__xludf.DUMMYFUNCTION("""COMPUTED_VALUE"""),2960)</f>
        <v>2960</v>
      </c>
      <c r="K244" s="170">
        <f ca="1">IFERROR(__xludf.DUMMYFUNCTION("""COMPUTED_VALUE"""),0)</f>
        <v>0</v>
      </c>
      <c r="L244" s="170">
        <f ca="1">IFERROR(__xludf.DUMMYFUNCTION("""COMPUTED_VALUE"""),0)</f>
        <v>0</v>
      </c>
      <c r="M244" s="170">
        <f ca="1">IFERROR(__xludf.DUMMYFUNCTION("""COMPUTED_VALUE"""),0)</f>
        <v>0</v>
      </c>
      <c r="N244" s="170">
        <f ca="1">IFERROR(__xludf.DUMMYFUNCTION("""COMPUTED_VALUE"""),0)</f>
        <v>0</v>
      </c>
      <c r="O244" s="170">
        <f ca="1">IFERROR(__xludf.DUMMYFUNCTION("""COMPUTED_VALUE"""),0)</f>
        <v>0</v>
      </c>
      <c r="P244" s="170">
        <f ca="1">IFERROR(__xludf.DUMMYFUNCTION("""COMPUTED_VALUE"""),625.6)</f>
        <v>625.6</v>
      </c>
      <c r="Q244" s="170">
        <f ca="1">IFERROR(__xludf.DUMMYFUNCTION("""COMPUTED_VALUE"""),3680)</f>
        <v>3680</v>
      </c>
      <c r="R244" s="170">
        <f ca="1">IFERROR(__xludf.DUMMYFUNCTION("""COMPUTED_VALUE"""),0)</f>
        <v>0</v>
      </c>
      <c r="S244" s="170">
        <f ca="1">IFERROR(__xludf.DUMMYFUNCTION("""COMPUTED_VALUE"""),0)</f>
        <v>0</v>
      </c>
      <c r="T244" s="170">
        <f ca="1">IFERROR(__xludf.DUMMYFUNCTION("""COMPUTED_VALUE"""),0)</f>
        <v>0</v>
      </c>
      <c r="U244" s="170">
        <f ca="1"/>
        <v>7265.6</v>
      </c>
    </row>
    <row r="245" spans="1:21" ht="12.75">
      <c r="A245" s="162" t="str">
        <f ca="1">IFERROR(__xludf.DUMMYFUNCTION("""COMPUTED_VALUE"""),"Gurupi")</f>
        <v>Gurupi</v>
      </c>
      <c r="B245" s="162" t="str">
        <f ca="1">IFERROR(__xludf.DUMMYFUNCTION("""COMPUTED_VALUE"""),"Sucupira")</f>
        <v>Sucupira</v>
      </c>
      <c r="C245" s="163" t="str">
        <f ca="1">IFERROR(__xludf.DUMMYFUNCTION("""COMPUTED_VALUE"""),"AS. APOIO ESCOLA ESTADUAL OLAVO BILAC")</f>
        <v>AS. APOIO ESCOLA ESTADUAL OLAVO BILAC</v>
      </c>
      <c r="D245" s="164" t="str">
        <f ca="1">IFERROR(__xludf.DUMMYFUNCTION("""COMPUTED_VALUE"""),"01268287000106")</f>
        <v>01268287000106</v>
      </c>
      <c r="E245" s="165" t="str">
        <f ca="1">IFERROR(__xludf.DUMMYFUNCTION("""COMPUTED_VALUE"""),"001")</f>
        <v>001</v>
      </c>
      <c r="F245" s="165" t="str">
        <f ca="1">IFERROR(__xludf.DUMMYFUNCTION("""COMPUTED_VALUE"""),"0794")</f>
        <v>0794</v>
      </c>
      <c r="G245" s="165" t="str">
        <f ca="1">IFERROR(__xludf.DUMMYFUNCTION("""COMPUTED_VALUE"""),"245852")</f>
        <v>245852</v>
      </c>
      <c r="H245" s="165">
        <f ca="1">IFERROR(__xludf.DUMMYFUNCTION("""COMPUTED_VALUE"""),0)</f>
        <v>0</v>
      </c>
      <c r="I245" s="165">
        <f ca="1">IFERROR(__xludf.DUMMYFUNCTION("""COMPUTED_VALUE"""),0)</f>
        <v>0</v>
      </c>
      <c r="J245" s="165">
        <f ca="1">IFERROR(__xludf.DUMMYFUNCTION("""COMPUTED_VALUE"""),1380)</f>
        <v>1380</v>
      </c>
      <c r="K245" s="165">
        <f ca="1">IFERROR(__xludf.DUMMYFUNCTION("""COMPUTED_VALUE"""),0)</f>
        <v>0</v>
      </c>
      <c r="L245" s="165">
        <f ca="1">IFERROR(__xludf.DUMMYFUNCTION("""COMPUTED_VALUE"""),0)</f>
        <v>0</v>
      </c>
      <c r="M245" s="165">
        <f ca="1">IFERROR(__xludf.DUMMYFUNCTION("""COMPUTED_VALUE"""),0)</f>
        <v>0</v>
      </c>
      <c r="N245" s="165">
        <f ca="1">IFERROR(__xludf.DUMMYFUNCTION("""COMPUTED_VALUE"""),0)</f>
        <v>0</v>
      </c>
      <c r="O245" s="165">
        <f ca="1">IFERROR(__xludf.DUMMYFUNCTION("""COMPUTED_VALUE"""),0)</f>
        <v>0</v>
      </c>
      <c r="P245" s="165">
        <f ca="1">IFERROR(__xludf.DUMMYFUNCTION("""COMPUTED_VALUE"""),0)</f>
        <v>0</v>
      </c>
      <c r="Q245" s="165">
        <f ca="1">IFERROR(__xludf.DUMMYFUNCTION("""COMPUTED_VALUE"""),640)</f>
        <v>640</v>
      </c>
      <c r="R245" s="165">
        <f ca="1">IFERROR(__xludf.DUMMYFUNCTION("""COMPUTED_VALUE"""),0)</f>
        <v>0</v>
      </c>
      <c r="S245" s="165">
        <f ca="1">IFERROR(__xludf.DUMMYFUNCTION("""COMPUTED_VALUE"""),0)</f>
        <v>0</v>
      </c>
      <c r="T245" s="165">
        <f ca="1">IFERROR(__xludf.DUMMYFUNCTION("""COMPUTED_VALUE"""),0)</f>
        <v>0</v>
      </c>
      <c r="U245" s="165">
        <f ca="1"/>
        <v>2020</v>
      </c>
    </row>
    <row r="246" spans="1:21" ht="12.75">
      <c r="A246" s="167" t="str">
        <f ca="1">IFERROR(__xludf.DUMMYFUNCTION("""COMPUTED_VALUE"""),"Gurupi")</f>
        <v>Gurupi</v>
      </c>
      <c r="B246" s="167" t="str">
        <f ca="1">IFERROR(__xludf.DUMMYFUNCTION("""COMPUTED_VALUE"""),"Talisma")</f>
        <v>Talisma</v>
      </c>
      <c r="C246" s="168" t="str">
        <f ca="1">IFERROR(__xludf.DUMMYFUNCTION("""COMPUTED_VALUE"""),"A.A.  DO COLEGIO ESTADUAL DE TALISMA")</f>
        <v>A.A.  DO COLEGIO ESTADUAL DE TALISMA</v>
      </c>
      <c r="D246" s="169" t="str">
        <f ca="1">IFERROR(__xludf.DUMMYFUNCTION("""COMPUTED_VALUE"""),"07547605000146")</f>
        <v>07547605000146</v>
      </c>
      <c r="E246" s="170" t="str">
        <f ca="1">IFERROR(__xludf.DUMMYFUNCTION("""COMPUTED_VALUE"""),"001")</f>
        <v>001</v>
      </c>
      <c r="F246" s="170" t="str">
        <f ca="1">IFERROR(__xludf.DUMMYFUNCTION("""COMPUTED_VALUE"""),"1303")</f>
        <v>1303</v>
      </c>
      <c r="G246" s="170" t="str">
        <f ca="1">IFERROR(__xludf.DUMMYFUNCTION("""COMPUTED_VALUE"""),"155446")</f>
        <v>155446</v>
      </c>
      <c r="H246" s="170">
        <f ca="1">IFERROR(__xludf.DUMMYFUNCTION("""COMPUTED_VALUE"""),0)</f>
        <v>0</v>
      </c>
      <c r="I246" s="170">
        <f ca="1">IFERROR(__xludf.DUMMYFUNCTION("""COMPUTED_VALUE"""),0)</f>
        <v>0</v>
      </c>
      <c r="J246" s="170">
        <f ca="1">IFERROR(__xludf.DUMMYFUNCTION("""COMPUTED_VALUE"""),0)</f>
        <v>0</v>
      </c>
      <c r="K246" s="170">
        <f ca="1">IFERROR(__xludf.DUMMYFUNCTION("""COMPUTED_VALUE"""),0)</f>
        <v>0</v>
      </c>
      <c r="L246" s="170">
        <f ca="1">IFERROR(__xludf.DUMMYFUNCTION("""COMPUTED_VALUE"""),0)</f>
        <v>0</v>
      </c>
      <c r="M246" s="170">
        <f ca="1">IFERROR(__xludf.DUMMYFUNCTION("""COMPUTED_VALUE"""),0)</f>
        <v>0</v>
      </c>
      <c r="N246" s="170">
        <f ca="1">IFERROR(__xludf.DUMMYFUNCTION("""COMPUTED_VALUE"""),0)</f>
        <v>0</v>
      </c>
      <c r="O246" s="170">
        <f ca="1">IFERROR(__xludf.DUMMYFUNCTION("""COMPUTED_VALUE"""),0)</f>
        <v>0</v>
      </c>
      <c r="P246" s="170">
        <f ca="1">IFERROR(__xludf.DUMMYFUNCTION("""COMPUTED_VALUE"""),0)</f>
        <v>0</v>
      </c>
      <c r="Q246" s="170">
        <f ca="1">IFERROR(__xludf.DUMMYFUNCTION("""COMPUTED_VALUE"""),860)</f>
        <v>860</v>
      </c>
      <c r="R246" s="170">
        <f ca="1">IFERROR(__xludf.DUMMYFUNCTION("""COMPUTED_VALUE"""),0)</f>
        <v>0</v>
      </c>
      <c r="S246" s="170">
        <f ca="1">IFERROR(__xludf.DUMMYFUNCTION("""COMPUTED_VALUE"""),0)</f>
        <v>0</v>
      </c>
      <c r="T246" s="170">
        <f ca="1">IFERROR(__xludf.DUMMYFUNCTION("""COMPUTED_VALUE"""),65.6)</f>
        <v>65.599999999999994</v>
      </c>
      <c r="U246" s="170">
        <f ca="1"/>
        <v>925.6</v>
      </c>
    </row>
    <row r="247" spans="1:21" ht="12.75">
      <c r="A247" s="162" t="str">
        <f ca="1">IFERROR(__xludf.DUMMYFUNCTION("""COMPUTED_VALUE"""),"Miracema")</f>
        <v>Miracema</v>
      </c>
      <c r="B247" s="162" t="str">
        <f ca="1">IFERROR(__xludf.DUMMYFUNCTION("""COMPUTED_VALUE"""),"dois Irmaos do Tocantins")</f>
        <v>dois Irmaos do Tocantins</v>
      </c>
      <c r="C247" s="163" t="str">
        <f ca="1">IFERROR(__xludf.DUMMYFUNCTION("""COMPUTED_VALUE"""),"A.C.E. COL PRES. CASTELO BRANCO")</f>
        <v>A.C.E. COL PRES. CASTELO BRANCO</v>
      </c>
      <c r="D247" s="164" t="str">
        <f ca="1">IFERROR(__xludf.DUMMYFUNCTION("""COMPUTED_VALUE"""),"01034882000179")</f>
        <v>01034882000179</v>
      </c>
      <c r="E247" s="165" t="str">
        <f ca="1">IFERROR(__xludf.DUMMYFUNCTION("""COMPUTED_VALUE"""),"001")</f>
        <v>001</v>
      </c>
      <c r="F247" s="165" t="str">
        <f ca="1">IFERROR(__xludf.DUMMYFUNCTION("""COMPUTED_VALUE"""),"0862")</f>
        <v>0862</v>
      </c>
      <c r="G247" s="165" t="str">
        <f ca="1">IFERROR(__xludf.DUMMYFUNCTION("""COMPUTED_VALUE"""),"68950")</f>
        <v>68950</v>
      </c>
      <c r="H247" s="165">
        <f ca="1">IFERROR(__xludf.DUMMYFUNCTION("""COMPUTED_VALUE"""),0)</f>
        <v>0</v>
      </c>
      <c r="I247" s="165">
        <f ca="1">IFERROR(__xludf.DUMMYFUNCTION("""COMPUTED_VALUE"""),0)</f>
        <v>0</v>
      </c>
      <c r="J247" s="165">
        <f ca="1">IFERROR(__xludf.DUMMYFUNCTION("""COMPUTED_VALUE"""),3710)</f>
        <v>3710</v>
      </c>
      <c r="K247" s="165">
        <f ca="1">IFERROR(__xludf.DUMMYFUNCTION("""COMPUTED_VALUE"""),0)</f>
        <v>0</v>
      </c>
      <c r="L247" s="165">
        <f ca="1">IFERROR(__xludf.DUMMYFUNCTION("""COMPUTED_VALUE"""),0)</f>
        <v>0</v>
      </c>
      <c r="M247" s="165">
        <f ca="1">IFERROR(__xludf.DUMMYFUNCTION("""COMPUTED_VALUE"""),0)</f>
        <v>0</v>
      </c>
      <c r="N247" s="165">
        <f ca="1">IFERROR(__xludf.DUMMYFUNCTION("""COMPUTED_VALUE"""),0)</f>
        <v>0</v>
      </c>
      <c r="O247" s="165">
        <f ca="1">IFERROR(__xludf.DUMMYFUNCTION("""COMPUTED_VALUE"""),0)</f>
        <v>0</v>
      </c>
      <c r="P247" s="165">
        <f ca="1">IFERROR(__xludf.DUMMYFUNCTION("""COMPUTED_VALUE"""),176.799999999999)</f>
        <v>176.79999999999899</v>
      </c>
      <c r="Q247" s="165">
        <f ca="1">IFERROR(__xludf.DUMMYFUNCTION("""COMPUTED_VALUE"""),2090)</f>
        <v>2090</v>
      </c>
      <c r="R247" s="165">
        <f ca="1">IFERROR(__xludf.DUMMYFUNCTION("""COMPUTED_VALUE"""),0)</f>
        <v>0</v>
      </c>
      <c r="S247" s="165">
        <f ca="1">IFERROR(__xludf.DUMMYFUNCTION("""COMPUTED_VALUE"""),0)</f>
        <v>0</v>
      </c>
      <c r="T247" s="165">
        <f ca="1">IFERROR(__xludf.DUMMYFUNCTION("""COMPUTED_VALUE"""),0)</f>
        <v>0</v>
      </c>
      <c r="U247" s="165">
        <f ca="1"/>
        <v>5976.7999999999993</v>
      </c>
    </row>
    <row r="248" spans="1:21" ht="12.75">
      <c r="A248" s="167" t="str">
        <f ca="1">IFERROR(__xludf.DUMMYFUNCTION("""COMPUTED_VALUE"""),"Miracema")</f>
        <v>Miracema</v>
      </c>
      <c r="B248" s="167" t="str">
        <f ca="1">IFERROR(__xludf.DUMMYFUNCTION("""COMPUTED_VALUE"""),"dois Irmaos do Tocantins")</f>
        <v>dois Irmaos do Tocantins</v>
      </c>
      <c r="C248" s="168" t="str">
        <f ca="1">IFERROR(__xludf.DUMMYFUNCTION("""COMPUTED_VALUE"""),"ASSOC. DE APOIO A ESCOLA ESPECIAL CLOVIS DE ASSIS")</f>
        <v>ASSOC. DE APOIO A ESCOLA ESPECIAL CLOVIS DE ASSIS</v>
      </c>
      <c r="D248" s="169" t="str">
        <f ca="1">IFERROR(__xludf.DUMMYFUNCTION("""COMPUTED_VALUE"""),"09327390000183")</f>
        <v>09327390000183</v>
      </c>
      <c r="E248" s="170" t="str">
        <f ca="1">IFERROR(__xludf.DUMMYFUNCTION("""COMPUTED_VALUE"""),"001")</f>
        <v>001</v>
      </c>
      <c r="F248" s="170" t="str">
        <f ca="1">IFERROR(__xludf.DUMMYFUNCTION("""COMPUTED_VALUE"""),"0862")</f>
        <v>0862</v>
      </c>
      <c r="G248" s="170" t="str">
        <f ca="1">IFERROR(__xludf.DUMMYFUNCTION("""COMPUTED_VALUE"""),"211087")</f>
        <v>211087</v>
      </c>
      <c r="H248" s="170">
        <f ca="1">IFERROR(__xludf.DUMMYFUNCTION("""COMPUTED_VALUE"""),0)</f>
        <v>0</v>
      </c>
      <c r="I248" s="170">
        <f ca="1">IFERROR(__xludf.DUMMYFUNCTION("""COMPUTED_VALUE"""),0)</f>
        <v>0</v>
      </c>
      <c r="J248" s="170">
        <f ca="1">IFERROR(__xludf.DUMMYFUNCTION("""COMPUTED_VALUE"""),110)</f>
        <v>110</v>
      </c>
      <c r="K248" s="170">
        <f ca="1">IFERROR(__xludf.DUMMYFUNCTION("""COMPUTED_VALUE"""),0)</f>
        <v>0</v>
      </c>
      <c r="L248" s="170">
        <f ca="1">IFERROR(__xludf.DUMMYFUNCTION("""COMPUTED_VALUE"""),0)</f>
        <v>0</v>
      </c>
      <c r="M248" s="170">
        <f ca="1">IFERROR(__xludf.DUMMYFUNCTION("""COMPUTED_VALUE"""),0)</f>
        <v>0</v>
      </c>
      <c r="N248" s="170">
        <f ca="1">IFERROR(__xludf.DUMMYFUNCTION("""COMPUTED_VALUE"""),0)</f>
        <v>0</v>
      </c>
      <c r="O248" s="170">
        <f ca="1">IFERROR(__xludf.DUMMYFUNCTION("""COMPUTED_VALUE"""),0)</f>
        <v>0</v>
      </c>
      <c r="P248" s="170">
        <f ca="1">IFERROR(__xludf.DUMMYFUNCTION("""COMPUTED_VALUE"""),190.4)</f>
        <v>190.4</v>
      </c>
      <c r="Q248" s="170">
        <f ca="1">IFERROR(__xludf.DUMMYFUNCTION("""COMPUTED_VALUE"""),0)</f>
        <v>0</v>
      </c>
      <c r="R248" s="170">
        <f ca="1">IFERROR(__xludf.DUMMYFUNCTION("""COMPUTED_VALUE"""),0)</f>
        <v>0</v>
      </c>
      <c r="S248" s="170">
        <f ca="1">IFERROR(__xludf.DUMMYFUNCTION("""COMPUTED_VALUE"""),0)</f>
        <v>0</v>
      </c>
      <c r="T248" s="170">
        <f ca="1">IFERROR(__xludf.DUMMYFUNCTION("""COMPUTED_VALUE"""),368.999999999999)</f>
        <v>368.99999999999898</v>
      </c>
      <c r="U248" s="170">
        <f ca="1"/>
        <v>669.39999999999895</v>
      </c>
    </row>
    <row r="249" spans="1:21" ht="12.75">
      <c r="A249" s="162" t="str">
        <f ca="1">IFERROR(__xludf.DUMMYFUNCTION("""COMPUTED_VALUE"""),"Miracema")</f>
        <v>Miracema</v>
      </c>
      <c r="B249" s="162" t="str">
        <f ca="1">IFERROR(__xludf.DUMMYFUNCTION("""COMPUTED_VALUE"""),"Lizarda")</f>
        <v>Lizarda</v>
      </c>
      <c r="C249" s="163" t="str">
        <f ca="1">IFERROR(__xludf.DUMMYFUNCTION("""COMPUTED_VALUE"""),"A. ESC. COMUN. DO COL. EST. 31 DE MARCO")</f>
        <v>A. ESC. COMUN. DO COL. EST. 31 DE MARCO</v>
      </c>
      <c r="D249" s="164" t="str">
        <f ca="1">IFERROR(__xludf.DUMMYFUNCTION("""COMPUTED_VALUE"""),"01232873000192")</f>
        <v>01232873000192</v>
      </c>
      <c r="E249" s="165" t="str">
        <f ca="1">IFERROR(__xludf.DUMMYFUNCTION("""COMPUTED_VALUE"""),"001")</f>
        <v>001</v>
      </c>
      <c r="F249" s="165" t="str">
        <f ca="1">IFERROR(__xludf.DUMMYFUNCTION("""COMPUTED_VALUE"""),"0862")</f>
        <v>0862</v>
      </c>
      <c r="G249" s="165" t="str">
        <f ca="1">IFERROR(__xludf.DUMMYFUNCTION("""COMPUTED_VALUE"""),"68969")</f>
        <v>68969</v>
      </c>
      <c r="H249" s="165">
        <f ca="1">IFERROR(__xludf.DUMMYFUNCTION("""COMPUTED_VALUE"""),0)</f>
        <v>0</v>
      </c>
      <c r="I249" s="165">
        <f ca="1">IFERROR(__xludf.DUMMYFUNCTION("""COMPUTED_VALUE"""),0)</f>
        <v>0</v>
      </c>
      <c r="J249" s="165">
        <f ca="1">IFERROR(__xludf.DUMMYFUNCTION("""COMPUTED_VALUE"""),1780)</f>
        <v>1780</v>
      </c>
      <c r="K249" s="165">
        <f ca="1">IFERROR(__xludf.DUMMYFUNCTION("""COMPUTED_VALUE"""),0)</f>
        <v>0</v>
      </c>
      <c r="L249" s="165">
        <f ca="1">IFERROR(__xludf.DUMMYFUNCTION("""COMPUTED_VALUE"""),0)</f>
        <v>0</v>
      </c>
      <c r="M249" s="165">
        <f ca="1">IFERROR(__xludf.DUMMYFUNCTION("""COMPUTED_VALUE"""),0)</f>
        <v>0</v>
      </c>
      <c r="N249" s="165">
        <f ca="1">IFERROR(__xludf.DUMMYFUNCTION("""COMPUTED_VALUE"""),0)</f>
        <v>0</v>
      </c>
      <c r="O249" s="165">
        <f ca="1">IFERROR(__xludf.DUMMYFUNCTION("""COMPUTED_VALUE"""),0)</f>
        <v>0</v>
      </c>
      <c r="P249" s="165">
        <f ca="1">IFERROR(__xludf.DUMMYFUNCTION("""COMPUTED_VALUE"""),149.6)</f>
        <v>149.6</v>
      </c>
      <c r="Q249" s="165">
        <f ca="1">IFERROR(__xludf.DUMMYFUNCTION("""COMPUTED_VALUE"""),1610)</f>
        <v>1610</v>
      </c>
      <c r="R249" s="165">
        <f ca="1">IFERROR(__xludf.DUMMYFUNCTION("""COMPUTED_VALUE"""),0)</f>
        <v>0</v>
      </c>
      <c r="S249" s="165">
        <f ca="1">IFERROR(__xludf.DUMMYFUNCTION("""COMPUTED_VALUE"""),0)</f>
        <v>0</v>
      </c>
      <c r="T249" s="165">
        <f ca="1">IFERROR(__xludf.DUMMYFUNCTION("""COMPUTED_VALUE"""),0)</f>
        <v>0</v>
      </c>
      <c r="U249" s="165">
        <f ca="1"/>
        <v>3539.6</v>
      </c>
    </row>
    <row r="250" spans="1:21" ht="12.75">
      <c r="A250" s="167" t="str">
        <f ca="1">IFERROR(__xludf.DUMMYFUNCTION("""COMPUTED_VALUE"""),"Miracema")</f>
        <v>Miracema</v>
      </c>
      <c r="B250" s="167" t="str">
        <f ca="1">IFERROR(__xludf.DUMMYFUNCTION("""COMPUTED_VALUE"""),"Lizarda")</f>
        <v>Lizarda</v>
      </c>
      <c r="C250" s="168" t="str">
        <f ca="1">IFERROR(__xludf.DUMMYFUNCTION("""COMPUTED_VALUE"""),"ESCOLA ESTADUAL AYRTON SENNA")</f>
        <v>ESCOLA ESTADUAL AYRTON SENNA</v>
      </c>
      <c r="D250" s="169" t="str">
        <f ca="1">IFERROR(__xludf.DUMMYFUNCTION("""COMPUTED_VALUE"""),"11406586000105")</f>
        <v>11406586000105</v>
      </c>
      <c r="E250" s="170" t="str">
        <f ca="1">IFERROR(__xludf.DUMMYFUNCTION("""COMPUTED_VALUE"""),"001")</f>
        <v>001</v>
      </c>
      <c r="F250" s="170" t="str">
        <f ca="1">IFERROR(__xludf.DUMMYFUNCTION("""COMPUTED_VALUE"""),"0862")</f>
        <v>0862</v>
      </c>
      <c r="G250" s="170" t="str">
        <f ca="1">IFERROR(__xludf.DUMMYFUNCTION("""COMPUTED_VALUE"""),"270393")</f>
        <v>270393</v>
      </c>
      <c r="H250" s="170">
        <f ca="1">IFERROR(__xludf.DUMMYFUNCTION("""COMPUTED_VALUE"""),0)</f>
        <v>0</v>
      </c>
      <c r="I250" s="170">
        <f ca="1">IFERROR(__xludf.DUMMYFUNCTION("""COMPUTED_VALUE"""),0)</f>
        <v>0</v>
      </c>
      <c r="J250" s="170">
        <f ca="1">IFERROR(__xludf.DUMMYFUNCTION("""COMPUTED_VALUE"""),680)</f>
        <v>680</v>
      </c>
      <c r="K250" s="170">
        <f ca="1">IFERROR(__xludf.DUMMYFUNCTION("""COMPUTED_VALUE"""),0)</f>
        <v>0</v>
      </c>
      <c r="L250" s="170">
        <f ca="1">IFERROR(__xludf.DUMMYFUNCTION("""COMPUTED_VALUE"""),0)</f>
        <v>0</v>
      </c>
      <c r="M250" s="170">
        <f ca="1">IFERROR(__xludf.DUMMYFUNCTION("""COMPUTED_VALUE"""),0)</f>
        <v>0</v>
      </c>
      <c r="N250" s="170">
        <f ca="1">IFERROR(__xludf.DUMMYFUNCTION("""COMPUTED_VALUE"""),0)</f>
        <v>0</v>
      </c>
      <c r="O250" s="170">
        <f ca="1">IFERROR(__xludf.DUMMYFUNCTION("""COMPUTED_VALUE"""),0)</f>
        <v>0</v>
      </c>
      <c r="P250" s="170">
        <f ca="1">IFERROR(__xludf.DUMMYFUNCTION("""COMPUTED_VALUE"""),68)</f>
        <v>68</v>
      </c>
      <c r="Q250" s="170">
        <f ca="1">IFERROR(__xludf.DUMMYFUNCTION("""COMPUTED_VALUE"""),250)</f>
        <v>250</v>
      </c>
      <c r="R250" s="170">
        <f ca="1">IFERROR(__xludf.DUMMYFUNCTION("""COMPUTED_VALUE"""),0)</f>
        <v>0</v>
      </c>
      <c r="S250" s="170">
        <f ca="1">IFERROR(__xludf.DUMMYFUNCTION("""COMPUTED_VALUE"""),0)</f>
        <v>0</v>
      </c>
      <c r="T250" s="170">
        <f ca="1">IFERROR(__xludf.DUMMYFUNCTION("""COMPUTED_VALUE"""),0)</f>
        <v>0</v>
      </c>
      <c r="U250" s="170">
        <f ca="1"/>
        <v>998</v>
      </c>
    </row>
    <row r="251" spans="1:21" ht="12.75">
      <c r="A251" s="162" t="str">
        <f ca="1">IFERROR(__xludf.DUMMYFUNCTION("""COMPUTED_VALUE"""),"Miracema")</f>
        <v>Miracema</v>
      </c>
      <c r="B251" s="162" t="str">
        <f ca="1">IFERROR(__xludf.DUMMYFUNCTION("""COMPUTED_VALUE"""),"Miracema do Tocantins")</f>
        <v>Miracema do Tocantins</v>
      </c>
      <c r="C251" s="163" t="str">
        <f ca="1">IFERROR(__xludf.DUMMYFUNCTION("""COMPUTED_VALUE"""),"ASSOCIAÇÃO DE APOIO ÀS ESCOLAS INDIGENAS XERENTE")</f>
        <v>ASSOCIAÇÃO DE APOIO ÀS ESCOLAS INDIGENAS XERENTE</v>
      </c>
      <c r="D251" s="164" t="str">
        <f ca="1">IFERROR(__xludf.DUMMYFUNCTION("""COMPUTED_VALUE"""),"07671600000120")</f>
        <v>07671600000120</v>
      </c>
      <c r="E251" s="165" t="str">
        <f ca="1">IFERROR(__xludf.DUMMYFUNCTION("""COMPUTED_VALUE"""),"001")</f>
        <v>001</v>
      </c>
      <c r="F251" s="165" t="str">
        <f ca="1">IFERROR(__xludf.DUMMYFUNCTION("""COMPUTED_VALUE"""),"0862")</f>
        <v>0862</v>
      </c>
      <c r="G251" s="165" t="str">
        <f ca="1">IFERROR(__xludf.DUMMYFUNCTION("""COMPUTED_VALUE"""),"185884")</f>
        <v>185884</v>
      </c>
      <c r="H251" s="165">
        <f ca="1">IFERROR(__xludf.DUMMYFUNCTION("""COMPUTED_VALUE"""),0)</f>
        <v>0</v>
      </c>
      <c r="I251" s="165">
        <f ca="1">IFERROR(__xludf.DUMMYFUNCTION("""COMPUTED_VALUE"""),0)</f>
        <v>0</v>
      </c>
      <c r="J251" s="165">
        <f ca="1">IFERROR(__xludf.DUMMYFUNCTION("""COMPUTED_VALUE"""),0)</f>
        <v>0</v>
      </c>
      <c r="K251" s="165">
        <f ca="1">IFERROR(__xludf.DUMMYFUNCTION("""COMPUTED_VALUE"""),0)</f>
        <v>0</v>
      </c>
      <c r="L251" s="165">
        <f ca="1">IFERROR(__xludf.DUMMYFUNCTION("""COMPUTED_VALUE"""),0)</f>
        <v>0</v>
      </c>
      <c r="M251" s="165">
        <f ca="1">IFERROR(__xludf.DUMMYFUNCTION("""COMPUTED_VALUE"""),0)</f>
        <v>0</v>
      </c>
      <c r="N251" s="165">
        <f ca="1">IFERROR(__xludf.DUMMYFUNCTION("""COMPUTED_VALUE"""),0)</f>
        <v>0</v>
      </c>
      <c r="O251" s="165">
        <f ca="1">IFERROR(__xludf.DUMMYFUNCTION("""COMPUTED_VALUE"""),18816.8)</f>
        <v>18816.8</v>
      </c>
      <c r="P251" s="165">
        <f ca="1">IFERROR(__xludf.DUMMYFUNCTION("""COMPUTED_VALUE"""),0)</f>
        <v>0</v>
      </c>
      <c r="Q251" s="165">
        <f ca="1">IFERROR(__xludf.DUMMYFUNCTION("""COMPUTED_VALUE"""),0)</f>
        <v>0</v>
      </c>
      <c r="R251" s="165">
        <f ca="1">IFERROR(__xludf.DUMMYFUNCTION("""COMPUTED_VALUE"""),0)</f>
        <v>0</v>
      </c>
      <c r="S251" s="165">
        <f ca="1">IFERROR(__xludf.DUMMYFUNCTION("""COMPUTED_VALUE"""),0)</f>
        <v>0</v>
      </c>
      <c r="T251" s="165">
        <f ca="1">IFERROR(__xludf.DUMMYFUNCTION("""COMPUTED_VALUE"""),0)</f>
        <v>0</v>
      </c>
      <c r="U251" s="165">
        <f ca="1"/>
        <v>18816.8</v>
      </c>
    </row>
    <row r="252" spans="1:21" ht="12.75">
      <c r="A252" s="167" t="str">
        <f ca="1">IFERROR(__xludf.DUMMYFUNCTION("""COMPUTED_VALUE"""),"Miracema")</f>
        <v>Miracema</v>
      </c>
      <c r="B252" s="167" t="str">
        <f ca="1">IFERROR(__xludf.DUMMYFUNCTION("""COMPUTED_VALUE"""),"Miracema do Tocantins")</f>
        <v>Miracema do Tocantins</v>
      </c>
      <c r="C252" s="168" t="str">
        <f ca="1">IFERROR(__xludf.DUMMYFUNCTION("""COMPUTED_VALUE"""),"ASSOC ESC COM COL EST FILOMENA MOREIRA DE PAULA")</f>
        <v>ASSOC ESC COM COL EST FILOMENA MOREIRA DE PAULA</v>
      </c>
      <c r="D252" s="169" t="str">
        <f ca="1">IFERROR(__xludf.DUMMYFUNCTION("""COMPUTED_VALUE"""),"00900200000109")</f>
        <v>00900200000109</v>
      </c>
      <c r="E252" s="170" t="str">
        <f ca="1">IFERROR(__xludf.DUMMYFUNCTION("""COMPUTED_VALUE"""),"001")</f>
        <v>001</v>
      </c>
      <c r="F252" s="170" t="str">
        <f ca="1">IFERROR(__xludf.DUMMYFUNCTION("""COMPUTED_VALUE"""),"0862")</f>
        <v>0862</v>
      </c>
      <c r="G252" s="170" t="str">
        <f ca="1">IFERROR(__xludf.DUMMYFUNCTION("""COMPUTED_VALUE"""),"97527")</f>
        <v>97527</v>
      </c>
      <c r="H252" s="170">
        <f ca="1">IFERROR(__xludf.DUMMYFUNCTION("""COMPUTED_VALUE"""),0)</f>
        <v>0</v>
      </c>
      <c r="I252" s="170">
        <f ca="1">IFERROR(__xludf.DUMMYFUNCTION("""COMPUTED_VALUE"""),0)</f>
        <v>0</v>
      </c>
      <c r="J252" s="170">
        <f ca="1">IFERROR(__xludf.DUMMYFUNCTION("""COMPUTED_VALUE"""),0)</f>
        <v>0</v>
      </c>
      <c r="K252" s="170">
        <f ca="1">IFERROR(__xludf.DUMMYFUNCTION("""COMPUTED_VALUE"""),0)</f>
        <v>0</v>
      </c>
      <c r="L252" s="170">
        <f ca="1">IFERROR(__xludf.DUMMYFUNCTION("""COMPUTED_VALUE"""),0)</f>
        <v>0</v>
      </c>
      <c r="M252" s="170">
        <f ca="1">IFERROR(__xludf.DUMMYFUNCTION("""COMPUTED_VALUE"""),0)</f>
        <v>0</v>
      </c>
      <c r="N252" s="170">
        <f ca="1">IFERROR(__xludf.DUMMYFUNCTION("""COMPUTED_VALUE"""),0)</f>
        <v>0</v>
      </c>
      <c r="O252" s="170">
        <f ca="1">IFERROR(__xludf.DUMMYFUNCTION("""COMPUTED_VALUE"""),0)</f>
        <v>0</v>
      </c>
      <c r="P252" s="170">
        <f ca="1">IFERROR(__xludf.DUMMYFUNCTION("""COMPUTED_VALUE"""),204)</f>
        <v>204</v>
      </c>
      <c r="Q252" s="170">
        <f ca="1">IFERROR(__xludf.DUMMYFUNCTION("""COMPUTED_VALUE"""),0)</f>
        <v>0</v>
      </c>
      <c r="R252" s="170">
        <f ca="1">IFERROR(__xludf.DUMMYFUNCTION("""COMPUTED_VALUE"""),0)</f>
        <v>0</v>
      </c>
      <c r="S252" s="170">
        <f ca="1">IFERROR(__xludf.DUMMYFUNCTION("""COMPUTED_VALUE"""),5580.8)</f>
        <v>5580.8</v>
      </c>
      <c r="T252" s="170">
        <f ca="1">IFERROR(__xludf.DUMMYFUNCTION("""COMPUTED_VALUE"""),0)</f>
        <v>0</v>
      </c>
      <c r="U252" s="170">
        <f ca="1"/>
        <v>5784.8</v>
      </c>
    </row>
    <row r="253" spans="1:21" ht="12.75">
      <c r="A253" s="162" t="str">
        <f ca="1">IFERROR(__xludf.DUMMYFUNCTION("""COMPUTED_VALUE"""),"Miracema")</f>
        <v>Miracema</v>
      </c>
      <c r="B253" s="162" t="str">
        <f ca="1">IFERROR(__xludf.DUMMYFUNCTION("""COMPUTED_VALUE"""),"Miracema do Tocantins")</f>
        <v>Miracema do Tocantins</v>
      </c>
      <c r="C253" s="163" t="str">
        <f ca="1">IFERROR(__xludf.DUMMYFUNCTION("""COMPUTED_VALUE"""),"ASS. DE APOIO AO CEM SANTA TEREZINHA")</f>
        <v>ASS. DE APOIO AO CEM SANTA TEREZINHA</v>
      </c>
      <c r="D253" s="164" t="str">
        <f ca="1">IFERROR(__xludf.DUMMYFUNCTION("""COMPUTED_VALUE"""),"01085211000137")</f>
        <v>01085211000137</v>
      </c>
      <c r="E253" s="165" t="str">
        <f ca="1">IFERROR(__xludf.DUMMYFUNCTION("""COMPUTED_VALUE"""),"001")</f>
        <v>001</v>
      </c>
      <c r="F253" s="165" t="str">
        <f ca="1">IFERROR(__xludf.DUMMYFUNCTION("""COMPUTED_VALUE"""),"0862")</f>
        <v>0862</v>
      </c>
      <c r="G253" s="165" t="str">
        <f ca="1">IFERROR(__xludf.DUMMYFUNCTION("""COMPUTED_VALUE"""),"244589")</f>
        <v>244589</v>
      </c>
      <c r="H253" s="165">
        <f ca="1">IFERROR(__xludf.DUMMYFUNCTION("""COMPUTED_VALUE"""),0)</f>
        <v>0</v>
      </c>
      <c r="I253" s="165">
        <f ca="1">IFERROR(__xludf.DUMMYFUNCTION("""COMPUTED_VALUE"""),0)</f>
        <v>0</v>
      </c>
      <c r="J253" s="165">
        <f ca="1">IFERROR(__xludf.DUMMYFUNCTION("""COMPUTED_VALUE"""),2810)</f>
        <v>2810</v>
      </c>
      <c r="K253" s="165">
        <f ca="1">IFERROR(__xludf.DUMMYFUNCTION("""COMPUTED_VALUE"""),0)</f>
        <v>0</v>
      </c>
      <c r="L253" s="165">
        <f ca="1">IFERROR(__xludf.DUMMYFUNCTION("""COMPUTED_VALUE"""),0)</f>
        <v>0</v>
      </c>
      <c r="M253" s="165">
        <f ca="1">IFERROR(__xludf.DUMMYFUNCTION("""COMPUTED_VALUE"""),0)</f>
        <v>0</v>
      </c>
      <c r="N253" s="165">
        <f ca="1">IFERROR(__xludf.DUMMYFUNCTION("""COMPUTED_VALUE"""),0)</f>
        <v>0</v>
      </c>
      <c r="O253" s="165">
        <f ca="1">IFERROR(__xludf.DUMMYFUNCTION("""COMPUTED_VALUE"""),0)</f>
        <v>0</v>
      </c>
      <c r="P253" s="165">
        <f ca="1">IFERROR(__xludf.DUMMYFUNCTION("""COMPUTED_VALUE"""),272)</f>
        <v>272</v>
      </c>
      <c r="Q253" s="165">
        <f ca="1">IFERROR(__xludf.DUMMYFUNCTION("""COMPUTED_VALUE"""),1700)</f>
        <v>1700</v>
      </c>
      <c r="R253" s="165">
        <f ca="1">IFERROR(__xludf.DUMMYFUNCTION("""COMPUTED_VALUE"""),0)</f>
        <v>0</v>
      </c>
      <c r="S253" s="165">
        <f ca="1">IFERROR(__xludf.DUMMYFUNCTION("""COMPUTED_VALUE"""),0)</f>
        <v>0</v>
      </c>
      <c r="T253" s="165">
        <f ca="1">IFERROR(__xludf.DUMMYFUNCTION("""COMPUTED_VALUE"""),0)</f>
        <v>0</v>
      </c>
      <c r="U253" s="165">
        <f ca="1"/>
        <v>4782</v>
      </c>
    </row>
    <row r="254" spans="1:21" ht="12.75">
      <c r="A254" s="167" t="str">
        <f ca="1">IFERROR(__xludf.DUMMYFUNCTION("""COMPUTED_VALUE"""),"Miracema")</f>
        <v>Miracema</v>
      </c>
      <c r="B254" s="167" t="str">
        <f ca="1">IFERROR(__xludf.DUMMYFUNCTION("""COMPUTED_VALUE"""),"Miracema do Tocantins")</f>
        <v>Miracema do Tocantins</v>
      </c>
      <c r="C254" s="168" t="str">
        <f ca="1">IFERROR(__xludf.DUMMYFUNCTION("""COMPUTED_VALUE"""),"SOCIEDADE EDUCADORA FEMININA/COLÉGIO TOCANTINS")</f>
        <v>SOCIEDADE EDUCADORA FEMININA/COLÉGIO TOCANTINS</v>
      </c>
      <c r="D254" s="169" t="str">
        <f ca="1">IFERROR(__xludf.DUMMYFUNCTION("""COMPUTED_VALUE"""),"61373585000694")</f>
        <v>61373585000694</v>
      </c>
      <c r="E254" s="170" t="str">
        <f ca="1">IFERROR(__xludf.DUMMYFUNCTION("""COMPUTED_VALUE"""),"001")</f>
        <v>001</v>
      </c>
      <c r="F254" s="170" t="str">
        <f ca="1">IFERROR(__xludf.DUMMYFUNCTION("""COMPUTED_VALUE"""),"0862")</f>
        <v>0862</v>
      </c>
      <c r="G254" s="170" t="str">
        <f ca="1">IFERROR(__xludf.DUMMYFUNCTION("""COMPUTED_VALUE"""),"69086")</f>
        <v>69086</v>
      </c>
      <c r="H254" s="170">
        <f ca="1">IFERROR(__xludf.DUMMYFUNCTION("""COMPUTED_VALUE"""),0)</f>
        <v>0</v>
      </c>
      <c r="I254" s="170">
        <f ca="1">IFERROR(__xludf.DUMMYFUNCTION("""COMPUTED_VALUE"""),0)</f>
        <v>0</v>
      </c>
      <c r="J254" s="170">
        <f ca="1">IFERROR(__xludf.DUMMYFUNCTION("""COMPUTED_VALUE"""),2380)</f>
        <v>2380</v>
      </c>
      <c r="K254" s="170">
        <f ca="1">IFERROR(__xludf.DUMMYFUNCTION("""COMPUTED_VALUE"""),0)</f>
        <v>0</v>
      </c>
      <c r="L254" s="170">
        <f ca="1">IFERROR(__xludf.DUMMYFUNCTION("""COMPUTED_VALUE"""),0)</f>
        <v>0</v>
      </c>
      <c r="M254" s="170">
        <f ca="1">IFERROR(__xludf.DUMMYFUNCTION("""COMPUTED_VALUE"""),0)</f>
        <v>0</v>
      </c>
      <c r="N254" s="170">
        <f ca="1">IFERROR(__xludf.DUMMYFUNCTION("""COMPUTED_VALUE"""),0)</f>
        <v>0</v>
      </c>
      <c r="O254" s="170">
        <f ca="1">IFERROR(__xludf.DUMMYFUNCTION("""COMPUTED_VALUE"""),0)</f>
        <v>0</v>
      </c>
      <c r="P254" s="170">
        <f ca="1">IFERROR(__xludf.DUMMYFUNCTION("""COMPUTED_VALUE"""),176.799999999999)</f>
        <v>176.79999999999899</v>
      </c>
      <c r="Q254" s="170">
        <f ca="1">IFERROR(__xludf.DUMMYFUNCTION("""COMPUTED_VALUE"""),2380)</f>
        <v>2380</v>
      </c>
      <c r="R254" s="170">
        <f ca="1">IFERROR(__xludf.DUMMYFUNCTION("""COMPUTED_VALUE"""),0)</f>
        <v>0</v>
      </c>
      <c r="S254" s="170">
        <f ca="1">IFERROR(__xludf.DUMMYFUNCTION("""COMPUTED_VALUE"""),0)</f>
        <v>0</v>
      </c>
      <c r="T254" s="170">
        <f ca="1">IFERROR(__xludf.DUMMYFUNCTION("""COMPUTED_VALUE"""),0)</f>
        <v>0</v>
      </c>
      <c r="U254" s="170">
        <f ca="1"/>
        <v>4936.7999999999993</v>
      </c>
    </row>
    <row r="255" spans="1:21" ht="12.75">
      <c r="A255" s="162" t="str">
        <f ca="1">IFERROR(__xludf.DUMMYFUNCTION("""COMPUTED_VALUE"""),"Miracema")</f>
        <v>Miracema</v>
      </c>
      <c r="B255" s="162" t="str">
        <f ca="1">IFERROR(__xludf.DUMMYFUNCTION("""COMPUTED_VALUE"""),"Miracema do Tocantins")</f>
        <v>Miracema do Tocantins</v>
      </c>
      <c r="C255" s="163" t="str">
        <f ca="1">IFERROR(__xludf.DUMMYFUNCTION("""COMPUTED_VALUE"""),"A.P.A.DOS EXECEPCIONAIS DE MIRACEMA - APAE")</f>
        <v>A.P.A.DOS EXECEPCIONAIS DE MIRACEMA - APAE</v>
      </c>
      <c r="D255" s="164" t="str">
        <f ca="1">IFERROR(__xludf.DUMMYFUNCTION("""COMPUTED_VALUE"""),"38146965000160")</f>
        <v>38146965000160</v>
      </c>
      <c r="E255" s="165" t="str">
        <f ca="1">IFERROR(__xludf.DUMMYFUNCTION("""COMPUTED_VALUE"""),"001")</f>
        <v>001</v>
      </c>
      <c r="F255" s="165" t="str">
        <f ca="1">IFERROR(__xludf.DUMMYFUNCTION("""COMPUTED_VALUE"""),"0862")</f>
        <v>0862</v>
      </c>
      <c r="G255" s="165" t="str">
        <f ca="1">IFERROR(__xludf.DUMMYFUNCTION("""COMPUTED_VALUE"""),"93734")</f>
        <v>93734</v>
      </c>
      <c r="H255" s="165">
        <f ca="1">IFERROR(__xludf.DUMMYFUNCTION("""COMPUTED_VALUE"""),0)</f>
        <v>0</v>
      </c>
      <c r="I255" s="165">
        <f ca="1">IFERROR(__xludf.DUMMYFUNCTION("""COMPUTED_VALUE"""),244.8)</f>
        <v>244.8</v>
      </c>
      <c r="J255" s="165">
        <f ca="1">IFERROR(__xludf.DUMMYFUNCTION("""COMPUTED_VALUE"""),240)</f>
        <v>240</v>
      </c>
      <c r="K255" s="165">
        <f ca="1">IFERROR(__xludf.DUMMYFUNCTION("""COMPUTED_VALUE"""),0)</f>
        <v>0</v>
      </c>
      <c r="L255" s="165">
        <f ca="1">IFERROR(__xludf.DUMMYFUNCTION("""COMPUTED_VALUE"""),0)</f>
        <v>0</v>
      </c>
      <c r="M255" s="165">
        <f ca="1">IFERROR(__xludf.DUMMYFUNCTION("""COMPUTED_VALUE"""),0)</f>
        <v>0</v>
      </c>
      <c r="N255" s="165">
        <f ca="1">IFERROR(__xludf.DUMMYFUNCTION("""COMPUTED_VALUE"""),0)</f>
        <v>0</v>
      </c>
      <c r="O255" s="165">
        <f ca="1">IFERROR(__xludf.DUMMYFUNCTION("""COMPUTED_VALUE"""),0)</f>
        <v>0</v>
      </c>
      <c r="P255" s="165">
        <f ca="1">IFERROR(__xludf.DUMMYFUNCTION("""COMPUTED_VALUE"""),163.2)</f>
        <v>163.19999999999999</v>
      </c>
      <c r="Q255" s="165">
        <f ca="1">IFERROR(__xludf.DUMMYFUNCTION("""COMPUTED_VALUE"""),0)</f>
        <v>0</v>
      </c>
      <c r="R255" s="165">
        <f ca="1">IFERROR(__xludf.DUMMYFUNCTION("""COMPUTED_VALUE"""),0)</f>
        <v>0</v>
      </c>
      <c r="S255" s="165">
        <f ca="1">IFERROR(__xludf.DUMMYFUNCTION("""COMPUTED_VALUE"""),0)</f>
        <v>0</v>
      </c>
      <c r="T255" s="165">
        <f ca="1">IFERROR(__xludf.DUMMYFUNCTION("""COMPUTED_VALUE"""),590.4)</f>
        <v>590.4</v>
      </c>
      <c r="U255" s="165">
        <f ca="1"/>
        <v>1238.4000000000001</v>
      </c>
    </row>
    <row r="256" spans="1:21" ht="12.75">
      <c r="A256" s="167" t="str">
        <f ca="1">IFERROR(__xludf.DUMMYFUNCTION("""COMPUTED_VALUE"""),"Miracema")</f>
        <v>Miracema</v>
      </c>
      <c r="B256" s="167" t="str">
        <f ca="1">IFERROR(__xludf.DUMMYFUNCTION("""COMPUTED_VALUE"""),"Miracema do Tocantins")</f>
        <v>Miracema do Tocantins</v>
      </c>
      <c r="C256" s="168" t="str">
        <f ca="1">IFERROR(__xludf.DUMMYFUNCTION("""COMPUTED_VALUE"""),"A.COM.DA ESC. EST. JOSE D. VASCONCELOS")</f>
        <v>A.COM.DA ESC. EST. JOSE D. VASCONCELOS</v>
      </c>
      <c r="D256" s="169" t="str">
        <f ca="1">IFERROR(__xludf.DUMMYFUNCTION("""COMPUTED_VALUE"""),"01068379000134")</f>
        <v>01068379000134</v>
      </c>
      <c r="E256" s="170" t="str">
        <f ca="1">IFERROR(__xludf.DUMMYFUNCTION("""COMPUTED_VALUE"""),"001")</f>
        <v>001</v>
      </c>
      <c r="F256" s="170" t="str">
        <f ca="1">IFERROR(__xludf.DUMMYFUNCTION("""COMPUTED_VALUE"""),"0862")</f>
        <v>0862</v>
      </c>
      <c r="G256" s="170" t="str">
        <f ca="1">IFERROR(__xludf.DUMMYFUNCTION("""COMPUTED_VALUE"""),"69035")</f>
        <v>69035</v>
      </c>
      <c r="H256" s="170">
        <f ca="1">IFERROR(__xludf.DUMMYFUNCTION("""COMPUTED_VALUE"""),0)</f>
        <v>0</v>
      </c>
      <c r="I256" s="170">
        <f ca="1">IFERROR(__xludf.DUMMYFUNCTION("""COMPUTED_VALUE"""),0)</f>
        <v>0</v>
      </c>
      <c r="J256" s="170">
        <f ca="1">IFERROR(__xludf.DUMMYFUNCTION("""COMPUTED_VALUE"""),1570)</f>
        <v>1570</v>
      </c>
      <c r="K256" s="170">
        <f ca="1">IFERROR(__xludf.DUMMYFUNCTION("""COMPUTED_VALUE"""),0)</f>
        <v>0</v>
      </c>
      <c r="L256" s="170">
        <f ca="1">IFERROR(__xludf.DUMMYFUNCTION("""COMPUTED_VALUE"""),0)</f>
        <v>0</v>
      </c>
      <c r="M256" s="170">
        <f ca="1">IFERROR(__xludf.DUMMYFUNCTION("""COMPUTED_VALUE"""),0)</f>
        <v>0</v>
      </c>
      <c r="N256" s="170">
        <f ca="1">IFERROR(__xludf.DUMMYFUNCTION("""COMPUTED_VALUE"""),0)</f>
        <v>0</v>
      </c>
      <c r="O256" s="170">
        <f ca="1">IFERROR(__xludf.DUMMYFUNCTION("""COMPUTED_VALUE"""),0)</f>
        <v>0</v>
      </c>
      <c r="P256" s="170">
        <f ca="1">IFERROR(__xludf.DUMMYFUNCTION("""COMPUTED_VALUE"""),244.799999999999)</f>
        <v>244.79999999999899</v>
      </c>
      <c r="Q256" s="170">
        <f ca="1">IFERROR(__xludf.DUMMYFUNCTION("""COMPUTED_VALUE"""),2380)</f>
        <v>2380</v>
      </c>
      <c r="R256" s="170">
        <f ca="1">IFERROR(__xludf.DUMMYFUNCTION("""COMPUTED_VALUE"""),0)</f>
        <v>0</v>
      </c>
      <c r="S256" s="170">
        <f ca="1">IFERROR(__xludf.DUMMYFUNCTION("""COMPUTED_VALUE"""),0)</f>
        <v>0</v>
      </c>
      <c r="T256" s="170">
        <f ca="1">IFERROR(__xludf.DUMMYFUNCTION("""COMPUTED_VALUE"""),41)</f>
        <v>41</v>
      </c>
      <c r="U256" s="170">
        <f ca="1"/>
        <v>4235.7999999999993</v>
      </c>
    </row>
    <row r="257" spans="1:21" ht="12.75">
      <c r="A257" s="162" t="str">
        <f ca="1">IFERROR(__xludf.DUMMYFUNCTION("""COMPUTED_VALUE"""),"Miracema")</f>
        <v>Miracema</v>
      </c>
      <c r="B257" s="162" t="str">
        <f ca="1">IFERROR(__xludf.DUMMYFUNCTION("""COMPUTED_VALUE"""),"Miracema do Tocantins")</f>
        <v>Miracema do Tocantins</v>
      </c>
      <c r="C257" s="163" t="str">
        <f ca="1">IFERROR(__xludf.DUMMYFUNCTION("""COMPUTED_VALUE"""),"A.P.M.A. ESC. CONV. ONESINA BANDEIRA")</f>
        <v>A.P.M.A. ESC. CONV. ONESINA BANDEIRA</v>
      </c>
      <c r="D257" s="164" t="str">
        <f ca="1">IFERROR(__xludf.DUMMYFUNCTION("""COMPUTED_VALUE"""),"01133700000117")</f>
        <v>01133700000117</v>
      </c>
      <c r="E257" s="165" t="str">
        <f ca="1">IFERROR(__xludf.DUMMYFUNCTION("""COMPUTED_VALUE"""),"001")</f>
        <v>001</v>
      </c>
      <c r="F257" s="165" t="str">
        <f ca="1">IFERROR(__xludf.DUMMYFUNCTION("""COMPUTED_VALUE"""),"0862")</f>
        <v>0862</v>
      </c>
      <c r="G257" s="165" t="str">
        <f ca="1">IFERROR(__xludf.DUMMYFUNCTION("""COMPUTED_VALUE"""),"69051")</f>
        <v>69051</v>
      </c>
      <c r="H257" s="165">
        <f ca="1">IFERROR(__xludf.DUMMYFUNCTION("""COMPUTED_VALUE"""),0)</f>
        <v>0</v>
      </c>
      <c r="I257" s="165">
        <f ca="1">IFERROR(__xludf.DUMMYFUNCTION("""COMPUTED_VALUE"""),0)</f>
        <v>0</v>
      </c>
      <c r="J257" s="165">
        <f ca="1">IFERROR(__xludf.DUMMYFUNCTION("""COMPUTED_VALUE"""),7760)</f>
        <v>7760</v>
      </c>
      <c r="K257" s="165">
        <f ca="1">IFERROR(__xludf.DUMMYFUNCTION("""COMPUTED_VALUE"""),0)</f>
        <v>0</v>
      </c>
      <c r="L257" s="165">
        <f ca="1">IFERROR(__xludf.DUMMYFUNCTION("""COMPUTED_VALUE"""),0)</f>
        <v>0</v>
      </c>
      <c r="M257" s="165">
        <f ca="1">IFERROR(__xludf.DUMMYFUNCTION("""COMPUTED_VALUE"""),0)</f>
        <v>0</v>
      </c>
      <c r="N257" s="165">
        <f ca="1">IFERROR(__xludf.DUMMYFUNCTION("""COMPUTED_VALUE"""),0)</f>
        <v>0</v>
      </c>
      <c r="O257" s="165">
        <f ca="1">IFERROR(__xludf.DUMMYFUNCTION("""COMPUTED_VALUE"""),0)</f>
        <v>0</v>
      </c>
      <c r="P257" s="165">
        <f ca="1">IFERROR(__xludf.DUMMYFUNCTION("""COMPUTED_VALUE"""),516.8)</f>
        <v>516.79999999999995</v>
      </c>
      <c r="Q257" s="165">
        <f ca="1">IFERROR(__xludf.DUMMYFUNCTION("""COMPUTED_VALUE"""),1000)</f>
        <v>1000</v>
      </c>
      <c r="R257" s="165">
        <f ca="1">IFERROR(__xludf.DUMMYFUNCTION("""COMPUTED_VALUE"""),0)</f>
        <v>0</v>
      </c>
      <c r="S257" s="165">
        <f ca="1">IFERROR(__xludf.DUMMYFUNCTION("""COMPUTED_VALUE"""),0)</f>
        <v>0</v>
      </c>
      <c r="T257" s="165">
        <f ca="1">IFERROR(__xludf.DUMMYFUNCTION("""COMPUTED_VALUE"""),2886.39999999999)</f>
        <v>2886.3999999999901</v>
      </c>
      <c r="U257" s="165">
        <f ca="1"/>
        <v>12163.19999999999</v>
      </c>
    </row>
    <row r="258" spans="1:21" ht="12.75">
      <c r="A258" s="167" t="str">
        <f ca="1">IFERROR(__xludf.DUMMYFUNCTION("""COMPUTED_VALUE"""),"Miracema")</f>
        <v>Miracema</v>
      </c>
      <c r="B258" s="167" t="str">
        <f ca="1">IFERROR(__xludf.DUMMYFUNCTION("""COMPUTED_VALUE"""),"Miracema do Tocantins")</f>
        <v>Miracema do Tocantins</v>
      </c>
      <c r="C258" s="168" t="str">
        <f ca="1">IFERROR(__xludf.DUMMYFUNCTION("""COMPUTED_VALUE"""),"A.A.  DA ESCOLA ESTADUAL OSCAR SARDINHA")</f>
        <v>A.A.  DA ESCOLA ESTADUAL OSCAR SARDINHA</v>
      </c>
      <c r="D258" s="169" t="str">
        <f ca="1">IFERROR(__xludf.DUMMYFUNCTION("""COMPUTED_VALUE"""),"01197158000166")</f>
        <v>01197158000166</v>
      </c>
      <c r="E258" s="170" t="str">
        <f ca="1">IFERROR(__xludf.DUMMYFUNCTION("""COMPUTED_VALUE"""),"001")</f>
        <v>001</v>
      </c>
      <c r="F258" s="170" t="str">
        <f ca="1">IFERROR(__xludf.DUMMYFUNCTION("""COMPUTED_VALUE"""),"0862")</f>
        <v>0862</v>
      </c>
      <c r="G258" s="170" t="str">
        <f ca="1">IFERROR(__xludf.DUMMYFUNCTION("""COMPUTED_VALUE"""),"6906X")</f>
        <v>6906X</v>
      </c>
      <c r="H258" s="170">
        <f ca="1">IFERROR(__xludf.DUMMYFUNCTION("""COMPUTED_VALUE"""),0)</f>
        <v>0</v>
      </c>
      <c r="I258" s="170">
        <f ca="1">IFERROR(__xludf.DUMMYFUNCTION("""COMPUTED_VALUE"""),0)</f>
        <v>0</v>
      </c>
      <c r="J258" s="170">
        <f ca="1">IFERROR(__xludf.DUMMYFUNCTION("""COMPUTED_VALUE"""),940)</f>
        <v>940</v>
      </c>
      <c r="K258" s="170">
        <f ca="1">IFERROR(__xludf.DUMMYFUNCTION("""COMPUTED_VALUE"""),0)</f>
        <v>0</v>
      </c>
      <c r="L258" s="170">
        <f ca="1">IFERROR(__xludf.DUMMYFUNCTION("""COMPUTED_VALUE"""),0)</f>
        <v>0</v>
      </c>
      <c r="M258" s="170">
        <f ca="1">IFERROR(__xludf.DUMMYFUNCTION("""COMPUTED_VALUE"""),0)</f>
        <v>0</v>
      </c>
      <c r="N258" s="170">
        <f ca="1">IFERROR(__xludf.DUMMYFUNCTION("""COMPUTED_VALUE"""),0)</f>
        <v>0</v>
      </c>
      <c r="O258" s="170">
        <f ca="1">IFERROR(__xludf.DUMMYFUNCTION("""COMPUTED_VALUE"""),0)</f>
        <v>0</v>
      </c>
      <c r="P258" s="170">
        <f ca="1">IFERROR(__xludf.DUMMYFUNCTION("""COMPUTED_VALUE"""),136)</f>
        <v>136</v>
      </c>
      <c r="Q258" s="170">
        <f ca="1">IFERROR(__xludf.DUMMYFUNCTION("""COMPUTED_VALUE"""),0)</f>
        <v>0</v>
      </c>
      <c r="R258" s="170">
        <f ca="1">IFERROR(__xludf.DUMMYFUNCTION("""COMPUTED_VALUE"""),0)</f>
        <v>0</v>
      </c>
      <c r="S258" s="170">
        <f ca="1">IFERROR(__xludf.DUMMYFUNCTION("""COMPUTED_VALUE"""),0)</f>
        <v>0</v>
      </c>
      <c r="T258" s="170">
        <f ca="1">IFERROR(__xludf.DUMMYFUNCTION("""COMPUTED_VALUE"""),0)</f>
        <v>0</v>
      </c>
      <c r="U258" s="170">
        <f ca="1"/>
        <v>1076</v>
      </c>
    </row>
    <row r="259" spans="1:21" ht="12.75">
      <c r="A259" s="162" t="str">
        <f ca="1">IFERROR(__xludf.DUMMYFUNCTION("""COMPUTED_VALUE"""),"Miracema")</f>
        <v>Miracema</v>
      </c>
      <c r="B259" s="162" t="str">
        <f ca="1">IFERROR(__xludf.DUMMYFUNCTION("""COMPUTED_VALUE"""),"Miranorte")</f>
        <v>Miranorte</v>
      </c>
      <c r="C259" s="163" t="str">
        <f ca="1">IFERROR(__xludf.DUMMYFUNCTION("""COMPUTED_VALUE"""),"ASSOC. COM. DO COL. RUI BRASIL CAVALCANTE")</f>
        <v>ASSOC. COM. DO COL. RUI BRASIL CAVALCANTE</v>
      </c>
      <c r="D259" s="164" t="str">
        <f ca="1">IFERROR(__xludf.DUMMYFUNCTION("""COMPUTED_VALUE"""),"01112765000186")</f>
        <v>01112765000186</v>
      </c>
      <c r="E259" s="165" t="str">
        <f ca="1">IFERROR(__xludf.DUMMYFUNCTION("""COMPUTED_VALUE"""),"001")</f>
        <v>001</v>
      </c>
      <c r="F259" s="165" t="str">
        <f ca="1">IFERROR(__xludf.DUMMYFUNCTION("""COMPUTED_VALUE"""),"4560")</f>
        <v>4560</v>
      </c>
      <c r="G259" s="165" t="str">
        <f ca="1">IFERROR(__xludf.DUMMYFUNCTION("""COMPUTED_VALUE"""),"78905")</f>
        <v>78905</v>
      </c>
      <c r="H259" s="165">
        <f ca="1">IFERROR(__xludf.DUMMYFUNCTION("""COMPUTED_VALUE"""),0)</f>
        <v>0</v>
      </c>
      <c r="I259" s="165">
        <f ca="1">IFERROR(__xludf.DUMMYFUNCTION("""COMPUTED_VALUE"""),0)</f>
        <v>0</v>
      </c>
      <c r="J259" s="165">
        <f ca="1">IFERROR(__xludf.DUMMYFUNCTION("""COMPUTED_VALUE"""),0)</f>
        <v>0</v>
      </c>
      <c r="K259" s="165">
        <f ca="1">IFERROR(__xludf.DUMMYFUNCTION("""COMPUTED_VALUE"""),0)</f>
        <v>0</v>
      </c>
      <c r="L259" s="165">
        <f ca="1">IFERROR(__xludf.DUMMYFUNCTION("""COMPUTED_VALUE"""),0)</f>
        <v>0</v>
      </c>
      <c r="M259" s="165">
        <f ca="1">IFERROR(__xludf.DUMMYFUNCTION("""COMPUTED_VALUE"""),0)</f>
        <v>0</v>
      </c>
      <c r="N259" s="165">
        <f ca="1">IFERROR(__xludf.DUMMYFUNCTION("""COMPUTED_VALUE"""),0)</f>
        <v>0</v>
      </c>
      <c r="O259" s="165">
        <f ca="1">IFERROR(__xludf.DUMMYFUNCTION("""COMPUTED_VALUE"""),0)</f>
        <v>0</v>
      </c>
      <c r="P259" s="165">
        <f ca="1">IFERROR(__xludf.DUMMYFUNCTION("""COMPUTED_VALUE"""),244.799999999999)</f>
        <v>244.79999999999899</v>
      </c>
      <c r="Q259" s="165">
        <f ca="1">IFERROR(__xludf.DUMMYFUNCTION("""COMPUTED_VALUE"""),4760)</f>
        <v>4760</v>
      </c>
      <c r="R259" s="165">
        <f ca="1">IFERROR(__xludf.DUMMYFUNCTION("""COMPUTED_VALUE"""),0)</f>
        <v>0</v>
      </c>
      <c r="S259" s="165">
        <f ca="1">IFERROR(__xludf.DUMMYFUNCTION("""COMPUTED_VALUE"""),0)</f>
        <v>0</v>
      </c>
      <c r="T259" s="165">
        <f ca="1">IFERROR(__xludf.DUMMYFUNCTION("""COMPUTED_VALUE"""),606.8)</f>
        <v>606.79999999999995</v>
      </c>
      <c r="U259" s="165">
        <f ca="1"/>
        <v>5611.5999999999995</v>
      </c>
    </row>
    <row r="260" spans="1:21" ht="12.75">
      <c r="A260" s="167" t="str">
        <f ca="1">IFERROR(__xludf.DUMMYFUNCTION("""COMPUTED_VALUE"""),"Miracema")</f>
        <v>Miracema</v>
      </c>
      <c r="B260" s="167" t="str">
        <f ca="1">IFERROR(__xludf.DUMMYFUNCTION("""COMPUTED_VALUE"""),"Miranorte")</f>
        <v>Miranorte</v>
      </c>
      <c r="C260" s="168" t="str">
        <f ca="1">IFERROR(__xludf.DUMMYFUNCTION("""COMPUTED_VALUE"""),"A.A. C.E.NOSSA SENHORA DA PROVIDENCIA")</f>
        <v>A.A. C.E.NOSSA SENHORA DA PROVIDENCIA</v>
      </c>
      <c r="D260" s="169" t="str">
        <f ca="1">IFERROR(__xludf.DUMMYFUNCTION("""COMPUTED_VALUE"""),"01190186000151")</f>
        <v>01190186000151</v>
      </c>
      <c r="E260" s="170" t="str">
        <f ca="1">IFERROR(__xludf.DUMMYFUNCTION("""COMPUTED_VALUE"""),"001")</f>
        <v>001</v>
      </c>
      <c r="F260" s="170" t="str">
        <f ca="1">IFERROR(__xludf.DUMMYFUNCTION("""COMPUTED_VALUE"""),"4560")</f>
        <v>4560</v>
      </c>
      <c r="G260" s="170" t="str">
        <f ca="1">IFERROR(__xludf.DUMMYFUNCTION("""COMPUTED_VALUE"""),"7778X")</f>
        <v>7778X</v>
      </c>
      <c r="H260" s="170">
        <f ca="1">IFERROR(__xludf.DUMMYFUNCTION("""COMPUTED_VALUE"""),0)</f>
        <v>0</v>
      </c>
      <c r="I260" s="170">
        <f ca="1">IFERROR(__xludf.DUMMYFUNCTION("""COMPUTED_VALUE"""),0)</f>
        <v>0</v>
      </c>
      <c r="J260" s="170">
        <f ca="1">IFERROR(__xludf.DUMMYFUNCTION("""COMPUTED_VALUE"""),15340)</f>
        <v>15340</v>
      </c>
      <c r="K260" s="170">
        <f ca="1">IFERROR(__xludf.DUMMYFUNCTION("""COMPUTED_VALUE"""),0)</f>
        <v>0</v>
      </c>
      <c r="L260" s="170">
        <f ca="1">IFERROR(__xludf.DUMMYFUNCTION("""COMPUTED_VALUE"""),0)</f>
        <v>0</v>
      </c>
      <c r="M260" s="170">
        <f ca="1">IFERROR(__xludf.DUMMYFUNCTION("""COMPUTED_VALUE"""),0)</f>
        <v>0</v>
      </c>
      <c r="N260" s="170">
        <f ca="1">IFERROR(__xludf.DUMMYFUNCTION("""COMPUTED_VALUE"""),0)</f>
        <v>0</v>
      </c>
      <c r="O260" s="170">
        <f ca="1">IFERROR(__xludf.DUMMYFUNCTION("""COMPUTED_VALUE"""),0)</f>
        <v>0</v>
      </c>
      <c r="P260" s="170">
        <f ca="1">IFERROR(__xludf.DUMMYFUNCTION("""COMPUTED_VALUE"""),353.599999999999)</f>
        <v>353.599999999999</v>
      </c>
      <c r="Q260" s="170">
        <f ca="1">IFERROR(__xludf.DUMMYFUNCTION("""COMPUTED_VALUE"""),0)</f>
        <v>0</v>
      </c>
      <c r="R260" s="170">
        <f ca="1">IFERROR(__xludf.DUMMYFUNCTION("""COMPUTED_VALUE"""),0)</f>
        <v>0</v>
      </c>
      <c r="S260" s="170">
        <f ca="1">IFERROR(__xludf.DUMMYFUNCTION("""COMPUTED_VALUE"""),0)</f>
        <v>0</v>
      </c>
      <c r="T260" s="170">
        <f ca="1">IFERROR(__xludf.DUMMYFUNCTION("""COMPUTED_VALUE"""),0)</f>
        <v>0</v>
      </c>
      <c r="U260" s="170">
        <f ca="1"/>
        <v>15693.599999999999</v>
      </c>
    </row>
    <row r="261" spans="1:21" ht="12.75">
      <c r="A261" s="162" t="str">
        <f ca="1">IFERROR(__xludf.DUMMYFUNCTION("""COMPUTED_VALUE"""),"Miracema")</f>
        <v>Miracema</v>
      </c>
      <c r="B261" s="162" t="str">
        <f ca="1">IFERROR(__xludf.DUMMYFUNCTION("""COMPUTED_VALUE"""),"Miranorte")</f>
        <v>Miranorte</v>
      </c>
      <c r="C261" s="163" t="str">
        <f ca="1">IFERROR(__xludf.DUMMYFUNCTION("""COMPUTED_VALUE"""),"A.A ESC. ESPECIAL CORAÇÃO DE MARIA")</f>
        <v>A.A ESC. ESPECIAL CORAÇÃO DE MARIA</v>
      </c>
      <c r="D261" s="164" t="str">
        <f ca="1">IFERROR(__xludf.DUMMYFUNCTION("""COMPUTED_VALUE"""),"07968866000130")</f>
        <v>07968866000130</v>
      </c>
      <c r="E261" s="165" t="str">
        <f ca="1">IFERROR(__xludf.DUMMYFUNCTION("""COMPUTED_VALUE"""),"001")</f>
        <v>001</v>
      </c>
      <c r="F261" s="165" t="str">
        <f ca="1">IFERROR(__xludf.DUMMYFUNCTION("""COMPUTED_VALUE"""),"0862")</f>
        <v>0862</v>
      </c>
      <c r="G261" s="165" t="str">
        <f ca="1">IFERROR(__xludf.DUMMYFUNCTION("""COMPUTED_VALUE"""),"265217")</f>
        <v>265217</v>
      </c>
      <c r="H261" s="165">
        <f ca="1">IFERROR(__xludf.DUMMYFUNCTION("""COMPUTED_VALUE"""),0)</f>
        <v>0</v>
      </c>
      <c r="I261" s="165">
        <f ca="1">IFERROR(__xludf.DUMMYFUNCTION("""COMPUTED_VALUE"""),172.8)</f>
        <v>172.8</v>
      </c>
      <c r="J261" s="165">
        <f ca="1">IFERROR(__xludf.DUMMYFUNCTION("""COMPUTED_VALUE"""),90)</f>
        <v>90</v>
      </c>
      <c r="K261" s="165">
        <f ca="1">IFERROR(__xludf.DUMMYFUNCTION("""COMPUTED_VALUE"""),0)</f>
        <v>0</v>
      </c>
      <c r="L261" s="165">
        <f ca="1">IFERROR(__xludf.DUMMYFUNCTION("""COMPUTED_VALUE"""),0)</f>
        <v>0</v>
      </c>
      <c r="M261" s="165">
        <f ca="1">IFERROR(__xludf.DUMMYFUNCTION("""COMPUTED_VALUE"""),0)</f>
        <v>0</v>
      </c>
      <c r="N261" s="165">
        <f ca="1">IFERROR(__xludf.DUMMYFUNCTION("""COMPUTED_VALUE"""),0)</f>
        <v>0</v>
      </c>
      <c r="O261" s="165">
        <f ca="1">IFERROR(__xludf.DUMMYFUNCTION("""COMPUTED_VALUE"""),0)</f>
        <v>0</v>
      </c>
      <c r="P261" s="165">
        <f ca="1">IFERROR(__xludf.DUMMYFUNCTION("""COMPUTED_VALUE"""),163.2)</f>
        <v>163.19999999999999</v>
      </c>
      <c r="Q261" s="165">
        <f ca="1">IFERROR(__xludf.DUMMYFUNCTION("""COMPUTED_VALUE"""),0)</f>
        <v>0</v>
      </c>
      <c r="R261" s="165">
        <f ca="1">IFERROR(__xludf.DUMMYFUNCTION("""COMPUTED_VALUE"""),0)</f>
        <v>0</v>
      </c>
      <c r="S261" s="165">
        <f ca="1">IFERROR(__xludf.DUMMYFUNCTION("""COMPUTED_VALUE"""),0)</f>
        <v>0</v>
      </c>
      <c r="T261" s="165">
        <f ca="1">IFERROR(__xludf.DUMMYFUNCTION("""COMPUTED_VALUE"""),426.4)</f>
        <v>426.4</v>
      </c>
      <c r="U261" s="165">
        <f ca="1"/>
        <v>852.4</v>
      </c>
    </row>
    <row r="262" spans="1:21" ht="12.75">
      <c r="A262" s="167" t="str">
        <f ca="1">IFERROR(__xludf.DUMMYFUNCTION("""COMPUTED_VALUE"""),"Miracema")</f>
        <v>Miracema</v>
      </c>
      <c r="B262" s="167" t="str">
        <f ca="1">IFERROR(__xludf.DUMMYFUNCTION("""COMPUTED_VALUE"""),"Rio dos Bois")</f>
        <v>Rio dos Bois</v>
      </c>
      <c r="C262" s="168" t="str">
        <f ca="1">IFERROR(__xludf.DUMMYFUNCTION("""COMPUTED_VALUE"""),"A.A. ESC EST DR. VALDECY PINHEIRO")</f>
        <v>A.A. ESC EST DR. VALDECY PINHEIRO</v>
      </c>
      <c r="D262" s="169" t="str">
        <f ca="1">IFERROR(__xludf.DUMMYFUNCTION("""COMPUTED_VALUE"""),"01079937000167")</f>
        <v>01079937000167</v>
      </c>
      <c r="E262" s="170" t="str">
        <f ca="1">IFERROR(__xludf.DUMMYFUNCTION("""COMPUTED_VALUE"""),"001")</f>
        <v>001</v>
      </c>
      <c r="F262" s="170" t="str">
        <f ca="1">IFERROR(__xludf.DUMMYFUNCTION("""COMPUTED_VALUE"""),"0862")</f>
        <v>0862</v>
      </c>
      <c r="G262" s="170" t="str">
        <f ca="1">IFERROR(__xludf.DUMMYFUNCTION("""COMPUTED_VALUE"""),"69116")</f>
        <v>69116</v>
      </c>
      <c r="H262" s="170">
        <f ca="1">IFERROR(__xludf.DUMMYFUNCTION("""COMPUTED_VALUE"""),0)</f>
        <v>0</v>
      </c>
      <c r="I262" s="170">
        <f ca="1">IFERROR(__xludf.DUMMYFUNCTION("""COMPUTED_VALUE"""),0)</f>
        <v>0</v>
      </c>
      <c r="J262" s="170">
        <f ca="1">IFERROR(__xludf.DUMMYFUNCTION("""COMPUTED_VALUE"""),2040)</f>
        <v>2040</v>
      </c>
      <c r="K262" s="170">
        <f ca="1">IFERROR(__xludf.DUMMYFUNCTION("""COMPUTED_VALUE"""),0)</f>
        <v>0</v>
      </c>
      <c r="L262" s="170">
        <f ca="1">IFERROR(__xludf.DUMMYFUNCTION("""COMPUTED_VALUE"""),0)</f>
        <v>0</v>
      </c>
      <c r="M262" s="170">
        <f ca="1">IFERROR(__xludf.DUMMYFUNCTION("""COMPUTED_VALUE"""),0)</f>
        <v>0</v>
      </c>
      <c r="N262" s="170">
        <f ca="1">IFERROR(__xludf.DUMMYFUNCTION("""COMPUTED_VALUE"""),0)</f>
        <v>0</v>
      </c>
      <c r="O262" s="170">
        <f ca="1">IFERROR(__xludf.DUMMYFUNCTION("""COMPUTED_VALUE"""),0)</f>
        <v>0</v>
      </c>
      <c r="P262" s="170">
        <f ca="1">IFERROR(__xludf.DUMMYFUNCTION("""COMPUTED_VALUE"""),176.799999999999)</f>
        <v>176.79999999999899</v>
      </c>
      <c r="Q262" s="170">
        <f ca="1">IFERROR(__xludf.DUMMYFUNCTION("""COMPUTED_VALUE"""),960)</f>
        <v>960</v>
      </c>
      <c r="R262" s="170">
        <f ca="1">IFERROR(__xludf.DUMMYFUNCTION("""COMPUTED_VALUE"""),0)</f>
        <v>0</v>
      </c>
      <c r="S262" s="170">
        <f ca="1">IFERROR(__xludf.DUMMYFUNCTION("""COMPUTED_VALUE"""),0)</f>
        <v>0</v>
      </c>
      <c r="T262" s="170">
        <f ca="1">IFERROR(__xludf.DUMMYFUNCTION("""COMPUTED_VALUE"""),131.2)</f>
        <v>131.19999999999999</v>
      </c>
      <c r="U262" s="170">
        <f ca="1"/>
        <v>3307.9999999999986</v>
      </c>
    </row>
    <row r="263" spans="1:21" ht="12.75">
      <c r="A263" s="162" t="str">
        <f ca="1">IFERROR(__xludf.DUMMYFUNCTION("""COMPUTED_VALUE"""),"Miracema")</f>
        <v>Miracema</v>
      </c>
      <c r="B263" s="162" t="str">
        <f ca="1">IFERROR(__xludf.DUMMYFUNCTION("""COMPUTED_VALUE"""),"Tocantinia")</f>
        <v>Tocantinia</v>
      </c>
      <c r="C263" s="163" t="str">
        <f ca="1">IFERROR(__xludf.DUMMYFUNCTION("""COMPUTED_VALUE"""),"ASS. APOIO AO CEM XERENTE WARA")</f>
        <v>ASS. APOIO AO CEM XERENTE WARA</v>
      </c>
      <c r="D263" s="164" t="str">
        <f ca="1">IFERROR(__xludf.DUMMYFUNCTION("""COMPUTED_VALUE"""),"07674098000101")</f>
        <v>07674098000101</v>
      </c>
      <c r="E263" s="165" t="str">
        <f ca="1">IFERROR(__xludf.DUMMYFUNCTION("""COMPUTED_VALUE"""),"001")</f>
        <v>001</v>
      </c>
      <c r="F263" s="165" t="str">
        <f ca="1">IFERROR(__xludf.DUMMYFUNCTION("""COMPUTED_VALUE"""),"0862")</f>
        <v>0862</v>
      </c>
      <c r="G263" s="165" t="str">
        <f ca="1">IFERROR(__xludf.DUMMYFUNCTION("""COMPUTED_VALUE"""),"183407")</f>
        <v>183407</v>
      </c>
      <c r="H263" s="165">
        <f ca="1">IFERROR(__xludf.DUMMYFUNCTION("""COMPUTED_VALUE"""),0)</f>
        <v>0</v>
      </c>
      <c r="I263" s="165">
        <f ca="1">IFERROR(__xludf.DUMMYFUNCTION("""COMPUTED_VALUE"""),0)</f>
        <v>0</v>
      </c>
      <c r="J263" s="165">
        <f ca="1">IFERROR(__xludf.DUMMYFUNCTION("""COMPUTED_VALUE"""),0)</f>
        <v>0</v>
      </c>
      <c r="K263" s="165">
        <f ca="1">IFERROR(__xludf.DUMMYFUNCTION("""COMPUTED_VALUE"""),3726.39999999999)</f>
        <v>3726.3999999999901</v>
      </c>
      <c r="L263" s="165">
        <f ca="1">IFERROR(__xludf.DUMMYFUNCTION("""COMPUTED_VALUE"""),0)</f>
        <v>0</v>
      </c>
      <c r="M263" s="165">
        <f ca="1">IFERROR(__xludf.DUMMYFUNCTION("""COMPUTED_VALUE"""),0)</f>
        <v>0</v>
      </c>
      <c r="N263" s="165">
        <f ca="1">IFERROR(__xludf.DUMMYFUNCTION("""COMPUTED_VALUE"""),0)</f>
        <v>0</v>
      </c>
      <c r="O263" s="165">
        <f ca="1">IFERROR(__xludf.DUMMYFUNCTION("""COMPUTED_VALUE"""),0)</f>
        <v>0</v>
      </c>
      <c r="P263" s="165">
        <f ca="1">IFERROR(__xludf.DUMMYFUNCTION("""COMPUTED_VALUE"""),285.599999999999)</f>
        <v>285.599999999999</v>
      </c>
      <c r="Q263" s="165">
        <f ca="1">IFERROR(__xludf.DUMMYFUNCTION("""COMPUTED_VALUE"""),0)</f>
        <v>0</v>
      </c>
      <c r="R263" s="165">
        <f ca="1">IFERROR(__xludf.DUMMYFUNCTION("""COMPUTED_VALUE"""),0)</f>
        <v>0</v>
      </c>
      <c r="S263" s="165">
        <f ca="1">IFERROR(__xludf.DUMMYFUNCTION("""COMPUTED_VALUE"""),7680)</f>
        <v>7680</v>
      </c>
      <c r="T263" s="165">
        <f ca="1">IFERROR(__xludf.DUMMYFUNCTION("""COMPUTED_VALUE"""),0)</f>
        <v>0</v>
      </c>
      <c r="U263" s="165">
        <f ca="1"/>
        <v>11691.999999999989</v>
      </c>
    </row>
    <row r="264" spans="1:21" ht="12.75">
      <c r="A264" s="167" t="str">
        <f ca="1">IFERROR(__xludf.DUMMYFUNCTION("""COMPUTED_VALUE"""),"Miracema")</f>
        <v>Miracema</v>
      </c>
      <c r="B264" s="167" t="str">
        <f ca="1">IFERROR(__xludf.DUMMYFUNCTION("""COMPUTED_VALUE"""),"Tocantinia")</f>
        <v>Tocantinia</v>
      </c>
      <c r="C264" s="168" t="str">
        <f ca="1">IFERROR(__xludf.DUMMYFUNCTION("""COMPUTED_VALUE"""),"A.COM.DO COLEGIO FREI ANTONIO CONVENIADO")</f>
        <v>A.COM.DO COLEGIO FREI ANTONIO CONVENIADO</v>
      </c>
      <c r="D264" s="169" t="str">
        <f ca="1">IFERROR(__xludf.DUMMYFUNCTION("""COMPUTED_VALUE"""),"01066427000155")</f>
        <v>01066427000155</v>
      </c>
      <c r="E264" s="170" t="str">
        <f ca="1">IFERROR(__xludf.DUMMYFUNCTION("""COMPUTED_VALUE"""),"001")</f>
        <v>001</v>
      </c>
      <c r="F264" s="170" t="str">
        <f ca="1">IFERROR(__xludf.DUMMYFUNCTION("""COMPUTED_VALUE"""),"0862")</f>
        <v>0862</v>
      </c>
      <c r="G264" s="170" t="str">
        <f ca="1">IFERROR(__xludf.DUMMYFUNCTION("""COMPUTED_VALUE"""),"68985")</f>
        <v>68985</v>
      </c>
      <c r="H264" s="170">
        <f ca="1">IFERROR(__xludf.DUMMYFUNCTION("""COMPUTED_VALUE"""),0)</f>
        <v>0</v>
      </c>
      <c r="I264" s="170">
        <f ca="1">IFERROR(__xludf.DUMMYFUNCTION("""COMPUTED_VALUE"""),0)</f>
        <v>0</v>
      </c>
      <c r="J264" s="170">
        <f ca="1">IFERROR(__xludf.DUMMYFUNCTION("""COMPUTED_VALUE"""),0)</f>
        <v>0</v>
      </c>
      <c r="K264" s="170">
        <f ca="1">IFERROR(__xludf.DUMMYFUNCTION("""COMPUTED_VALUE"""),8083)</f>
        <v>8083</v>
      </c>
      <c r="L264" s="170">
        <f ca="1">IFERROR(__xludf.DUMMYFUNCTION("""COMPUTED_VALUE"""),0)</f>
        <v>0</v>
      </c>
      <c r="M264" s="170">
        <f ca="1">IFERROR(__xludf.DUMMYFUNCTION("""COMPUTED_VALUE"""),0)</f>
        <v>0</v>
      </c>
      <c r="N264" s="170">
        <f ca="1">IFERROR(__xludf.DUMMYFUNCTION("""COMPUTED_VALUE"""),0)</f>
        <v>0</v>
      </c>
      <c r="O264" s="170">
        <f ca="1">IFERROR(__xludf.DUMMYFUNCTION("""COMPUTED_VALUE"""),0)</f>
        <v>0</v>
      </c>
      <c r="P264" s="170">
        <f ca="1">IFERROR(__xludf.DUMMYFUNCTION("""COMPUTED_VALUE"""),136)</f>
        <v>136</v>
      </c>
      <c r="Q264" s="170">
        <f ca="1">IFERROR(__xludf.DUMMYFUNCTION("""COMPUTED_VALUE"""),0)</f>
        <v>0</v>
      </c>
      <c r="R264" s="170">
        <f ca="1">IFERROR(__xludf.DUMMYFUNCTION("""COMPUTED_VALUE"""),0)</f>
        <v>0</v>
      </c>
      <c r="S264" s="170">
        <f ca="1">IFERROR(__xludf.DUMMYFUNCTION("""COMPUTED_VALUE"""),0)</f>
        <v>0</v>
      </c>
      <c r="T264" s="170">
        <f ca="1">IFERROR(__xludf.DUMMYFUNCTION("""COMPUTED_VALUE"""),0)</f>
        <v>0</v>
      </c>
      <c r="U264" s="170">
        <f ca="1"/>
        <v>8219</v>
      </c>
    </row>
    <row r="265" spans="1:21" ht="12.75">
      <c r="A265" s="162" t="str">
        <f ca="1">IFERROR(__xludf.DUMMYFUNCTION("""COMPUTED_VALUE"""),"Miracema")</f>
        <v>Miracema</v>
      </c>
      <c r="B265" s="162" t="str">
        <f ca="1">IFERROR(__xludf.DUMMYFUNCTION("""COMPUTED_VALUE"""),"Tocantinia")</f>
        <v>Tocantinia</v>
      </c>
      <c r="C265" s="163" t="str">
        <f ca="1">IFERROR(__xludf.DUMMYFUNCTION("""COMPUTED_VALUE"""),"ASSOC. DE PAIS E MEST. DO COL. EST. BATISTA PROFª BEATRIZ R. DA SILVA")</f>
        <v>ASSOC. DE PAIS E MEST. DO COL. EST. BATISTA PROFª BEATRIZ R. DA SILVA</v>
      </c>
      <c r="D265" s="164" t="str">
        <f ca="1">IFERROR(__xludf.DUMMYFUNCTION("""COMPUTED_VALUE"""),"15132209000186")</f>
        <v>15132209000186</v>
      </c>
      <c r="E265" s="165" t="str">
        <f ca="1">IFERROR(__xludf.DUMMYFUNCTION("""COMPUTED_VALUE"""),"001")</f>
        <v>001</v>
      </c>
      <c r="F265" s="165" t="str">
        <f ca="1">IFERROR(__xludf.DUMMYFUNCTION("""COMPUTED_VALUE"""),"0862")</f>
        <v>0862</v>
      </c>
      <c r="G265" s="165" t="str">
        <f ca="1">IFERROR(__xludf.DUMMYFUNCTION("""COMPUTED_VALUE"""),"277037")</f>
        <v>277037</v>
      </c>
      <c r="H265" s="165">
        <f ca="1">IFERROR(__xludf.DUMMYFUNCTION("""COMPUTED_VALUE"""),0)</f>
        <v>0</v>
      </c>
      <c r="I265" s="165">
        <f ca="1">IFERROR(__xludf.DUMMYFUNCTION("""COMPUTED_VALUE"""),0)</f>
        <v>0</v>
      </c>
      <c r="J265" s="165">
        <f ca="1">IFERROR(__xludf.DUMMYFUNCTION("""COMPUTED_VALUE"""),0)</f>
        <v>0</v>
      </c>
      <c r="K265" s="165">
        <f ca="1">IFERROR(__xludf.DUMMYFUNCTION("""COMPUTED_VALUE"""),0)</f>
        <v>0</v>
      </c>
      <c r="L265" s="165">
        <f ca="1">IFERROR(__xludf.DUMMYFUNCTION("""COMPUTED_VALUE"""),0)</f>
        <v>0</v>
      </c>
      <c r="M265" s="165">
        <f ca="1">IFERROR(__xludf.DUMMYFUNCTION("""COMPUTED_VALUE"""),0)</f>
        <v>0</v>
      </c>
      <c r="N265" s="165">
        <f ca="1">IFERROR(__xludf.DUMMYFUNCTION("""COMPUTED_VALUE"""),0)</f>
        <v>0</v>
      </c>
      <c r="O265" s="165">
        <f ca="1">IFERROR(__xludf.DUMMYFUNCTION("""COMPUTED_VALUE"""),0)</f>
        <v>0</v>
      </c>
      <c r="P265" s="165">
        <f ca="1">IFERROR(__xludf.DUMMYFUNCTION("""COMPUTED_VALUE"""),0)</f>
        <v>0</v>
      </c>
      <c r="Q265" s="165">
        <f ca="1">IFERROR(__xludf.DUMMYFUNCTION("""COMPUTED_VALUE"""),1840)</f>
        <v>1840</v>
      </c>
      <c r="R265" s="165">
        <f ca="1">IFERROR(__xludf.DUMMYFUNCTION("""COMPUTED_VALUE"""),0)</f>
        <v>0</v>
      </c>
      <c r="S265" s="165">
        <f ca="1">IFERROR(__xludf.DUMMYFUNCTION("""COMPUTED_VALUE"""),0)</f>
        <v>0</v>
      </c>
      <c r="T265" s="165">
        <f ca="1">IFERROR(__xludf.DUMMYFUNCTION("""COMPUTED_VALUE"""),155.799999999999)</f>
        <v>155.79999999999899</v>
      </c>
      <c r="U265" s="165">
        <f ca="1"/>
        <v>1995.799999999999</v>
      </c>
    </row>
    <row r="266" spans="1:21" ht="12.75">
      <c r="A266" s="167" t="str">
        <f ca="1">IFERROR(__xludf.DUMMYFUNCTION("""COMPUTED_VALUE"""),"Palmas")</f>
        <v>Palmas</v>
      </c>
      <c r="B266" s="167" t="str">
        <f ca="1">IFERROR(__xludf.DUMMYFUNCTION("""COMPUTED_VALUE"""),"Aparecida do Rio Negro")</f>
        <v>Aparecida do Rio Negro</v>
      </c>
      <c r="C266" s="168" t="str">
        <f ca="1">IFERROR(__xludf.DUMMYFUNCTION("""COMPUTED_VALUE"""),"ASS. DE AP. DO COL. EST. MEIRA MATOS")</f>
        <v>ASS. DE AP. DO COL. EST. MEIRA MATOS</v>
      </c>
      <c r="D266" s="169" t="str">
        <f ca="1">IFERROR(__xludf.DUMMYFUNCTION("""COMPUTED_VALUE"""),"01186452000172")</f>
        <v>01186452000172</v>
      </c>
      <c r="E266" s="170" t="str">
        <f ca="1">IFERROR(__xludf.DUMMYFUNCTION("""COMPUTED_VALUE"""),"001")</f>
        <v>001</v>
      </c>
      <c r="F266" s="170" t="str">
        <f ca="1">IFERROR(__xludf.DUMMYFUNCTION("""COMPUTED_VALUE"""),"1505")</f>
        <v>1505</v>
      </c>
      <c r="G266" s="170" t="str">
        <f ca="1">IFERROR(__xludf.DUMMYFUNCTION("""COMPUTED_VALUE"""),"327972")</f>
        <v>327972</v>
      </c>
      <c r="H266" s="170">
        <f ca="1">IFERROR(__xludf.DUMMYFUNCTION("""COMPUTED_VALUE"""),0)</f>
        <v>0</v>
      </c>
      <c r="I266" s="170">
        <f ca="1">IFERROR(__xludf.DUMMYFUNCTION("""COMPUTED_VALUE"""),0)</f>
        <v>0</v>
      </c>
      <c r="J266" s="170">
        <f ca="1">IFERROR(__xludf.DUMMYFUNCTION("""COMPUTED_VALUE"""),1480)</f>
        <v>1480</v>
      </c>
      <c r="K266" s="170">
        <f ca="1">IFERROR(__xludf.DUMMYFUNCTION("""COMPUTED_VALUE"""),0)</f>
        <v>0</v>
      </c>
      <c r="L266" s="170">
        <f ca="1">IFERROR(__xludf.DUMMYFUNCTION("""COMPUTED_VALUE"""),0)</f>
        <v>0</v>
      </c>
      <c r="M266" s="170">
        <f ca="1">IFERROR(__xludf.DUMMYFUNCTION("""COMPUTED_VALUE"""),0)</f>
        <v>0</v>
      </c>
      <c r="N266" s="170">
        <f ca="1">IFERROR(__xludf.DUMMYFUNCTION("""COMPUTED_VALUE"""),0)</f>
        <v>0</v>
      </c>
      <c r="O266" s="170">
        <f ca="1">IFERROR(__xludf.DUMMYFUNCTION("""COMPUTED_VALUE"""),0)</f>
        <v>0</v>
      </c>
      <c r="P266" s="170">
        <f ca="1">IFERROR(__xludf.DUMMYFUNCTION("""COMPUTED_VALUE"""),190.4)</f>
        <v>190.4</v>
      </c>
      <c r="Q266" s="170">
        <f ca="1">IFERROR(__xludf.DUMMYFUNCTION("""COMPUTED_VALUE"""),2250)</f>
        <v>2250</v>
      </c>
      <c r="R266" s="170">
        <f ca="1">IFERROR(__xludf.DUMMYFUNCTION("""COMPUTED_VALUE"""),0)</f>
        <v>0</v>
      </c>
      <c r="S266" s="170">
        <f ca="1">IFERROR(__xludf.DUMMYFUNCTION("""COMPUTED_VALUE"""),0)</f>
        <v>0</v>
      </c>
      <c r="T266" s="170">
        <f ca="1">IFERROR(__xludf.DUMMYFUNCTION("""COMPUTED_VALUE"""),0)</f>
        <v>0</v>
      </c>
      <c r="U266" s="170">
        <f ca="1"/>
        <v>3920.4</v>
      </c>
    </row>
    <row r="267" spans="1:21" ht="12.75">
      <c r="A267" s="162" t="str">
        <f ca="1">IFERROR(__xludf.DUMMYFUNCTION("""COMPUTED_VALUE"""),"Palmas")</f>
        <v>Palmas</v>
      </c>
      <c r="B267" s="162" t="str">
        <f ca="1">IFERROR(__xludf.DUMMYFUNCTION("""COMPUTED_VALUE"""),"Lagoa do Tocantins")</f>
        <v>Lagoa do Tocantins</v>
      </c>
      <c r="C267" s="163" t="str">
        <f ca="1">IFERROR(__xludf.DUMMYFUNCTION("""COMPUTED_VALUE"""),"ASS. DE AP. DA ESC. EST. SALMON DO A.BRITO")</f>
        <v>ASS. DE AP. DA ESC. EST. SALMON DO A.BRITO</v>
      </c>
      <c r="D267" s="164" t="str">
        <f ca="1">IFERROR(__xludf.DUMMYFUNCTION("""COMPUTED_VALUE"""),"01440941000109")</f>
        <v>01440941000109</v>
      </c>
      <c r="E267" s="165" t="str">
        <f ca="1">IFERROR(__xludf.DUMMYFUNCTION("""COMPUTED_VALUE"""),"001")</f>
        <v>001</v>
      </c>
      <c r="F267" s="165" t="str">
        <f ca="1">IFERROR(__xludf.DUMMYFUNCTION("""COMPUTED_VALUE"""),"1505")</f>
        <v>1505</v>
      </c>
      <c r="G267" s="165" t="str">
        <f ca="1">IFERROR(__xludf.DUMMYFUNCTION("""COMPUTED_VALUE"""),"465410")</f>
        <v>465410</v>
      </c>
      <c r="H267" s="165">
        <f ca="1">IFERROR(__xludf.DUMMYFUNCTION("""COMPUTED_VALUE"""),0)</f>
        <v>0</v>
      </c>
      <c r="I267" s="165">
        <f ca="1">IFERROR(__xludf.DUMMYFUNCTION("""COMPUTED_VALUE"""),0)</f>
        <v>0</v>
      </c>
      <c r="J267" s="165">
        <f ca="1">IFERROR(__xludf.DUMMYFUNCTION("""COMPUTED_VALUE"""),2390)</f>
        <v>2390</v>
      </c>
      <c r="K267" s="165">
        <f ca="1">IFERROR(__xludf.DUMMYFUNCTION("""COMPUTED_VALUE"""),0)</f>
        <v>0</v>
      </c>
      <c r="L267" s="165">
        <f ca="1">IFERROR(__xludf.DUMMYFUNCTION("""COMPUTED_VALUE"""),0)</f>
        <v>0</v>
      </c>
      <c r="M267" s="165">
        <f ca="1">IFERROR(__xludf.DUMMYFUNCTION("""COMPUTED_VALUE"""),0)</f>
        <v>0</v>
      </c>
      <c r="N267" s="165">
        <f ca="1">IFERROR(__xludf.DUMMYFUNCTION("""COMPUTED_VALUE"""),0)</f>
        <v>0</v>
      </c>
      <c r="O267" s="165">
        <f ca="1">IFERROR(__xludf.DUMMYFUNCTION("""COMPUTED_VALUE"""),0)</f>
        <v>0</v>
      </c>
      <c r="P267" s="165">
        <f ca="1">IFERROR(__xludf.DUMMYFUNCTION("""COMPUTED_VALUE"""),0)</f>
        <v>0</v>
      </c>
      <c r="Q267" s="165">
        <f ca="1">IFERROR(__xludf.DUMMYFUNCTION("""COMPUTED_VALUE"""),2380)</f>
        <v>2380</v>
      </c>
      <c r="R267" s="165">
        <f ca="1">IFERROR(__xludf.DUMMYFUNCTION("""COMPUTED_VALUE"""),0)</f>
        <v>0</v>
      </c>
      <c r="S267" s="165">
        <f ca="1">IFERROR(__xludf.DUMMYFUNCTION("""COMPUTED_VALUE"""),0)</f>
        <v>0</v>
      </c>
      <c r="T267" s="165">
        <f ca="1">IFERROR(__xludf.DUMMYFUNCTION("""COMPUTED_VALUE"""),0)</f>
        <v>0</v>
      </c>
      <c r="U267" s="165">
        <f ca="1"/>
        <v>4770</v>
      </c>
    </row>
    <row r="268" spans="1:21" ht="12.75">
      <c r="A268" s="167" t="str">
        <f ca="1">IFERROR(__xludf.DUMMYFUNCTION("""COMPUTED_VALUE"""),"Palmas")</f>
        <v>Palmas</v>
      </c>
      <c r="B268" s="167" t="str">
        <f ca="1">IFERROR(__xludf.DUMMYFUNCTION("""COMPUTED_VALUE"""),"Lajeado")</f>
        <v>Lajeado</v>
      </c>
      <c r="C268" s="168" t="str">
        <f ca="1">IFERROR(__xludf.DUMMYFUNCTION("""COMPUTED_VALUE"""),"A.A. COM. E. E.N.SRA.DA PROVIDENCIA")</f>
        <v>A.A. COM. E. E.N.SRA.DA PROVIDENCIA</v>
      </c>
      <c r="D268" s="169" t="str">
        <f ca="1">IFERROR(__xludf.DUMMYFUNCTION("""COMPUTED_VALUE"""),"01138324000153")</f>
        <v>01138324000153</v>
      </c>
      <c r="E268" s="170" t="str">
        <f ca="1">IFERROR(__xludf.DUMMYFUNCTION("""COMPUTED_VALUE"""),"001")</f>
        <v>001</v>
      </c>
      <c r="F268" s="170" t="str">
        <f ca="1">IFERROR(__xludf.DUMMYFUNCTION("""COMPUTED_VALUE"""),"0862")</f>
        <v>0862</v>
      </c>
      <c r="G268" s="170" t="str">
        <f ca="1">IFERROR(__xludf.DUMMYFUNCTION("""COMPUTED_VALUE"""),"69132")</f>
        <v>69132</v>
      </c>
      <c r="H268" s="170">
        <f ca="1">IFERROR(__xludf.DUMMYFUNCTION("""COMPUTED_VALUE"""),0)</f>
        <v>0</v>
      </c>
      <c r="I268" s="170">
        <f ca="1">IFERROR(__xludf.DUMMYFUNCTION("""COMPUTED_VALUE"""),0)</f>
        <v>0</v>
      </c>
      <c r="J268" s="170">
        <f ca="1">IFERROR(__xludf.DUMMYFUNCTION("""COMPUTED_VALUE"""),280)</f>
        <v>280</v>
      </c>
      <c r="K268" s="170">
        <f ca="1">IFERROR(__xludf.DUMMYFUNCTION("""COMPUTED_VALUE"""),0)</f>
        <v>0</v>
      </c>
      <c r="L268" s="170">
        <f ca="1">IFERROR(__xludf.DUMMYFUNCTION("""COMPUTED_VALUE"""),0)</f>
        <v>0</v>
      </c>
      <c r="M268" s="170">
        <f ca="1">IFERROR(__xludf.DUMMYFUNCTION("""COMPUTED_VALUE"""),0)</f>
        <v>0</v>
      </c>
      <c r="N268" s="170">
        <f ca="1">IFERROR(__xludf.DUMMYFUNCTION("""COMPUTED_VALUE"""),0)</f>
        <v>0</v>
      </c>
      <c r="O268" s="170">
        <f ca="1">IFERROR(__xludf.DUMMYFUNCTION("""COMPUTED_VALUE"""),0)</f>
        <v>0</v>
      </c>
      <c r="P268" s="170">
        <f ca="1">IFERROR(__xludf.DUMMYFUNCTION("""COMPUTED_VALUE"""),95.2)</f>
        <v>95.2</v>
      </c>
      <c r="Q268" s="170">
        <f ca="1">IFERROR(__xludf.DUMMYFUNCTION("""COMPUTED_VALUE"""),1200)</f>
        <v>1200</v>
      </c>
      <c r="R268" s="170">
        <f ca="1">IFERROR(__xludf.DUMMYFUNCTION("""COMPUTED_VALUE"""),0)</f>
        <v>0</v>
      </c>
      <c r="S268" s="170">
        <f ca="1">IFERROR(__xludf.DUMMYFUNCTION("""COMPUTED_VALUE"""),0)</f>
        <v>0</v>
      </c>
      <c r="T268" s="170">
        <f ca="1">IFERROR(__xludf.DUMMYFUNCTION("""COMPUTED_VALUE"""),114.799999999999)</f>
        <v>114.799999999999</v>
      </c>
      <c r="U268" s="170">
        <f ca="1"/>
        <v>1689.9999999999991</v>
      </c>
    </row>
    <row r="269" spans="1:21" ht="12.75">
      <c r="A269" s="162" t="str">
        <f ca="1">IFERROR(__xludf.DUMMYFUNCTION("""COMPUTED_VALUE"""),"Palmas")</f>
        <v>Palmas</v>
      </c>
      <c r="B269" s="162" t="str">
        <f ca="1">IFERROR(__xludf.DUMMYFUNCTION("""COMPUTED_VALUE"""),"Mateiros")</f>
        <v>Mateiros</v>
      </c>
      <c r="C269" s="163" t="str">
        <f ca="1">IFERROR(__xludf.DUMMYFUNCTION("""COMPUTED_VALUE"""),"ASS. A. ESC. EST.ESTEFANIO TELES DAS CHAGAS")</f>
        <v>ASS. A. ESC. EST.ESTEFANIO TELES DAS CHAGAS</v>
      </c>
      <c r="D269" s="164" t="str">
        <f ca="1">IFERROR(__xludf.DUMMYFUNCTION("""COMPUTED_VALUE"""),"01206219000104")</f>
        <v>01206219000104</v>
      </c>
      <c r="E269" s="165" t="str">
        <f ca="1">IFERROR(__xludf.DUMMYFUNCTION("""COMPUTED_VALUE"""),"001")</f>
        <v>001</v>
      </c>
      <c r="F269" s="165" t="str">
        <f ca="1">IFERROR(__xludf.DUMMYFUNCTION("""COMPUTED_VALUE"""),"3962")</f>
        <v>3962</v>
      </c>
      <c r="G269" s="165" t="str">
        <f ca="1">IFERROR(__xludf.DUMMYFUNCTION("""COMPUTED_VALUE"""),"127795")</f>
        <v>127795</v>
      </c>
      <c r="H269" s="165">
        <f ca="1">IFERROR(__xludf.DUMMYFUNCTION("""COMPUTED_VALUE"""),0)</f>
        <v>0</v>
      </c>
      <c r="I269" s="165">
        <f ca="1">IFERROR(__xludf.DUMMYFUNCTION("""COMPUTED_VALUE"""),0)</f>
        <v>0</v>
      </c>
      <c r="J269" s="165">
        <f ca="1">IFERROR(__xludf.DUMMYFUNCTION("""COMPUTED_VALUE"""),1860)</f>
        <v>1860</v>
      </c>
      <c r="K269" s="165">
        <f ca="1">IFERROR(__xludf.DUMMYFUNCTION("""COMPUTED_VALUE"""),0)</f>
        <v>0</v>
      </c>
      <c r="L269" s="165">
        <f ca="1">IFERROR(__xludf.DUMMYFUNCTION("""COMPUTED_VALUE"""),0)</f>
        <v>0</v>
      </c>
      <c r="M269" s="165">
        <f ca="1">IFERROR(__xludf.DUMMYFUNCTION("""COMPUTED_VALUE"""),0)</f>
        <v>0</v>
      </c>
      <c r="N269" s="165">
        <f ca="1">IFERROR(__xludf.DUMMYFUNCTION("""COMPUTED_VALUE"""),0)</f>
        <v>0</v>
      </c>
      <c r="O269" s="165">
        <f ca="1">IFERROR(__xludf.DUMMYFUNCTION("""COMPUTED_VALUE"""),0)</f>
        <v>0</v>
      </c>
      <c r="P269" s="165">
        <f ca="1">IFERROR(__xludf.DUMMYFUNCTION("""COMPUTED_VALUE"""),0)</f>
        <v>0</v>
      </c>
      <c r="Q269" s="165">
        <f ca="1">IFERROR(__xludf.DUMMYFUNCTION("""COMPUTED_VALUE"""),1210)</f>
        <v>1210</v>
      </c>
      <c r="R269" s="165">
        <f ca="1">IFERROR(__xludf.DUMMYFUNCTION("""COMPUTED_VALUE"""),0)</f>
        <v>0</v>
      </c>
      <c r="S269" s="165">
        <f ca="1">IFERROR(__xludf.DUMMYFUNCTION("""COMPUTED_VALUE"""),0)</f>
        <v>0</v>
      </c>
      <c r="T269" s="165">
        <f ca="1">IFERROR(__xludf.DUMMYFUNCTION("""COMPUTED_VALUE"""),0)</f>
        <v>0</v>
      </c>
      <c r="U269" s="165">
        <f ca="1"/>
        <v>3070</v>
      </c>
    </row>
    <row r="270" spans="1:21" ht="12.75">
      <c r="A270" s="167" t="str">
        <f ca="1">IFERROR(__xludf.DUMMYFUNCTION("""COMPUTED_VALUE"""),"Palmas")</f>
        <v>Palmas</v>
      </c>
      <c r="B270" s="167" t="str">
        <f ca="1">IFERROR(__xludf.DUMMYFUNCTION("""COMPUTED_VALUE"""),"Mateiros")</f>
        <v>Mateiros</v>
      </c>
      <c r="C270" s="168" t="str">
        <f ca="1">IFERROR(__xludf.DUMMYFUNCTION("""COMPUTED_VALUE"""),"ASSOC. DE APOIO A ESC. EST. SILVERIO RIBEIRO MATOS")</f>
        <v>ASSOC. DE APOIO A ESC. EST. SILVERIO RIBEIRO MATOS</v>
      </c>
      <c r="D270" s="169" t="str">
        <f ca="1">IFERROR(__xludf.DUMMYFUNCTION("""COMPUTED_VALUE"""),"13439520000147")</f>
        <v>13439520000147</v>
      </c>
      <c r="E270" s="170" t="str">
        <f ca="1">IFERROR(__xludf.DUMMYFUNCTION("""COMPUTED_VALUE"""),"001")</f>
        <v>001</v>
      </c>
      <c r="F270" s="170" t="str">
        <f ca="1">IFERROR(__xludf.DUMMYFUNCTION("""COMPUTED_VALUE"""),"3962")</f>
        <v>3962</v>
      </c>
      <c r="G270" s="170" t="str">
        <f ca="1">IFERROR(__xludf.DUMMYFUNCTION("""COMPUTED_VALUE"""),"261882")</f>
        <v>261882</v>
      </c>
      <c r="H270" s="170">
        <f ca="1">IFERROR(__xludf.DUMMYFUNCTION("""COMPUTED_VALUE"""),0)</f>
        <v>0</v>
      </c>
      <c r="I270" s="170">
        <f ca="1">IFERROR(__xludf.DUMMYFUNCTION("""COMPUTED_VALUE"""),0)</f>
        <v>0</v>
      </c>
      <c r="J270" s="170">
        <f ca="1">IFERROR(__xludf.DUMMYFUNCTION("""COMPUTED_VALUE"""),0)</f>
        <v>0</v>
      </c>
      <c r="K270" s="170">
        <f ca="1">IFERROR(__xludf.DUMMYFUNCTION("""COMPUTED_VALUE"""),0)</f>
        <v>0</v>
      </c>
      <c r="L270" s="170">
        <f ca="1">IFERROR(__xludf.DUMMYFUNCTION("""COMPUTED_VALUE"""),1272.8)</f>
        <v>1272.8</v>
      </c>
      <c r="M270" s="170">
        <f ca="1">IFERROR(__xludf.DUMMYFUNCTION("""COMPUTED_VALUE"""),0)</f>
        <v>0</v>
      </c>
      <c r="N270" s="170">
        <f ca="1">IFERROR(__xludf.DUMMYFUNCTION("""COMPUTED_VALUE"""),0)</f>
        <v>0</v>
      </c>
      <c r="O270" s="170">
        <f ca="1">IFERROR(__xludf.DUMMYFUNCTION("""COMPUTED_VALUE"""),0)</f>
        <v>0</v>
      </c>
      <c r="P270" s="170">
        <f ca="1">IFERROR(__xludf.DUMMYFUNCTION("""COMPUTED_VALUE"""),0)</f>
        <v>0</v>
      </c>
      <c r="Q270" s="170">
        <f ca="1">IFERROR(__xludf.DUMMYFUNCTION("""COMPUTED_VALUE"""),0)</f>
        <v>0</v>
      </c>
      <c r="R270" s="170">
        <f ca="1">IFERROR(__xludf.DUMMYFUNCTION("""COMPUTED_VALUE"""),0)</f>
        <v>0</v>
      </c>
      <c r="S270" s="170">
        <f ca="1">IFERROR(__xludf.DUMMYFUNCTION("""COMPUTED_VALUE"""),0)</f>
        <v>0</v>
      </c>
      <c r="T270" s="170">
        <f ca="1">IFERROR(__xludf.DUMMYFUNCTION("""COMPUTED_VALUE"""),0)</f>
        <v>0</v>
      </c>
      <c r="U270" s="170">
        <f ca="1"/>
        <v>1272.8</v>
      </c>
    </row>
    <row r="271" spans="1:21" ht="12.75">
      <c r="A271" s="162" t="str">
        <f ca="1">IFERROR(__xludf.DUMMYFUNCTION("""COMPUTED_VALUE"""),"Palmas")</f>
        <v>Palmas</v>
      </c>
      <c r="B271" s="162" t="str">
        <f ca="1">IFERROR(__xludf.DUMMYFUNCTION("""COMPUTED_VALUE"""),"Novo Acordo")</f>
        <v>Novo Acordo</v>
      </c>
      <c r="C271" s="163" t="str">
        <f ca="1">IFERROR(__xludf.DUMMYFUNCTION("""COMPUTED_VALUE"""),"ASS. A. AO COL. EST. D. PEDRO I/N.ACORDO")</f>
        <v>ASS. A. AO COL. EST. D. PEDRO I/N.ACORDO</v>
      </c>
      <c r="D271" s="164" t="str">
        <f ca="1">IFERROR(__xludf.DUMMYFUNCTION("""COMPUTED_VALUE"""),"01133690000110")</f>
        <v>01133690000110</v>
      </c>
      <c r="E271" s="165" t="str">
        <f ca="1">IFERROR(__xludf.DUMMYFUNCTION("""COMPUTED_VALUE"""),"001")</f>
        <v>001</v>
      </c>
      <c r="F271" s="165" t="str">
        <f ca="1">IFERROR(__xludf.DUMMYFUNCTION("""COMPUTED_VALUE"""),"1505")</f>
        <v>1505</v>
      </c>
      <c r="G271" s="165" t="str">
        <f ca="1">IFERROR(__xludf.DUMMYFUNCTION("""COMPUTED_VALUE"""),"157856")</f>
        <v>157856</v>
      </c>
      <c r="H271" s="165">
        <f ca="1">IFERROR(__xludf.DUMMYFUNCTION("""COMPUTED_VALUE"""),0)</f>
        <v>0</v>
      </c>
      <c r="I271" s="165">
        <f ca="1">IFERROR(__xludf.DUMMYFUNCTION("""COMPUTED_VALUE"""),0)</f>
        <v>0</v>
      </c>
      <c r="J271" s="165">
        <f ca="1">IFERROR(__xludf.DUMMYFUNCTION("""COMPUTED_VALUE"""),4740)</f>
        <v>4740</v>
      </c>
      <c r="K271" s="165">
        <f ca="1">IFERROR(__xludf.DUMMYFUNCTION("""COMPUTED_VALUE"""),0)</f>
        <v>0</v>
      </c>
      <c r="L271" s="165">
        <f ca="1">IFERROR(__xludf.DUMMYFUNCTION("""COMPUTED_VALUE"""),0)</f>
        <v>0</v>
      </c>
      <c r="M271" s="165">
        <f ca="1">IFERROR(__xludf.DUMMYFUNCTION("""COMPUTED_VALUE"""),0)</f>
        <v>0</v>
      </c>
      <c r="N271" s="165">
        <f ca="1">IFERROR(__xludf.DUMMYFUNCTION("""COMPUTED_VALUE"""),0)</f>
        <v>0</v>
      </c>
      <c r="O271" s="165">
        <f ca="1">IFERROR(__xludf.DUMMYFUNCTION("""COMPUTED_VALUE"""),0)</f>
        <v>0</v>
      </c>
      <c r="P271" s="165">
        <f ca="1">IFERROR(__xludf.DUMMYFUNCTION("""COMPUTED_VALUE"""),1060.8)</f>
        <v>1060.8</v>
      </c>
      <c r="Q271" s="165">
        <f ca="1">IFERROR(__xludf.DUMMYFUNCTION("""COMPUTED_VALUE"""),3980)</f>
        <v>3980</v>
      </c>
      <c r="R271" s="165">
        <f ca="1">IFERROR(__xludf.DUMMYFUNCTION("""COMPUTED_VALUE"""),0)</f>
        <v>0</v>
      </c>
      <c r="S271" s="165">
        <f ca="1">IFERROR(__xludf.DUMMYFUNCTION("""COMPUTED_VALUE"""),0)</f>
        <v>0</v>
      </c>
      <c r="T271" s="165">
        <f ca="1">IFERROR(__xludf.DUMMYFUNCTION("""COMPUTED_VALUE"""),0)</f>
        <v>0</v>
      </c>
      <c r="U271" s="165">
        <f ca="1"/>
        <v>9780.7999999999993</v>
      </c>
    </row>
    <row r="272" spans="1:21" ht="12.75">
      <c r="A272" s="167" t="str">
        <f ca="1">IFERROR(__xludf.DUMMYFUNCTION("""COMPUTED_VALUE"""),"Palmas")</f>
        <v>Palmas</v>
      </c>
      <c r="B272" s="167" t="str">
        <f ca="1">IFERROR(__xludf.DUMMYFUNCTION("""COMPUTED_VALUE"""),"Novo Acordo")</f>
        <v>Novo Acordo</v>
      </c>
      <c r="C272" s="168" t="str">
        <f ca="1">IFERROR(__xludf.DUMMYFUNCTION("""COMPUTED_VALUE"""),"A.A. DA ESC. EST.PEDRO MACEDO / N.ACORDO")</f>
        <v>A.A. DA ESC. EST.PEDRO MACEDO / N.ACORDO</v>
      </c>
      <c r="D272" s="169" t="str">
        <f ca="1">IFERROR(__xludf.DUMMYFUNCTION("""COMPUTED_VALUE"""),"01136004000164")</f>
        <v>01136004000164</v>
      </c>
      <c r="E272" s="170" t="str">
        <f ca="1">IFERROR(__xludf.DUMMYFUNCTION("""COMPUTED_VALUE"""),"001")</f>
        <v>001</v>
      </c>
      <c r="F272" s="170" t="str">
        <f ca="1">IFERROR(__xludf.DUMMYFUNCTION("""COMPUTED_VALUE"""),"1505")</f>
        <v>1505</v>
      </c>
      <c r="G272" s="170" t="str">
        <f ca="1">IFERROR(__xludf.DUMMYFUNCTION("""COMPUTED_VALUE"""),"171166")</f>
        <v>171166</v>
      </c>
      <c r="H272" s="170">
        <f ca="1">IFERROR(__xludf.DUMMYFUNCTION("""COMPUTED_VALUE"""),0)</f>
        <v>0</v>
      </c>
      <c r="I272" s="170">
        <f ca="1">IFERROR(__xludf.DUMMYFUNCTION("""COMPUTED_VALUE"""),0)</f>
        <v>0</v>
      </c>
      <c r="J272" s="170">
        <f ca="1">IFERROR(__xludf.DUMMYFUNCTION("""COMPUTED_VALUE"""),790)</f>
        <v>790</v>
      </c>
      <c r="K272" s="170">
        <f ca="1">IFERROR(__xludf.DUMMYFUNCTION("""COMPUTED_VALUE"""),0)</f>
        <v>0</v>
      </c>
      <c r="L272" s="170">
        <f ca="1">IFERROR(__xludf.DUMMYFUNCTION("""COMPUTED_VALUE"""),0)</f>
        <v>0</v>
      </c>
      <c r="M272" s="170">
        <f ca="1">IFERROR(__xludf.DUMMYFUNCTION("""COMPUTED_VALUE"""),0)</f>
        <v>0</v>
      </c>
      <c r="N272" s="170">
        <f ca="1">IFERROR(__xludf.DUMMYFUNCTION("""COMPUTED_VALUE"""),0)</f>
        <v>0</v>
      </c>
      <c r="O272" s="170">
        <f ca="1">IFERROR(__xludf.DUMMYFUNCTION("""COMPUTED_VALUE"""),0)</f>
        <v>0</v>
      </c>
      <c r="P272" s="170">
        <f ca="1">IFERROR(__xludf.DUMMYFUNCTION("""COMPUTED_VALUE"""),217.6)</f>
        <v>217.6</v>
      </c>
      <c r="Q272" s="170">
        <f ca="1">IFERROR(__xludf.DUMMYFUNCTION("""COMPUTED_VALUE"""),0)</f>
        <v>0</v>
      </c>
      <c r="R272" s="170">
        <f ca="1">IFERROR(__xludf.DUMMYFUNCTION("""COMPUTED_VALUE"""),0)</f>
        <v>0</v>
      </c>
      <c r="S272" s="170">
        <f ca="1">IFERROR(__xludf.DUMMYFUNCTION("""COMPUTED_VALUE"""),0)</f>
        <v>0</v>
      </c>
      <c r="T272" s="170">
        <f ca="1">IFERROR(__xludf.DUMMYFUNCTION("""COMPUTED_VALUE"""),0)</f>
        <v>0</v>
      </c>
      <c r="U272" s="170">
        <f ca="1"/>
        <v>1007.6</v>
      </c>
    </row>
    <row r="273" spans="1:21" ht="12.75">
      <c r="A273" s="162" t="str">
        <f ca="1">IFERROR(__xludf.DUMMYFUNCTION("""COMPUTED_VALUE"""),"Palmas")</f>
        <v>Palmas</v>
      </c>
      <c r="B273" s="162" t="str">
        <f ca="1">IFERROR(__xludf.DUMMYFUNCTION("""COMPUTED_VALUE"""),"Palmas")</f>
        <v>Palmas</v>
      </c>
      <c r="C273" s="163" t="str">
        <f ca="1">IFERROR(__xludf.DUMMYFUNCTION("""COMPUTED_VALUE"""),"A. DE CONSELHO ESCOLAR DO CEM 305 NORTE")</f>
        <v>A. DE CONSELHO ESCOLAR DO CEM 305 NORTE</v>
      </c>
      <c r="D273" s="164" t="str">
        <f ca="1">IFERROR(__xludf.DUMMYFUNCTION("""COMPUTED_VALUE"""),"04701394000166")</f>
        <v>04701394000166</v>
      </c>
      <c r="E273" s="165" t="str">
        <f ca="1">IFERROR(__xludf.DUMMYFUNCTION("""COMPUTED_VALUE"""),"001")</f>
        <v>001</v>
      </c>
      <c r="F273" s="165" t="str">
        <f ca="1">IFERROR(__xludf.DUMMYFUNCTION("""COMPUTED_VALUE"""),"1505")</f>
        <v>1505</v>
      </c>
      <c r="G273" s="165" t="str">
        <f ca="1">IFERROR(__xludf.DUMMYFUNCTION("""COMPUTED_VALUE"""),"455261")</f>
        <v>455261</v>
      </c>
      <c r="H273" s="165">
        <f ca="1">IFERROR(__xludf.DUMMYFUNCTION("""COMPUTED_VALUE"""),0)</f>
        <v>0</v>
      </c>
      <c r="I273" s="165">
        <f ca="1">IFERROR(__xludf.DUMMYFUNCTION("""COMPUTED_VALUE"""),0)</f>
        <v>0</v>
      </c>
      <c r="J273" s="165">
        <f ca="1">IFERROR(__xludf.DUMMYFUNCTION("""COMPUTED_VALUE"""),0)</f>
        <v>0</v>
      </c>
      <c r="K273" s="165">
        <f ca="1">IFERROR(__xludf.DUMMYFUNCTION("""COMPUTED_VALUE"""),0)</f>
        <v>0</v>
      </c>
      <c r="L273" s="165">
        <f ca="1">IFERROR(__xludf.DUMMYFUNCTION("""COMPUTED_VALUE"""),0)</f>
        <v>0</v>
      </c>
      <c r="M273" s="165">
        <f ca="1">IFERROR(__xludf.DUMMYFUNCTION("""COMPUTED_VALUE"""),0)</f>
        <v>0</v>
      </c>
      <c r="N273" s="165">
        <f ca="1">IFERROR(__xludf.DUMMYFUNCTION("""COMPUTED_VALUE"""),0)</f>
        <v>0</v>
      </c>
      <c r="O273" s="165">
        <f ca="1">IFERROR(__xludf.DUMMYFUNCTION("""COMPUTED_VALUE"""),0)</f>
        <v>0</v>
      </c>
      <c r="P273" s="165">
        <f ca="1">IFERROR(__xludf.DUMMYFUNCTION("""COMPUTED_VALUE"""),163.2)</f>
        <v>163.19999999999999</v>
      </c>
      <c r="Q273" s="165">
        <f ca="1">IFERROR(__xludf.DUMMYFUNCTION("""COMPUTED_VALUE"""),11480)</f>
        <v>11480</v>
      </c>
      <c r="R273" s="165">
        <f ca="1">IFERROR(__xludf.DUMMYFUNCTION("""COMPUTED_VALUE"""),0)</f>
        <v>0</v>
      </c>
      <c r="S273" s="165">
        <f ca="1">IFERROR(__xludf.DUMMYFUNCTION("""COMPUTED_VALUE"""),0)</f>
        <v>0</v>
      </c>
      <c r="T273" s="165">
        <f ca="1">IFERROR(__xludf.DUMMYFUNCTION("""COMPUTED_VALUE"""),0)</f>
        <v>0</v>
      </c>
      <c r="U273" s="165">
        <f ca="1"/>
        <v>11643.2</v>
      </c>
    </row>
    <row r="274" spans="1:21" ht="12.75">
      <c r="A274" s="167" t="str">
        <f ca="1">IFERROR(__xludf.DUMMYFUNCTION("""COMPUTED_VALUE"""),"Palmas")</f>
        <v>Palmas</v>
      </c>
      <c r="B274" s="167" t="str">
        <f ca="1">IFERROR(__xludf.DUMMYFUNCTION("""COMPUTED_VALUE"""),"Palmas")</f>
        <v>Palmas</v>
      </c>
      <c r="C274" s="168" t="str">
        <f ca="1">IFERROR(__xludf.DUMMYFUNCTION("""COMPUTED_VALUE"""),"ASSOC. DE APOIO COL. EST. DE TAQUARALTO")</f>
        <v>ASSOC. DE APOIO COL. EST. DE TAQUARALTO</v>
      </c>
      <c r="D274" s="169" t="str">
        <f ca="1">IFERROR(__xludf.DUMMYFUNCTION("""COMPUTED_VALUE"""),"03233677000168")</f>
        <v>03233677000168</v>
      </c>
      <c r="E274" s="170" t="str">
        <f ca="1">IFERROR(__xludf.DUMMYFUNCTION("""COMPUTED_VALUE"""),"001")</f>
        <v>001</v>
      </c>
      <c r="F274" s="170" t="str">
        <f ca="1">IFERROR(__xludf.DUMMYFUNCTION("""COMPUTED_VALUE"""),"1505")</f>
        <v>1505</v>
      </c>
      <c r="G274" s="170" t="str">
        <f ca="1">IFERROR(__xludf.DUMMYFUNCTION("""COMPUTED_VALUE"""),"455059")</f>
        <v>455059</v>
      </c>
      <c r="H274" s="170">
        <f ca="1">IFERROR(__xludf.DUMMYFUNCTION("""COMPUTED_VALUE"""),0)</f>
        <v>0</v>
      </c>
      <c r="I274" s="170">
        <f ca="1">IFERROR(__xludf.DUMMYFUNCTION("""COMPUTED_VALUE"""),0)</f>
        <v>0</v>
      </c>
      <c r="J274" s="170">
        <f ca="1">IFERROR(__xludf.DUMMYFUNCTION("""COMPUTED_VALUE"""),0)</f>
        <v>0</v>
      </c>
      <c r="K274" s="170">
        <f ca="1">IFERROR(__xludf.DUMMYFUNCTION("""COMPUTED_VALUE"""),0)</f>
        <v>0</v>
      </c>
      <c r="L274" s="170">
        <f ca="1">IFERROR(__xludf.DUMMYFUNCTION("""COMPUTED_VALUE"""),0)</f>
        <v>0</v>
      </c>
      <c r="M274" s="170">
        <f ca="1">IFERROR(__xludf.DUMMYFUNCTION("""COMPUTED_VALUE"""),0)</f>
        <v>0</v>
      </c>
      <c r="N274" s="170">
        <f ca="1">IFERROR(__xludf.DUMMYFUNCTION("""COMPUTED_VALUE"""),0)</f>
        <v>0</v>
      </c>
      <c r="O274" s="170">
        <f ca="1">IFERROR(__xludf.DUMMYFUNCTION("""COMPUTED_VALUE"""),0)</f>
        <v>0</v>
      </c>
      <c r="P274" s="170">
        <f ca="1">IFERROR(__xludf.DUMMYFUNCTION("""COMPUTED_VALUE"""),353.599999999999)</f>
        <v>353.599999999999</v>
      </c>
      <c r="Q274" s="170">
        <f ca="1">IFERROR(__xludf.DUMMYFUNCTION("""COMPUTED_VALUE"""),30120)</f>
        <v>30120</v>
      </c>
      <c r="R274" s="170">
        <f ca="1">IFERROR(__xludf.DUMMYFUNCTION("""COMPUTED_VALUE"""),0)</f>
        <v>0</v>
      </c>
      <c r="S274" s="170">
        <f ca="1">IFERROR(__xludf.DUMMYFUNCTION("""COMPUTED_VALUE"""),0)</f>
        <v>0</v>
      </c>
      <c r="T274" s="170">
        <f ca="1">IFERROR(__xludf.DUMMYFUNCTION("""COMPUTED_VALUE"""),1869.6)</f>
        <v>1869.6</v>
      </c>
      <c r="U274" s="170">
        <f ca="1"/>
        <v>32343.199999999997</v>
      </c>
    </row>
    <row r="275" spans="1:21" ht="12.75">
      <c r="A275" s="162" t="str">
        <f ca="1">IFERROR(__xludf.DUMMYFUNCTION("""COMPUTED_VALUE"""),"Palmas")</f>
        <v>Palmas</v>
      </c>
      <c r="B275" s="162" t="str">
        <f ca="1">IFERROR(__xludf.DUMMYFUNCTION("""COMPUTED_VALUE"""),"Palmas")</f>
        <v>Palmas</v>
      </c>
      <c r="C275" s="163" t="str">
        <f ca="1">IFERROR(__xludf.DUMMYFUNCTION("""COMPUTED_VALUE"""),"A.AP. DO COL. EST. SANTA RITA DE CASSIA")</f>
        <v>A.AP. DO COL. EST. SANTA RITA DE CASSIA</v>
      </c>
      <c r="D275" s="164" t="str">
        <f ca="1">IFERROR(__xludf.DUMMYFUNCTION("""COMPUTED_VALUE"""),"01955414000137")</f>
        <v>01955414000137</v>
      </c>
      <c r="E275" s="165" t="str">
        <f ca="1">IFERROR(__xludf.DUMMYFUNCTION("""COMPUTED_VALUE"""),"001")</f>
        <v>001</v>
      </c>
      <c r="F275" s="165" t="str">
        <f ca="1">IFERROR(__xludf.DUMMYFUNCTION("""COMPUTED_VALUE"""),"1505")</f>
        <v>1505</v>
      </c>
      <c r="G275" s="165" t="str">
        <f ca="1">IFERROR(__xludf.DUMMYFUNCTION("""COMPUTED_VALUE"""),"256579")</f>
        <v>256579</v>
      </c>
      <c r="H275" s="165">
        <f ca="1">IFERROR(__xludf.DUMMYFUNCTION("""COMPUTED_VALUE"""),0)</f>
        <v>0</v>
      </c>
      <c r="I275" s="165">
        <f ca="1">IFERROR(__xludf.DUMMYFUNCTION("""COMPUTED_VALUE"""),0)</f>
        <v>0</v>
      </c>
      <c r="J275" s="165">
        <f ca="1">IFERROR(__xludf.DUMMYFUNCTION("""COMPUTED_VALUE"""),0)</f>
        <v>0</v>
      </c>
      <c r="K275" s="165">
        <f ca="1">IFERROR(__xludf.DUMMYFUNCTION("""COMPUTED_VALUE"""),0)</f>
        <v>0</v>
      </c>
      <c r="L275" s="165">
        <f ca="1">IFERROR(__xludf.DUMMYFUNCTION("""COMPUTED_VALUE"""),0)</f>
        <v>0</v>
      </c>
      <c r="M275" s="165">
        <f ca="1">IFERROR(__xludf.DUMMYFUNCTION("""COMPUTED_VALUE"""),0)</f>
        <v>0</v>
      </c>
      <c r="N275" s="165">
        <f ca="1">IFERROR(__xludf.DUMMYFUNCTION("""COMPUTED_VALUE"""),0)</f>
        <v>0</v>
      </c>
      <c r="O275" s="165">
        <f ca="1">IFERROR(__xludf.DUMMYFUNCTION("""COMPUTED_VALUE"""),0)</f>
        <v>0</v>
      </c>
      <c r="P275" s="165">
        <f ca="1">IFERROR(__xludf.DUMMYFUNCTION("""COMPUTED_VALUE"""),122.399999999999)</f>
        <v>122.399999999999</v>
      </c>
      <c r="Q275" s="165">
        <f ca="1">IFERROR(__xludf.DUMMYFUNCTION("""COMPUTED_VALUE"""),0)</f>
        <v>0</v>
      </c>
      <c r="R275" s="165">
        <f ca="1">IFERROR(__xludf.DUMMYFUNCTION("""COMPUTED_VALUE"""),0)</f>
        <v>0</v>
      </c>
      <c r="S275" s="165">
        <f ca="1">IFERROR(__xludf.DUMMYFUNCTION("""COMPUTED_VALUE"""),11161.6)</f>
        <v>11161.6</v>
      </c>
      <c r="T275" s="165">
        <f ca="1">IFERROR(__xludf.DUMMYFUNCTION("""COMPUTED_VALUE"""),0)</f>
        <v>0</v>
      </c>
      <c r="U275" s="165">
        <f ca="1"/>
        <v>11284</v>
      </c>
    </row>
    <row r="276" spans="1:21" ht="12.75">
      <c r="A276" s="167" t="str">
        <f ca="1">IFERROR(__xludf.DUMMYFUNCTION("""COMPUTED_VALUE"""),"Palmas")</f>
        <v>Palmas</v>
      </c>
      <c r="B276" s="167" t="str">
        <f ca="1">IFERROR(__xludf.DUMMYFUNCTION("""COMPUTED_VALUE"""),"Palmas")</f>
        <v>Palmas</v>
      </c>
      <c r="C276" s="168" t="str">
        <f ca="1">IFERROR(__xludf.DUMMYFUNCTION("""COMPUTED_VALUE"""),"ASSOC. COMUN.ESCOLAR DA ESC. EST. TIRADENTES")</f>
        <v>ASSOC. COMUN.ESCOLAR DA ESC. EST. TIRADENTES</v>
      </c>
      <c r="D276" s="169" t="str">
        <f ca="1">IFERROR(__xludf.DUMMYFUNCTION("""COMPUTED_VALUE"""),"00862122000197")</f>
        <v>00862122000197</v>
      </c>
      <c r="E276" s="170" t="str">
        <f ca="1">IFERROR(__xludf.DUMMYFUNCTION("""COMPUTED_VALUE"""),"001")</f>
        <v>001</v>
      </c>
      <c r="F276" s="170" t="str">
        <f ca="1">IFERROR(__xludf.DUMMYFUNCTION("""COMPUTED_VALUE"""),"1505")</f>
        <v>1505</v>
      </c>
      <c r="G276" s="170" t="str">
        <f ca="1">IFERROR(__xludf.DUMMYFUNCTION("""COMPUTED_VALUE"""),"250562")</f>
        <v>250562</v>
      </c>
      <c r="H276" s="170">
        <f ca="1">IFERROR(__xludf.DUMMYFUNCTION("""COMPUTED_VALUE"""),0)</f>
        <v>0</v>
      </c>
      <c r="I276" s="170">
        <f ca="1">IFERROR(__xludf.DUMMYFUNCTION("""COMPUTED_VALUE"""),0)</f>
        <v>0</v>
      </c>
      <c r="J276" s="170">
        <f ca="1">IFERROR(__xludf.DUMMYFUNCTION("""COMPUTED_VALUE"""),0)</f>
        <v>0</v>
      </c>
      <c r="K276" s="170">
        <f ca="1">IFERROR(__xludf.DUMMYFUNCTION("""COMPUTED_VALUE"""),0)</f>
        <v>0</v>
      </c>
      <c r="L276" s="170">
        <f ca="1">IFERROR(__xludf.DUMMYFUNCTION("""COMPUTED_VALUE"""),0)</f>
        <v>0</v>
      </c>
      <c r="M276" s="170">
        <f ca="1">IFERROR(__xludf.DUMMYFUNCTION("""COMPUTED_VALUE"""),0)</f>
        <v>0</v>
      </c>
      <c r="N276" s="170">
        <f ca="1">IFERROR(__xludf.DUMMYFUNCTION("""COMPUTED_VALUE"""),0)</f>
        <v>0</v>
      </c>
      <c r="O276" s="170">
        <f ca="1">IFERROR(__xludf.DUMMYFUNCTION("""COMPUTED_VALUE"""),0)</f>
        <v>0</v>
      </c>
      <c r="P276" s="170">
        <f ca="1">IFERROR(__xludf.DUMMYFUNCTION("""COMPUTED_VALUE"""),0)</f>
        <v>0</v>
      </c>
      <c r="Q276" s="170">
        <f ca="1">IFERROR(__xludf.DUMMYFUNCTION("""COMPUTED_VALUE"""),12770)</f>
        <v>12770</v>
      </c>
      <c r="R276" s="170">
        <f ca="1">IFERROR(__xludf.DUMMYFUNCTION("""COMPUTED_VALUE"""),0)</f>
        <v>0</v>
      </c>
      <c r="S276" s="170">
        <f ca="1">IFERROR(__xludf.DUMMYFUNCTION("""COMPUTED_VALUE"""),0)</f>
        <v>0</v>
      </c>
      <c r="T276" s="170">
        <f ca="1">IFERROR(__xludf.DUMMYFUNCTION("""COMPUTED_VALUE"""),0)</f>
        <v>0</v>
      </c>
      <c r="U276" s="170">
        <f ca="1"/>
        <v>12770</v>
      </c>
    </row>
    <row r="277" spans="1:21" ht="12.75">
      <c r="A277" s="162" t="str">
        <f ca="1">IFERROR(__xludf.DUMMYFUNCTION("""COMPUTED_VALUE"""),"Palmas")</f>
        <v>Palmas</v>
      </c>
      <c r="B277" s="162" t="str">
        <f ca="1">IFERROR(__xludf.DUMMYFUNCTION("""COMPUTED_VALUE"""),"Palmas")</f>
        <v>Palmas</v>
      </c>
      <c r="C277" s="163" t="str">
        <f ca="1">IFERROR(__xludf.DUMMYFUNCTION("""COMPUTED_VALUE"""),"ASSOC. DE APOIO COL. DA POLICIA MILITAR DO TOCANTINS")</f>
        <v>ASSOC. DE APOIO COL. DA POLICIA MILITAR DO TOCANTINS</v>
      </c>
      <c r="D277" s="164" t="str">
        <f ca="1">IFERROR(__xludf.DUMMYFUNCTION("""COMPUTED_VALUE"""),"02050257000183")</f>
        <v>02050257000183</v>
      </c>
      <c r="E277" s="165" t="str">
        <f ca="1">IFERROR(__xludf.DUMMYFUNCTION("""COMPUTED_VALUE"""),"001")</f>
        <v>001</v>
      </c>
      <c r="F277" s="165" t="str">
        <f ca="1">IFERROR(__xludf.DUMMYFUNCTION("""COMPUTED_VALUE"""),"1505")</f>
        <v>1505</v>
      </c>
      <c r="G277" s="165" t="str">
        <f ca="1">IFERROR(__xludf.DUMMYFUNCTION("""COMPUTED_VALUE"""),"455466")</f>
        <v>455466</v>
      </c>
      <c r="H277" s="165">
        <f ca="1">IFERROR(__xludf.DUMMYFUNCTION("""COMPUTED_VALUE"""),0)</f>
        <v>0</v>
      </c>
      <c r="I277" s="165">
        <f ca="1">IFERROR(__xludf.DUMMYFUNCTION("""COMPUTED_VALUE"""),0)</f>
        <v>0</v>
      </c>
      <c r="J277" s="165">
        <f ca="1">IFERROR(__xludf.DUMMYFUNCTION("""COMPUTED_VALUE"""),0)</f>
        <v>0</v>
      </c>
      <c r="K277" s="165">
        <f ca="1">IFERROR(__xludf.DUMMYFUNCTION("""COMPUTED_VALUE"""),0)</f>
        <v>0</v>
      </c>
      <c r="L277" s="165">
        <f ca="1">IFERROR(__xludf.DUMMYFUNCTION("""COMPUTED_VALUE"""),0)</f>
        <v>0</v>
      </c>
      <c r="M277" s="165">
        <f ca="1">IFERROR(__xludf.DUMMYFUNCTION("""COMPUTED_VALUE"""),0)</f>
        <v>0</v>
      </c>
      <c r="N277" s="165">
        <f ca="1">IFERROR(__xludf.DUMMYFUNCTION("""COMPUTED_VALUE"""),0)</f>
        <v>0</v>
      </c>
      <c r="O277" s="165">
        <f ca="1">IFERROR(__xludf.DUMMYFUNCTION("""COMPUTED_VALUE"""),0)</f>
        <v>0</v>
      </c>
      <c r="P277" s="165">
        <f ca="1">IFERROR(__xludf.DUMMYFUNCTION("""COMPUTED_VALUE"""),0)</f>
        <v>0</v>
      </c>
      <c r="Q277" s="165">
        <f ca="1">IFERROR(__xludf.DUMMYFUNCTION("""COMPUTED_VALUE"""),0)</f>
        <v>0</v>
      </c>
      <c r="R277" s="165">
        <f ca="1">IFERROR(__xludf.DUMMYFUNCTION("""COMPUTED_VALUE"""),0)</f>
        <v>0</v>
      </c>
      <c r="S277" s="165">
        <f ca="1">IFERROR(__xludf.DUMMYFUNCTION("""COMPUTED_VALUE"""),35686.4)</f>
        <v>35686.400000000001</v>
      </c>
      <c r="T277" s="165">
        <f ca="1">IFERROR(__xludf.DUMMYFUNCTION("""COMPUTED_VALUE"""),0)</f>
        <v>0</v>
      </c>
      <c r="U277" s="165">
        <f ca="1"/>
        <v>35686.400000000001</v>
      </c>
    </row>
    <row r="278" spans="1:21" ht="12.75">
      <c r="A278" s="167" t="str">
        <f ca="1">IFERROR(__xludf.DUMMYFUNCTION("""COMPUTED_VALUE"""),"Palmas")</f>
        <v>Palmas</v>
      </c>
      <c r="B278" s="167" t="str">
        <f ca="1">IFERROR(__xludf.DUMMYFUNCTION("""COMPUTED_VALUE"""),"Palmas")</f>
        <v>Palmas</v>
      </c>
      <c r="C278" s="168" t="str">
        <f ca="1">IFERROR(__xludf.DUMMYFUNCTION("""COMPUTED_VALUE"""),"ASSOCIAÇÃO DE APOIO A ESC. ESTADUAL DA 403 SUL")</f>
        <v>ASSOCIAÇÃO DE APOIO A ESC. ESTADUAL DA 403 SUL</v>
      </c>
      <c r="D278" s="169" t="str">
        <f ca="1">IFERROR(__xludf.DUMMYFUNCTION("""COMPUTED_VALUE"""),"11332101000186")</f>
        <v>11332101000186</v>
      </c>
      <c r="E278" s="170" t="str">
        <f ca="1">IFERROR(__xludf.DUMMYFUNCTION("""COMPUTED_VALUE"""),"001")</f>
        <v>001</v>
      </c>
      <c r="F278" s="170" t="str">
        <f ca="1">IFERROR(__xludf.DUMMYFUNCTION("""COMPUTED_VALUE"""),"1505")</f>
        <v>1505</v>
      </c>
      <c r="G278" s="170" t="str">
        <f ca="1">IFERROR(__xludf.DUMMYFUNCTION("""COMPUTED_VALUE"""),"467588")</f>
        <v>467588</v>
      </c>
      <c r="H278" s="170">
        <f ca="1">IFERROR(__xludf.DUMMYFUNCTION("""COMPUTED_VALUE"""),0)</f>
        <v>0</v>
      </c>
      <c r="I278" s="170">
        <f ca="1">IFERROR(__xludf.DUMMYFUNCTION("""COMPUTED_VALUE"""),0)</f>
        <v>0</v>
      </c>
      <c r="J278" s="170">
        <f ca="1">IFERROR(__xludf.DUMMYFUNCTION("""COMPUTED_VALUE"""),0)</f>
        <v>0</v>
      </c>
      <c r="K278" s="170">
        <f ca="1">IFERROR(__xludf.DUMMYFUNCTION("""COMPUTED_VALUE"""),22468)</f>
        <v>22468</v>
      </c>
      <c r="L278" s="170">
        <f ca="1">IFERROR(__xludf.DUMMYFUNCTION("""COMPUTED_VALUE"""),0)</f>
        <v>0</v>
      </c>
      <c r="M278" s="170">
        <f ca="1">IFERROR(__xludf.DUMMYFUNCTION("""COMPUTED_VALUE"""),0)</f>
        <v>0</v>
      </c>
      <c r="N278" s="170">
        <f ca="1">IFERROR(__xludf.DUMMYFUNCTION("""COMPUTED_VALUE"""),0)</f>
        <v>0</v>
      </c>
      <c r="O278" s="170">
        <f ca="1">IFERROR(__xludf.DUMMYFUNCTION("""COMPUTED_VALUE"""),0)</f>
        <v>0</v>
      </c>
      <c r="P278" s="170">
        <f ca="1">IFERROR(__xludf.DUMMYFUNCTION("""COMPUTED_VALUE"""),0)</f>
        <v>0</v>
      </c>
      <c r="Q278" s="170">
        <f ca="1">IFERROR(__xludf.DUMMYFUNCTION("""COMPUTED_VALUE"""),0)</f>
        <v>0</v>
      </c>
      <c r="R278" s="170">
        <f ca="1">IFERROR(__xludf.DUMMYFUNCTION("""COMPUTED_VALUE"""),0)</f>
        <v>0</v>
      </c>
      <c r="S278" s="170">
        <f ca="1">IFERROR(__xludf.DUMMYFUNCTION("""COMPUTED_VALUE"""),0)</f>
        <v>0</v>
      </c>
      <c r="T278" s="170">
        <f ca="1">IFERROR(__xludf.DUMMYFUNCTION("""COMPUTED_VALUE"""),0)</f>
        <v>0</v>
      </c>
      <c r="U278" s="170">
        <f ca="1"/>
        <v>22468</v>
      </c>
    </row>
    <row r="279" spans="1:21" ht="12.75">
      <c r="A279" s="162" t="str">
        <f ca="1">IFERROR(__xludf.DUMMYFUNCTION("""COMPUTED_VALUE"""),"Palmas")</f>
        <v>Palmas</v>
      </c>
      <c r="B279" s="162" t="str">
        <f ca="1">IFERROR(__xludf.DUMMYFUNCTION("""COMPUTED_VALUE"""),"Palmas")</f>
        <v>Palmas</v>
      </c>
      <c r="C279" s="163" t="str">
        <f ca="1">IFERROR(__xludf.DUMMYFUNCTION("""COMPUTED_VALUE"""),"A.C.ESC.M.FUT. C.E. CRIANCA ESPERANCA")</f>
        <v>A.C.ESC.M.FUT. C.E. CRIANCA ESPERANCA</v>
      </c>
      <c r="D279" s="164" t="str">
        <f ca="1">IFERROR(__xludf.DUMMYFUNCTION("""COMPUTED_VALUE"""),"01920781000103")</f>
        <v>01920781000103</v>
      </c>
      <c r="E279" s="165" t="str">
        <f ca="1">IFERROR(__xludf.DUMMYFUNCTION("""COMPUTED_VALUE"""),"001")</f>
        <v>001</v>
      </c>
      <c r="F279" s="165" t="str">
        <f ca="1">IFERROR(__xludf.DUMMYFUNCTION("""COMPUTED_VALUE"""),"1505")</f>
        <v>1505</v>
      </c>
      <c r="G279" s="165" t="str">
        <f ca="1">IFERROR(__xludf.DUMMYFUNCTION("""COMPUTED_VALUE"""),"455369")</f>
        <v>455369</v>
      </c>
      <c r="H279" s="165">
        <f ca="1">IFERROR(__xludf.DUMMYFUNCTION("""COMPUTED_VALUE"""),0)</f>
        <v>0</v>
      </c>
      <c r="I279" s="165">
        <f ca="1">IFERROR(__xludf.DUMMYFUNCTION("""COMPUTED_VALUE"""),0)</f>
        <v>0</v>
      </c>
      <c r="J279" s="165">
        <f ca="1">IFERROR(__xludf.DUMMYFUNCTION("""COMPUTED_VALUE"""),0)</f>
        <v>0</v>
      </c>
      <c r="K279" s="165">
        <f ca="1">IFERROR(__xludf.DUMMYFUNCTION("""COMPUTED_VALUE"""),0)</f>
        <v>0</v>
      </c>
      <c r="L279" s="165">
        <f ca="1">IFERROR(__xludf.DUMMYFUNCTION("""COMPUTED_VALUE"""),0)</f>
        <v>0</v>
      </c>
      <c r="M279" s="165">
        <f ca="1">IFERROR(__xludf.DUMMYFUNCTION("""COMPUTED_VALUE"""),0)</f>
        <v>0</v>
      </c>
      <c r="N279" s="165">
        <f ca="1">IFERROR(__xludf.DUMMYFUNCTION("""COMPUTED_VALUE"""),0)</f>
        <v>0</v>
      </c>
      <c r="O279" s="165">
        <f ca="1">IFERROR(__xludf.DUMMYFUNCTION("""COMPUTED_VALUE"""),0)</f>
        <v>0</v>
      </c>
      <c r="P279" s="165">
        <f ca="1">IFERROR(__xludf.DUMMYFUNCTION("""COMPUTED_VALUE"""),0)</f>
        <v>0</v>
      </c>
      <c r="Q279" s="165">
        <f ca="1">IFERROR(__xludf.DUMMYFUNCTION("""COMPUTED_VALUE"""),2670)</f>
        <v>2670</v>
      </c>
      <c r="R279" s="165">
        <f ca="1">IFERROR(__xludf.DUMMYFUNCTION("""COMPUTED_VALUE"""),0)</f>
        <v>0</v>
      </c>
      <c r="S279" s="165">
        <f ca="1">IFERROR(__xludf.DUMMYFUNCTION("""COMPUTED_VALUE"""),0)</f>
        <v>0</v>
      </c>
      <c r="T279" s="165">
        <f ca="1">IFERROR(__xludf.DUMMYFUNCTION("""COMPUTED_VALUE"""),442.799999999999)</f>
        <v>442.79999999999899</v>
      </c>
      <c r="U279" s="165">
        <f ca="1"/>
        <v>3112.7999999999988</v>
      </c>
    </row>
    <row r="280" spans="1:21" ht="12.75">
      <c r="A280" s="167" t="str">
        <f ca="1">IFERROR(__xludf.DUMMYFUNCTION("""COMPUTED_VALUE"""),"Palmas")</f>
        <v>Palmas</v>
      </c>
      <c r="B280" s="167" t="str">
        <f ca="1">IFERROR(__xludf.DUMMYFUNCTION("""COMPUTED_VALUE"""),"Palmas")</f>
        <v>Palmas</v>
      </c>
      <c r="C280" s="168" t="str">
        <f ca="1">IFERROR(__xludf.DUMMYFUNCTION("""COMPUTED_VALUE"""),"A. COM. E-E. E. DOM ALANO MARIE DU NODAY")</f>
        <v>A. COM. E-E. E. DOM ALANO MARIE DU NODAY</v>
      </c>
      <c r="D280" s="169" t="str">
        <f ca="1">IFERROR(__xludf.DUMMYFUNCTION("""COMPUTED_VALUE"""),"01343125000187")</f>
        <v>01343125000187</v>
      </c>
      <c r="E280" s="170" t="str">
        <f ca="1">IFERROR(__xludf.DUMMYFUNCTION("""COMPUTED_VALUE"""),"001")</f>
        <v>001</v>
      </c>
      <c r="F280" s="170" t="str">
        <f ca="1">IFERROR(__xludf.DUMMYFUNCTION("""COMPUTED_VALUE"""),"1505")</f>
        <v>1505</v>
      </c>
      <c r="G280" s="170" t="str">
        <f ca="1">IFERROR(__xludf.DUMMYFUNCTION("""COMPUTED_VALUE"""),"265810")</f>
        <v>265810</v>
      </c>
      <c r="H280" s="170">
        <f ca="1">IFERROR(__xludf.DUMMYFUNCTION("""COMPUTED_VALUE"""),0)</f>
        <v>0</v>
      </c>
      <c r="I280" s="170">
        <f ca="1">IFERROR(__xludf.DUMMYFUNCTION("""COMPUTED_VALUE"""),0)</f>
        <v>0</v>
      </c>
      <c r="J280" s="170">
        <f ca="1">IFERROR(__xludf.DUMMYFUNCTION("""COMPUTED_VALUE"""),1820)</f>
        <v>1820</v>
      </c>
      <c r="K280" s="170">
        <f ca="1">IFERROR(__xludf.DUMMYFUNCTION("""COMPUTED_VALUE"""),0)</f>
        <v>0</v>
      </c>
      <c r="L280" s="170">
        <f ca="1">IFERROR(__xludf.DUMMYFUNCTION("""COMPUTED_VALUE"""),0)</f>
        <v>0</v>
      </c>
      <c r="M280" s="170">
        <f ca="1">IFERROR(__xludf.DUMMYFUNCTION("""COMPUTED_VALUE"""),0)</f>
        <v>0</v>
      </c>
      <c r="N280" s="170">
        <f ca="1">IFERROR(__xludf.DUMMYFUNCTION("""COMPUTED_VALUE"""),0)</f>
        <v>0</v>
      </c>
      <c r="O280" s="170">
        <f ca="1">IFERROR(__xludf.DUMMYFUNCTION("""COMPUTED_VALUE"""),0)</f>
        <v>0</v>
      </c>
      <c r="P280" s="170">
        <f ca="1">IFERROR(__xludf.DUMMYFUNCTION("""COMPUTED_VALUE"""),0)</f>
        <v>0</v>
      </c>
      <c r="Q280" s="170">
        <f ca="1">IFERROR(__xludf.DUMMYFUNCTION("""COMPUTED_VALUE"""),17320)</f>
        <v>17320</v>
      </c>
      <c r="R280" s="170">
        <f ca="1">IFERROR(__xludf.DUMMYFUNCTION("""COMPUTED_VALUE"""),0)</f>
        <v>0</v>
      </c>
      <c r="S280" s="170">
        <f ca="1">IFERROR(__xludf.DUMMYFUNCTION("""COMPUTED_VALUE"""),0)</f>
        <v>0</v>
      </c>
      <c r="T280" s="170">
        <f ca="1">IFERROR(__xludf.DUMMYFUNCTION("""COMPUTED_VALUE"""),1131.6)</f>
        <v>1131.5999999999999</v>
      </c>
      <c r="U280" s="170">
        <f ca="1"/>
        <v>20271.599999999999</v>
      </c>
    </row>
    <row r="281" spans="1:21" ht="12.75">
      <c r="A281" s="162" t="str">
        <f ca="1">IFERROR(__xludf.DUMMYFUNCTION("""COMPUTED_VALUE"""),"Palmas")</f>
        <v>Palmas</v>
      </c>
      <c r="B281" s="162" t="str">
        <f ca="1">IFERROR(__xludf.DUMMYFUNCTION("""COMPUTED_VALUE"""),"Palmas")</f>
        <v>Palmas</v>
      </c>
      <c r="C281" s="163" t="str">
        <f ca="1">IFERROR(__xludf.DUMMYFUNCTION("""COMPUTED_VALUE"""),"ACE COL. EST. DUQUE DE CAXIAS")</f>
        <v>ACE COL. EST. DUQUE DE CAXIAS</v>
      </c>
      <c r="D281" s="164" t="str">
        <f ca="1">IFERROR(__xludf.DUMMYFUNCTION("""COMPUTED_VALUE"""),"01588669000109")</f>
        <v>01588669000109</v>
      </c>
      <c r="E281" s="165" t="str">
        <f ca="1">IFERROR(__xludf.DUMMYFUNCTION("""COMPUTED_VALUE"""),"001")</f>
        <v>001</v>
      </c>
      <c r="F281" s="165" t="str">
        <f ca="1">IFERROR(__xludf.DUMMYFUNCTION("""COMPUTED_VALUE"""),"1505")</f>
        <v>1505</v>
      </c>
      <c r="G281" s="165" t="str">
        <f ca="1">IFERROR(__xludf.DUMMYFUNCTION("""COMPUTED_VALUE"""),"254002")</f>
        <v>254002</v>
      </c>
      <c r="H281" s="165">
        <f ca="1">IFERROR(__xludf.DUMMYFUNCTION("""COMPUTED_VALUE"""),0)</f>
        <v>0</v>
      </c>
      <c r="I281" s="165">
        <f ca="1">IFERROR(__xludf.DUMMYFUNCTION("""COMPUTED_VALUE"""),0)</f>
        <v>0</v>
      </c>
      <c r="J281" s="165">
        <f ca="1">IFERROR(__xludf.DUMMYFUNCTION("""COMPUTED_VALUE"""),1870)</f>
        <v>1870</v>
      </c>
      <c r="K281" s="165">
        <f ca="1">IFERROR(__xludf.DUMMYFUNCTION("""COMPUTED_VALUE"""),0)</f>
        <v>0</v>
      </c>
      <c r="L281" s="165">
        <f ca="1">IFERROR(__xludf.DUMMYFUNCTION("""COMPUTED_VALUE"""),0)</f>
        <v>0</v>
      </c>
      <c r="M281" s="165">
        <f ca="1">IFERROR(__xludf.DUMMYFUNCTION("""COMPUTED_VALUE"""),0)</f>
        <v>0</v>
      </c>
      <c r="N281" s="165">
        <f ca="1">IFERROR(__xludf.DUMMYFUNCTION("""COMPUTED_VALUE"""),0)</f>
        <v>0</v>
      </c>
      <c r="O281" s="165">
        <f ca="1">IFERROR(__xludf.DUMMYFUNCTION("""COMPUTED_VALUE"""),0)</f>
        <v>0</v>
      </c>
      <c r="P281" s="165">
        <f ca="1">IFERROR(__xludf.DUMMYFUNCTION("""COMPUTED_VALUE"""),272)</f>
        <v>272</v>
      </c>
      <c r="Q281" s="165">
        <f ca="1">IFERROR(__xludf.DUMMYFUNCTION("""COMPUTED_VALUE"""),2680)</f>
        <v>2680</v>
      </c>
      <c r="R281" s="165">
        <f ca="1">IFERROR(__xludf.DUMMYFUNCTION("""COMPUTED_VALUE"""),0)</f>
        <v>0</v>
      </c>
      <c r="S281" s="165">
        <f ca="1">IFERROR(__xludf.DUMMYFUNCTION("""COMPUTED_VALUE"""),0)</f>
        <v>0</v>
      </c>
      <c r="T281" s="165">
        <f ca="1">IFERROR(__xludf.DUMMYFUNCTION("""COMPUTED_VALUE"""),0)</f>
        <v>0</v>
      </c>
      <c r="U281" s="165">
        <f ca="1"/>
        <v>4822</v>
      </c>
    </row>
    <row r="282" spans="1:21" ht="12.75">
      <c r="A282" s="167" t="str">
        <f ca="1">IFERROR(__xludf.DUMMYFUNCTION("""COMPUTED_VALUE"""),"Palmas")</f>
        <v>Palmas</v>
      </c>
      <c r="B282" s="167" t="str">
        <f ca="1">IFERROR(__xludf.DUMMYFUNCTION("""COMPUTED_VALUE"""),"Palmas")</f>
        <v>Palmas</v>
      </c>
      <c r="C282" s="168" t="str">
        <f ca="1">IFERROR(__xludf.DUMMYFUNCTION("""COMPUTED_VALUE"""),"A.A. AO COLEGIO ESTADUAL SAO JOSE")</f>
        <v>A.A. AO COLEGIO ESTADUAL SAO JOSE</v>
      </c>
      <c r="D282" s="169" t="str">
        <f ca="1">IFERROR(__xludf.DUMMYFUNCTION("""COMPUTED_VALUE"""),"01913809000177")</f>
        <v>01913809000177</v>
      </c>
      <c r="E282" s="170" t="str">
        <f ca="1">IFERROR(__xludf.DUMMYFUNCTION("""COMPUTED_VALUE"""),"001")</f>
        <v>001</v>
      </c>
      <c r="F282" s="170" t="str">
        <f ca="1">IFERROR(__xludf.DUMMYFUNCTION("""COMPUTED_VALUE"""),"1886")</f>
        <v>1886</v>
      </c>
      <c r="G282" s="170" t="str">
        <f ca="1">IFERROR(__xludf.DUMMYFUNCTION("""COMPUTED_VALUE"""),"325252")</f>
        <v>325252</v>
      </c>
      <c r="H282" s="170">
        <f ca="1">IFERROR(__xludf.DUMMYFUNCTION("""COMPUTED_VALUE"""),0)</f>
        <v>0</v>
      </c>
      <c r="I282" s="170">
        <f ca="1">IFERROR(__xludf.DUMMYFUNCTION("""COMPUTED_VALUE"""),0)</f>
        <v>0</v>
      </c>
      <c r="J282" s="170">
        <f ca="1">IFERROR(__xludf.DUMMYFUNCTION("""COMPUTED_VALUE"""),0)</f>
        <v>0</v>
      </c>
      <c r="K282" s="170">
        <f ca="1">IFERROR(__xludf.DUMMYFUNCTION("""COMPUTED_VALUE"""),0)</f>
        <v>0</v>
      </c>
      <c r="L282" s="170">
        <f ca="1">IFERROR(__xludf.DUMMYFUNCTION("""COMPUTED_VALUE"""),0)</f>
        <v>0</v>
      </c>
      <c r="M282" s="170">
        <f ca="1">IFERROR(__xludf.DUMMYFUNCTION("""COMPUTED_VALUE"""),0)</f>
        <v>0</v>
      </c>
      <c r="N282" s="170">
        <f ca="1">IFERROR(__xludf.DUMMYFUNCTION("""COMPUTED_VALUE"""),0)</f>
        <v>0</v>
      </c>
      <c r="O282" s="170">
        <f ca="1">IFERROR(__xludf.DUMMYFUNCTION("""COMPUTED_VALUE"""),0)</f>
        <v>0</v>
      </c>
      <c r="P282" s="170">
        <f ca="1">IFERROR(__xludf.DUMMYFUNCTION("""COMPUTED_VALUE"""),326.4)</f>
        <v>326.39999999999998</v>
      </c>
      <c r="Q282" s="170">
        <f ca="1">IFERROR(__xludf.DUMMYFUNCTION("""COMPUTED_VALUE"""),0)</f>
        <v>0</v>
      </c>
      <c r="R282" s="170">
        <f ca="1">IFERROR(__xludf.DUMMYFUNCTION("""COMPUTED_VALUE"""),0)</f>
        <v>0</v>
      </c>
      <c r="S282" s="170">
        <f ca="1">IFERROR(__xludf.DUMMYFUNCTION("""COMPUTED_VALUE"""),9472)</f>
        <v>9472</v>
      </c>
      <c r="T282" s="170">
        <f ca="1">IFERROR(__xludf.DUMMYFUNCTION("""COMPUTED_VALUE"""),729.8)</f>
        <v>729.8</v>
      </c>
      <c r="U282" s="170">
        <f ca="1"/>
        <v>10528.199999999999</v>
      </c>
    </row>
    <row r="283" spans="1:21" ht="12.75">
      <c r="A283" s="162" t="str">
        <f ca="1">IFERROR(__xludf.DUMMYFUNCTION("""COMPUTED_VALUE"""),"Palmas")</f>
        <v>Palmas</v>
      </c>
      <c r="B283" s="162" t="str">
        <f ca="1">IFERROR(__xludf.DUMMYFUNCTION("""COMPUTED_VALUE"""),"Palmas")</f>
        <v>Palmas</v>
      </c>
      <c r="C283" s="163" t="str">
        <f ca="1">IFERROR(__xludf.DUMMYFUNCTION("""COMPUTED_VALUE"""),"A.A. COL GIRASSOL TEMPO INTEGRAL RAQUEL QUEIROZ")</f>
        <v>A.A. COL GIRASSOL TEMPO INTEGRAL RAQUEL QUEIROZ</v>
      </c>
      <c r="D283" s="164" t="str">
        <f ca="1">IFERROR(__xludf.DUMMYFUNCTION("""COMPUTED_VALUE"""),"13748657000183")</f>
        <v>13748657000183</v>
      </c>
      <c r="E283" s="165" t="str">
        <f ca="1">IFERROR(__xludf.DUMMYFUNCTION("""COMPUTED_VALUE"""),"001")</f>
        <v>001</v>
      </c>
      <c r="F283" s="165" t="str">
        <f ca="1">IFERROR(__xludf.DUMMYFUNCTION("""COMPUTED_VALUE"""),"1867")</f>
        <v>1867</v>
      </c>
      <c r="G283" s="165" t="str">
        <f ca="1">IFERROR(__xludf.DUMMYFUNCTION("""COMPUTED_VALUE"""),"856312")</f>
        <v>856312</v>
      </c>
      <c r="H283" s="165">
        <f ca="1">IFERROR(__xludf.DUMMYFUNCTION("""COMPUTED_VALUE"""),0)</f>
        <v>0</v>
      </c>
      <c r="I283" s="165">
        <f ca="1">IFERROR(__xludf.DUMMYFUNCTION("""COMPUTED_VALUE"""),0)</f>
        <v>0</v>
      </c>
      <c r="J283" s="165">
        <f ca="1">IFERROR(__xludf.DUMMYFUNCTION("""COMPUTED_VALUE"""),0)</f>
        <v>0</v>
      </c>
      <c r="K283" s="165">
        <f ca="1">IFERROR(__xludf.DUMMYFUNCTION("""COMPUTED_VALUE"""),0)</f>
        <v>0</v>
      </c>
      <c r="L283" s="165">
        <f ca="1">IFERROR(__xludf.DUMMYFUNCTION("""COMPUTED_VALUE"""),0)</f>
        <v>0</v>
      </c>
      <c r="M283" s="165">
        <f ca="1">IFERROR(__xludf.DUMMYFUNCTION("""COMPUTED_VALUE"""),0)</f>
        <v>0</v>
      </c>
      <c r="N283" s="165">
        <f ca="1">IFERROR(__xludf.DUMMYFUNCTION("""COMPUTED_VALUE"""),0)</f>
        <v>0</v>
      </c>
      <c r="O283" s="165">
        <f ca="1">IFERROR(__xludf.DUMMYFUNCTION("""COMPUTED_VALUE"""),0)</f>
        <v>0</v>
      </c>
      <c r="P283" s="165">
        <f ca="1">IFERROR(__xludf.DUMMYFUNCTION("""COMPUTED_VALUE"""),516.8)</f>
        <v>516.79999999999995</v>
      </c>
      <c r="Q283" s="165">
        <f ca="1">IFERROR(__xludf.DUMMYFUNCTION("""COMPUTED_VALUE"""),14160)</f>
        <v>14160</v>
      </c>
      <c r="R283" s="165">
        <f ca="1">IFERROR(__xludf.DUMMYFUNCTION("""COMPUTED_VALUE"""),0)</f>
        <v>0</v>
      </c>
      <c r="S283" s="165">
        <f ca="1">IFERROR(__xludf.DUMMYFUNCTION("""COMPUTED_VALUE"""),0)</f>
        <v>0</v>
      </c>
      <c r="T283" s="165">
        <f ca="1">IFERROR(__xludf.DUMMYFUNCTION("""COMPUTED_VALUE"""),0)</f>
        <v>0</v>
      </c>
      <c r="U283" s="165">
        <f ca="1"/>
        <v>14676.8</v>
      </c>
    </row>
    <row r="284" spans="1:21" ht="12.75">
      <c r="A284" s="167" t="str">
        <f ca="1">IFERROR(__xludf.DUMMYFUNCTION("""COMPUTED_VALUE"""),"Palmas")</f>
        <v>Palmas</v>
      </c>
      <c r="B284" s="167" t="str">
        <f ca="1">IFERROR(__xludf.DUMMYFUNCTION("""COMPUTED_VALUE"""),"Palmas")</f>
        <v>Palmas</v>
      </c>
      <c r="C284" s="168" t="str">
        <f ca="1">IFERROR(__xludf.DUMMYFUNCTION("""COMPUTED_VALUE"""),"ASSOCIAÇÃO DE APOIO DA ESCOLA ESPECIAL INTEGRAÇÃO DE PALMAS")</f>
        <v>ASSOCIAÇÃO DE APOIO DA ESCOLA ESPECIAL INTEGRAÇÃO DE PALMAS</v>
      </c>
      <c r="D284" s="169" t="str">
        <f ca="1">IFERROR(__xludf.DUMMYFUNCTION("""COMPUTED_VALUE"""),"07958777000102")</f>
        <v>07958777000102</v>
      </c>
      <c r="E284" s="170" t="str">
        <f ca="1">IFERROR(__xludf.DUMMYFUNCTION("""COMPUTED_VALUE"""),"001")</f>
        <v>001</v>
      </c>
      <c r="F284" s="170" t="str">
        <f ca="1">IFERROR(__xludf.DUMMYFUNCTION("""COMPUTED_VALUE"""),"1505")</f>
        <v>1505</v>
      </c>
      <c r="G284" s="170" t="str">
        <f ca="1">IFERROR(__xludf.DUMMYFUNCTION("""COMPUTED_VALUE"""),"385328")</f>
        <v>385328</v>
      </c>
      <c r="H284" s="170">
        <f ca="1">IFERROR(__xludf.DUMMYFUNCTION("""COMPUTED_VALUE"""),0)</f>
        <v>0</v>
      </c>
      <c r="I284" s="170">
        <f ca="1">IFERROR(__xludf.DUMMYFUNCTION("""COMPUTED_VALUE"""),532.8)</f>
        <v>532.79999999999995</v>
      </c>
      <c r="J284" s="170">
        <f ca="1">IFERROR(__xludf.DUMMYFUNCTION("""COMPUTED_VALUE"""),590)</f>
        <v>590</v>
      </c>
      <c r="K284" s="170">
        <f ca="1">IFERROR(__xludf.DUMMYFUNCTION("""COMPUTED_VALUE"""),0)</f>
        <v>0</v>
      </c>
      <c r="L284" s="170">
        <f ca="1">IFERROR(__xludf.DUMMYFUNCTION("""COMPUTED_VALUE"""),0)</f>
        <v>0</v>
      </c>
      <c r="M284" s="170">
        <f ca="1">IFERROR(__xludf.DUMMYFUNCTION("""COMPUTED_VALUE"""),0)</f>
        <v>0</v>
      </c>
      <c r="N284" s="170">
        <f ca="1">IFERROR(__xludf.DUMMYFUNCTION("""COMPUTED_VALUE"""),0)</f>
        <v>0</v>
      </c>
      <c r="O284" s="170">
        <f ca="1">IFERROR(__xludf.DUMMYFUNCTION("""COMPUTED_VALUE"""),0)</f>
        <v>0</v>
      </c>
      <c r="P284" s="170">
        <f ca="1">IFERROR(__xludf.DUMMYFUNCTION("""COMPUTED_VALUE"""),326.4)</f>
        <v>326.39999999999998</v>
      </c>
      <c r="Q284" s="170">
        <f ca="1">IFERROR(__xludf.DUMMYFUNCTION("""COMPUTED_VALUE"""),0)</f>
        <v>0</v>
      </c>
      <c r="R284" s="170">
        <f ca="1">IFERROR(__xludf.DUMMYFUNCTION("""COMPUTED_VALUE"""),0)</f>
        <v>0</v>
      </c>
      <c r="S284" s="170">
        <f ca="1">IFERROR(__xludf.DUMMYFUNCTION("""COMPUTED_VALUE"""),0)</f>
        <v>0</v>
      </c>
      <c r="T284" s="170">
        <f ca="1">IFERROR(__xludf.DUMMYFUNCTION("""COMPUTED_VALUE"""),877.4)</f>
        <v>877.4</v>
      </c>
      <c r="U284" s="170">
        <f ca="1"/>
        <v>2326.6</v>
      </c>
    </row>
    <row r="285" spans="1:21" ht="12.75">
      <c r="A285" s="162" t="str">
        <f ca="1">IFERROR(__xludf.DUMMYFUNCTION("""COMPUTED_VALUE"""),"Palmas")</f>
        <v>Palmas</v>
      </c>
      <c r="B285" s="162" t="str">
        <f ca="1">IFERROR(__xludf.DUMMYFUNCTION("""COMPUTED_VALUE"""),"Palmas")</f>
        <v>Palmas</v>
      </c>
      <c r="C285" s="163" t="str">
        <f ca="1">IFERROR(__xludf.DUMMYFUNCTION("""COMPUTED_VALUE"""),"A.COM. ESC. E. E.BEIRA RIO/PORTO NACIONAL")</f>
        <v>A.COM. ESC. E. E.BEIRA RIO/PORTO NACIONAL</v>
      </c>
      <c r="D285" s="164" t="str">
        <f ca="1">IFERROR(__xludf.DUMMYFUNCTION("""COMPUTED_VALUE"""),"01797298000175")</f>
        <v>01797298000175</v>
      </c>
      <c r="E285" s="165" t="str">
        <f ca="1">IFERROR(__xludf.DUMMYFUNCTION("""COMPUTED_VALUE"""),"001")</f>
        <v>001</v>
      </c>
      <c r="F285" s="165" t="str">
        <f ca="1">IFERROR(__xludf.DUMMYFUNCTION("""COMPUTED_VALUE"""),"1505")</f>
        <v>1505</v>
      </c>
      <c r="G285" s="165" t="str">
        <f ca="1">IFERROR(__xludf.DUMMYFUNCTION("""COMPUTED_VALUE"""),"209929")</f>
        <v>209929</v>
      </c>
      <c r="H285" s="165">
        <f ca="1">IFERROR(__xludf.DUMMYFUNCTION("""COMPUTED_VALUE"""),0)</f>
        <v>0</v>
      </c>
      <c r="I285" s="165">
        <f ca="1">IFERROR(__xludf.DUMMYFUNCTION("""COMPUTED_VALUE"""),0)</f>
        <v>0</v>
      </c>
      <c r="J285" s="165">
        <f ca="1">IFERROR(__xludf.DUMMYFUNCTION("""COMPUTED_VALUE"""),15520)</f>
        <v>15520</v>
      </c>
      <c r="K285" s="165">
        <f ca="1">IFERROR(__xludf.DUMMYFUNCTION("""COMPUTED_VALUE"""),0)</f>
        <v>0</v>
      </c>
      <c r="L285" s="165">
        <f ca="1">IFERROR(__xludf.DUMMYFUNCTION("""COMPUTED_VALUE"""),0)</f>
        <v>0</v>
      </c>
      <c r="M285" s="165">
        <f ca="1">IFERROR(__xludf.DUMMYFUNCTION("""COMPUTED_VALUE"""),0)</f>
        <v>0</v>
      </c>
      <c r="N285" s="165">
        <f ca="1">IFERROR(__xludf.DUMMYFUNCTION("""COMPUTED_VALUE"""),0)</f>
        <v>0</v>
      </c>
      <c r="O285" s="165">
        <f ca="1">IFERROR(__xludf.DUMMYFUNCTION("""COMPUTED_VALUE"""),0)</f>
        <v>0</v>
      </c>
      <c r="P285" s="165">
        <f ca="1">IFERROR(__xludf.DUMMYFUNCTION("""COMPUTED_VALUE"""),734.4)</f>
        <v>734.4</v>
      </c>
      <c r="Q285" s="165">
        <f ca="1">IFERROR(__xludf.DUMMYFUNCTION("""COMPUTED_VALUE"""),9660)</f>
        <v>9660</v>
      </c>
      <c r="R285" s="165">
        <f ca="1">IFERROR(__xludf.DUMMYFUNCTION("""COMPUTED_VALUE"""),0)</f>
        <v>0</v>
      </c>
      <c r="S285" s="165">
        <f ca="1">IFERROR(__xludf.DUMMYFUNCTION("""COMPUTED_VALUE"""),0)</f>
        <v>0</v>
      </c>
      <c r="T285" s="165">
        <f ca="1">IFERROR(__xludf.DUMMYFUNCTION("""COMPUTED_VALUE"""),1213.6)</f>
        <v>1213.5999999999999</v>
      </c>
      <c r="U285" s="165">
        <f ca="1"/>
        <v>27128</v>
      </c>
    </row>
    <row r="286" spans="1:21" ht="12.75">
      <c r="A286" s="167" t="str">
        <f ca="1">IFERROR(__xludf.DUMMYFUNCTION("""COMPUTED_VALUE"""),"Palmas")</f>
        <v>Palmas</v>
      </c>
      <c r="B286" s="167" t="str">
        <f ca="1">IFERROR(__xludf.DUMMYFUNCTION("""COMPUTED_VALUE"""),"Palmas")</f>
        <v>Palmas</v>
      </c>
      <c r="C286" s="168" t="str">
        <f ca="1">IFERROR(__xludf.DUMMYFUNCTION("""COMPUTED_VALUE"""),"A.P.E M. DA ESC. EST. MADRE BELEM")</f>
        <v>A.P.E M. DA ESC. EST. MADRE BELEM</v>
      </c>
      <c r="D286" s="169" t="str">
        <f ca="1">IFERROR(__xludf.DUMMYFUNCTION("""COMPUTED_VALUE"""),"01034134000196")</f>
        <v>01034134000196</v>
      </c>
      <c r="E286" s="170" t="str">
        <f ca="1">IFERROR(__xludf.DUMMYFUNCTION("""COMPUTED_VALUE"""),"001")</f>
        <v>001</v>
      </c>
      <c r="F286" s="170" t="str">
        <f ca="1">IFERROR(__xludf.DUMMYFUNCTION("""COMPUTED_VALUE"""),"1886")</f>
        <v>1886</v>
      </c>
      <c r="G286" s="170" t="str">
        <f ca="1">IFERROR(__xludf.DUMMYFUNCTION("""COMPUTED_VALUE"""),"519855")</f>
        <v>519855</v>
      </c>
      <c r="H286" s="170">
        <f ca="1">IFERROR(__xludf.DUMMYFUNCTION("""COMPUTED_VALUE"""),0)</f>
        <v>0</v>
      </c>
      <c r="I286" s="170">
        <f ca="1">IFERROR(__xludf.DUMMYFUNCTION("""COMPUTED_VALUE"""),0)</f>
        <v>0</v>
      </c>
      <c r="J286" s="170">
        <f ca="1">IFERROR(__xludf.DUMMYFUNCTION("""COMPUTED_VALUE"""),0)</f>
        <v>0</v>
      </c>
      <c r="K286" s="170">
        <f ca="1">IFERROR(__xludf.DUMMYFUNCTION("""COMPUTED_VALUE"""),0)</f>
        <v>0</v>
      </c>
      <c r="L286" s="170">
        <f ca="1">IFERROR(__xludf.DUMMYFUNCTION("""COMPUTED_VALUE"""),0)</f>
        <v>0</v>
      </c>
      <c r="M286" s="170">
        <f ca="1">IFERROR(__xludf.DUMMYFUNCTION("""COMPUTED_VALUE"""),0)</f>
        <v>0</v>
      </c>
      <c r="N286" s="170">
        <f ca="1">IFERROR(__xludf.DUMMYFUNCTION("""COMPUTED_VALUE"""),0)</f>
        <v>0</v>
      </c>
      <c r="O286" s="170">
        <f ca="1">IFERROR(__xludf.DUMMYFUNCTION("""COMPUTED_VALUE"""),0)</f>
        <v>0</v>
      </c>
      <c r="P286" s="170">
        <f ca="1">IFERROR(__xludf.DUMMYFUNCTION("""COMPUTED_VALUE"""),163.2)</f>
        <v>163.19999999999999</v>
      </c>
      <c r="Q286" s="170">
        <f ca="1">IFERROR(__xludf.DUMMYFUNCTION("""COMPUTED_VALUE"""),0)</f>
        <v>0</v>
      </c>
      <c r="R286" s="170">
        <f ca="1">IFERROR(__xludf.DUMMYFUNCTION("""COMPUTED_VALUE"""),0)</f>
        <v>0</v>
      </c>
      <c r="S286" s="170">
        <f ca="1">IFERROR(__xludf.DUMMYFUNCTION("""COMPUTED_VALUE"""),38297.6)</f>
        <v>38297.599999999999</v>
      </c>
      <c r="T286" s="170">
        <f ca="1">IFERROR(__xludf.DUMMYFUNCTION("""COMPUTED_VALUE"""),0)</f>
        <v>0</v>
      </c>
      <c r="U286" s="170">
        <f ca="1"/>
        <v>38460.799999999996</v>
      </c>
    </row>
    <row r="287" spans="1:21" ht="12.75">
      <c r="A287" s="162" t="str">
        <f ca="1">IFERROR(__xludf.DUMMYFUNCTION("""COMPUTED_VALUE"""),"Palmas")</f>
        <v>Palmas</v>
      </c>
      <c r="B287" s="162" t="str">
        <f ca="1">IFERROR(__xludf.DUMMYFUNCTION("""COMPUTED_VALUE"""),"Palmas")</f>
        <v>Palmas</v>
      </c>
      <c r="C287" s="163" t="str">
        <f ca="1">IFERROR(__xludf.DUMMYFUNCTION("""COMPUTED_VALUE"""),"ACE UN.ESC. FREDEDERICO J. PEDRERA NETO")</f>
        <v>ACE UN.ESC. FREDEDERICO J. PEDRERA NETO</v>
      </c>
      <c r="D287" s="164" t="str">
        <f ca="1">IFERROR(__xludf.DUMMYFUNCTION("""COMPUTED_VALUE"""),"01862534000190")</f>
        <v>01862534000190</v>
      </c>
      <c r="E287" s="165" t="str">
        <f ca="1">IFERROR(__xludf.DUMMYFUNCTION("""COMPUTED_VALUE"""),"001")</f>
        <v>001</v>
      </c>
      <c r="F287" s="165" t="str">
        <f ca="1">IFERROR(__xludf.DUMMYFUNCTION("""COMPUTED_VALUE"""),"1867")</f>
        <v>1867</v>
      </c>
      <c r="G287" s="165" t="str">
        <f ca="1">IFERROR(__xludf.DUMMYFUNCTION("""COMPUTED_VALUE"""),"1079972")</f>
        <v>1079972</v>
      </c>
      <c r="H287" s="165">
        <f ca="1">IFERROR(__xludf.DUMMYFUNCTION("""COMPUTED_VALUE"""),0)</f>
        <v>0</v>
      </c>
      <c r="I287" s="165">
        <f ca="1">IFERROR(__xludf.DUMMYFUNCTION("""COMPUTED_VALUE"""),0)</f>
        <v>0</v>
      </c>
      <c r="J287" s="165">
        <f ca="1">IFERROR(__xludf.DUMMYFUNCTION("""COMPUTED_VALUE"""),0)</f>
        <v>0</v>
      </c>
      <c r="K287" s="165">
        <f ca="1">IFERROR(__xludf.DUMMYFUNCTION("""COMPUTED_VALUE"""),0)</f>
        <v>0</v>
      </c>
      <c r="L287" s="165">
        <f ca="1">IFERROR(__xludf.DUMMYFUNCTION("""COMPUTED_VALUE"""),0)</f>
        <v>0</v>
      </c>
      <c r="M287" s="165">
        <f ca="1">IFERROR(__xludf.DUMMYFUNCTION("""COMPUTED_VALUE"""),0)</f>
        <v>0</v>
      </c>
      <c r="N287" s="165">
        <f ca="1">IFERROR(__xludf.DUMMYFUNCTION("""COMPUTED_VALUE"""),0)</f>
        <v>0</v>
      </c>
      <c r="O287" s="165">
        <f ca="1">IFERROR(__xludf.DUMMYFUNCTION("""COMPUTED_VALUE"""),0)</f>
        <v>0</v>
      </c>
      <c r="P287" s="165">
        <f ca="1">IFERROR(__xludf.DUMMYFUNCTION("""COMPUTED_VALUE"""),231.2)</f>
        <v>231.2</v>
      </c>
      <c r="Q287" s="165">
        <f ca="1">IFERROR(__xludf.DUMMYFUNCTION("""COMPUTED_VALUE"""),8630)</f>
        <v>8630</v>
      </c>
      <c r="R287" s="165">
        <f ca="1">IFERROR(__xludf.DUMMYFUNCTION("""COMPUTED_VALUE"""),0)</f>
        <v>0</v>
      </c>
      <c r="S287" s="165">
        <f ca="1">IFERROR(__xludf.DUMMYFUNCTION("""COMPUTED_VALUE"""),0)</f>
        <v>0</v>
      </c>
      <c r="T287" s="165">
        <f ca="1">IFERROR(__xludf.DUMMYFUNCTION("""COMPUTED_VALUE"""),1074.19999999999)</f>
        <v>1074.19999999999</v>
      </c>
      <c r="U287" s="165">
        <f ca="1"/>
        <v>9935.3999999999905</v>
      </c>
    </row>
    <row r="288" spans="1:21" ht="12.75">
      <c r="A288" s="167" t="str">
        <f ca="1">IFERROR(__xludf.DUMMYFUNCTION("""COMPUTED_VALUE"""),"Palmas")</f>
        <v>Palmas</v>
      </c>
      <c r="B288" s="167" t="str">
        <f ca="1">IFERROR(__xludf.DUMMYFUNCTION("""COMPUTED_VALUE"""),"Palmas")</f>
        <v>Palmas</v>
      </c>
      <c r="C288" s="168" t="str">
        <f ca="1">IFERROR(__xludf.DUMMYFUNCTION("""COMPUTED_VALUE"""),"A.CONS.ESCOLAR E. EST.I GRAU LIBERDADE")</f>
        <v>A.CONS.ESCOLAR E. EST.I GRAU LIBERDADE</v>
      </c>
      <c r="D288" s="169" t="str">
        <f ca="1">IFERROR(__xludf.DUMMYFUNCTION("""COMPUTED_VALUE"""),"01936355000150")</f>
        <v>01936355000150</v>
      </c>
      <c r="E288" s="170" t="str">
        <f ca="1">IFERROR(__xludf.DUMMYFUNCTION("""COMPUTED_VALUE"""),"001")</f>
        <v>001</v>
      </c>
      <c r="F288" s="170" t="str">
        <f ca="1">IFERROR(__xludf.DUMMYFUNCTION("""COMPUTED_VALUE"""),"1505")</f>
        <v>1505</v>
      </c>
      <c r="G288" s="170" t="str">
        <f ca="1">IFERROR(__xludf.DUMMYFUNCTION("""COMPUTED_VALUE"""),"257028")</f>
        <v>257028</v>
      </c>
      <c r="H288" s="170">
        <f ca="1">IFERROR(__xludf.DUMMYFUNCTION("""COMPUTED_VALUE"""),0)</f>
        <v>0</v>
      </c>
      <c r="I288" s="170">
        <f ca="1">IFERROR(__xludf.DUMMYFUNCTION("""COMPUTED_VALUE"""),0)</f>
        <v>0</v>
      </c>
      <c r="J288" s="170">
        <f ca="1">IFERROR(__xludf.DUMMYFUNCTION("""COMPUTED_VALUE"""),5340)</f>
        <v>5340</v>
      </c>
      <c r="K288" s="170">
        <f ca="1">IFERROR(__xludf.DUMMYFUNCTION("""COMPUTED_VALUE"""),0)</f>
        <v>0</v>
      </c>
      <c r="L288" s="170">
        <f ca="1">IFERROR(__xludf.DUMMYFUNCTION("""COMPUTED_VALUE"""),0)</f>
        <v>0</v>
      </c>
      <c r="M288" s="170">
        <f ca="1">IFERROR(__xludf.DUMMYFUNCTION("""COMPUTED_VALUE"""),0)</f>
        <v>0</v>
      </c>
      <c r="N288" s="170">
        <f ca="1">IFERROR(__xludf.DUMMYFUNCTION("""COMPUTED_VALUE"""),0)</f>
        <v>0</v>
      </c>
      <c r="O288" s="170">
        <f ca="1">IFERROR(__xludf.DUMMYFUNCTION("""COMPUTED_VALUE"""),0)</f>
        <v>0</v>
      </c>
      <c r="P288" s="170">
        <f ca="1">IFERROR(__xludf.DUMMYFUNCTION("""COMPUTED_VALUE"""),571.199999999999)</f>
        <v>571.19999999999902</v>
      </c>
      <c r="Q288" s="170">
        <f ca="1">IFERROR(__xludf.DUMMYFUNCTION("""COMPUTED_VALUE"""),9100)</f>
        <v>9100</v>
      </c>
      <c r="R288" s="170">
        <f ca="1">IFERROR(__xludf.DUMMYFUNCTION("""COMPUTED_VALUE"""),0)</f>
        <v>0</v>
      </c>
      <c r="S288" s="170">
        <f ca="1">IFERROR(__xludf.DUMMYFUNCTION("""COMPUTED_VALUE"""),0)</f>
        <v>0</v>
      </c>
      <c r="T288" s="170">
        <f ca="1">IFERROR(__xludf.DUMMYFUNCTION("""COMPUTED_VALUE"""),983.999999999999)</f>
        <v>983.99999999999898</v>
      </c>
      <c r="U288" s="170">
        <f ca="1"/>
        <v>15995.199999999997</v>
      </c>
    </row>
    <row r="289" spans="1:21" ht="12.75">
      <c r="A289" s="162" t="str">
        <f ca="1">IFERROR(__xludf.DUMMYFUNCTION("""COMPUTED_VALUE"""),"Palmas")</f>
        <v>Palmas</v>
      </c>
      <c r="B289" s="162" t="str">
        <f ca="1">IFERROR(__xludf.DUMMYFUNCTION("""COMPUTED_VALUE"""),"Palmas")</f>
        <v>Palmas</v>
      </c>
      <c r="C289" s="163" t="str">
        <f ca="1">IFERROR(__xludf.DUMMYFUNCTION("""COMPUTED_VALUE"""),"ASSOC APOIO ESC EST MARIA DOS REIS ALVES BARROS")</f>
        <v>ASSOC APOIO ESC EST MARIA DOS REIS ALVES BARROS</v>
      </c>
      <c r="D289" s="164" t="str">
        <f ca="1">IFERROR(__xludf.DUMMYFUNCTION("""COMPUTED_VALUE"""),"08641263000191")</f>
        <v>08641263000191</v>
      </c>
      <c r="E289" s="165" t="str">
        <f ca="1">IFERROR(__xludf.DUMMYFUNCTION("""COMPUTED_VALUE"""),"001")</f>
        <v>001</v>
      </c>
      <c r="F289" s="165" t="str">
        <f ca="1">IFERROR(__xludf.DUMMYFUNCTION("""COMPUTED_VALUE"""),"1505")</f>
        <v>1505</v>
      </c>
      <c r="G289" s="165" t="str">
        <f ca="1">IFERROR(__xludf.DUMMYFUNCTION("""COMPUTED_VALUE"""),"413666")</f>
        <v>413666</v>
      </c>
      <c r="H289" s="165">
        <f ca="1">IFERROR(__xludf.DUMMYFUNCTION("""COMPUTED_VALUE"""),0)</f>
        <v>0</v>
      </c>
      <c r="I289" s="165">
        <f ca="1">IFERROR(__xludf.DUMMYFUNCTION("""COMPUTED_VALUE"""),0)</f>
        <v>0</v>
      </c>
      <c r="J289" s="165">
        <f ca="1">IFERROR(__xludf.DUMMYFUNCTION("""COMPUTED_VALUE"""),20740)</f>
        <v>20740</v>
      </c>
      <c r="K289" s="165">
        <f ca="1">IFERROR(__xludf.DUMMYFUNCTION("""COMPUTED_VALUE"""),0)</f>
        <v>0</v>
      </c>
      <c r="L289" s="165">
        <f ca="1">IFERROR(__xludf.DUMMYFUNCTION("""COMPUTED_VALUE"""),0)</f>
        <v>0</v>
      </c>
      <c r="M289" s="165">
        <f ca="1">IFERROR(__xludf.DUMMYFUNCTION("""COMPUTED_VALUE"""),0)</f>
        <v>0</v>
      </c>
      <c r="N289" s="165">
        <f ca="1">IFERROR(__xludf.DUMMYFUNCTION("""COMPUTED_VALUE"""),0)</f>
        <v>0</v>
      </c>
      <c r="O289" s="165">
        <f ca="1">IFERROR(__xludf.DUMMYFUNCTION("""COMPUTED_VALUE"""),0)</f>
        <v>0</v>
      </c>
      <c r="P289" s="165">
        <f ca="1">IFERROR(__xludf.DUMMYFUNCTION("""COMPUTED_VALUE"""),1360)</f>
        <v>1360</v>
      </c>
      <c r="Q289" s="165">
        <f ca="1">IFERROR(__xludf.DUMMYFUNCTION("""COMPUTED_VALUE"""),11700)</f>
        <v>11700</v>
      </c>
      <c r="R289" s="165">
        <f ca="1">IFERROR(__xludf.DUMMYFUNCTION("""COMPUTED_VALUE"""),0)</f>
        <v>0</v>
      </c>
      <c r="S289" s="165">
        <f ca="1">IFERROR(__xludf.DUMMYFUNCTION("""COMPUTED_VALUE"""),0)</f>
        <v>0</v>
      </c>
      <c r="T289" s="165">
        <f ca="1">IFERROR(__xludf.DUMMYFUNCTION("""COMPUTED_VALUE"""),1574.39999999999)</f>
        <v>1574.3999999999901</v>
      </c>
      <c r="U289" s="165">
        <f ca="1"/>
        <v>35374.399999999987</v>
      </c>
    </row>
    <row r="290" spans="1:21" ht="12.75">
      <c r="A290" s="167" t="str">
        <f ca="1">IFERROR(__xludf.DUMMYFUNCTION("""COMPUTED_VALUE"""),"Palmas")</f>
        <v>Palmas</v>
      </c>
      <c r="B290" s="167" t="str">
        <f ca="1">IFERROR(__xludf.DUMMYFUNCTION("""COMPUTED_VALUE"""),"Palmas")</f>
        <v>Palmas</v>
      </c>
      <c r="C290" s="168" t="str">
        <f ca="1">IFERROR(__xludf.DUMMYFUNCTION("""COMPUTED_VALUE"""),"A.COM. DA ESC. EST. NOVO HORIZONTE")</f>
        <v>A.COM. DA ESC. EST. NOVO HORIZONTE</v>
      </c>
      <c r="D290" s="169" t="str">
        <f ca="1">IFERROR(__xludf.DUMMYFUNCTION("""COMPUTED_VALUE"""),"01221539000133")</f>
        <v>01221539000133</v>
      </c>
      <c r="E290" s="170" t="str">
        <f ca="1">IFERROR(__xludf.DUMMYFUNCTION("""COMPUTED_VALUE"""),"001")</f>
        <v>001</v>
      </c>
      <c r="F290" s="170" t="str">
        <f ca="1">IFERROR(__xludf.DUMMYFUNCTION("""COMPUTED_VALUE"""),"1505")</f>
        <v>1505</v>
      </c>
      <c r="G290" s="170" t="str">
        <f ca="1">IFERROR(__xludf.DUMMYFUNCTION("""COMPUTED_VALUE"""),"351687")</f>
        <v>351687</v>
      </c>
      <c r="H290" s="170">
        <f ca="1">IFERROR(__xludf.DUMMYFUNCTION("""COMPUTED_VALUE"""),0)</f>
        <v>0</v>
      </c>
      <c r="I290" s="170">
        <f ca="1">IFERROR(__xludf.DUMMYFUNCTION("""COMPUTED_VALUE"""),0)</f>
        <v>0</v>
      </c>
      <c r="J290" s="170">
        <f ca="1">IFERROR(__xludf.DUMMYFUNCTION("""COMPUTED_VALUE"""),6360)</f>
        <v>6360</v>
      </c>
      <c r="K290" s="170">
        <f ca="1">IFERROR(__xludf.DUMMYFUNCTION("""COMPUTED_VALUE"""),0)</f>
        <v>0</v>
      </c>
      <c r="L290" s="170">
        <f ca="1">IFERROR(__xludf.DUMMYFUNCTION("""COMPUTED_VALUE"""),0)</f>
        <v>0</v>
      </c>
      <c r="M290" s="170">
        <f ca="1">IFERROR(__xludf.DUMMYFUNCTION("""COMPUTED_VALUE"""),0)</f>
        <v>0</v>
      </c>
      <c r="N290" s="170">
        <f ca="1">IFERROR(__xludf.DUMMYFUNCTION("""COMPUTED_VALUE"""),0)</f>
        <v>0</v>
      </c>
      <c r="O290" s="170">
        <f ca="1">IFERROR(__xludf.DUMMYFUNCTION("""COMPUTED_VALUE"""),0)</f>
        <v>0</v>
      </c>
      <c r="P290" s="170">
        <f ca="1">IFERROR(__xludf.DUMMYFUNCTION("""COMPUTED_VALUE"""),870.4)</f>
        <v>870.4</v>
      </c>
      <c r="Q290" s="170">
        <f ca="1">IFERROR(__xludf.DUMMYFUNCTION("""COMPUTED_VALUE"""),7840)</f>
        <v>7840</v>
      </c>
      <c r="R290" s="170">
        <f ca="1">IFERROR(__xludf.DUMMYFUNCTION("""COMPUTED_VALUE"""),0)</f>
        <v>0</v>
      </c>
      <c r="S290" s="170">
        <f ca="1">IFERROR(__xludf.DUMMYFUNCTION("""COMPUTED_VALUE"""),0)</f>
        <v>0</v>
      </c>
      <c r="T290" s="170">
        <f ca="1">IFERROR(__xludf.DUMMYFUNCTION("""COMPUTED_VALUE"""),295.2)</f>
        <v>295.2</v>
      </c>
      <c r="U290" s="170">
        <f ca="1"/>
        <v>15365.6</v>
      </c>
    </row>
    <row r="291" spans="1:21" ht="12.75">
      <c r="A291" s="162" t="str">
        <f ca="1">IFERROR(__xludf.DUMMYFUNCTION("""COMPUTED_VALUE"""),"Palmas")</f>
        <v>Palmas</v>
      </c>
      <c r="B291" s="162" t="str">
        <f ca="1">IFERROR(__xludf.DUMMYFUNCTION("""COMPUTED_VALUE"""),"Palmas")</f>
        <v>Palmas</v>
      </c>
      <c r="C291" s="163" t="str">
        <f ca="1">IFERROR(__xludf.DUMMYFUNCTION("""COMPUTED_VALUE"""),"ASSOC.COMUNIDADE ESC. ESTADUAL RURAL ENTRE RIOS")</f>
        <v>ASSOC.COMUNIDADE ESC. ESTADUAL RURAL ENTRE RIOS</v>
      </c>
      <c r="D291" s="164" t="str">
        <f ca="1">IFERROR(__xludf.DUMMYFUNCTION("""COMPUTED_VALUE"""),"11257180000108")</f>
        <v>11257180000108</v>
      </c>
      <c r="E291" s="165" t="str">
        <f ca="1">IFERROR(__xludf.DUMMYFUNCTION("""COMPUTED_VALUE"""),"001")</f>
        <v>001</v>
      </c>
      <c r="F291" s="165" t="str">
        <f ca="1">IFERROR(__xludf.DUMMYFUNCTION("""COMPUTED_VALUE"""),"1886")</f>
        <v>1886</v>
      </c>
      <c r="G291" s="165" t="str">
        <f ca="1">IFERROR(__xludf.DUMMYFUNCTION("""COMPUTED_VALUE"""),"1464884")</f>
        <v>1464884</v>
      </c>
      <c r="H291" s="165">
        <f ca="1">IFERROR(__xludf.DUMMYFUNCTION("""COMPUTED_VALUE"""),0)</f>
        <v>0</v>
      </c>
      <c r="I291" s="165">
        <f ca="1">IFERROR(__xludf.DUMMYFUNCTION("""COMPUTED_VALUE"""),0)</f>
        <v>0</v>
      </c>
      <c r="J291" s="165">
        <f ca="1">IFERROR(__xludf.DUMMYFUNCTION("""COMPUTED_VALUE"""),0)</f>
        <v>0</v>
      </c>
      <c r="K291" s="165">
        <f ca="1">IFERROR(__xludf.DUMMYFUNCTION("""COMPUTED_VALUE"""),959)</f>
        <v>959</v>
      </c>
      <c r="L291" s="165">
        <f ca="1">IFERROR(__xludf.DUMMYFUNCTION("""COMPUTED_VALUE"""),0)</f>
        <v>0</v>
      </c>
      <c r="M291" s="165">
        <f ca="1">IFERROR(__xludf.DUMMYFUNCTION("""COMPUTED_VALUE"""),0)</f>
        <v>0</v>
      </c>
      <c r="N291" s="165">
        <f ca="1">IFERROR(__xludf.DUMMYFUNCTION("""COMPUTED_VALUE"""),0)</f>
        <v>0</v>
      </c>
      <c r="O291" s="165">
        <f ca="1">IFERROR(__xludf.DUMMYFUNCTION("""COMPUTED_VALUE"""),0)</f>
        <v>0</v>
      </c>
      <c r="P291" s="165">
        <f ca="1">IFERROR(__xludf.DUMMYFUNCTION("""COMPUTED_VALUE"""),0)</f>
        <v>0</v>
      </c>
      <c r="Q291" s="165">
        <f ca="1">IFERROR(__xludf.DUMMYFUNCTION("""COMPUTED_VALUE"""),0)</f>
        <v>0</v>
      </c>
      <c r="R291" s="165">
        <f ca="1">IFERROR(__xludf.DUMMYFUNCTION("""COMPUTED_VALUE"""),0)</f>
        <v>0</v>
      </c>
      <c r="S291" s="165">
        <f ca="1">IFERROR(__xludf.DUMMYFUNCTION("""COMPUTED_VALUE"""),0)</f>
        <v>0</v>
      </c>
      <c r="T291" s="165">
        <f ca="1">IFERROR(__xludf.DUMMYFUNCTION("""COMPUTED_VALUE"""),0)</f>
        <v>0</v>
      </c>
      <c r="U291" s="165">
        <f ca="1"/>
        <v>959</v>
      </c>
    </row>
    <row r="292" spans="1:21" ht="12.75">
      <c r="A292" s="167" t="str">
        <f ca="1">IFERROR(__xludf.DUMMYFUNCTION("""COMPUTED_VALUE"""),"Palmas")</f>
        <v>Palmas</v>
      </c>
      <c r="B292" s="167" t="str">
        <f ca="1">IFERROR(__xludf.DUMMYFUNCTION("""COMPUTED_VALUE"""),"Palmas")</f>
        <v>Palmas</v>
      </c>
      <c r="C292" s="168" t="str">
        <f ca="1">IFERROR(__xludf.DUMMYFUNCTION("""COMPUTED_VALUE"""),"A.A. DA COM. ESCOLAR - ESC. EST. SANTA FE")</f>
        <v>A.A. DA COM. ESCOLAR - ESC. EST. SANTA FE</v>
      </c>
      <c r="D292" s="169" t="str">
        <f ca="1">IFERROR(__xludf.DUMMYFUNCTION("""COMPUTED_VALUE"""),"01932049000145")</f>
        <v>01932049000145</v>
      </c>
      <c r="E292" s="170" t="str">
        <f ca="1">IFERROR(__xludf.DUMMYFUNCTION("""COMPUTED_VALUE"""),"001")</f>
        <v>001</v>
      </c>
      <c r="F292" s="170" t="str">
        <f ca="1">IFERROR(__xludf.DUMMYFUNCTION("""COMPUTED_VALUE"""),"2781")</f>
        <v>2781</v>
      </c>
      <c r="G292" s="170" t="str">
        <f ca="1">IFERROR(__xludf.DUMMYFUNCTION("""COMPUTED_VALUE"""),"261904")</f>
        <v>261904</v>
      </c>
      <c r="H292" s="170">
        <f ca="1">IFERROR(__xludf.DUMMYFUNCTION("""COMPUTED_VALUE"""),0)</f>
        <v>0</v>
      </c>
      <c r="I292" s="170">
        <f ca="1">IFERROR(__xludf.DUMMYFUNCTION("""COMPUTED_VALUE"""),0)</f>
        <v>0</v>
      </c>
      <c r="J292" s="170">
        <f ca="1">IFERROR(__xludf.DUMMYFUNCTION("""COMPUTED_VALUE"""),290)</f>
        <v>290</v>
      </c>
      <c r="K292" s="170">
        <f ca="1">IFERROR(__xludf.DUMMYFUNCTION("""COMPUTED_VALUE"""),0)</f>
        <v>0</v>
      </c>
      <c r="L292" s="170">
        <f ca="1">IFERROR(__xludf.DUMMYFUNCTION("""COMPUTED_VALUE"""),0)</f>
        <v>0</v>
      </c>
      <c r="M292" s="170">
        <f ca="1">IFERROR(__xludf.DUMMYFUNCTION("""COMPUTED_VALUE"""),0)</f>
        <v>0</v>
      </c>
      <c r="N292" s="170">
        <f ca="1">IFERROR(__xludf.DUMMYFUNCTION("""COMPUTED_VALUE"""),0)</f>
        <v>0</v>
      </c>
      <c r="O292" s="170">
        <f ca="1">IFERROR(__xludf.DUMMYFUNCTION("""COMPUTED_VALUE"""),0)</f>
        <v>0</v>
      </c>
      <c r="P292" s="170">
        <f ca="1">IFERROR(__xludf.DUMMYFUNCTION("""COMPUTED_VALUE"""),0)</f>
        <v>0</v>
      </c>
      <c r="Q292" s="170">
        <f ca="1">IFERROR(__xludf.DUMMYFUNCTION("""COMPUTED_VALUE"""),1820)</f>
        <v>1820</v>
      </c>
      <c r="R292" s="170">
        <f ca="1">IFERROR(__xludf.DUMMYFUNCTION("""COMPUTED_VALUE"""),0)</f>
        <v>0</v>
      </c>
      <c r="S292" s="170">
        <f ca="1">IFERROR(__xludf.DUMMYFUNCTION("""COMPUTED_VALUE"""),0)</f>
        <v>0</v>
      </c>
      <c r="T292" s="170">
        <f ca="1">IFERROR(__xludf.DUMMYFUNCTION("""COMPUTED_VALUE"""),0)</f>
        <v>0</v>
      </c>
      <c r="U292" s="170">
        <f ca="1"/>
        <v>2110</v>
      </c>
    </row>
    <row r="293" spans="1:21" ht="12.75">
      <c r="A293" s="162" t="str">
        <f ca="1">IFERROR(__xludf.DUMMYFUNCTION("""COMPUTED_VALUE"""),"Palmas")</f>
        <v>Palmas</v>
      </c>
      <c r="B293" s="162" t="str">
        <f ca="1">IFERROR(__xludf.DUMMYFUNCTION("""COMPUTED_VALUE"""),"Palmas")</f>
        <v>Palmas</v>
      </c>
      <c r="C293" s="163" t="str">
        <f ca="1">IFERROR(__xludf.DUMMYFUNCTION("""COMPUTED_VALUE"""),"A.COMUN.ESCOLA-DA ESC. EST. SETOR SUL")</f>
        <v>A.COMUN.ESCOLA-DA ESC. EST. SETOR SUL</v>
      </c>
      <c r="D293" s="164" t="str">
        <f ca="1">IFERROR(__xludf.DUMMYFUNCTION("""COMPUTED_VALUE"""),"01926545000196")</f>
        <v>01926545000196</v>
      </c>
      <c r="E293" s="165" t="str">
        <f ca="1">IFERROR(__xludf.DUMMYFUNCTION("""COMPUTED_VALUE"""),"001")</f>
        <v>001</v>
      </c>
      <c r="F293" s="165" t="str">
        <f ca="1">IFERROR(__xludf.DUMMYFUNCTION("""COMPUTED_VALUE"""),"1505")</f>
        <v>1505</v>
      </c>
      <c r="G293" s="165" t="str">
        <f ca="1">IFERROR(__xludf.DUMMYFUNCTION("""COMPUTED_VALUE"""),"258105")</f>
        <v>258105</v>
      </c>
      <c r="H293" s="165">
        <f ca="1">IFERROR(__xludf.DUMMYFUNCTION("""COMPUTED_VALUE"""),0)</f>
        <v>0</v>
      </c>
      <c r="I293" s="165">
        <f ca="1">IFERROR(__xludf.DUMMYFUNCTION("""COMPUTED_VALUE"""),0)</f>
        <v>0</v>
      </c>
      <c r="J293" s="165">
        <f ca="1">IFERROR(__xludf.DUMMYFUNCTION("""COMPUTED_VALUE"""),2580)</f>
        <v>2580</v>
      </c>
      <c r="K293" s="165">
        <f ca="1">IFERROR(__xludf.DUMMYFUNCTION("""COMPUTED_VALUE"""),0)</f>
        <v>0</v>
      </c>
      <c r="L293" s="165">
        <f ca="1">IFERROR(__xludf.DUMMYFUNCTION("""COMPUTED_VALUE"""),0)</f>
        <v>0</v>
      </c>
      <c r="M293" s="165">
        <f ca="1">IFERROR(__xludf.DUMMYFUNCTION("""COMPUTED_VALUE"""),0)</f>
        <v>0</v>
      </c>
      <c r="N293" s="165">
        <f ca="1">IFERROR(__xludf.DUMMYFUNCTION("""COMPUTED_VALUE"""),0)</f>
        <v>0</v>
      </c>
      <c r="O293" s="165">
        <f ca="1">IFERROR(__xludf.DUMMYFUNCTION("""COMPUTED_VALUE"""),0)</f>
        <v>0</v>
      </c>
      <c r="P293" s="165">
        <f ca="1">IFERROR(__xludf.DUMMYFUNCTION("""COMPUTED_VALUE"""),163.2)</f>
        <v>163.19999999999999</v>
      </c>
      <c r="Q293" s="165">
        <f ca="1">IFERROR(__xludf.DUMMYFUNCTION("""COMPUTED_VALUE"""),2910)</f>
        <v>2910</v>
      </c>
      <c r="R293" s="165">
        <f ca="1">IFERROR(__xludf.DUMMYFUNCTION("""COMPUTED_VALUE"""),0)</f>
        <v>0</v>
      </c>
      <c r="S293" s="165">
        <f ca="1">IFERROR(__xludf.DUMMYFUNCTION("""COMPUTED_VALUE"""),0)</f>
        <v>0</v>
      </c>
      <c r="T293" s="165">
        <f ca="1">IFERROR(__xludf.DUMMYFUNCTION("""COMPUTED_VALUE"""),73.8)</f>
        <v>73.8</v>
      </c>
      <c r="U293" s="165">
        <f ca="1"/>
        <v>5727</v>
      </c>
    </row>
    <row r="294" spans="1:21" ht="12.75">
      <c r="A294" s="167" t="str">
        <f ca="1">IFERROR(__xludf.DUMMYFUNCTION("""COMPUTED_VALUE"""),"Palmas")</f>
        <v>Palmas</v>
      </c>
      <c r="B294" s="167" t="str">
        <f ca="1">IFERROR(__xludf.DUMMYFUNCTION("""COMPUTED_VALUE"""),"Palmas")</f>
        <v>Palmas</v>
      </c>
      <c r="C294" s="168" t="str">
        <f ca="1">IFERROR(__xludf.DUMMYFUNCTION("""COMPUTED_VALUE"""),"A.COMUNIDADE ESCOLA/E. EST. VALE DO SOL")</f>
        <v>A.COMUNIDADE ESCOLA/E. EST. VALE DO SOL</v>
      </c>
      <c r="D294" s="169" t="str">
        <f ca="1">IFERROR(__xludf.DUMMYFUNCTION("""COMPUTED_VALUE"""),"01873442000105")</f>
        <v>01873442000105</v>
      </c>
      <c r="E294" s="170" t="str">
        <f ca="1">IFERROR(__xludf.DUMMYFUNCTION("""COMPUTED_VALUE"""),"001")</f>
        <v>001</v>
      </c>
      <c r="F294" s="170" t="str">
        <f ca="1">IFERROR(__xludf.DUMMYFUNCTION("""COMPUTED_VALUE"""),"1505")</f>
        <v>1505</v>
      </c>
      <c r="G294" s="170" t="str">
        <f ca="1">IFERROR(__xludf.DUMMYFUNCTION("""COMPUTED_VALUE"""),"256404")</f>
        <v>256404</v>
      </c>
      <c r="H294" s="170">
        <f ca="1">IFERROR(__xludf.DUMMYFUNCTION("""COMPUTED_VALUE"""),0)</f>
        <v>0</v>
      </c>
      <c r="I294" s="170">
        <f ca="1">IFERROR(__xludf.DUMMYFUNCTION("""COMPUTED_VALUE"""),0)</f>
        <v>0</v>
      </c>
      <c r="J294" s="170">
        <f ca="1">IFERROR(__xludf.DUMMYFUNCTION("""COMPUTED_VALUE"""),1540)</f>
        <v>1540</v>
      </c>
      <c r="K294" s="170">
        <f ca="1">IFERROR(__xludf.DUMMYFUNCTION("""COMPUTED_VALUE"""),0)</f>
        <v>0</v>
      </c>
      <c r="L294" s="170">
        <f ca="1">IFERROR(__xludf.DUMMYFUNCTION("""COMPUTED_VALUE"""),0)</f>
        <v>0</v>
      </c>
      <c r="M294" s="170">
        <f ca="1">IFERROR(__xludf.DUMMYFUNCTION("""COMPUTED_VALUE"""),0)</f>
        <v>0</v>
      </c>
      <c r="N294" s="170">
        <f ca="1">IFERROR(__xludf.DUMMYFUNCTION("""COMPUTED_VALUE"""),0)</f>
        <v>0</v>
      </c>
      <c r="O294" s="170">
        <f ca="1">IFERROR(__xludf.DUMMYFUNCTION("""COMPUTED_VALUE"""),0)</f>
        <v>0</v>
      </c>
      <c r="P294" s="170">
        <f ca="1">IFERROR(__xludf.DUMMYFUNCTION("""COMPUTED_VALUE"""),136)</f>
        <v>136</v>
      </c>
      <c r="Q294" s="170">
        <f ca="1">IFERROR(__xludf.DUMMYFUNCTION("""COMPUTED_VALUE"""),3410)</f>
        <v>3410</v>
      </c>
      <c r="R294" s="170">
        <f ca="1">IFERROR(__xludf.DUMMYFUNCTION("""COMPUTED_VALUE"""),0)</f>
        <v>0</v>
      </c>
      <c r="S294" s="170">
        <f ca="1">IFERROR(__xludf.DUMMYFUNCTION("""COMPUTED_VALUE"""),0)</f>
        <v>0</v>
      </c>
      <c r="T294" s="170">
        <f ca="1">IFERROR(__xludf.DUMMYFUNCTION("""COMPUTED_VALUE"""),0)</f>
        <v>0</v>
      </c>
      <c r="U294" s="170">
        <f ca="1"/>
        <v>5086</v>
      </c>
    </row>
    <row r="295" spans="1:21" ht="12.75">
      <c r="A295" s="162" t="str">
        <f ca="1">IFERROR(__xludf.DUMMYFUNCTION("""COMPUTED_VALUE"""),"Palmas")</f>
        <v>Palmas</v>
      </c>
      <c r="B295" s="162" t="str">
        <f ca="1">IFERROR(__xludf.DUMMYFUNCTION("""COMPUTED_VALUE"""),"Palmas")</f>
        <v>Palmas</v>
      </c>
      <c r="C295" s="163" t="str">
        <f ca="1">IFERROR(__xludf.DUMMYFUNCTION("""COMPUTED_VALUE"""),"A.P.M.DA ESC. EST. DE I GRAU VILA UNIAO")</f>
        <v>A.P.M.DA ESC. EST. DE I GRAU VILA UNIAO</v>
      </c>
      <c r="D295" s="164" t="str">
        <f ca="1">IFERROR(__xludf.DUMMYFUNCTION("""COMPUTED_VALUE"""),"01926551000143")</f>
        <v>01926551000143</v>
      </c>
      <c r="E295" s="165" t="str">
        <f ca="1">IFERROR(__xludf.DUMMYFUNCTION("""COMPUTED_VALUE"""),"001")</f>
        <v>001</v>
      </c>
      <c r="F295" s="165" t="str">
        <f ca="1">IFERROR(__xludf.DUMMYFUNCTION("""COMPUTED_VALUE"""),"1505")</f>
        <v>1505</v>
      </c>
      <c r="G295" s="165" t="str">
        <f ca="1">IFERROR(__xludf.DUMMYFUNCTION("""COMPUTED_VALUE"""),"255734")</f>
        <v>255734</v>
      </c>
      <c r="H295" s="165">
        <f ca="1">IFERROR(__xludf.DUMMYFUNCTION("""COMPUTED_VALUE"""),0)</f>
        <v>0</v>
      </c>
      <c r="I295" s="165">
        <f ca="1">IFERROR(__xludf.DUMMYFUNCTION("""COMPUTED_VALUE"""),0)</f>
        <v>0</v>
      </c>
      <c r="J295" s="165">
        <f ca="1">IFERROR(__xludf.DUMMYFUNCTION("""COMPUTED_VALUE"""),3290)</f>
        <v>3290</v>
      </c>
      <c r="K295" s="165">
        <f ca="1">IFERROR(__xludf.DUMMYFUNCTION("""COMPUTED_VALUE"""),0)</f>
        <v>0</v>
      </c>
      <c r="L295" s="165">
        <f ca="1">IFERROR(__xludf.DUMMYFUNCTION("""COMPUTED_VALUE"""),0)</f>
        <v>0</v>
      </c>
      <c r="M295" s="165">
        <f ca="1">IFERROR(__xludf.DUMMYFUNCTION("""COMPUTED_VALUE"""),0)</f>
        <v>0</v>
      </c>
      <c r="N295" s="165">
        <f ca="1">IFERROR(__xludf.DUMMYFUNCTION("""COMPUTED_VALUE"""),0)</f>
        <v>0</v>
      </c>
      <c r="O295" s="165">
        <f ca="1">IFERROR(__xludf.DUMMYFUNCTION("""COMPUTED_VALUE"""),0)</f>
        <v>0</v>
      </c>
      <c r="P295" s="165">
        <f ca="1">IFERROR(__xludf.DUMMYFUNCTION("""COMPUTED_VALUE"""),258.4)</f>
        <v>258.39999999999998</v>
      </c>
      <c r="Q295" s="165">
        <f ca="1">IFERROR(__xludf.DUMMYFUNCTION("""COMPUTED_VALUE"""),1530)</f>
        <v>1530</v>
      </c>
      <c r="R295" s="165">
        <f ca="1">IFERROR(__xludf.DUMMYFUNCTION("""COMPUTED_VALUE"""),0)</f>
        <v>0</v>
      </c>
      <c r="S295" s="165">
        <f ca="1">IFERROR(__xludf.DUMMYFUNCTION("""COMPUTED_VALUE"""),0)</f>
        <v>0</v>
      </c>
      <c r="T295" s="165">
        <f ca="1">IFERROR(__xludf.DUMMYFUNCTION("""COMPUTED_VALUE"""),0)</f>
        <v>0</v>
      </c>
      <c r="U295" s="165">
        <f ca="1"/>
        <v>5078.3999999999996</v>
      </c>
    </row>
    <row r="296" spans="1:21" ht="12.75">
      <c r="A296" s="167" t="str">
        <f ca="1">IFERROR(__xludf.DUMMYFUNCTION("""COMPUTED_VALUE"""),"Palmas")</f>
        <v>Palmas</v>
      </c>
      <c r="B296" s="167" t="str">
        <f ca="1">IFERROR(__xludf.DUMMYFUNCTION("""COMPUTED_VALUE"""),"Palmas")</f>
        <v>Palmas</v>
      </c>
      <c r="C296" s="168" t="str">
        <f ca="1">IFERROR(__xludf.DUMMYFUNCTION("""COMPUTED_VALUE"""),"AÇÃO SOCIAL JESUS DE NAZARÉ/ESC JOÃO PAULO II")</f>
        <v>AÇÃO SOCIAL JESUS DE NAZARÉ/ESC JOÃO PAULO II</v>
      </c>
      <c r="D296" s="169" t="str">
        <f ca="1">IFERROR(__xludf.DUMMYFUNCTION("""COMPUTED_VALUE"""),"03005522000174")</f>
        <v>03005522000174</v>
      </c>
      <c r="E296" s="170" t="str">
        <f ca="1">IFERROR(__xludf.DUMMYFUNCTION("""COMPUTED_VALUE"""),"001")</f>
        <v>001</v>
      </c>
      <c r="F296" s="170" t="str">
        <f ca="1">IFERROR(__xludf.DUMMYFUNCTION("""COMPUTED_VALUE"""),"1505")</f>
        <v>1505</v>
      </c>
      <c r="G296" s="170" t="str">
        <f ca="1">IFERROR(__xludf.DUMMYFUNCTION("""COMPUTED_VALUE"""),"423475")</f>
        <v>423475</v>
      </c>
      <c r="H296" s="170">
        <f ca="1">IFERROR(__xludf.DUMMYFUNCTION("""COMPUTED_VALUE"""),0)</f>
        <v>0</v>
      </c>
      <c r="I296" s="170">
        <f ca="1">IFERROR(__xludf.DUMMYFUNCTION("""COMPUTED_VALUE"""),0)</f>
        <v>0</v>
      </c>
      <c r="J296" s="170">
        <f ca="1">IFERROR(__xludf.DUMMYFUNCTION("""COMPUTED_VALUE"""),1220)</f>
        <v>1220</v>
      </c>
      <c r="K296" s="170">
        <f ca="1">IFERROR(__xludf.DUMMYFUNCTION("""COMPUTED_VALUE"""),0)</f>
        <v>0</v>
      </c>
      <c r="L296" s="170">
        <f ca="1">IFERROR(__xludf.DUMMYFUNCTION("""COMPUTED_VALUE"""),0)</f>
        <v>0</v>
      </c>
      <c r="M296" s="170">
        <f ca="1">IFERROR(__xludf.DUMMYFUNCTION("""COMPUTED_VALUE"""),0)</f>
        <v>0</v>
      </c>
      <c r="N296" s="170">
        <f ca="1">IFERROR(__xludf.DUMMYFUNCTION("""COMPUTED_VALUE"""),0)</f>
        <v>0</v>
      </c>
      <c r="O296" s="170">
        <f ca="1">IFERROR(__xludf.DUMMYFUNCTION("""COMPUTED_VALUE"""),0)</f>
        <v>0</v>
      </c>
      <c r="P296" s="170">
        <f ca="1">IFERROR(__xludf.DUMMYFUNCTION("""COMPUTED_VALUE"""),0)</f>
        <v>0</v>
      </c>
      <c r="Q296" s="170">
        <f ca="1">IFERROR(__xludf.DUMMYFUNCTION("""COMPUTED_VALUE"""),0)</f>
        <v>0</v>
      </c>
      <c r="R296" s="170">
        <f ca="1">IFERROR(__xludf.DUMMYFUNCTION("""COMPUTED_VALUE"""),0)</f>
        <v>0</v>
      </c>
      <c r="S296" s="170">
        <f ca="1">IFERROR(__xludf.DUMMYFUNCTION("""COMPUTED_VALUE"""),0)</f>
        <v>0</v>
      </c>
      <c r="T296" s="170">
        <f ca="1">IFERROR(__xludf.DUMMYFUNCTION("""COMPUTED_VALUE"""),0)</f>
        <v>0</v>
      </c>
      <c r="U296" s="170">
        <f ca="1"/>
        <v>1220</v>
      </c>
    </row>
    <row r="297" spans="1:21" ht="12.75">
      <c r="A297" s="162" t="str">
        <f ca="1">IFERROR(__xludf.DUMMYFUNCTION("""COMPUTED_VALUE"""),"Palmas")</f>
        <v>Palmas</v>
      </c>
      <c r="B297" s="162" t="str">
        <f ca="1">IFERROR(__xludf.DUMMYFUNCTION("""COMPUTED_VALUE"""),"Palmas")</f>
        <v>Palmas</v>
      </c>
      <c r="C297" s="163" t="str">
        <f ca="1">IFERROR(__xludf.DUMMYFUNCTION("""COMPUTED_VALUE"""),"A.A. DO INST.PRESB.EDUC.SOC.REV.ROBERT CA")</f>
        <v>A.A. DO INST.PRESB.EDUC.SOC.REV.ROBERT CA</v>
      </c>
      <c r="D297" s="164" t="str">
        <f ca="1">IFERROR(__xludf.DUMMYFUNCTION("""COMPUTED_VALUE"""),"05470057000178")</f>
        <v>05470057000178</v>
      </c>
      <c r="E297" s="165" t="str">
        <f ca="1">IFERROR(__xludf.DUMMYFUNCTION("""COMPUTED_VALUE"""),"001")</f>
        <v>001</v>
      </c>
      <c r="F297" s="165" t="str">
        <f ca="1">IFERROR(__xludf.DUMMYFUNCTION("""COMPUTED_VALUE"""),"1505")</f>
        <v>1505</v>
      </c>
      <c r="G297" s="165" t="str">
        <f ca="1">IFERROR(__xludf.DUMMYFUNCTION("""COMPUTED_VALUE"""),"45110X")</f>
        <v>45110X</v>
      </c>
      <c r="H297" s="165">
        <f ca="1">IFERROR(__xludf.DUMMYFUNCTION("""COMPUTED_VALUE"""),0)</f>
        <v>0</v>
      </c>
      <c r="I297" s="165">
        <f ca="1">IFERROR(__xludf.DUMMYFUNCTION("""COMPUTED_VALUE"""),0)</f>
        <v>0</v>
      </c>
      <c r="J297" s="165">
        <f ca="1">IFERROR(__xludf.DUMMYFUNCTION("""COMPUTED_VALUE"""),4690)</f>
        <v>4690</v>
      </c>
      <c r="K297" s="165">
        <f ca="1">IFERROR(__xludf.DUMMYFUNCTION("""COMPUTED_VALUE"""),0)</f>
        <v>0</v>
      </c>
      <c r="L297" s="165">
        <f ca="1">IFERROR(__xludf.DUMMYFUNCTION("""COMPUTED_VALUE"""),0)</f>
        <v>0</v>
      </c>
      <c r="M297" s="165">
        <f ca="1">IFERROR(__xludf.DUMMYFUNCTION("""COMPUTED_VALUE"""),0)</f>
        <v>0</v>
      </c>
      <c r="N297" s="165">
        <f ca="1">IFERROR(__xludf.DUMMYFUNCTION("""COMPUTED_VALUE"""),0)</f>
        <v>0</v>
      </c>
      <c r="O297" s="165">
        <f ca="1">IFERROR(__xludf.DUMMYFUNCTION("""COMPUTED_VALUE"""),0)</f>
        <v>0</v>
      </c>
      <c r="P297" s="165">
        <f ca="1">IFERROR(__xludf.DUMMYFUNCTION("""COMPUTED_VALUE"""),0)</f>
        <v>0</v>
      </c>
      <c r="Q297" s="165">
        <f ca="1">IFERROR(__xludf.DUMMYFUNCTION("""COMPUTED_VALUE"""),0)</f>
        <v>0</v>
      </c>
      <c r="R297" s="165">
        <f ca="1">IFERROR(__xludf.DUMMYFUNCTION("""COMPUTED_VALUE"""),0)</f>
        <v>0</v>
      </c>
      <c r="S297" s="165">
        <f ca="1">IFERROR(__xludf.DUMMYFUNCTION("""COMPUTED_VALUE"""),0)</f>
        <v>0</v>
      </c>
      <c r="T297" s="165">
        <f ca="1">IFERROR(__xludf.DUMMYFUNCTION("""COMPUTED_VALUE"""),0)</f>
        <v>0</v>
      </c>
      <c r="U297" s="165">
        <f ca="1"/>
        <v>4690</v>
      </c>
    </row>
    <row r="298" spans="1:21" ht="12.75">
      <c r="A298" s="167" t="str">
        <f ca="1">IFERROR(__xludf.DUMMYFUNCTION("""COMPUTED_VALUE"""),"Palmas")</f>
        <v>Palmas</v>
      </c>
      <c r="B298" s="167" t="str">
        <f ca="1">IFERROR(__xludf.DUMMYFUNCTION("""COMPUTED_VALUE"""),"Rio Sono")</f>
        <v>Rio Sono</v>
      </c>
      <c r="C298" s="168" t="str">
        <f ca="1">IFERROR(__xludf.DUMMYFUNCTION("""COMPUTED_VALUE"""),"A. DE PAIS E MESTRES DO COL. EST.RIO SONO")</f>
        <v>A. DE PAIS E MESTRES DO COL. EST.RIO SONO</v>
      </c>
      <c r="D298" s="169" t="str">
        <f ca="1">IFERROR(__xludf.DUMMYFUNCTION("""COMPUTED_VALUE"""),"01184376000166")</f>
        <v>01184376000166</v>
      </c>
      <c r="E298" s="170" t="str">
        <f ca="1">IFERROR(__xludf.DUMMYFUNCTION("""COMPUTED_VALUE"""),"001")</f>
        <v>001</v>
      </c>
      <c r="F298" s="170" t="str">
        <f ca="1">IFERROR(__xludf.DUMMYFUNCTION("""COMPUTED_VALUE"""),"1505")</f>
        <v>1505</v>
      </c>
      <c r="G298" s="170" t="str">
        <f ca="1">IFERROR(__xludf.DUMMYFUNCTION("""COMPUTED_VALUE"""),"530042")</f>
        <v>530042</v>
      </c>
      <c r="H298" s="170">
        <f ca="1">IFERROR(__xludf.DUMMYFUNCTION("""COMPUTED_VALUE"""),0)</f>
        <v>0</v>
      </c>
      <c r="I298" s="170">
        <f ca="1">IFERROR(__xludf.DUMMYFUNCTION("""COMPUTED_VALUE"""),0)</f>
        <v>0</v>
      </c>
      <c r="J298" s="170">
        <f ca="1">IFERROR(__xludf.DUMMYFUNCTION("""COMPUTED_VALUE"""),1820)</f>
        <v>1820</v>
      </c>
      <c r="K298" s="170">
        <f ca="1">IFERROR(__xludf.DUMMYFUNCTION("""COMPUTED_VALUE"""),0)</f>
        <v>0</v>
      </c>
      <c r="L298" s="170">
        <f ca="1">IFERROR(__xludf.DUMMYFUNCTION("""COMPUTED_VALUE"""),0)</f>
        <v>0</v>
      </c>
      <c r="M298" s="170">
        <f ca="1">IFERROR(__xludf.DUMMYFUNCTION("""COMPUTED_VALUE"""),0)</f>
        <v>0</v>
      </c>
      <c r="N298" s="170">
        <f ca="1">IFERROR(__xludf.DUMMYFUNCTION("""COMPUTED_VALUE"""),0)</f>
        <v>0</v>
      </c>
      <c r="O298" s="170">
        <f ca="1">IFERROR(__xludf.DUMMYFUNCTION("""COMPUTED_VALUE"""),0)</f>
        <v>0</v>
      </c>
      <c r="P298" s="170">
        <f ca="1">IFERROR(__xludf.DUMMYFUNCTION("""COMPUTED_VALUE"""),856.8)</f>
        <v>856.8</v>
      </c>
      <c r="Q298" s="170">
        <f ca="1">IFERROR(__xludf.DUMMYFUNCTION("""COMPUTED_VALUE"""),1810)</f>
        <v>1810</v>
      </c>
      <c r="R298" s="170">
        <f ca="1">IFERROR(__xludf.DUMMYFUNCTION("""COMPUTED_VALUE"""),0)</f>
        <v>0</v>
      </c>
      <c r="S298" s="170">
        <f ca="1">IFERROR(__xludf.DUMMYFUNCTION("""COMPUTED_VALUE"""),0)</f>
        <v>0</v>
      </c>
      <c r="T298" s="170">
        <f ca="1">IFERROR(__xludf.DUMMYFUNCTION("""COMPUTED_VALUE"""),0)</f>
        <v>0</v>
      </c>
      <c r="U298" s="170">
        <f ca="1"/>
        <v>4486.8</v>
      </c>
    </row>
    <row r="299" spans="1:21" ht="12.75">
      <c r="A299" s="162" t="str">
        <f ca="1">IFERROR(__xludf.DUMMYFUNCTION("""COMPUTED_VALUE"""),"Palmas")</f>
        <v>Palmas</v>
      </c>
      <c r="B299" s="162" t="str">
        <f ca="1">IFERROR(__xludf.DUMMYFUNCTION("""COMPUTED_VALUE"""),"Rio Sono")</f>
        <v>Rio Sono</v>
      </c>
      <c r="C299" s="163" t="str">
        <f ca="1">IFERROR(__xludf.DUMMYFUNCTION("""COMPUTED_VALUE"""),"A.A.  ESCOLA EST. IMACULADA CONCEICAO")</f>
        <v>A.A.  ESCOLA EST. IMACULADA CONCEICAO</v>
      </c>
      <c r="D299" s="164" t="str">
        <f ca="1">IFERROR(__xludf.DUMMYFUNCTION("""COMPUTED_VALUE"""),"01197175000101")</f>
        <v>01197175000101</v>
      </c>
      <c r="E299" s="165" t="str">
        <f ca="1">IFERROR(__xludf.DUMMYFUNCTION("""COMPUTED_VALUE"""),"001")</f>
        <v>001</v>
      </c>
      <c r="F299" s="165" t="str">
        <f ca="1">IFERROR(__xludf.DUMMYFUNCTION("""COMPUTED_VALUE"""),"0862")</f>
        <v>0862</v>
      </c>
      <c r="G299" s="165" t="str">
        <f ca="1">IFERROR(__xludf.DUMMYFUNCTION("""COMPUTED_VALUE"""),"161497")</f>
        <v>161497</v>
      </c>
      <c r="H299" s="165">
        <f ca="1">IFERROR(__xludf.DUMMYFUNCTION("""COMPUTED_VALUE"""),0)</f>
        <v>0</v>
      </c>
      <c r="I299" s="165">
        <f ca="1">IFERROR(__xludf.DUMMYFUNCTION("""COMPUTED_VALUE"""),0)</f>
        <v>0</v>
      </c>
      <c r="J299" s="165">
        <f ca="1">IFERROR(__xludf.DUMMYFUNCTION("""COMPUTED_VALUE"""),590)</f>
        <v>590</v>
      </c>
      <c r="K299" s="165">
        <f ca="1">IFERROR(__xludf.DUMMYFUNCTION("""COMPUTED_VALUE"""),0)</f>
        <v>0</v>
      </c>
      <c r="L299" s="165">
        <f ca="1">IFERROR(__xludf.DUMMYFUNCTION("""COMPUTED_VALUE"""),0)</f>
        <v>0</v>
      </c>
      <c r="M299" s="165">
        <f ca="1">IFERROR(__xludf.DUMMYFUNCTION("""COMPUTED_VALUE"""),0)</f>
        <v>0</v>
      </c>
      <c r="N299" s="165">
        <f ca="1">IFERROR(__xludf.DUMMYFUNCTION("""COMPUTED_VALUE"""),0)</f>
        <v>0</v>
      </c>
      <c r="O299" s="165">
        <f ca="1">IFERROR(__xludf.DUMMYFUNCTION("""COMPUTED_VALUE"""),0)</f>
        <v>0</v>
      </c>
      <c r="P299" s="165">
        <f ca="1">IFERROR(__xludf.DUMMYFUNCTION("""COMPUTED_VALUE"""),0)</f>
        <v>0</v>
      </c>
      <c r="Q299" s="165">
        <f ca="1">IFERROR(__xludf.DUMMYFUNCTION("""COMPUTED_VALUE"""),490)</f>
        <v>490</v>
      </c>
      <c r="R299" s="165">
        <f ca="1">IFERROR(__xludf.DUMMYFUNCTION("""COMPUTED_VALUE"""),0)</f>
        <v>0</v>
      </c>
      <c r="S299" s="165">
        <f ca="1">IFERROR(__xludf.DUMMYFUNCTION("""COMPUTED_VALUE"""),0)</f>
        <v>0</v>
      </c>
      <c r="T299" s="165">
        <f ca="1">IFERROR(__xludf.DUMMYFUNCTION("""COMPUTED_VALUE"""),0)</f>
        <v>0</v>
      </c>
      <c r="U299" s="165">
        <f ca="1"/>
        <v>1080</v>
      </c>
    </row>
    <row r="300" spans="1:21" ht="12.75">
      <c r="A300" s="167" t="str">
        <f ca="1">IFERROR(__xludf.DUMMYFUNCTION("""COMPUTED_VALUE"""),"Palmas")</f>
        <v>Palmas</v>
      </c>
      <c r="B300" s="167" t="str">
        <f ca="1">IFERROR(__xludf.DUMMYFUNCTION("""COMPUTED_VALUE"""),"Santa Tereza do Tocantins")</f>
        <v>Santa Tereza do Tocantins</v>
      </c>
      <c r="C300" s="168" t="str">
        <f ca="1">IFERROR(__xludf.DUMMYFUNCTION("""COMPUTED_VALUE"""),"A.A. C.EST. MANOEL S.DOURADO")</f>
        <v>A.A. C.EST. MANOEL S.DOURADO</v>
      </c>
      <c r="D300" s="169" t="str">
        <f ca="1">IFERROR(__xludf.DUMMYFUNCTION("""COMPUTED_VALUE"""),"01136013000155")</f>
        <v>01136013000155</v>
      </c>
      <c r="E300" s="170" t="str">
        <f ca="1">IFERROR(__xludf.DUMMYFUNCTION("""COMPUTED_VALUE"""),"001")</f>
        <v>001</v>
      </c>
      <c r="F300" s="170" t="str">
        <f ca="1">IFERROR(__xludf.DUMMYFUNCTION("""COMPUTED_VALUE"""),"1117")</f>
        <v>1117</v>
      </c>
      <c r="G300" s="170" t="str">
        <f ca="1">IFERROR(__xludf.DUMMYFUNCTION("""COMPUTED_VALUE"""),"313033")</f>
        <v>313033</v>
      </c>
      <c r="H300" s="170">
        <f ca="1">IFERROR(__xludf.DUMMYFUNCTION("""COMPUTED_VALUE"""),0)</f>
        <v>0</v>
      </c>
      <c r="I300" s="170">
        <f ca="1">IFERROR(__xludf.DUMMYFUNCTION("""COMPUTED_VALUE"""),0)</f>
        <v>0</v>
      </c>
      <c r="J300" s="170">
        <f ca="1">IFERROR(__xludf.DUMMYFUNCTION("""COMPUTED_VALUE"""),1000)</f>
        <v>1000</v>
      </c>
      <c r="K300" s="170">
        <f ca="1">IFERROR(__xludf.DUMMYFUNCTION("""COMPUTED_VALUE"""),0)</f>
        <v>0</v>
      </c>
      <c r="L300" s="170">
        <f ca="1">IFERROR(__xludf.DUMMYFUNCTION("""COMPUTED_VALUE"""),0)</f>
        <v>0</v>
      </c>
      <c r="M300" s="170">
        <f ca="1">IFERROR(__xludf.DUMMYFUNCTION("""COMPUTED_VALUE"""),0)</f>
        <v>0</v>
      </c>
      <c r="N300" s="170">
        <f ca="1">IFERROR(__xludf.DUMMYFUNCTION("""COMPUTED_VALUE"""),0)</f>
        <v>0</v>
      </c>
      <c r="O300" s="170">
        <f ca="1">IFERROR(__xludf.DUMMYFUNCTION("""COMPUTED_VALUE"""),0)</f>
        <v>0</v>
      </c>
      <c r="P300" s="170">
        <f ca="1">IFERROR(__xludf.DUMMYFUNCTION("""COMPUTED_VALUE"""),163.2)</f>
        <v>163.19999999999999</v>
      </c>
      <c r="Q300" s="170">
        <f ca="1">IFERROR(__xludf.DUMMYFUNCTION("""COMPUTED_VALUE"""),1300)</f>
        <v>1300</v>
      </c>
      <c r="R300" s="170">
        <f ca="1">IFERROR(__xludf.DUMMYFUNCTION("""COMPUTED_VALUE"""),0)</f>
        <v>0</v>
      </c>
      <c r="S300" s="170">
        <f ca="1">IFERROR(__xludf.DUMMYFUNCTION("""COMPUTED_VALUE"""),0)</f>
        <v>0</v>
      </c>
      <c r="T300" s="170">
        <f ca="1">IFERROR(__xludf.DUMMYFUNCTION("""COMPUTED_VALUE"""),0)</f>
        <v>0</v>
      </c>
      <c r="U300" s="170">
        <f ca="1"/>
        <v>2463.1999999999998</v>
      </c>
    </row>
    <row r="301" spans="1:21" ht="12.75">
      <c r="A301" s="162" t="str">
        <f ca="1">IFERROR(__xludf.DUMMYFUNCTION("""COMPUTED_VALUE"""),"Palmas")</f>
        <v>Palmas</v>
      </c>
      <c r="B301" s="162" t="str">
        <f ca="1">IFERROR(__xludf.DUMMYFUNCTION("""COMPUTED_VALUE"""),"Sao Felix do Tocantins")</f>
        <v>Sao Felix do Tocantins</v>
      </c>
      <c r="C301" s="163" t="str">
        <f ca="1">IFERROR(__xludf.DUMMYFUNCTION("""COMPUTED_VALUE"""),"A. DE AP.ESC. EST. SAGRADO CORACAO DE JESUS")</f>
        <v>A. DE AP.ESC. EST. SAGRADO CORACAO DE JESUS</v>
      </c>
      <c r="D301" s="178" t="str">
        <f ca="1">IFERROR(__xludf.DUMMYFUNCTION("""COMPUTED_VALUE"""),"01656550000126")</f>
        <v>01656550000126</v>
      </c>
      <c r="E301" s="165" t="str">
        <f ca="1">IFERROR(__xludf.DUMMYFUNCTION("""COMPUTED_VALUE"""),"001")</f>
        <v>001</v>
      </c>
      <c r="F301" s="165" t="str">
        <f ca="1">IFERROR(__xludf.DUMMYFUNCTION("""COMPUTED_VALUE"""),"3962")</f>
        <v>3962</v>
      </c>
      <c r="G301" s="165" t="str">
        <f ca="1">IFERROR(__xludf.DUMMYFUNCTION("""COMPUTED_VALUE"""),"147605")</f>
        <v>147605</v>
      </c>
      <c r="H301" s="165">
        <f ca="1">IFERROR(__xludf.DUMMYFUNCTION("""COMPUTED_VALUE"""),0)</f>
        <v>0</v>
      </c>
      <c r="I301" s="165">
        <f ca="1">IFERROR(__xludf.DUMMYFUNCTION("""COMPUTED_VALUE"""),0)</f>
        <v>0</v>
      </c>
      <c r="J301" s="165">
        <f ca="1">IFERROR(__xludf.DUMMYFUNCTION("""COMPUTED_VALUE"""),2110)</f>
        <v>2110</v>
      </c>
      <c r="K301" s="165">
        <f ca="1">IFERROR(__xludf.DUMMYFUNCTION("""COMPUTED_VALUE"""),0)</f>
        <v>0</v>
      </c>
      <c r="L301" s="165">
        <f ca="1">IFERROR(__xludf.DUMMYFUNCTION("""COMPUTED_VALUE"""),0)</f>
        <v>0</v>
      </c>
      <c r="M301" s="165">
        <f ca="1">IFERROR(__xludf.DUMMYFUNCTION("""COMPUTED_VALUE"""),0)</f>
        <v>0</v>
      </c>
      <c r="N301" s="165">
        <f ca="1">IFERROR(__xludf.DUMMYFUNCTION("""COMPUTED_VALUE"""),0)</f>
        <v>0</v>
      </c>
      <c r="O301" s="165">
        <f ca="1">IFERROR(__xludf.DUMMYFUNCTION("""COMPUTED_VALUE"""),0)</f>
        <v>0</v>
      </c>
      <c r="P301" s="165">
        <f ca="1">IFERROR(__xludf.DUMMYFUNCTION("""COMPUTED_VALUE"""),0)</f>
        <v>0</v>
      </c>
      <c r="Q301" s="165">
        <f ca="1">IFERROR(__xludf.DUMMYFUNCTION("""COMPUTED_VALUE"""),1090)</f>
        <v>1090</v>
      </c>
      <c r="R301" s="165">
        <f ca="1">IFERROR(__xludf.DUMMYFUNCTION("""COMPUTED_VALUE"""),0)</f>
        <v>0</v>
      </c>
      <c r="S301" s="165">
        <f ca="1">IFERROR(__xludf.DUMMYFUNCTION("""COMPUTED_VALUE"""),0)</f>
        <v>0</v>
      </c>
      <c r="T301" s="165">
        <f ca="1">IFERROR(__xludf.DUMMYFUNCTION("""COMPUTED_VALUE"""),0)</f>
        <v>0</v>
      </c>
      <c r="U301" s="165">
        <f ca="1"/>
        <v>3200</v>
      </c>
    </row>
    <row r="302" spans="1:21" ht="12.75">
      <c r="A302" s="167" t="str">
        <f ca="1">IFERROR(__xludf.DUMMYFUNCTION("""COMPUTED_VALUE"""),"Paraíso")</f>
        <v>Paraíso</v>
      </c>
      <c r="B302" s="167" t="str">
        <f ca="1">IFERROR(__xludf.DUMMYFUNCTION("""COMPUTED_VALUE"""),"Abreulandia")</f>
        <v>Abreulandia</v>
      </c>
      <c r="C302" s="168" t="str">
        <f ca="1">IFERROR(__xludf.DUMMYFUNCTION("""COMPUTED_VALUE"""),"ASS. DE APOIO DA ESCOLA EST. SAO PEDRO")</f>
        <v>ASS. DE APOIO DA ESCOLA EST. SAO PEDRO</v>
      </c>
      <c r="D302" s="169" t="str">
        <f ca="1">IFERROR(__xludf.DUMMYFUNCTION("""COMPUTED_VALUE"""),"01071408000117")</f>
        <v>01071408000117</v>
      </c>
      <c r="E302" s="170" t="str">
        <f ca="1">IFERROR(__xludf.DUMMYFUNCTION("""COMPUTED_VALUE"""),"001")</f>
        <v>001</v>
      </c>
      <c r="F302" s="170" t="str">
        <f ca="1">IFERROR(__xludf.DUMMYFUNCTION("""COMPUTED_VALUE"""),"0804")</f>
        <v>0804</v>
      </c>
      <c r="G302" s="170" t="str">
        <f ca="1">IFERROR(__xludf.DUMMYFUNCTION("""COMPUTED_VALUE"""),"286893")</f>
        <v>286893</v>
      </c>
      <c r="H302" s="170">
        <f ca="1">IFERROR(__xludf.DUMMYFUNCTION("""COMPUTED_VALUE"""),0)</f>
        <v>0</v>
      </c>
      <c r="I302" s="170">
        <f ca="1">IFERROR(__xludf.DUMMYFUNCTION("""COMPUTED_VALUE"""),0)</f>
        <v>0</v>
      </c>
      <c r="J302" s="170">
        <f ca="1">IFERROR(__xludf.DUMMYFUNCTION("""COMPUTED_VALUE"""),1070)</f>
        <v>1070</v>
      </c>
      <c r="K302" s="170">
        <f ca="1">IFERROR(__xludf.DUMMYFUNCTION("""COMPUTED_VALUE"""),0)</f>
        <v>0</v>
      </c>
      <c r="L302" s="170">
        <f ca="1">IFERROR(__xludf.DUMMYFUNCTION("""COMPUTED_VALUE"""),0)</f>
        <v>0</v>
      </c>
      <c r="M302" s="170">
        <f ca="1">IFERROR(__xludf.DUMMYFUNCTION("""COMPUTED_VALUE"""),0)</f>
        <v>0</v>
      </c>
      <c r="N302" s="170">
        <f ca="1">IFERROR(__xludf.DUMMYFUNCTION("""COMPUTED_VALUE"""),0)</f>
        <v>0</v>
      </c>
      <c r="O302" s="170">
        <f ca="1">IFERROR(__xludf.DUMMYFUNCTION("""COMPUTED_VALUE"""),0)</f>
        <v>0</v>
      </c>
      <c r="P302" s="170">
        <f ca="1">IFERROR(__xludf.DUMMYFUNCTION("""COMPUTED_VALUE"""),0)</f>
        <v>0</v>
      </c>
      <c r="Q302" s="170">
        <f ca="1">IFERROR(__xludf.DUMMYFUNCTION("""COMPUTED_VALUE"""),1250)</f>
        <v>1250</v>
      </c>
      <c r="R302" s="170">
        <f ca="1">IFERROR(__xludf.DUMMYFUNCTION("""COMPUTED_VALUE"""),0)</f>
        <v>0</v>
      </c>
      <c r="S302" s="170">
        <f ca="1">IFERROR(__xludf.DUMMYFUNCTION("""COMPUTED_VALUE"""),0)</f>
        <v>0</v>
      </c>
      <c r="T302" s="170">
        <f ca="1">IFERROR(__xludf.DUMMYFUNCTION("""COMPUTED_VALUE"""),237.799999999999)</f>
        <v>237.79999999999899</v>
      </c>
      <c r="U302" s="170">
        <f ca="1"/>
        <v>2557.7999999999988</v>
      </c>
    </row>
    <row r="303" spans="1:21" ht="12.75">
      <c r="A303" s="162" t="str">
        <f ca="1">IFERROR(__xludf.DUMMYFUNCTION("""COMPUTED_VALUE"""),"Paraíso")</f>
        <v>Paraíso</v>
      </c>
      <c r="B303" s="162" t="str">
        <f ca="1">IFERROR(__xludf.DUMMYFUNCTION("""COMPUTED_VALUE"""),"Araguacema")</f>
        <v>Araguacema</v>
      </c>
      <c r="C303" s="163" t="str">
        <f ca="1">IFERROR(__xludf.DUMMYFUNCTION("""COMPUTED_VALUE"""),"ASSOC. DE APOIO AO COL. EST. DE ARAGUACEMA")</f>
        <v>ASSOC. DE APOIO AO COL. EST. DE ARAGUACEMA</v>
      </c>
      <c r="D303" s="164" t="str">
        <f ca="1">IFERROR(__xludf.DUMMYFUNCTION("""COMPUTED_VALUE"""),"01187107000153")</f>
        <v>01187107000153</v>
      </c>
      <c r="E303" s="165" t="str">
        <f ca="1">IFERROR(__xludf.DUMMYFUNCTION("""COMPUTED_VALUE"""),"001")</f>
        <v>001</v>
      </c>
      <c r="F303" s="165" t="str">
        <f ca="1">IFERROR(__xludf.DUMMYFUNCTION("""COMPUTED_VALUE"""),"0804")</f>
        <v>0804</v>
      </c>
      <c r="G303" s="165" t="str">
        <f ca="1">IFERROR(__xludf.DUMMYFUNCTION("""COMPUTED_VALUE"""),"286532")</f>
        <v>286532</v>
      </c>
      <c r="H303" s="165">
        <f ca="1">IFERROR(__xludf.DUMMYFUNCTION("""COMPUTED_VALUE"""),0)</f>
        <v>0</v>
      </c>
      <c r="I303" s="165">
        <f ca="1">IFERROR(__xludf.DUMMYFUNCTION("""COMPUTED_VALUE"""),0)</f>
        <v>0</v>
      </c>
      <c r="J303" s="165">
        <f ca="1">IFERROR(__xludf.DUMMYFUNCTION("""COMPUTED_VALUE"""),950)</f>
        <v>950</v>
      </c>
      <c r="K303" s="165">
        <f ca="1">IFERROR(__xludf.DUMMYFUNCTION("""COMPUTED_VALUE"""),0)</f>
        <v>0</v>
      </c>
      <c r="L303" s="165">
        <f ca="1">IFERROR(__xludf.DUMMYFUNCTION("""COMPUTED_VALUE"""),0)</f>
        <v>0</v>
      </c>
      <c r="M303" s="165">
        <f ca="1">IFERROR(__xludf.DUMMYFUNCTION("""COMPUTED_VALUE"""),0)</f>
        <v>0</v>
      </c>
      <c r="N303" s="165">
        <f ca="1">IFERROR(__xludf.DUMMYFUNCTION("""COMPUTED_VALUE"""),0)</f>
        <v>0</v>
      </c>
      <c r="O303" s="165">
        <f ca="1">IFERROR(__xludf.DUMMYFUNCTION("""COMPUTED_VALUE"""),0)</f>
        <v>0</v>
      </c>
      <c r="P303" s="165">
        <f ca="1">IFERROR(__xludf.DUMMYFUNCTION("""COMPUTED_VALUE"""),0)</f>
        <v>0</v>
      </c>
      <c r="Q303" s="165">
        <f ca="1">IFERROR(__xludf.DUMMYFUNCTION("""COMPUTED_VALUE"""),3060)</f>
        <v>3060</v>
      </c>
      <c r="R303" s="165">
        <f ca="1">IFERROR(__xludf.DUMMYFUNCTION("""COMPUTED_VALUE"""),0)</f>
        <v>0</v>
      </c>
      <c r="S303" s="165">
        <f ca="1">IFERROR(__xludf.DUMMYFUNCTION("""COMPUTED_VALUE"""),0)</f>
        <v>0</v>
      </c>
      <c r="T303" s="165">
        <f ca="1">IFERROR(__xludf.DUMMYFUNCTION("""COMPUTED_VALUE"""),0)</f>
        <v>0</v>
      </c>
      <c r="U303" s="165">
        <f ca="1"/>
        <v>4010</v>
      </c>
    </row>
    <row r="304" spans="1:21" ht="12.75">
      <c r="A304" s="167" t="str">
        <f ca="1">IFERROR(__xludf.DUMMYFUNCTION("""COMPUTED_VALUE"""),"Paraíso")</f>
        <v>Paraíso</v>
      </c>
      <c r="B304" s="167" t="str">
        <f ca="1">IFERROR(__xludf.DUMMYFUNCTION("""COMPUTED_VALUE"""),"Araguacema")</f>
        <v>Araguacema</v>
      </c>
      <c r="C304" s="168" t="str">
        <f ca="1">IFERROR(__xludf.DUMMYFUNCTION("""COMPUTED_VALUE"""),"ASSOC. DE APOIO COLEGIO MENNO SIMONS")</f>
        <v>ASSOC. DE APOIO COLEGIO MENNO SIMONS</v>
      </c>
      <c r="D304" s="169" t="str">
        <f ca="1">IFERROR(__xludf.DUMMYFUNCTION("""COMPUTED_VALUE"""),"01138321000110")</f>
        <v>01138321000110</v>
      </c>
      <c r="E304" s="170" t="str">
        <f ca="1">IFERROR(__xludf.DUMMYFUNCTION("""COMPUTED_VALUE"""),"001")</f>
        <v>001</v>
      </c>
      <c r="F304" s="170" t="str">
        <f ca="1">IFERROR(__xludf.DUMMYFUNCTION("""COMPUTED_VALUE"""),"0804")</f>
        <v>0804</v>
      </c>
      <c r="G304" s="170" t="str">
        <f ca="1">IFERROR(__xludf.DUMMYFUNCTION("""COMPUTED_VALUE"""),"300764")</f>
        <v>300764</v>
      </c>
      <c r="H304" s="170">
        <f ca="1">IFERROR(__xludf.DUMMYFUNCTION("""COMPUTED_VALUE"""),0)</f>
        <v>0</v>
      </c>
      <c r="I304" s="170">
        <f ca="1">IFERROR(__xludf.DUMMYFUNCTION("""COMPUTED_VALUE"""),0)</f>
        <v>0</v>
      </c>
      <c r="J304" s="170">
        <f ca="1">IFERROR(__xludf.DUMMYFUNCTION("""COMPUTED_VALUE"""),1850)</f>
        <v>1850</v>
      </c>
      <c r="K304" s="170">
        <f ca="1">IFERROR(__xludf.DUMMYFUNCTION("""COMPUTED_VALUE"""),0)</f>
        <v>0</v>
      </c>
      <c r="L304" s="170">
        <f ca="1">IFERROR(__xludf.DUMMYFUNCTION("""COMPUTED_VALUE"""),0)</f>
        <v>0</v>
      </c>
      <c r="M304" s="170">
        <f ca="1">IFERROR(__xludf.DUMMYFUNCTION("""COMPUTED_VALUE"""),0)</f>
        <v>0</v>
      </c>
      <c r="N304" s="170">
        <f ca="1">IFERROR(__xludf.DUMMYFUNCTION("""COMPUTED_VALUE"""),0)</f>
        <v>0</v>
      </c>
      <c r="O304" s="170">
        <f ca="1">IFERROR(__xludf.DUMMYFUNCTION("""COMPUTED_VALUE"""),0)</f>
        <v>0</v>
      </c>
      <c r="P304" s="170">
        <f ca="1">IFERROR(__xludf.DUMMYFUNCTION("""COMPUTED_VALUE"""),0)</f>
        <v>0</v>
      </c>
      <c r="Q304" s="170">
        <f ca="1">IFERROR(__xludf.DUMMYFUNCTION("""COMPUTED_VALUE"""),0)</f>
        <v>0</v>
      </c>
      <c r="R304" s="170">
        <f ca="1">IFERROR(__xludf.DUMMYFUNCTION("""COMPUTED_VALUE"""),0)</f>
        <v>0</v>
      </c>
      <c r="S304" s="170">
        <f ca="1">IFERROR(__xludf.DUMMYFUNCTION("""COMPUTED_VALUE"""),0)</f>
        <v>0</v>
      </c>
      <c r="T304" s="170">
        <f ca="1">IFERROR(__xludf.DUMMYFUNCTION("""COMPUTED_VALUE"""),0)</f>
        <v>0</v>
      </c>
      <c r="U304" s="170">
        <f ca="1"/>
        <v>1850</v>
      </c>
    </row>
    <row r="305" spans="1:21" ht="12.75">
      <c r="A305" s="162" t="str">
        <f ca="1">IFERROR(__xludf.DUMMYFUNCTION("""COMPUTED_VALUE"""),"Paraíso")</f>
        <v>Paraíso</v>
      </c>
      <c r="B305" s="162" t="str">
        <f ca="1">IFERROR(__xludf.DUMMYFUNCTION("""COMPUTED_VALUE"""),"Barrolandia")</f>
        <v>Barrolandia</v>
      </c>
      <c r="C305" s="163" t="str">
        <f ca="1">IFERROR(__xludf.DUMMYFUNCTION("""COMPUTED_VALUE"""),"ASSOC. DE A. DO COL. EST. PRES. TANCREDO NEVES")</f>
        <v>ASSOC. DE A. DO COL. EST. PRES. TANCREDO NEVES</v>
      </c>
      <c r="D305" s="164" t="str">
        <f ca="1">IFERROR(__xludf.DUMMYFUNCTION("""COMPUTED_VALUE"""),"01086975000147")</f>
        <v>01086975000147</v>
      </c>
      <c r="E305" s="165" t="str">
        <f ca="1">IFERROR(__xludf.DUMMYFUNCTION("""COMPUTED_VALUE"""),"001")</f>
        <v>001</v>
      </c>
      <c r="F305" s="165" t="str">
        <f ca="1">IFERROR(__xludf.DUMMYFUNCTION("""COMPUTED_VALUE"""),"0862")</f>
        <v>0862</v>
      </c>
      <c r="G305" s="165" t="str">
        <f ca="1">IFERROR(__xludf.DUMMYFUNCTION("""COMPUTED_VALUE"""),"244155")</f>
        <v>244155</v>
      </c>
      <c r="H305" s="165">
        <f ca="1">IFERROR(__xludf.DUMMYFUNCTION("""COMPUTED_VALUE"""),0)</f>
        <v>0</v>
      </c>
      <c r="I305" s="165">
        <f ca="1">IFERROR(__xludf.DUMMYFUNCTION("""COMPUTED_VALUE"""),0)</f>
        <v>0</v>
      </c>
      <c r="J305" s="165">
        <f ca="1">IFERROR(__xludf.DUMMYFUNCTION("""COMPUTED_VALUE"""),0)</f>
        <v>0</v>
      </c>
      <c r="K305" s="165">
        <f ca="1">IFERROR(__xludf.DUMMYFUNCTION("""COMPUTED_VALUE"""),0)</f>
        <v>0</v>
      </c>
      <c r="L305" s="165">
        <f ca="1">IFERROR(__xludf.DUMMYFUNCTION("""COMPUTED_VALUE"""),0)</f>
        <v>0</v>
      </c>
      <c r="M305" s="165">
        <f ca="1">IFERROR(__xludf.DUMMYFUNCTION("""COMPUTED_VALUE"""),0)</f>
        <v>0</v>
      </c>
      <c r="N305" s="165">
        <f ca="1">IFERROR(__xludf.DUMMYFUNCTION("""COMPUTED_VALUE"""),0)</f>
        <v>0</v>
      </c>
      <c r="O305" s="165">
        <f ca="1">IFERROR(__xludf.DUMMYFUNCTION("""COMPUTED_VALUE"""),0)</f>
        <v>0</v>
      </c>
      <c r="P305" s="165">
        <f ca="1">IFERROR(__xludf.DUMMYFUNCTION("""COMPUTED_VALUE"""),0)</f>
        <v>0</v>
      </c>
      <c r="Q305" s="165">
        <f ca="1">IFERROR(__xludf.DUMMYFUNCTION("""COMPUTED_VALUE"""),0)</f>
        <v>0</v>
      </c>
      <c r="R305" s="165">
        <f ca="1">IFERROR(__xludf.DUMMYFUNCTION("""COMPUTED_VALUE"""),0)</f>
        <v>0</v>
      </c>
      <c r="S305" s="165">
        <f ca="1">IFERROR(__xludf.DUMMYFUNCTION("""COMPUTED_VALUE"""),5324.8)</f>
        <v>5324.8</v>
      </c>
      <c r="T305" s="165">
        <f ca="1">IFERROR(__xludf.DUMMYFUNCTION("""COMPUTED_VALUE"""),0)</f>
        <v>0</v>
      </c>
      <c r="U305" s="165">
        <f ca="1"/>
        <v>5324.8</v>
      </c>
    </row>
    <row r="306" spans="1:21" ht="12.75">
      <c r="A306" s="167" t="str">
        <f ca="1">IFERROR(__xludf.DUMMYFUNCTION("""COMPUTED_VALUE"""),"Paraíso")</f>
        <v>Paraíso</v>
      </c>
      <c r="B306" s="167" t="str">
        <f ca="1">IFERROR(__xludf.DUMMYFUNCTION("""COMPUTED_VALUE"""),"Barrolandia")</f>
        <v>Barrolandia</v>
      </c>
      <c r="C306" s="168" t="str">
        <f ca="1">IFERROR(__xludf.DUMMYFUNCTION("""COMPUTED_VALUE"""),"A..A. ESC. ESPECIAL AMOR DE DEUS")</f>
        <v>A..A. ESC. ESPECIAL AMOR DE DEUS</v>
      </c>
      <c r="D306" s="169" t="str">
        <f ca="1">IFERROR(__xludf.DUMMYFUNCTION("""COMPUTED_VALUE"""),"07935641000187")</f>
        <v>07935641000187</v>
      </c>
      <c r="E306" s="170" t="str">
        <f ca="1">IFERROR(__xludf.DUMMYFUNCTION("""COMPUTED_VALUE"""),"001")</f>
        <v>001</v>
      </c>
      <c r="F306" s="170" t="str">
        <f ca="1">IFERROR(__xludf.DUMMYFUNCTION("""COMPUTED_VALUE"""),"0804")</f>
        <v>0804</v>
      </c>
      <c r="G306" s="170" t="str">
        <f ca="1">IFERROR(__xludf.DUMMYFUNCTION("""COMPUTED_VALUE"""),"279501")</f>
        <v>279501</v>
      </c>
      <c r="H306" s="170">
        <f ca="1">IFERROR(__xludf.DUMMYFUNCTION("""COMPUTED_VALUE"""),0)</f>
        <v>0</v>
      </c>
      <c r="I306" s="170">
        <f ca="1">IFERROR(__xludf.DUMMYFUNCTION("""COMPUTED_VALUE"""),187.2)</f>
        <v>187.2</v>
      </c>
      <c r="J306" s="170">
        <f ca="1">IFERROR(__xludf.DUMMYFUNCTION("""COMPUTED_VALUE"""),100)</f>
        <v>100</v>
      </c>
      <c r="K306" s="170">
        <f ca="1">IFERROR(__xludf.DUMMYFUNCTION("""COMPUTED_VALUE"""),0)</f>
        <v>0</v>
      </c>
      <c r="L306" s="170">
        <f ca="1">IFERROR(__xludf.DUMMYFUNCTION("""COMPUTED_VALUE"""),0)</f>
        <v>0</v>
      </c>
      <c r="M306" s="170">
        <f ca="1">IFERROR(__xludf.DUMMYFUNCTION("""COMPUTED_VALUE"""),0)</f>
        <v>0</v>
      </c>
      <c r="N306" s="170">
        <f ca="1">IFERROR(__xludf.DUMMYFUNCTION("""COMPUTED_VALUE"""),0)</f>
        <v>0</v>
      </c>
      <c r="O306" s="170">
        <f ca="1">IFERROR(__xludf.DUMMYFUNCTION("""COMPUTED_VALUE"""),0)</f>
        <v>0</v>
      </c>
      <c r="P306" s="170">
        <f ca="1">IFERROR(__xludf.DUMMYFUNCTION("""COMPUTED_VALUE"""),163.2)</f>
        <v>163.19999999999999</v>
      </c>
      <c r="Q306" s="170">
        <f ca="1">IFERROR(__xludf.DUMMYFUNCTION("""COMPUTED_VALUE"""),0)</f>
        <v>0</v>
      </c>
      <c r="R306" s="170">
        <f ca="1">IFERROR(__xludf.DUMMYFUNCTION("""COMPUTED_VALUE"""),0)</f>
        <v>0</v>
      </c>
      <c r="S306" s="170">
        <f ca="1">IFERROR(__xludf.DUMMYFUNCTION("""COMPUTED_VALUE"""),0)</f>
        <v>0</v>
      </c>
      <c r="T306" s="170">
        <f ca="1">IFERROR(__xludf.DUMMYFUNCTION("""COMPUTED_VALUE"""),229.599999999999)</f>
        <v>229.599999999999</v>
      </c>
      <c r="U306" s="170">
        <f ca="1"/>
        <v>679.99999999999898</v>
      </c>
    </row>
    <row r="307" spans="1:21" ht="12.75">
      <c r="A307" s="162" t="str">
        <f ca="1">IFERROR(__xludf.DUMMYFUNCTION("""COMPUTED_VALUE"""),"Paraíso")</f>
        <v>Paraíso</v>
      </c>
      <c r="B307" s="162" t="str">
        <f ca="1">IFERROR(__xludf.DUMMYFUNCTION("""COMPUTED_VALUE"""),"Barrolandia")</f>
        <v>Barrolandia</v>
      </c>
      <c r="C307" s="163" t="str">
        <f ca="1">IFERROR(__xludf.DUMMYFUNCTION("""COMPUTED_VALUE"""),"ASS. APOIO DA ESC EST PAULINA CAMARA")</f>
        <v>ASS. APOIO DA ESC EST PAULINA CAMARA</v>
      </c>
      <c r="D307" s="164" t="str">
        <f ca="1">IFERROR(__xludf.DUMMYFUNCTION("""COMPUTED_VALUE"""),"01071402000140")</f>
        <v>01071402000140</v>
      </c>
      <c r="E307" s="165" t="str">
        <f ca="1">IFERROR(__xludf.DUMMYFUNCTION("""COMPUTED_VALUE"""),"001")</f>
        <v>001</v>
      </c>
      <c r="F307" s="165" t="str">
        <f ca="1">IFERROR(__xludf.DUMMYFUNCTION("""COMPUTED_VALUE"""),"0862")</f>
        <v>0862</v>
      </c>
      <c r="G307" s="165" t="str">
        <f ca="1">IFERROR(__xludf.DUMMYFUNCTION("""COMPUTED_VALUE"""),"68926")</f>
        <v>68926</v>
      </c>
      <c r="H307" s="165">
        <f ca="1">IFERROR(__xludf.DUMMYFUNCTION("""COMPUTED_VALUE"""),0)</f>
        <v>0</v>
      </c>
      <c r="I307" s="165">
        <f ca="1">IFERROR(__xludf.DUMMYFUNCTION("""COMPUTED_VALUE"""),0)</f>
        <v>0</v>
      </c>
      <c r="J307" s="165">
        <f ca="1">IFERROR(__xludf.DUMMYFUNCTION("""COMPUTED_VALUE"""),2540)</f>
        <v>2540</v>
      </c>
      <c r="K307" s="165">
        <f ca="1">IFERROR(__xludf.DUMMYFUNCTION("""COMPUTED_VALUE"""),0)</f>
        <v>0</v>
      </c>
      <c r="L307" s="165">
        <f ca="1">IFERROR(__xludf.DUMMYFUNCTION("""COMPUTED_VALUE"""),0)</f>
        <v>0</v>
      </c>
      <c r="M307" s="165">
        <f ca="1">IFERROR(__xludf.DUMMYFUNCTION("""COMPUTED_VALUE"""),0)</f>
        <v>0</v>
      </c>
      <c r="N307" s="165">
        <f ca="1">IFERROR(__xludf.DUMMYFUNCTION("""COMPUTED_VALUE"""),0)</f>
        <v>0</v>
      </c>
      <c r="O307" s="165">
        <f ca="1">IFERROR(__xludf.DUMMYFUNCTION("""COMPUTED_VALUE"""),0)</f>
        <v>0</v>
      </c>
      <c r="P307" s="165">
        <f ca="1">IFERROR(__xludf.DUMMYFUNCTION("""COMPUTED_VALUE"""),163.2)</f>
        <v>163.19999999999999</v>
      </c>
      <c r="Q307" s="165">
        <f ca="1">IFERROR(__xludf.DUMMYFUNCTION("""COMPUTED_VALUE"""),0)</f>
        <v>0</v>
      </c>
      <c r="R307" s="165">
        <f ca="1">IFERROR(__xludf.DUMMYFUNCTION("""COMPUTED_VALUE"""),0)</f>
        <v>0</v>
      </c>
      <c r="S307" s="165">
        <f ca="1">IFERROR(__xludf.DUMMYFUNCTION("""COMPUTED_VALUE"""),0)</f>
        <v>0</v>
      </c>
      <c r="T307" s="165">
        <f ca="1">IFERROR(__xludf.DUMMYFUNCTION("""COMPUTED_VALUE"""),0)</f>
        <v>0</v>
      </c>
      <c r="U307" s="165">
        <f ca="1"/>
        <v>2703.2</v>
      </c>
    </row>
    <row r="308" spans="1:21" ht="12.75">
      <c r="A308" s="167" t="str">
        <f ca="1">IFERROR(__xludf.DUMMYFUNCTION("""COMPUTED_VALUE"""),"Paraíso")</f>
        <v>Paraíso</v>
      </c>
      <c r="B308" s="167" t="str">
        <f ca="1">IFERROR(__xludf.DUMMYFUNCTION("""COMPUTED_VALUE"""),"Barrolandia")</f>
        <v>Barrolandia</v>
      </c>
      <c r="C308" s="168" t="str">
        <f ca="1">IFERROR(__xludf.DUMMYFUNCTION("""COMPUTED_VALUE"""),"A.A. COLEGIO ESTADUAL COSTA E SILVA")</f>
        <v>A.A. COLEGIO ESTADUAL COSTA E SILVA</v>
      </c>
      <c r="D308" s="169" t="str">
        <f ca="1">IFERROR(__xludf.DUMMYFUNCTION("""COMPUTED_VALUE"""),"01100434000126")</f>
        <v>01100434000126</v>
      </c>
      <c r="E308" s="170" t="str">
        <f ca="1">IFERROR(__xludf.DUMMYFUNCTION("""COMPUTED_VALUE"""),"001")</f>
        <v>001</v>
      </c>
      <c r="F308" s="170" t="str">
        <f ca="1">IFERROR(__xludf.DUMMYFUNCTION("""COMPUTED_VALUE"""),"0862")</f>
        <v>0862</v>
      </c>
      <c r="G308" s="170" t="str">
        <f ca="1">IFERROR(__xludf.DUMMYFUNCTION("""COMPUTED_VALUE"""),"68942")</f>
        <v>68942</v>
      </c>
      <c r="H308" s="170">
        <f ca="1">IFERROR(__xludf.DUMMYFUNCTION("""COMPUTED_VALUE"""),0)</f>
        <v>0</v>
      </c>
      <c r="I308" s="170">
        <f ca="1">IFERROR(__xludf.DUMMYFUNCTION("""COMPUTED_VALUE"""),0)</f>
        <v>0</v>
      </c>
      <c r="J308" s="170">
        <f ca="1">IFERROR(__xludf.DUMMYFUNCTION("""COMPUTED_VALUE"""),1100)</f>
        <v>1100</v>
      </c>
      <c r="K308" s="170">
        <f ca="1">IFERROR(__xludf.DUMMYFUNCTION("""COMPUTED_VALUE"""),0)</f>
        <v>0</v>
      </c>
      <c r="L308" s="170">
        <f ca="1">IFERROR(__xludf.DUMMYFUNCTION("""COMPUTED_VALUE"""),0)</f>
        <v>0</v>
      </c>
      <c r="M308" s="170">
        <f ca="1">IFERROR(__xludf.DUMMYFUNCTION("""COMPUTED_VALUE"""),0)</f>
        <v>0</v>
      </c>
      <c r="N308" s="170">
        <f ca="1">IFERROR(__xludf.DUMMYFUNCTION("""COMPUTED_VALUE"""),0)</f>
        <v>0</v>
      </c>
      <c r="O308" s="170">
        <f ca="1">IFERROR(__xludf.DUMMYFUNCTION("""COMPUTED_VALUE"""),0)</f>
        <v>0</v>
      </c>
      <c r="P308" s="170">
        <f ca="1">IFERROR(__xludf.DUMMYFUNCTION("""COMPUTED_VALUE"""),0)</f>
        <v>0</v>
      </c>
      <c r="Q308" s="170">
        <f ca="1">IFERROR(__xludf.DUMMYFUNCTION("""COMPUTED_VALUE"""),1070)</f>
        <v>1070</v>
      </c>
      <c r="R308" s="170">
        <f ca="1">IFERROR(__xludf.DUMMYFUNCTION("""COMPUTED_VALUE"""),0)</f>
        <v>0</v>
      </c>
      <c r="S308" s="170">
        <f ca="1">IFERROR(__xludf.DUMMYFUNCTION("""COMPUTED_VALUE"""),0)</f>
        <v>0</v>
      </c>
      <c r="T308" s="170">
        <f ca="1">IFERROR(__xludf.DUMMYFUNCTION("""COMPUTED_VALUE"""),0)</f>
        <v>0</v>
      </c>
      <c r="U308" s="170">
        <f ca="1"/>
        <v>2170</v>
      </c>
    </row>
    <row r="309" spans="1:21" ht="12.75">
      <c r="A309" s="162" t="str">
        <f ca="1">IFERROR(__xludf.DUMMYFUNCTION("""COMPUTED_VALUE"""),"Paraíso")</f>
        <v>Paraíso</v>
      </c>
      <c r="B309" s="162" t="str">
        <f ca="1">IFERROR(__xludf.DUMMYFUNCTION("""COMPUTED_VALUE"""),"Caseara")</f>
        <v>Caseara</v>
      </c>
      <c r="C309" s="163" t="str">
        <f ca="1">IFERROR(__xludf.DUMMYFUNCTION("""COMPUTED_VALUE"""),"A.A. AO COLEGIO EST. TRAJANO DE ALMEIDA")</f>
        <v>A.A. AO COLEGIO EST. TRAJANO DE ALMEIDA</v>
      </c>
      <c r="D309" s="164" t="str">
        <f ca="1">IFERROR(__xludf.DUMMYFUNCTION("""COMPUTED_VALUE"""),"01136037000104")</f>
        <v>01136037000104</v>
      </c>
      <c r="E309" s="165" t="str">
        <f ca="1">IFERROR(__xludf.DUMMYFUNCTION("""COMPUTED_VALUE"""),"001")</f>
        <v>001</v>
      </c>
      <c r="F309" s="165" t="str">
        <f ca="1">IFERROR(__xludf.DUMMYFUNCTION("""COMPUTED_VALUE"""),"0804")</f>
        <v>0804</v>
      </c>
      <c r="G309" s="165" t="str">
        <f ca="1">IFERROR(__xludf.DUMMYFUNCTION("""COMPUTED_VALUE"""),"110558")</f>
        <v>110558</v>
      </c>
      <c r="H309" s="165">
        <f ca="1">IFERROR(__xludf.DUMMYFUNCTION("""COMPUTED_VALUE"""),0)</f>
        <v>0</v>
      </c>
      <c r="I309" s="165">
        <f ca="1">IFERROR(__xludf.DUMMYFUNCTION("""COMPUTED_VALUE"""),0)</f>
        <v>0</v>
      </c>
      <c r="J309" s="165">
        <f ca="1">IFERROR(__xludf.DUMMYFUNCTION("""COMPUTED_VALUE"""),0)</f>
        <v>0</v>
      </c>
      <c r="K309" s="165">
        <f ca="1">IFERROR(__xludf.DUMMYFUNCTION("""COMPUTED_VALUE"""),0)</f>
        <v>0</v>
      </c>
      <c r="L309" s="165">
        <f ca="1">IFERROR(__xludf.DUMMYFUNCTION("""COMPUTED_VALUE"""),0)</f>
        <v>0</v>
      </c>
      <c r="M309" s="165">
        <f ca="1">IFERROR(__xludf.DUMMYFUNCTION("""COMPUTED_VALUE"""),0)</f>
        <v>0</v>
      </c>
      <c r="N309" s="165">
        <f ca="1">IFERROR(__xludf.DUMMYFUNCTION("""COMPUTED_VALUE"""),0)</f>
        <v>0</v>
      </c>
      <c r="O309" s="165">
        <f ca="1">IFERROR(__xludf.DUMMYFUNCTION("""COMPUTED_VALUE"""),0)</f>
        <v>0</v>
      </c>
      <c r="P309" s="165">
        <f ca="1">IFERROR(__xludf.DUMMYFUNCTION("""COMPUTED_VALUE"""),0)</f>
        <v>0</v>
      </c>
      <c r="Q309" s="165">
        <f ca="1">IFERROR(__xludf.DUMMYFUNCTION("""COMPUTED_VALUE"""),2040)</f>
        <v>2040</v>
      </c>
      <c r="R309" s="165">
        <f ca="1">IFERROR(__xludf.DUMMYFUNCTION("""COMPUTED_VALUE"""),0)</f>
        <v>0</v>
      </c>
      <c r="S309" s="165">
        <f ca="1">IFERROR(__xludf.DUMMYFUNCTION("""COMPUTED_VALUE"""),0)</f>
        <v>0</v>
      </c>
      <c r="T309" s="165">
        <f ca="1">IFERROR(__xludf.DUMMYFUNCTION("""COMPUTED_VALUE"""),0)</f>
        <v>0</v>
      </c>
      <c r="U309" s="165">
        <f ca="1"/>
        <v>2040</v>
      </c>
    </row>
    <row r="310" spans="1:21" ht="12.75">
      <c r="A310" s="167" t="str">
        <f ca="1">IFERROR(__xludf.DUMMYFUNCTION("""COMPUTED_VALUE"""),"Paraíso")</f>
        <v>Paraíso</v>
      </c>
      <c r="B310" s="167" t="str">
        <f ca="1">IFERROR(__xludf.DUMMYFUNCTION("""COMPUTED_VALUE"""),"Caseara")</f>
        <v>Caseara</v>
      </c>
      <c r="C310" s="168" t="str">
        <f ca="1">IFERROR(__xludf.DUMMYFUNCTION("""COMPUTED_VALUE"""),"A. DE APOIO A ESC. EST. JOSE ALVES DE ASSIS")</f>
        <v>A. DE APOIO A ESC. EST. JOSE ALVES DE ASSIS</v>
      </c>
      <c r="D310" s="169" t="str">
        <f ca="1">IFERROR(__xludf.DUMMYFUNCTION("""COMPUTED_VALUE"""),"01138318000104")</f>
        <v>01138318000104</v>
      </c>
      <c r="E310" s="170" t="str">
        <f ca="1">IFERROR(__xludf.DUMMYFUNCTION("""COMPUTED_VALUE"""),"104")</f>
        <v>104</v>
      </c>
      <c r="F310" s="170" t="str">
        <f ca="1">IFERROR(__xludf.DUMMYFUNCTION("""COMPUTED_VALUE"""),"1141")</f>
        <v>1141</v>
      </c>
      <c r="G310" s="170" t="str">
        <f ca="1">IFERROR(__xludf.DUMMYFUNCTION("""COMPUTED_VALUE"""),"307968")</f>
        <v>307968</v>
      </c>
      <c r="H310" s="170">
        <f ca="1">IFERROR(__xludf.DUMMYFUNCTION("""COMPUTED_VALUE"""),0)</f>
        <v>0</v>
      </c>
      <c r="I310" s="170">
        <f ca="1">IFERROR(__xludf.DUMMYFUNCTION("""COMPUTED_VALUE"""),0)</f>
        <v>0</v>
      </c>
      <c r="J310" s="170">
        <f ca="1">IFERROR(__xludf.DUMMYFUNCTION("""COMPUTED_VALUE"""),3450)</f>
        <v>3450</v>
      </c>
      <c r="K310" s="170">
        <f ca="1">IFERROR(__xludf.DUMMYFUNCTION("""COMPUTED_VALUE"""),0)</f>
        <v>0</v>
      </c>
      <c r="L310" s="170">
        <f ca="1">IFERROR(__xludf.DUMMYFUNCTION("""COMPUTED_VALUE"""),0)</f>
        <v>0</v>
      </c>
      <c r="M310" s="170">
        <f ca="1">IFERROR(__xludf.DUMMYFUNCTION("""COMPUTED_VALUE"""),0)</f>
        <v>0</v>
      </c>
      <c r="N310" s="170">
        <f ca="1">IFERROR(__xludf.DUMMYFUNCTION("""COMPUTED_VALUE"""),0)</f>
        <v>0</v>
      </c>
      <c r="O310" s="170">
        <f ca="1">IFERROR(__xludf.DUMMYFUNCTION("""COMPUTED_VALUE"""),0)</f>
        <v>0</v>
      </c>
      <c r="P310" s="170">
        <f ca="1">IFERROR(__xludf.DUMMYFUNCTION("""COMPUTED_VALUE"""),0)</f>
        <v>0</v>
      </c>
      <c r="Q310" s="170">
        <f ca="1">IFERROR(__xludf.DUMMYFUNCTION("""COMPUTED_VALUE"""),0)</f>
        <v>0</v>
      </c>
      <c r="R310" s="170">
        <f ca="1">IFERROR(__xludf.DUMMYFUNCTION("""COMPUTED_VALUE"""),0)</f>
        <v>0</v>
      </c>
      <c r="S310" s="170">
        <f ca="1">IFERROR(__xludf.DUMMYFUNCTION("""COMPUTED_VALUE"""),0)</f>
        <v>0</v>
      </c>
      <c r="T310" s="170">
        <f ca="1">IFERROR(__xludf.DUMMYFUNCTION("""COMPUTED_VALUE"""),0)</f>
        <v>0</v>
      </c>
      <c r="U310" s="170">
        <f ca="1"/>
        <v>3450</v>
      </c>
    </row>
    <row r="311" spans="1:21" ht="12.75">
      <c r="A311" s="162" t="str">
        <f ca="1">IFERROR(__xludf.DUMMYFUNCTION("""COMPUTED_VALUE"""),"Paraíso")</f>
        <v>Paraíso</v>
      </c>
      <c r="B311" s="162" t="str">
        <f ca="1">IFERROR(__xludf.DUMMYFUNCTION("""COMPUTED_VALUE"""),"Cristalandia")</f>
        <v>Cristalandia</v>
      </c>
      <c r="C311" s="163" t="str">
        <f ca="1">IFERROR(__xludf.DUMMYFUNCTION("""COMPUTED_VALUE"""),"ASS. APOIO DO COL. EST. DE CRISTALANDIA")</f>
        <v>ASS. APOIO DO COL. EST. DE CRISTALANDIA</v>
      </c>
      <c r="D311" s="164" t="str">
        <f ca="1">IFERROR(__xludf.DUMMYFUNCTION("""COMPUTED_VALUE"""),"01186467000130")</f>
        <v>01186467000130</v>
      </c>
      <c r="E311" s="165" t="str">
        <f ca="1">IFERROR(__xludf.DUMMYFUNCTION("""COMPUTED_VALUE"""),"001")</f>
        <v>001</v>
      </c>
      <c r="F311" s="165" t="str">
        <f ca="1">IFERROR(__xludf.DUMMYFUNCTION("""COMPUTED_VALUE"""),"3638")</f>
        <v>3638</v>
      </c>
      <c r="G311" s="165" t="str">
        <f ca="1">IFERROR(__xludf.DUMMYFUNCTION("""COMPUTED_VALUE"""),"17469")</f>
        <v>17469</v>
      </c>
      <c r="H311" s="165">
        <f ca="1">IFERROR(__xludf.DUMMYFUNCTION("""COMPUTED_VALUE"""),0)</f>
        <v>0</v>
      </c>
      <c r="I311" s="165">
        <f ca="1">IFERROR(__xludf.DUMMYFUNCTION("""COMPUTED_VALUE"""),0)</f>
        <v>0</v>
      </c>
      <c r="J311" s="165">
        <f ca="1">IFERROR(__xludf.DUMMYFUNCTION("""COMPUTED_VALUE"""),1990)</f>
        <v>1990</v>
      </c>
      <c r="K311" s="165">
        <f ca="1">IFERROR(__xludf.DUMMYFUNCTION("""COMPUTED_VALUE"""),0)</f>
        <v>0</v>
      </c>
      <c r="L311" s="165">
        <f ca="1">IFERROR(__xludf.DUMMYFUNCTION("""COMPUTED_VALUE"""),0)</f>
        <v>0</v>
      </c>
      <c r="M311" s="165">
        <f ca="1">IFERROR(__xludf.DUMMYFUNCTION("""COMPUTED_VALUE"""),0)</f>
        <v>0</v>
      </c>
      <c r="N311" s="165">
        <f ca="1">IFERROR(__xludf.DUMMYFUNCTION("""COMPUTED_VALUE"""),0)</f>
        <v>0</v>
      </c>
      <c r="O311" s="165">
        <f ca="1">IFERROR(__xludf.DUMMYFUNCTION("""COMPUTED_VALUE"""),0)</f>
        <v>0</v>
      </c>
      <c r="P311" s="165">
        <f ca="1">IFERROR(__xludf.DUMMYFUNCTION("""COMPUTED_VALUE"""),0)</f>
        <v>0</v>
      </c>
      <c r="Q311" s="165">
        <f ca="1">IFERROR(__xludf.DUMMYFUNCTION("""COMPUTED_VALUE"""),1820)</f>
        <v>1820</v>
      </c>
      <c r="R311" s="165">
        <f ca="1">IFERROR(__xludf.DUMMYFUNCTION("""COMPUTED_VALUE"""),0)</f>
        <v>0</v>
      </c>
      <c r="S311" s="165">
        <f ca="1">IFERROR(__xludf.DUMMYFUNCTION("""COMPUTED_VALUE"""),0)</f>
        <v>0</v>
      </c>
      <c r="T311" s="165">
        <f ca="1">IFERROR(__xludf.DUMMYFUNCTION("""COMPUTED_VALUE"""),0)</f>
        <v>0</v>
      </c>
      <c r="U311" s="165">
        <f ca="1"/>
        <v>3810</v>
      </c>
    </row>
    <row r="312" spans="1:21" ht="12.75">
      <c r="A312" s="167" t="str">
        <f ca="1">IFERROR(__xludf.DUMMYFUNCTION("""COMPUTED_VALUE"""),"Paraíso")</f>
        <v>Paraíso</v>
      </c>
      <c r="B312" s="167" t="str">
        <f ca="1">IFERROR(__xludf.DUMMYFUNCTION("""COMPUTED_VALUE"""),"Cristalandia")</f>
        <v>Cristalandia</v>
      </c>
      <c r="C312" s="168" t="str">
        <f ca="1">IFERROR(__xludf.DUMMYFUNCTION("""COMPUTED_VALUE"""),"APAE DE CRISTALÂNDIA")</f>
        <v>APAE DE CRISTALÂNDIA</v>
      </c>
      <c r="D312" s="169" t="str">
        <f ca="1">IFERROR(__xludf.DUMMYFUNCTION("""COMPUTED_VALUE"""),"01995319000167")</f>
        <v>01995319000167</v>
      </c>
      <c r="E312" s="170" t="str">
        <f ca="1">IFERROR(__xludf.DUMMYFUNCTION("""COMPUTED_VALUE"""),"001")</f>
        <v>001</v>
      </c>
      <c r="F312" s="170" t="str">
        <f ca="1">IFERROR(__xludf.DUMMYFUNCTION("""COMPUTED_VALUE"""),"3638")</f>
        <v>3638</v>
      </c>
      <c r="G312" s="170" t="str">
        <f ca="1">IFERROR(__xludf.DUMMYFUNCTION("""COMPUTED_VALUE"""),"71315")</f>
        <v>71315</v>
      </c>
      <c r="H312" s="170">
        <f ca="1">IFERROR(__xludf.DUMMYFUNCTION("""COMPUTED_VALUE"""),0)</f>
        <v>0</v>
      </c>
      <c r="I312" s="170">
        <f ca="1">IFERROR(__xludf.DUMMYFUNCTION("""COMPUTED_VALUE"""),72)</f>
        <v>72</v>
      </c>
      <c r="J312" s="170">
        <f ca="1">IFERROR(__xludf.DUMMYFUNCTION("""COMPUTED_VALUE"""),30)</f>
        <v>30</v>
      </c>
      <c r="K312" s="170">
        <f ca="1">IFERROR(__xludf.DUMMYFUNCTION("""COMPUTED_VALUE"""),0)</f>
        <v>0</v>
      </c>
      <c r="L312" s="170">
        <f ca="1">IFERROR(__xludf.DUMMYFUNCTION("""COMPUTED_VALUE"""),0)</f>
        <v>0</v>
      </c>
      <c r="M312" s="170">
        <f ca="1">IFERROR(__xludf.DUMMYFUNCTION("""COMPUTED_VALUE"""),0)</f>
        <v>0</v>
      </c>
      <c r="N312" s="170">
        <f ca="1">IFERROR(__xludf.DUMMYFUNCTION("""COMPUTED_VALUE"""),0)</f>
        <v>0</v>
      </c>
      <c r="O312" s="170">
        <f ca="1">IFERROR(__xludf.DUMMYFUNCTION("""COMPUTED_VALUE"""),0)</f>
        <v>0</v>
      </c>
      <c r="P312" s="170">
        <f ca="1">IFERROR(__xludf.DUMMYFUNCTION("""COMPUTED_VALUE"""),258.4)</f>
        <v>258.39999999999998</v>
      </c>
      <c r="Q312" s="170">
        <f ca="1">IFERROR(__xludf.DUMMYFUNCTION("""COMPUTED_VALUE"""),0)</f>
        <v>0</v>
      </c>
      <c r="R312" s="170">
        <f ca="1">IFERROR(__xludf.DUMMYFUNCTION("""COMPUTED_VALUE"""),0)</f>
        <v>0</v>
      </c>
      <c r="S312" s="170">
        <f ca="1">IFERROR(__xludf.DUMMYFUNCTION("""COMPUTED_VALUE"""),0)</f>
        <v>0</v>
      </c>
      <c r="T312" s="170">
        <f ca="1">IFERROR(__xludf.DUMMYFUNCTION("""COMPUTED_VALUE"""),254.2)</f>
        <v>254.2</v>
      </c>
      <c r="U312" s="170">
        <f ca="1"/>
        <v>614.59999999999991</v>
      </c>
    </row>
    <row r="313" spans="1:21" ht="12.75">
      <c r="A313" s="162" t="str">
        <f ca="1">IFERROR(__xludf.DUMMYFUNCTION("""COMPUTED_VALUE"""),"Paraíso")</f>
        <v>Paraíso</v>
      </c>
      <c r="B313" s="162" t="str">
        <f ca="1">IFERROR(__xludf.DUMMYFUNCTION("""COMPUTED_VALUE"""),"Cristalandia")</f>
        <v>Cristalandia</v>
      </c>
      <c r="C313" s="163" t="str">
        <f ca="1">IFERROR(__xludf.DUMMYFUNCTION("""COMPUTED_VALUE"""),"A.A. ESCOLA MUL.OTACILIO MARQUES ROSAL")</f>
        <v>A.A. ESCOLA MUL.OTACILIO MARQUES ROSAL</v>
      </c>
      <c r="D313" s="164" t="str">
        <f ca="1">IFERROR(__xludf.DUMMYFUNCTION("""COMPUTED_VALUE"""),"01071438000123")</f>
        <v>01071438000123</v>
      </c>
      <c r="E313" s="165" t="str">
        <f ca="1">IFERROR(__xludf.DUMMYFUNCTION("""COMPUTED_VALUE"""),"001")</f>
        <v>001</v>
      </c>
      <c r="F313" s="165" t="str">
        <f ca="1">IFERROR(__xludf.DUMMYFUNCTION("""COMPUTED_VALUE"""),"3638")</f>
        <v>3638</v>
      </c>
      <c r="G313" s="165" t="str">
        <f ca="1">IFERROR(__xludf.DUMMYFUNCTION("""COMPUTED_VALUE"""),"7120X")</f>
        <v>7120X</v>
      </c>
      <c r="H313" s="165">
        <f ca="1">IFERROR(__xludf.DUMMYFUNCTION("""COMPUTED_VALUE"""),0)</f>
        <v>0</v>
      </c>
      <c r="I313" s="165">
        <f ca="1">IFERROR(__xludf.DUMMYFUNCTION("""COMPUTED_VALUE"""),0)</f>
        <v>0</v>
      </c>
      <c r="J313" s="165">
        <f ca="1">IFERROR(__xludf.DUMMYFUNCTION("""COMPUTED_VALUE"""),2760)</f>
        <v>2760</v>
      </c>
      <c r="K313" s="165">
        <f ca="1">IFERROR(__xludf.DUMMYFUNCTION("""COMPUTED_VALUE"""),0)</f>
        <v>0</v>
      </c>
      <c r="L313" s="165">
        <f ca="1">IFERROR(__xludf.DUMMYFUNCTION("""COMPUTED_VALUE"""),0)</f>
        <v>0</v>
      </c>
      <c r="M313" s="165">
        <f ca="1">IFERROR(__xludf.DUMMYFUNCTION("""COMPUTED_VALUE"""),0)</f>
        <v>0</v>
      </c>
      <c r="N313" s="165">
        <f ca="1">IFERROR(__xludf.DUMMYFUNCTION("""COMPUTED_VALUE"""),0)</f>
        <v>0</v>
      </c>
      <c r="O313" s="165">
        <f ca="1">IFERROR(__xludf.DUMMYFUNCTION("""COMPUTED_VALUE"""),0)</f>
        <v>0</v>
      </c>
      <c r="P313" s="165">
        <f ca="1">IFERROR(__xludf.DUMMYFUNCTION("""COMPUTED_VALUE"""),136)</f>
        <v>136</v>
      </c>
      <c r="Q313" s="165">
        <f ca="1">IFERROR(__xludf.DUMMYFUNCTION("""COMPUTED_VALUE"""),1490)</f>
        <v>1490</v>
      </c>
      <c r="R313" s="165">
        <f ca="1">IFERROR(__xludf.DUMMYFUNCTION("""COMPUTED_VALUE"""),0)</f>
        <v>0</v>
      </c>
      <c r="S313" s="165">
        <f ca="1">IFERROR(__xludf.DUMMYFUNCTION("""COMPUTED_VALUE"""),0)</f>
        <v>0</v>
      </c>
      <c r="T313" s="165">
        <f ca="1">IFERROR(__xludf.DUMMYFUNCTION("""COMPUTED_VALUE"""),0)</f>
        <v>0</v>
      </c>
      <c r="U313" s="165">
        <f ca="1"/>
        <v>4386</v>
      </c>
    </row>
    <row r="314" spans="1:21" ht="12.75">
      <c r="A314" s="167" t="str">
        <f ca="1">IFERROR(__xludf.DUMMYFUNCTION("""COMPUTED_VALUE"""),"Paraíso")</f>
        <v>Paraíso</v>
      </c>
      <c r="B314" s="167" t="str">
        <f ca="1">IFERROR(__xludf.DUMMYFUNCTION("""COMPUTED_VALUE"""),"Divinopolis do Tocantins")</f>
        <v>Divinopolis do Tocantins</v>
      </c>
      <c r="C314" s="168" t="str">
        <f ca="1">IFERROR(__xludf.DUMMYFUNCTION("""COMPUTED_VALUE"""),"A.A. DO COLEGIO MUL. JOAO DIAS SOBRINHO")</f>
        <v>A.A. DO COLEGIO MUL. JOAO DIAS SOBRINHO</v>
      </c>
      <c r="D314" s="169" t="str">
        <f ca="1">IFERROR(__xludf.DUMMYFUNCTION("""COMPUTED_VALUE"""),"01184383000168")</f>
        <v>01184383000168</v>
      </c>
      <c r="E314" s="170" t="str">
        <f ca="1">IFERROR(__xludf.DUMMYFUNCTION("""COMPUTED_VALUE"""),"001")</f>
        <v>001</v>
      </c>
      <c r="F314" s="170" t="str">
        <f ca="1">IFERROR(__xludf.DUMMYFUNCTION("""COMPUTED_VALUE"""),"3812")</f>
        <v>3812</v>
      </c>
      <c r="G314" s="170" t="str">
        <f ca="1">IFERROR(__xludf.DUMMYFUNCTION("""COMPUTED_VALUE"""),"275069")</f>
        <v>275069</v>
      </c>
      <c r="H314" s="170">
        <f ca="1">IFERROR(__xludf.DUMMYFUNCTION("""COMPUTED_VALUE"""),0)</f>
        <v>0</v>
      </c>
      <c r="I314" s="170">
        <f ca="1">IFERROR(__xludf.DUMMYFUNCTION("""COMPUTED_VALUE"""),0)</f>
        <v>0</v>
      </c>
      <c r="J314" s="170">
        <f ca="1">IFERROR(__xludf.DUMMYFUNCTION("""COMPUTED_VALUE"""),2740)</f>
        <v>2740</v>
      </c>
      <c r="K314" s="170">
        <f ca="1">IFERROR(__xludf.DUMMYFUNCTION("""COMPUTED_VALUE"""),0)</f>
        <v>0</v>
      </c>
      <c r="L314" s="170">
        <f ca="1">IFERROR(__xludf.DUMMYFUNCTION("""COMPUTED_VALUE"""),0)</f>
        <v>0</v>
      </c>
      <c r="M314" s="170">
        <f ca="1">IFERROR(__xludf.DUMMYFUNCTION("""COMPUTED_VALUE"""),0)</f>
        <v>0</v>
      </c>
      <c r="N314" s="170">
        <f ca="1">IFERROR(__xludf.DUMMYFUNCTION("""COMPUTED_VALUE"""),0)</f>
        <v>0</v>
      </c>
      <c r="O314" s="170">
        <f ca="1">IFERROR(__xludf.DUMMYFUNCTION("""COMPUTED_VALUE"""),0)</f>
        <v>0</v>
      </c>
      <c r="P314" s="170">
        <f ca="1">IFERROR(__xludf.DUMMYFUNCTION("""COMPUTED_VALUE"""),0)</f>
        <v>0</v>
      </c>
      <c r="Q314" s="170">
        <f ca="1">IFERROR(__xludf.DUMMYFUNCTION("""COMPUTED_VALUE"""),2350)</f>
        <v>2350</v>
      </c>
      <c r="R314" s="170">
        <f ca="1">IFERROR(__xludf.DUMMYFUNCTION("""COMPUTED_VALUE"""),0)</f>
        <v>0</v>
      </c>
      <c r="S314" s="170">
        <f ca="1">IFERROR(__xludf.DUMMYFUNCTION("""COMPUTED_VALUE"""),0)</f>
        <v>0</v>
      </c>
      <c r="T314" s="170">
        <f ca="1">IFERROR(__xludf.DUMMYFUNCTION("""COMPUTED_VALUE"""),122.999999999999)</f>
        <v>122.99999999999901</v>
      </c>
      <c r="U314" s="170">
        <f ca="1"/>
        <v>5212.9999999999991</v>
      </c>
    </row>
    <row r="315" spans="1:21" ht="12.75">
      <c r="A315" s="162" t="str">
        <f ca="1">IFERROR(__xludf.DUMMYFUNCTION("""COMPUTED_VALUE"""),"Paraíso")</f>
        <v>Paraíso</v>
      </c>
      <c r="B315" s="162" t="str">
        <f ca="1">IFERROR(__xludf.DUMMYFUNCTION("""COMPUTED_VALUE"""),"Divinopolis do Tocantins")</f>
        <v>Divinopolis do Tocantins</v>
      </c>
      <c r="C315" s="163" t="str">
        <f ca="1">IFERROR(__xludf.DUMMYFUNCTION("""COMPUTED_VALUE"""),"ASS. APOIO ESC. EST. D. CANDIDA DE FREITAS")</f>
        <v>ASS. APOIO ESC. EST. D. CANDIDA DE FREITAS</v>
      </c>
      <c r="D315" s="164" t="str">
        <f ca="1">IFERROR(__xludf.DUMMYFUNCTION("""COMPUTED_VALUE"""),"01296363000189")</f>
        <v>01296363000189</v>
      </c>
      <c r="E315" s="165" t="str">
        <f ca="1">IFERROR(__xludf.DUMMYFUNCTION("""COMPUTED_VALUE"""),"001")</f>
        <v>001</v>
      </c>
      <c r="F315" s="165" t="str">
        <f ca="1">IFERROR(__xludf.DUMMYFUNCTION("""COMPUTED_VALUE"""),"3812")</f>
        <v>3812</v>
      </c>
      <c r="G315" s="165" t="str">
        <f ca="1">IFERROR(__xludf.DUMMYFUNCTION("""COMPUTED_VALUE"""),"70629")</f>
        <v>70629</v>
      </c>
      <c r="H315" s="165">
        <f ca="1">IFERROR(__xludf.DUMMYFUNCTION("""COMPUTED_VALUE"""),0)</f>
        <v>0</v>
      </c>
      <c r="I315" s="165">
        <f ca="1">IFERROR(__xludf.DUMMYFUNCTION("""COMPUTED_VALUE"""),0)</f>
        <v>0</v>
      </c>
      <c r="J315" s="165">
        <f ca="1">IFERROR(__xludf.DUMMYFUNCTION("""COMPUTED_VALUE"""),2030)</f>
        <v>2030</v>
      </c>
      <c r="K315" s="165">
        <f ca="1">IFERROR(__xludf.DUMMYFUNCTION("""COMPUTED_VALUE"""),0)</f>
        <v>0</v>
      </c>
      <c r="L315" s="165">
        <f ca="1">IFERROR(__xludf.DUMMYFUNCTION("""COMPUTED_VALUE"""),0)</f>
        <v>0</v>
      </c>
      <c r="M315" s="165">
        <f ca="1">IFERROR(__xludf.DUMMYFUNCTION("""COMPUTED_VALUE"""),0)</f>
        <v>0</v>
      </c>
      <c r="N315" s="165">
        <f ca="1">IFERROR(__xludf.DUMMYFUNCTION("""COMPUTED_VALUE"""),0)</f>
        <v>0</v>
      </c>
      <c r="O315" s="165">
        <f ca="1">IFERROR(__xludf.DUMMYFUNCTION("""COMPUTED_VALUE"""),0)</f>
        <v>0</v>
      </c>
      <c r="P315" s="165">
        <f ca="1">IFERROR(__xludf.DUMMYFUNCTION("""COMPUTED_VALUE"""),0)</f>
        <v>0</v>
      </c>
      <c r="Q315" s="165">
        <f ca="1">IFERROR(__xludf.DUMMYFUNCTION("""COMPUTED_VALUE"""),0)</f>
        <v>0</v>
      </c>
      <c r="R315" s="165">
        <f ca="1">IFERROR(__xludf.DUMMYFUNCTION("""COMPUTED_VALUE"""),0)</f>
        <v>0</v>
      </c>
      <c r="S315" s="165">
        <f ca="1">IFERROR(__xludf.DUMMYFUNCTION("""COMPUTED_VALUE"""),0)</f>
        <v>0</v>
      </c>
      <c r="T315" s="165">
        <f ca="1">IFERROR(__xludf.DUMMYFUNCTION("""COMPUTED_VALUE"""),106.6)</f>
        <v>106.6</v>
      </c>
      <c r="U315" s="165">
        <f ca="1"/>
        <v>2136.6</v>
      </c>
    </row>
    <row r="316" spans="1:21" ht="12.75">
      <c r="A316" s="167" t="str">
        <f ca="1">IFERROR(__xludf.DUMMYFUNCTION("""COMPUTED_VALUE"""),"Paraíso")</f>
        <v>Paraíso</v>
      </c>
      <c r="B316" s="167" t="str">
        <f ca="1">IFERROR(__xludf.DUMMYFUNCTION("""COMPUTED_VALUE"""),"Lagoa da Confusao")</f>
        <v>Lagoa da Confusao</v>
      </c>
      <c r="C316" s="168" t="str">
        <f ca="1">IFERROR(__xludf.DUMMYFUNCTION("""COMPUTED_VALUE"""),"A.A.  ESTUD COL. EST. LAGOA DA CONFUSAO")</f>
        <v>A.A.  ESTUD COL. EST. LAGOA DA CONFUSAO</v>
      </c>
      <c r="D316" s="169" t="str">
        <f ca="1">IFERROR(__xludf.DUMMYFUNCTION("""COMPUTED_VALUE"""),"01179116000100")</f>
        <v>01179116000100</v>
      </c>
      <c r="E316" s="170" t="str">
        <f ca="1">IFERROR(__xludf.DUMMYFUNCTION("""COMPUTED_VALUE"""),"001")</f>
        <v>001</v>
      </c>
      <c r="F316" s="170" t="str">
        <f ca="1">IFERROR(__xludf.DUMMYFUNCTION("""COMPUTED_VALUE"""),"3983")</f>
        <v>3983</v>
      </c>
      <c r="G316" s="170" t="str">
        <f ca="1">IFERROR(__xludf.DUMMYFUNCTION("""COMPUTED_VALUE"""),"84735")</f>
        <v>84735</v>
      </c>
      <c r="H316" s="170">
        <f ca="1">IFERROR(__xludf.DUMMYFUNCTION("""COMPUTED_VALUE"""),0)</f>
        <v>0</v>
      </c>
      <c r="I316" s="170">
        <f ca="1">IFERROR(__xludf.DUMMYFUNCTION("""COMPUTED_VALUE"""),0)</f>
        <v>0</v>
      </c>
      <c r="J316" s="170">
        <f ca="1">IFERROR(__xludf.DUMMYFUNCTION("""COMPUTED_VALUE"""),860)</f>
        <v>860</v>
      </c>
      <c r="K316" s="170">
        <f ca="1">IFERROR(__xludf.DUMMYFUNCTION("""COMPUTED_VALUE"""),0)</f>
        <v>0</v>
      </c>
      <c r="L316" s="170">
        <f ca="1">IFERROR(__xludf.DUMMYFUNCTION("""COMPUTED_VALUE"""),0)</f>
        <v>0</v>
      </c>
      <c r="M316" s="170">
        <f ca="1">IFERROR(__xludf.DUMMYFUNCTION("""COMPUTED_VALUE"""),0)</f>
        <v>0</v>
      </c>
      <c r="N316" s="170">
        <f ca="1">IFERROR(__xludf.DUMMYFUNCTION("""COMPUTED_VALUE"""),0)</f>
        <v>0</v>
      </c>
      <c r="O316" s="170">
        <f ca="1">IFERROR(__xludf.DUMMYFUNCTION("""COMPUTED_VALUE"""),0)</f>
        <v>0</v>
      </c>
      <c r="P316" s="170">
        <f ca="1">IFERROR(__xludf.DUMMYFUNCTION("""COMPUTED_VALUE"""),68)</f>
        <v>68</v>
      </c>
      <c r="Q316" s="170">
        <f ca="1">IFERROR(__xludf.DUMMYFUNCTION("""COMPUTED_VALUE"""),4940)</f>
        <v>4940</v>
      </c>
      <c r="R316" s="170">
        <f ca="1">IFERROR(__xludf.DUMMYFUNCTION("""COMPUTED_VALUE"""),0)</f>
        <v>0</v>
      </c>
      <c r="S316" s="170">
        <f ca="1">IFERROR(__xludf.DUMMYFUNCTION("""COMPUTED_VALUE"""),0)</f>
        <v>0</v>
      </c>
      <c r="T316" s="170">
        <f ca="1">IFERROR(__xludf.DUMMYFUNCTION("""COMPUTED_VALUE"""),65.6)</f>
        <v>65.599999999999994</v>
      </c>
      <c r="U316" s="170">
        <f ca="1"/>
        <v>5933.6</v>
      </c>
    </row>
    <row r="317" spans="1:21" ht="12.75">
      <c r="A317" s="162" t="str">
        <f ca="1">IFERROR(__xludf.DUMMYFUNCTION("""COMPUTED_VALUE"""),"Paraíso")</f>
        <v>Paraíso</v>
      </c>
      <c r="B317" s="162" t="str">
        <f ca="1">IFERROR(__xludf.DUMMYFUNCTION("""COMPUTED_VALUE"""),"Lagoa da Confusao")</f>
        <v>Lagoa da Confusao</v>
      </c>
      <c r="C317" s="163" t="str">
        <f ca="1">IFERROR(__xludf.DUMMYFUNCTION("""COMPUTED_VALUE"""),"ASSOCIAÇÃO DA ESCOLA ESPECIAL LAGOA DA CONFUSÃO")</f>
        <v>ASSOCIAÇÃO DA ESCOLA ESPECIAL LAGOA DA CONFUSÃO</v>
      </c>
      <c r="D317" s="164" t="str">
        <f ca="1">IFERROR(__xludf.DUMMYFUNCTION("""COMPUTED_VALUE"""),"08755554000100")</f>
        <v>08755554000100</v>
      </c>
      <c r="E317" s="165" t="str">
        <f ca="1">IFERROR(__xludf.DUMMYFUNCTION("""COMPUTED_VALUE"""),"001")</f>
        <v>001</v>
      </c>
      <c r="F317" s="165" t="str">
        <f ca="1">IFERROR(__xludf.DUMMYFUNCTION("""COMPUTED_VALUE"""),"3983")</f>
        <v>3983</v>
      </c>
      <c r="G317" s="165" t="str">
        <f ca="1">IFERROR(__xludf.DUMMYFUNCTION("""COMPUTED_VALUE"""),"83712")</f>
        <v>83712</v>
      </c>
      <c r="H317" s="165">
        <f ca="1">IFERROR(__xludf.DUMMYFUNCTION("""COMPUTED_VALUE"""),0)</f>
        <v>0</v>
      </c>
      <c r="I317" s="165">
        <f ca="1">IFERROR(__xludf.DUMMYFUNCTION("""COMPUTED_VALUE"""),115.2)</f>
        <v>115.2</v>
      </c>
      <c r="J317" s="165">
        <f ca="1">IFERROR(__xludf.DUMMYFUNCTION("""COMPUTED_VALUE"""),100)</f>
        <v>100</v>
      </c>
      <c r="K317" s="165">
        <f ca="1">IFERROR(__xludf.DUMMYFUNCTION("""COMPUTED_VALUE"""),0)</f>
        <v>0</v>
      </c>
      <c r="L317" s="165">
        <f ca="1">IFERROR(__xludf.DUMMYFUNCTION("""COMPUTED_VALUE"""),0)</f>
        <v>0</v>
      </c>
      <c r="M317" s="165">
        <f ca="1">IFERROR(__xludf.DUMMYFUNCTION("""COMPUTED_VALUE"""),0)</f>
        <v>0</v>
      </c>
      <c r="N317" s="165">
        <f ca="1">IFERROR(__xludf.DUMMYFUNCTION("""COMPUTED_VALUE"""),0)</f>
        <v>0</v>
      </c>
      <c r="O317" s="165">
        <f ca="1">IFERROR(__xludf.DUMMYFUNCTION("""COMPUTED_VALUE"""),0)</f>
        <v>0</v>
      </c>
      <c r="P317" s="165">
        <f ca="1">IFERROR(__xludf.DUMMYFUNCTION("""COMPUTED_VALUE"""),244.799999999999)</f>
        <v>244.79999999999899</v>
      </c>
      <c r="Q317" s="165">
        <f ca="1">IFERROR(__xludf.DUMMYFUNCTION("""COMPUTED_VALUE"""),0)</f>
        <v>0</v>
      </c>
      <c r="R317" s="165">
        <f ca="1">IFERROR(__xludf.DUMMYFUNCTION("""COMPUTED_VALUE"""),0)</f>
        <v>0</v>
      </c>
      <c r="S317" s="165">
        <f ca="1">IFERROR(__xludf.DUMMYFUNCTION("""COMPUTED_VALUE"""),0)</f>
        <v>0</v>
      </c>
      <c r="T317" s="165">
        <f ca="1">IFERROR(__xludf.DUMMYFUNCTION("""COMPUTED_VALUE"""),122.999999999999)</f>
        <v>122.99999999999901</v>
      </c>
      <c r="U317" s="165">
        <f ca="1"/>
        <v>582.99999999999795</v>
      </c>
    </row>
    <row r="318" spans="1:21" ht="12.75">
      <c r="A318" s="167" t="str">
        <f ca="1">IFERROR(__xludf.DUMMYFUNCTION("""COMPUTED_VALUE"""),"Paraíso")</f>
        <v>Paraíso</v>
      </c>
      <c r="B318" s="167" t="str">
        <f ca="1">IFERROR(__xludf.DUMMYFUNCTION("""COMPUTED_VALUE"""),"Marianopolis do Tocantins")</f>
        <v>Marianopolis do Tocantins</v>
      </c>
      <c r="C318" s="168" t="str">
        <f ca="1">IFERROR(__xludf.DUMMYFUNCTION("""COMPUTED_VALUE"""),"A.A. DO COL. EST. DAVID BARBOSA ROLINS")</f>
        <v>A.A. DO COL. EST. DAVID BARBOSA ROLINS</v>
      </c>
      <c r="D318" s="169" t="str">
        <f ca="1">IFERROR(__xludf.DUMMYFUNCTION("""COMPUTED_VALUE"""),"01980050000145")</f>
        <v>01980050000145</v>
      </c>
      <c r="E318" s="170" t="str">
        <f ca="1">IFERROR(__xludf.DUMMYFUNCTION("""COMPUTED_VALUE"""),"001")</f>
        <v>001</v>
      </c>
      <c r="F318" s="170" t="str">
        <f ca="1">IFERROR(__xludf.DUMMYFUNCTION("""COMPUTED_VALUE"""),"0804")</f>
        <v>0804</v>
      </c>
      <c r="G318" s="170" t="str">
        <f ca="1">IFERROR(__xludf.DUMMYFUNCTION("""COMPUTED_VALUE"""),"219045")</f>
        <v>219045</v>
      </c>
      <c r="H318" s="170">
        <f ca="1">IFERROR(__xludf.DUMMYFUNCTION("""COMPUTED_VALUE"""),0)</f>
        <v>0</v>
      </c>
      <c r="I318" s="170">
        <f ca="1">IFERROR(__xludf.DUMMYFUNCTION("""COMPUTED_VALUE"""),0)</f>
        <v>0</v>
      </c>
      <c r="J318" s="170">
        <f ca="1">IFERROR(__xludf.DUMMYFUNCTION("""COMPUTED_VALUE"""),1120)</f>
        <v>1120</v>
      </c>
      <c r="K318" s="170">
        <f ca="1">IFERROR(__xludf.DUMMYFUNCTION("""COMPUTED_VALUE"""),0)</f>
        <v>0</v>
      </c>
      <c r="L318" s="170">
        <f ca="1">IFERROR(__xludf.DUMMYFUNCTION("""COMPUTED_VALUE"""),0)</f>
        <v>0</v>
      </c>
      <c r="M318" s="170">
        <f ca="1">IFERROR(__xludf.DUMMYFUNCTION("""COMPUTED_VALUE"""),0)</f>
        <v>0</v>
      </c>
      <c r="N318" s="170">
        <f ca="1">IFERROR(__xludf.DUMMYFUNCTION("""COMPUTED_VALUE"""),0)</f>
        <v>0</v>
      </c>
      <c r="O318" s="170">
        <f ca="1">IFERROR(__xludf.DUMMYFUNCTION("""COMPUTED_VALUE"""),0)</f>
        <v>0</v>
      </c>
      <c r="P318" s="170">
        <f ca="1">IFERROR(__xludf.DUMMYFUNCTION("""COMPUTED_VALUE"""),0)</f>
        <v>0</v>
      </c>
      <c r="Q318" s="170">
        <f ca="1">IFERROR(__xludf.DUMMYFUNCTION("""COMPUTED_VALUE"""),1910)</f>
        <v>1910</v>
      </c>
      <c r="R318" s="170">
        <f ca="1">IFERROR(__xludf.DUMMYFUNCTION("""COMPUTED_VALUE"""),0)</f>
        <v>0</v>
      </c>
      <c r="S318" s="170">
        <f ca="1">IFERROR(__xludf.DUMMYFUNCTION("""COMPUTED_VALUE"""),0)</f>
        <v>0</v>
      </c>
      <c r="T318" s="170">
        <f ca="1">IFERROR(__xludf.DUMMYFUNCTION("""COMPUTED_VALUE"""),0)</f>
        <v>0</v>
      </c>
      <c r="U318" s="170">
        <f ca="1"/>
        <v>3030</v>
      </c>
    </row>
    <row r="319" spans="1:21" ht="12.75">
      <c r="A319" s="162" t="str">
        <f ca="1">IFERROR(__xludf.DUMMYFUNCTION("""COMPUTED_VALUE"""),"Paraíso")</f>
        <v>Paraíso</v>
      </c>
      <c r="B319" s="162" t="str">
        <f ca="1">IFERROR(__xludf.DUMMYFUNCTION("""COMPUTED_VALUE"""),"Nova Rosalandia")</f>
        <v>Nova Rosalandia</v>
      </c>
      <c r="C319" s="163" t="str">
        <f ca="1">IFERROR(__xludf.DUMMYFUNCTION("""COMPUTED_VALUE"""),"A. ESC. COM. ESC. EST.PEDRO XAVIER TEIXEIRA")</f>
        <v>A. ESC. COM. ESC. EST.PEDRO XAVIER TEIXEIRA</v>
      </c>
      <c r="D319" s="164" t="str">
        <f ca="1">IFERROR(__xludf.DUMMYFUNCTION("""COMPUTED_VALUE"""),"01068367000100")</f>
        <v>01068367000100</v>
      </c>
      <c r="E319" s="165" t="str">
        <f ca="1">IFERROR(__xludf.DUMMYFUNCTION("""COMPUTED_VALUE"""),"001")</f>
        <v>001</v>
      </c>
      <c r="F319" s="165" t="str">
        <f ca="1">IFERROR(__xludf.DUMMYFUNCTION("""COMPUTED_VALUE"""),"0804")</f>
        <v>0804</v>
      </c>
      <c r="G319" s="165" t="str">
        <f ca="1">IFERROR(__xludf.DUMMYFUNCTION("""COMPUTED_VALUE"""),"234265")</f>
        <v>234265</v>
      </c>
      <c r="H319" s="165">
        <f ca="1">IFERROR(__xludf.DUMMYFUNCTION("""COMPUTED_VALUE"""),0)</f>
        <v>0</v>
      </c>
      <c r="I319" s="165">
        <f ca="1">IFERROR(__xludf.DUMMYFUNCTION("""COMPUTED_VALUE"""),0)</f>
        <v>0</v>
      </c>
      <c r="J319" s="165">
        <f ca="1">IFERROR(__xludf.DUMMYFUNCTION("""COMPUTED_VALUE"""),820)</f>
        <v>820</v>
      </c>
      <c r="K319" s="165">
        <f ca="1">IFERROR(__xludf.DUMMYFUNCTION("""COMPUTED_VALUE"""),0)</f>
        <v>0</v>
      </c>
      <c r="L319" s="165">
        <f ca="1">IFERROR(__xludf.DUMMYFUNCTION("""COMPUTED_VALUE"""),0)</f>
        <v>0</v>
      </c>
      <c r="M319" s="165">
        <f ca="1">IFERROR(__xludf.DUMMYFUNCTION("""COMPUTED_VALUE"""),0)</f>
        <v>0</v>
      </c>
      <c r="N319" s="165">
        <f ca="1">IFERROR(__xludf.DUMMYFUNCTION("""COMPUTED_VALUE"""),0)</f>
        <v>0</v>
      </c>
      <c r="O319" s="165">
        <f ca="1">IFERROR(__xludf.DUMMYFUNCTION("""COMPUTED_VALUE"""),0)</f>
        <v>0</v>
      </c>
      <c r="P319" s="165">
        <f ca="1">IFERROR(__xludf.DUMMYFUNCTION("""COMPUTED_VALUE"""),0)</f>
        <v>0</v>
      </c>
      <c r="Q319" s="165">
        <f ca="1">IFERROR(__xludf.DUMMYFUNCTION("""COMPUTED_VALUE"""),940)</f>
        <v>940</v>
      </c>
      <c r="R319" s="165">
        <f ca="1">IFERROR(__xludf.DUMMYFUNCTION("""COMPUTED_VALUE"""),0)</f>
        <v>0</v>
      </c>
      <c r="S319" s="165">
        <f ca="1">IFERROR(__xludf.DUMMYFUNCTION("""COMPUTED_VALUE"""),0)</f>
        <v>0</v>
      </c>
      <c r="T319" s="165">
        <f ca="1">IFERROR(__xludf.DUMMYFUNCTION("""COMPUTED_VALUE"""),106.6)</f>
        <v>106.6</v>
      </c>
      <c r="U319" s="165">
        <f ca="1"/>
        <v>1866.6</v>
      </c>
    </row>
    <row r="320" spans="1:21" ht="12.75">
      <c r="A320" s="167" t="str">
        <f ca="1">IFERROR(__xludf.DUMMYFUNCTION("""COMPUTED_VALUE"""),"Paraíso")</f>
        <v>Paraíso</v>
      </c>
      <c r="B320" s="167" t="str">
        <f ca="1">IFERROR(__xludf.DUMMYFUNCTION("""COMPUTED_VALUE"""),"Nova Rosalandia")</f>
        <v>Nova Rosalandia</v>
      </c>
      <c r="C320" s="168" t="str">
        <f ca="1">IFERROR(__xludf.DUMMYFUNCTION("""COMPUTED_VALUE"""),"A.A. A ESCOLA ESTADUAL CAMPO MAIOR")</f>
        <v>A.A. A ESCOLA ESTADUAL CAMPO MAIOR</v>
      </c>
      <c r="D320" s="169" t="str">
        <f ca="1">IFERROR(__xludf.DUMMYFUNCTION("""COMPUTED_VALUE"""),"01068373000167")</f>
        <v>01068373000167</v>
      </c>
      <c r="E320" s="170" t="str">
        <f ca="1">IFERROR(__xludf.DUMMYFUNCTION("""COMPUTED_VALUE"""),"001")</f>
        <v>001</v>
      </c>
      <c r="F320" s="170" t="str">
        <f ca="1">IFERROR(__xludf.DUMMYFUNCTION("""COMPUTED_VALUE"""),"0804")</f>
        <v>0804</v>
      </c>
      <c r="G320" s="170" t="str">
        <f ca="1">IFERROR(__xludf.DUMMYFUNCTION("""COMPUTED_VALUE"""),"341290")</f>
        <v>341290</v>
      </c>
      <c r="H320" s="170">
        <f ca="1">IFERROR(__xludf.DUMMYFUNCTION("""COMPUTED_VALUE"""),0)</f>
        <v>0</v>
      </c>
      <c r="I320" s="170">
        <f ca="1">IFERROR(__xludf.DUMMYFUNCTION("""COMPUTED_VALUE"""),0)</f>
        <v>0</v>
      </c>
      <c r="J320" s="170">
        <f ca="1">IFERROR(__xludf.DUMMYFUNCTION("""COMPUTED_VALUE"""),340)</f>
        <v>340</v>
      </c>
      <c r="K320" s="170">
        <f ca="1">IFERROR(__xludf.DUMMYFUNCTION("""COMPUTED_VALUE"""),0)</f>
        <v>0</v>
      </c>
      <c r="L320" s="170">
        <f ca="1">IFERROR(__xludf.DUMMYFUNCTION("""COMPUTED_VALUE"""),0)</f>
        <v>0</v>
      </c>
      <c r="M320" s="170">
        <f ca="1">IFERROR(__xludf.DUMMYFUNCTION("""COMPUTED_VALUE"""),0)</f>
        <v>0</v>
      </c>
      <c r="N320" s="170">
        <f ca="1">IFERROR(__xludf.DUMMYFUNCTION("""COMPUTED_VALUE"""),0)</f>
        <v>0</v>
      </c>
      <c r="O320" s="170">
        <f ca="1">IFERROR(__xludf.DUMMYFUNCTION("""COMPUTED_VALUE"""),0)</f>
        <v>0</v>
      </c>
      <c r="P320" s="170">
        <f ca="1">IFERROR(__xludf.DUMMYFUNCTION("""COMPUTED_VALUE"""),0)</f>
        <v>0</v>
      </c>
      <c r="Q320" s="170">
        <f ca="1">IFERROR(__xludf.DUMMYFUNCTION("""COMPUTED_VALUE"""),0)</f>
        <v>0</v>
      </c>
      <c r="R320" s="170">
        <f ca="1">IFERROR(__xludf.DUMMYFUNCTION("""COMPUTED_VALUE"""),0)</f>
        <v>0</v>
      </c>
      <c r="S320" s="170">
        <f ca="1">IFERROR(__xludf.DUMMYFUNCTION("""COMPUTED_VALUE"""),0)</f>
        <v>0</v>
      </c>
      <c r="T320" s="170">
        <f ca="1">IFERROR(__xludf.DUMMYFUNCTION("""COMPUTED_VALUE"""),0)</f>
        <v>0</v>
      </c>
      <c r="U320" s="170">
        <f ca="1"/>
        <v>340</v>
      </c>
    </row>
    <row r="321" spans="1:21" ht="12.75">
      <c r="A321" s="162" t="str">
        <f ca="1">IFERROR(__xludf.DUMMYFUNCTION("""COMPUTED_VALUE"""),"Paraíso")</f>
        <v>Paraíso</v>
      </c>
      <c r="B321" s="162" t="str">
        <f ca="1">IFERROR(__xludf.DUMMYFUNCTION("""COMPUTED_VALUE"""),"Nova Rosalandia")</f>
        <v>Nova Rosalandia</v>
      </c>
      <c r="C321" s="163" t="str">
        <f ca="1">IFERROR(__xludf.DUMMYFUNCTION("""COMPUTED_VALUE"""),"ASSOC.COM. ESC EST.REGINA SIQUEIRA CAMPOS")</f>
        <v>ASSOC.COM. ESC EST.REGINA SIQUEIRA CAMPOS</v>
      </c>
      <c r="D321" s="164" t="str">
        <f ca="1">IFERROR(__xludf.DUMMYFUNCTION("""COMPUTED_VALUE"""),"01181170000182")</f>
        <v>01181170000182</v>
      </c>
      <c r="E321" s="165" t="str">
        <f ca="1">IFERROR(__xludf.DUMMYFUNCTION("""COMPUTED_VALUE"""),"001")</f>
        <v>001</v>
      </c>
      <c r="F321" s="165" t="str">
        <f ca="1">IFERROR(__xludf.DUMMYFUNCTION("""COMPUTED_VALUE"""),"0804")</f>
        <v>0804</v>
      </c>
      <c r="G321" s="165" t="str">
        <f ca="1">IFERROR(__xludf.DUMMYFUNCTION("""COMPUTED_VALUE"""),"16383X")</f>
        <v>16383X</v>
      </c>
      <c r="H321" s="165">
        <f ca="1">IFERROR(__xludf.DUMMYFUNCTION("""COMPUTED_VALUE"""),0)</f>
        <v>0</v>
      </c>
      <c r="I321" s="165">
        <f ca="1">IFERROR(__xludf.DUMMYFUNCTION("""COMPUTED_VALUE"""),0)</f>
        <v>0</v>
      </c>
      <c r="J321" s="165">
        <f ca="1">IFERROR(__xludf.DUMMYFUNCTION("""COMPUTED_VALUE"""),0)</f>
        <v>0</v>
      </c>
      <c r="K321" s="165">
        <f ca="1">IFERROR(__xludf.DUMMYFUNCTION("""COMPUTED_VALUE"""),3781.2)</f>
        <v>3781.2</v>
      </c>
      <c r="L321" s="165">
        <f ca="1">IFERROR(__xludf.DUMMYFUNCTION("""COMPUTED_VALUE"""),0)</f>
        <v>0</v>
      </c>
      <c r="M321" s="165">
        <f ca="1">IFERROR(__xludf.DUMMYFUNCTION("""COMPUTED_VALUE"""),0)</f>
        <v>0</v>
      </c>
      <c r="N321" s="165">
        <f ca="1">IFERROR(__xludf.DUMMYFUNCTION("""COMPUTED_VALUE"""),0)</f>
        <v>0</v>
      </c>
      <c r="O321" s="165">
        <f ca="1">IFERROR(__xludf.DUMMYFUNCTION("""COMPUTED_VALUE"""),0)</f>
        <v>0</v>
      </c>
      <c r="P321" s="165">
        <f ca="1">IFERROR(__xludf.DUMMYFUNCTION("""COMPUTED_VALUE"""),0)</f>
        <v>0</v>
      </c>
      <c r="Q321" s="165">
        <f ca="1">IFERROR(__xludf.DUMMYFUNCTION("""COMPUTED_VALUE"""),0)</f>
        <v>0</v>
      </c>
      <c r="R321" s="165">
        <f ca="1">IFERROR(__xludf.DUMMYFUNCTION("""COMPUTED_VALUE"""),575.4)</f>
        <v>575.4</v>
      </c>
      <c r="S321" s="165">
        <f ca="1">IFERROR(__xludf.DUMMYFUNCTION("""COMPUTED_VALUE"""),0)</f>
        <v>0</v>
      </c>
      <c r="T321" s="165">
        <f ca="1">IFERROR(__xludf.DUMMYFUNCTION("""COMPUTED_VALUE"""),0)</f>
        <v>0</v>
      </c>
      <c r="U321" s="165">
        <f ca="1"/>
        <v>4356.5999999999995</v>
      </c>
    </row>
    <row r="322" spans="1:21" ht="12.75">
      <c r="A322" s="167" t="str">
        <f ca="1">IFERROR(__xludf.DUMMYFUNCTION("""COMPUTED_VALUE"""),"Paraíso")</f>
        <v>Paraíso</v>
      </c>
      <c r="B322" s="167" t="str">
        <f ca="1">IFERROR(__xludf.DUMMYFUNCTION("""COMPUTED_VALUE"""),"Paraiso do Tocantins")</f>
        <v>Paraiso do Tocantins</v>
      </c>
      <c r="C322" s="168" t="str">
        <f ca="1">IFERROR(__xludf.DUMMYFUNCTION("""COMPUTED_VALUE"""),"A.A. ESC. EST.ISOL.INDIG REG PARAISO DO TO")</f>
        <v>A.A. ESC. EST.ISOL.INDIG REG PARAISO DO TO</v>
      </c>
      <c r="D322" s="169" t="str">
        <f ca="1">IFERROR(__xludf.DUMMYFUNCTION("""COMPUTED_VALUE"""),"05099542000187")</f>
        <v>05099542000187</v>
      </c>
      <c r="E322" s="170" t="str">
        <f ca="1">IFERROR(__xludf.DUMMYFUNCTION("""COMPUTED_VALUE"""),"001")</f>
        <v>001</v>
      </c>
      <c r="F322" s="170" t="str">
        <f ca="1">IFERROR(__xludf.DUMMYFUNCTION("""COMPUTED_VALUE"""),"0804")</f>
        <v>0804</v>
      </c>
      <c r="G322" s="170" t="str">
        <f ca="1">IFERROR(__xludf.DUMMYFUNCTION("""COMPUTED_VALUE"""),"111678")</f>
        <v>111678</v>
      </c>
      <c r="H322" s="170">
        <f ca="1">IFERROR(__xludf.DUMMYFUNCTION("""COMPUTED_VALUE"""),0)</f>
        <v>0</v>
      </c>
      <c r="I322" s="170">
        <f ca="1">IFERROR(__xludf.DUMMYFUNCTION("""COMPUTED_VALUE"""),0)</f>
        <v>0</v>
      </c>
      <c r="J322" s="170">
        <f ca="1">IFERROR(__xludf.DUMMYFUNCTION("""COMPUTED_VALUE"""),0)</f>
        <v>0</v>
      </c>
      <c r="K322" s="170">
        <f ca="1">IFERROR(__xludf.DUMMYFUNCTION("""COMPUTED_VALUE"""),0)</f>
        <v>0</v>
      </c>
      <c r="L322" s="170">
        <f ca="1">IFERROR(__xludf.DUMMYFUNCTION("""COMPUTED_VALUE"""),0)</f>
        <v>0</v>
      </c>
      <c r="M322" s="170">
        <f ca="1">IFERROR(__xludf.DUMMYFUNCTION("""COMPUTED_VALUE"""),0)</f>
        <v>0</v>
      </c>
      <c r="N322" s="170">
        <f ca="1">IFERROR(__xludf.DUMMYFUNCTION("""COMPUTED_VALUE"""),0)</f>
        <v>0</v>
      </c>
      <c r="O322" s="170">
        <f ca="1">IFERROR(__xludf.DUMMYFUNCTION("""COMPUTED_VALUE"""),17767.6)</f>
        <v>17767.599999999999</v>
      </c>
      <c r="P322" s="170">
        <f ca="1">IFERROR(__xludf.DUMMYFUNCTION("""COMPUTED_VALUE"""),0)</f>
        <v>0</v>
      </c>
      <c r="Q322" s="170">
        <f ca="1">IFERROR(__xludf.DUMMYFUNCTION("""COMPUTED_VALUE"""),0)</f>
        <v>0</v>
      </c>
      <c r="R322" s="170">
        <f ca="1">IFERROR(__xludf.DUMMYFUNCTION("""COMPUTED_VALUE"""),0)</f>
        <v>0</v>
      </c>
      <c r="S322" s="170">
        <f ca="1">IFERROR(__xludf.DUMMYFUNCTION("""COMPUTED_VALUE"""),0)</f>
        <v>0</v>
      </c>
      <c r="T322" s="170">
        <f ca="1">IFERROR(__xludf.DUMMYFUNCTION("""COMPUTED_VALUE"""),0)</f>
        <v>0</v>
      </c>
      <c r="U322" s="170">
        <f ca="1"/>
        <v>17767.599999999999</v>
      </c>
    </row>
    <row r="323" spans="1:21" ht="12.75">
      <c r="A323" s="162" t="str">
        <f ca="1">IFERROR(__xludf.DUMMYFUNCTION("""COMPUTED_VALUE"""),"Paraíso")</f>
        <v>Paraíso</v>
      </c>
      <c r="B323" s="162" t="str">
        <f ca="1">IFERROR(__xludf.DUMMYFUNCTION("""COMPUTED_VALUE"""),"Paraiso do Tocantins")</f>
        <v>Paraiso do Tocantins</v>
      </c>
      <c r="C323" s="163" t="str">
        <f ca="1">IFERROR(__xludf.DUMMYFUNCTION("""COMPUTED_VALUE"""),"A.A. COLÉGIO MILITAR DIACONÍZIO BEZERRA DA SILVA")</f>
        <v>A.A. COLÉGIO MILITAR DIACONÍZIO BEZERRA DA SILVA</v>
      </c>
      <c r="D323" s="164" t="str">
        <f ca="1">IFERROR(__xludf.DUMMYFUNCTION("""COMPUTED_VALUE"""),"11675300000197")</f>
        <v>11675300000197</v>
      </c>
      <c r="E323" s="165" t="str">
        <f ca="1">IFERROR(__xludf.DUMMYFUNCTION("""COMPUTED_VALUE"""),"001")</f>
        <v>001</v>
      </c>
      <c r="F323" s="165" t="str">
        <f ca="1">IFERROR(__xludf.DUMMYFUNCTION("""COMPUTED_VALUE"""),"0804")</f>
        <v>0804</v>
      </c>
      <c r="G323" s="165" t="str">
        <f ca="1">IFERROR(__xludf.DUMMYFUNCTION("""COMPUTED_VALUE"""),"320781")</f>
        <v>320781</v>
      </c>
      <c r="H323" s="165">
        <f ca="1">IFERROR(__xludf.DUMMYFUNCTION("""COMPUTED_VALUE"""),0)</f>
        <v>0</v>
      </c>
      <c r="I323" s="165">
        <f ca="1">IFERROR(__xludf.DUMMYFUNCTION("""COMPUTED_VALUE"""),0)</f>
        <v>0</v>
      </c>
      <c r="J323" s="165">
        <f ca="1">IFERROR(__xludf.DUMMYFUNCTION("""COMPUTED_VALUE"""),5960)</f>
        <v>5960</v>
      </c>
      <c r="K323" s="165">
        <f ca="1">IFERROR(__xludf.DUMMYFUNCTION("""COMPUTED_VALUE"""),0)</f>
        <v>0</v>
      </c>
      <c r="L323" s="165">
        <f ca="1">IFERROR(__xludf.DUMMYFUNCTION("""COMPUTED_VALUE"""),0)</f>
        <v>0</v>
      </c>
      <c r="M323" s="165">
        <f ca="1">IFERROR(__xludf.DUMMYFUNCTION("""COMPUTED_VALUE"""),0)</f>
        <v>0</v>
      </c>
      <c r="N323" s="165">
        <f ca="1">IFERROR(__xludf.DUMMYFUNCTION("""COMPUTED_VALUE"""),0)</f>
        <v>0</v>
      </c>
      <c r="O323" s="165">
        <f ca="1">IFERROR(__xludf.DUMMYFUNCTION("""COMPUTED_VALUE"""),0)</f>
        <v>0</v>
      </c>
      <c r="P323" s="165">
        <f ca="1">IFERROR(__xludf.DUMMYFUNCTION("""COMPUTED_VALUE"""),0)</f>
        <v>0</v>
      </c>
      <c r="Q323" s="165">
        <f ca="1">IFERROR(__xludf.DUMMYFUNCTION("""COMPUTED_VALUE"""),3080)</f>
        <v>3080</v>
      </c>
      <c r="R323" s="165">
        <f ca="1">IFERROR(__xludf.DUMMYFUNCTION("""COMPUTED_VALUE"""),0)</f>
        <v>0</v>
      </c>
      <c r="S323" s="165">
        <f ca="1">IFERROR(__xludf.DUMMYFUNCTION("""COMPUTED_VALUE"""),0)</f>
        <v>0</v>
      </c>
      <c r="T323" s="165">
        <f ca="1">IFERROR(__xludf.DUMMYFUNCTION("""COMPUTED_VALUE"""),0)</f>
        <v>0</v>
      </c>
      <c r="U323" s="165">
        <f ca="1"/>
        <v>9040</v>
      </c>
    </row>
    <row r="324" spans="1:21" ht="12.75">
      <c r="A324" s="167" t="str">
        <f ca="1">IFERROR(__xludf.DUMMYFUNCTION("""COMPUTED_VALUE"""),"Paraíso")</f>
        <v>Paraíso</v>
      </c>
      <c r="B324" s="167" t="str">
        <f ca="1">IFERROR(__xludf.DUMMYFUNCTION("""COMPUTED_VALUE"""),"Paraiso do Tocantins")</f>
        <v>Paraiso do Tocantins</v>
      </c>
      <c r="C324" s="168" t="str">
        <f ca="1">IFERROR(__xludf.DUMMYFUNCTION("""COMPUTED_VALUE"""),"ASSOC. APOIO AO CEM JOSE ALVES DE ASSIS")</f>
        <v>ASSOC. APOIO AO CEM JOSE ALVES DE ASSIS</v>
      </c>
      <c r="D324" s="169" t="str">
        <f ca="1">IFERROR(__xludf.DUMMYFUNCTION("""COMPUTED_VALUE"""),"01181169000158")</f>
        <v>01181169000158</v>
      </c>
      <c r="E324" s="170" t="str">
        <f ca="1">IFERROR(__xludf.DUMMYFUNCTION("""COMPUTED_VALUE"""),"001")</f>
        <v>001</v>
      </c>
      <c r="F324" s="170" t="str">
        <f ca="1">IFERROR(__xludf.DUMMYFUNCTION("""COMPUTED_VALUE"""),"0804")</f>
        <v>0804</v>
      </c>
      <c r="G324" s="170" t="str">
        <f ca="1">IFERROR(__xludf.DUMMYFUNCTION("""COMPUTED_VALUE"""),"286257")</f>
        <v>286257</v>
      </c>
      <c r="H324" s="170">
        <f ca="1">IFERROR(__xludf.DUMMYFUNCTION("""COMPUTED_VALUE"""),0)</f>
        <v>0</v>
      </c>
      <c r="I324" s="170">
        <f ca="1">IFERROR(__xludf.DUMMYFUNCTION("""COMPUTED_VALUE"""),0)</f>
        <v>0</v>
      </c>
      <c r="J324" s="170">
        <f ca="1">IFERROR(__xludf.DUMMYFUNCTION("""COMPUTED_VALUE"""),0)</f>
        <v>0</v>
      </c>
      <c r="K324" s="170">
        <f ca="1">IFERROR(__xludf.DUMMYFUNCTION("""COMPUTED_VALUE"""),0)</f>
        <v>0</v>
      </c>
      <c r="L324" s="170">
        <f ca="1">IFERROR(__xludf.DUMMYFUNCTION("""COMPUTED_VALUE"""),0)</f>
        <v>0</v>
      </c>
      <c r="M324" s="170">
        <f ca="1">IFERROR(__xludf.DUMMYFUNCTION("""COMPUTED_VALUE"""),0)</f>
        <v>0</v>
      </c>
      <c r="N324" s="170">
        <f ca="1">IFERROR(__xludf.DUMMYFUNCTION("""COMPUTED_VALUE"""),0)</f>
        <v>0</v>
      </c>
      <c r="O324" s="170">
        <f ca="1">IFERROR(__xludf.DUMMYFUNCTION("""COMPUTED_VALUE"""),0)</f>
        <v>0</v>
      </c>
      <c r="P324" s="170">
        <f ca="1">IFERROR(__xludf.DUMMYFUNCTION("""COMPUTED_VALUE"""),176.799999999999)</f>
        <v>176.79999999999899</v>
      </c>
      <c r="Q324" s="170">
        <f ca="1">IFERROR(__xludf.DUMMYFUNCTION("""COMPUTED_VALUE"""),5250)</f>
        <v>5250</v>
      </c>
      <c r="R324" s="170">
        <f ca="1">IFERROR(__xludf.DUMMYFUNCTION("""COMPUTED_VALUE"""),0)</f>
        <v>0</v>
      </c>
      <c r="S324" s="170">
        <f ca="1">IFERROR(__xludf.DUMMYFUNCTION("""COMPUTED_VALUE"""),0)</f>
        <v>0</v>
      </c>
      <c r="T324" s="170">
        <f ca="1">IFERROR(__xludf.DUMMYFUNCTION("""COMPUTED_VALUE"""),639.599999999999)</f>
        <v>639.599999999999</v>
      </c>
      <c r="U324" s="170">
        <f ca="1"/>
        <v>6066.3999999999978</v>
      </c>
    </row>
    <row r="325" spans="1:21" ht="12.75">
      <c r="A325" s="162" t="str">
        <f ca="1">IFERROR(__xludf.DUMMYFUNCTION("""COMPUTED_VALUE"""),"Paraíso")</f>
        <v>Paraíso</v>
      </c>
      <c r="B325" s="162" t="str">
        <f ca="1">IFERROR(__xludf.DUMMYFUNCTION("""COMPUTED_VALUE"""),"Paraiso do Tocantins")</f>
        <v>Paraiso do Tocantins</v>
      </c>
      <c r="C325" s="163" t="str">
        <f ca="1">IFERROR(__xludf.DUMMYFUNCTION("""COMPUTED_VALUE"""),"ASSOC. DE APOIO ESC. EST.IDALINA DE PAULA")</f>
        <v>ASSOC. DE APOIO ESC. EST.IDALINA DE PAULA</v>
      </c>
      <c r="D325" s="164" t="str">
        <f ca="1">IFERROR(__xludf.DUMMYFUNCTION("""COMPUTED_VALUE"""),"01066419000109")</f>
        <v>01066419000109</v>
      </c>
      <c r="E325" s="165" t="str">
        <f ca="1">IFERROR(__xludf.DUMMYFUNCTION("""COMPUTED_VALUE"""),"001")</f>
        <v>001</v>
      </c>
      <c r="F325" s="165" t="str">
        <f ca="1">IFERROR(__xludf.DUMMYFUNCTION("""COMPUTED_VALUE"""),"0804")</f>
        <v>0804</v>
      </c>
      <c r="G325" s="165" t="str">
        <f ca="1">IFERROR(__xludf.DUMMYFUNCTION("""COMPUTED_VALUE"""),"115797")</f>
        <v>115797</v>
      </c>
      <c r="H325" s="165">
        <f ca="1">IFERROR(__xludf.DUMMYFUNCTION("""COMPUTED_VALUE"""),0)</f>
        <v>0</v>
      </c>
      <c r="I325" s="165">
        <f ca="1">IFERROR(__xludf.DUMMYFUNCTION("""COMPUTED_VALUE"""),0)</f>
        <v>0</v>
      </c>
      <c r="J325" s="165">
        <f ca="1">IFERROR(__xludf.DUMMYFUNCTION("""COMPUTED_VALUE"""),3390)</f>
        <v>3390</v>
      </c>
      <c r="K325" s="165">
        <f ca="1">IFERROR(__xludf.DUMMYFUNCTION("""COMPUTED_VALUE"""),0)</f>
        <v>0</v>
      </c>
      <c r="L325" s="165">
        <f ca="1">IFERROR(__xludf.DUMMYFUNCTION("""COMPUTED_VALUE"""),0)</f>
        <v>0</v>
      </c>
      <c r="M325" s="165">
        <f ca="1">IFERROR(__xludf.DUMMYFUNCTION("""COMPUTED_VALUE"""),0)</f>
        <v>0</v>
      </c>
      <c r="N325" s="165">
        <f ca="1">IFERROR(__xludf.DUMMYFUNCTION("""COMPUTED_VALUE"""),0)</f>
        <v>0</v>
      </c>
      <c r="O325" s="165">
        <f ca="1">IFERROR(__xludf.DUMMYFUNCTION("""COMPUTED_VALUE"""),0)</f>
        <v>0</v>
      </c>
      <c r="P325" s="165">
        <f ca="1">IFERROR(__xludf.DUMMYFUNCTION("""COMPUTED_VALUE"""),0)</f>
        <v>0</v>
      </c>
      <c r="Q325" s="165">
        <f ca="1">IFERROR(__xludf.DUMMYFUNCTION("""COMPUTED_VALUE"""),1860)</f>
        <v>1860</v>
      </c>
      <c r="R325" s="165">
        <f ca="1">IFERROR(__xludf.DUMMYFUNCTION("""COMPUTED_VALUE"""),0)</f>
        <v>0</v>
      </c>
      <c r="S325" s="165">
        <f ca="1">IFERROR(__xludf.DUMMYFUNCTION("""COMPUTED_VALUE"""),0)</f>
        <v>0</v>
      </c>
      <c r="T325" s="165">
        <f ca="1">IFERROR(__xludf.DUMMYFUNCTION("""COMPUTED_VALUE"""),0)</f>
        <v>0</v>
      </c>
      <c r="U325" s="165">
        <f ca="1"/>
        <v>5250</v>
      </c>
    </row>
    <row r="326" spans="1:21" ht="12.75">
      <c r="A326" s="167" t="str">
        <f ca="1">IFERROR(__xludf.DUMMYFUNCTION("""COMPUTED_VALUE"""),"Paraíso")</f>
        <v>Paraíso</v>
      </c>
      <c r="B326" s="167" t="str">
        <f ca="1">IFERROR(__xludf.DUMMYFUNCTION("""COMPUTED_VALUE"""),"Paraiso do Tocantins")</f>
        <v>Paraiso do Tocantins</v>
      </c>
      <c r="C326" s="168" t="str">
        <f ca="1">IFERROR(__xludf.DUMMYFUNCTION("""COMPUTED_VALUE"""),"ASS. APOIO ESC. EST.PROF. JOSE NEZIO RAMOS")</f>
        <v>ASS. APOIO ESC. EST.PROF. JOSE NEZIO RAMOS</v>
      </c>
      <c r="D326" s="169" t="str">
        <f ca="1">IFERROR(__xludf.DUMMYFUNCTION("""COMPUTED_VALUE"""),"01233716000100")</f>
        <v>01233716000100</v>
      </c>
      <c r="E326" s="170" t="str">
        <f ca="1">IFERROR(__xludf.DUMMYFUNCTION("""COMPUTED_VALUE"""),"001")</f>
        <v>001</v>
      </c>
      <c r="F326" s="170" t="str">
        <f ca="1">IFERROR(__xludf.DUMMYFUNCTION("""COMPUTED_VALUE"""),"0804")</f>
        <v>0804</v>
      </c>
      <c r="G326" s="170" t="str">
        <f ca="1">IFERROR(__xludf.DUMMYFUNCTION("""COMPUTED_VALUE"""),"0263656")</f>
        <v>0263656</v>
      </c>
      <c r="H326" s="170">
        <f ca="1">IFERROR(__xludf.DUMMYFUNCTION("""COMPUTED_VALUE"""),0)</f>
        <v>0</v>
      </c>
      <c r="I326" s="170">
        <f ca="1">IFERROR(__xludf.DUMMYFUNCTION("""COMPUTED_VALUE"""),0)</f>
        <v>0</v>
      </c>
      <c r="J326" s="170">
        <f ca="1">IFERROR(__xludf.DUMMYFUNCTION("""COMPUTED_VALUE"""),0)</f>
        <v>0</v>
      </c>
      <c r="K326" s="170">
        <f ca="1">IFERROR(__xludf.DUMMYFUNCTION("""COMPUTED_VALUE"""),0)</f>
        <v>0</v>
      </c>
      <c r="L326" s="170">
        <f ca="1">IFERROR(__xludf.DUMMYFUNCTION("""COMPUTED_VALUE"""),0)</f>
        <v>0</v>
      </c>
      <c r="M326" s="170">
        <f ca="1">IFERROR(__xludf.DUMMYFUNCTION("""COMPUTED_VALUE"""),0)</f>
        <v>0</v>
      </c>
      <c r="N326" s="170">
        <f ca="1">IFERROR(__xludf.DUMMYFUNCTION("""COMPUTED_VALUE"""),0)</f>
        <v>0</v>
      </c>
      <c r="O326" s="170">
        <f ca="1">IFERROR(__xludf.DUMMYFUNCTION("""COMPUTED_VALUE"""),0)</f>
        <v>0</v>
      </c>
      <c r="P326" s="170">
        <f ca="1">IFERROR(__xludf.DUMMYFUNCTION("""COMPUTED_VALUE"""),0)</f>
        <v>0</v>
      </c>
      <c r="Q326" s="170">
        <f ca="1">IFERROR(__xludf.DUMMYFUNCTION("""COMPUTED_VALUE"""),3370)</f>
        <v>3370</v>
      </c>
      <c r="R326" s="170">
        <f ca="1">IFERROR(__xludf.DUMMYFUNCTION("""COMPUTED_VALUE"""),0)</f>
        <v>0</v>
      </c>
      <c r="S326" s="170">
        <f ca="1">IFERROR(__xludf.DUMMYFUNCTION("""COMPUTED_VALUE"""),0)</f>
        <v>0</v>
      </c>
      <c r="T326" s="170">
        <f ca="1">IFERROR(__xludf.DUMMYFUNCTION("""COMPUTED_VALUE"""),0)</f>
        <v>0</v>
      </c>
      <c r="U326" s="170">
        <f ca="1"/>
        <v>3370</v>
      </c>
    </row>
    <row r="327" spans="1:21" ht="12.75">
      <c r="A327" s="162" t="str">
        <f ca="1">IFERROR(__xludf.DUMMYFUNCTION("""COMPUTED_VALUE"""),"Paraíso")</f>
        <v>Paraíso</v>
      </c>
      <c r="B327" s="162" t="str">
        <f ca="1">IFERROR(__xludf.DUMMYFUNCTION("""COMPUTED_VALUE"""),"Paraiso do Tocantins")</f>
        <v>Paraiso do Tocantins</v>
      </c>
      <c r="C327" s="163" t="str">
        <f ca="1">IFERROR(__xludf.DUMMYFUNCTION("""COMPUTED_VALUE"""),"AAE. ESPECIAL LUZ DA VIDA")</f>
        <v>AAE. ESPECIAL LUZ DA VIDA</v>
      </c>
      <c r="D327" s="164" t="str">
        <f ca="1">IFERROR(__xludf.DUMMYFUNCTION("""COMPUTED_VALUE"""),"07905330000175")</f>
        <v>07905330000175</v>
      </c>
      <c r="E327" s="165" t="str">
        <f ca="1">IFERROR(__xludf.DUMMYFUNCTION("""COMPUTED_VALUE"""),"001")</f>
        <v>001</v>
      </c>
      <c r="F327" s="165" t="str">
        <f ca="1">IFERROR(__xludf.DUMMYFUNCTION("""COMPUTED_VALUE"""),"0804")</f>
        <v>0804</v>
      </c>
      <c r="G327" s="165" t="str">
        <f ca="1">IFERROR(__xludf.DUMMYFUNCTION("""COMPUTED_VALUE"""),"331724")</f>
        <v>331724</v>
      </c>
      <c r="H327" s="165">
        <f ca="1">IFERROR(__xludf.DUMMYFUNCTION("""COMPUTED_VALUE"""),0)</f>
        <v>0</v>
      </c>
      <c r="I327" s="165">
        <f ca="1">IFERROR(__xludf.DUMMYFUNCTION("""COMPUTED_VALUE"""),288)</f>
        <v>288</v>
      </c>
      <c r="J327" s="165">
        <f ca="1">IFERROR(__xludf.DUMMYFUNCTION("""COMPUTED_VALUE"""),250)</f>
        <v>250</v>
      </c>
      <c r="K327" s="165">
        <f ca="1">IFERROR(__xludf.DUMMYFUNCTION("""COMPUTED_VALUE"""),0)</f>
        <v>0</v>
      </c>
      <c r="L327" s="165">
        <f ca="1">IFERROR(__xludf.DUMMYFUNCTION("""COMPUTED_VALUE"""),0)</f>
        <v>0</v>
      </c>
      <c r="M327" s="165">
        <f ca="1">IFERROR(__xludf.DUMMYFUNCTION("""COMPUTED_VALUE"""),0)</f>
        <v>0</v>
      </c>
      <c r="N327" s="165">
        <f ca="1">IFERROR(__xludf.DUMMYFUNCTION("""COMPUTED_VALUE"""),0)</f>
        <v>0</v>
      </c>
      <c r="O327" s="165">
        <f ca="1">IFERROR(__xludf.DUMMYFUNCTION("""COMPUTED_VALUE"""),0)</f>
        <v>0</v>
      </c>
      <c r="P327" s="165">
        <f ca="1">IFERROR(__xludf.DUMMYFUNCTION("""COMPUTED_VALUE"""),340)</f>
        <v>340</v>
      </c>
      <c r="Q327" s="165">
        <f ca="1">IFERROR(__xludf.DUMMYFUNCTION("""COMPUTED_VALUE"""),0)</f>
        <v>0</v>
      </c>
      <c r="R327" s="165">
        <f ca="1">IFERROR(__xludf.DUMMYFUNCTION("""COMPUTED_VALUE"""),0)</f>
        <v>0</v>
      </c>
      <c r="S327" s="165">
        <f ca="1">IFERROR(__xludf.DUMMYFUNCTION("""COMPUTED_VALUE"""),0)</f>
        <v>0</v>
      </c>
      <c r="T327" s="165">
        <f ca="1">IFERROR(__xludf.DUMMYFUNCTION("""COMPUTED_VALUE"""),549.4)</f>
        <v>549.4</v>
      </c>
      <c r="U327" s="165">
        <f ca="1"/>
        <v>1427.4</v>
      </c>
    </row>
    <row r="328" spans="1:21" ht="12.75">
      <c r="A328" s="167" t="str">
        <f ca="1">IFERROR(__xludf.DUMMYFUNCTION("""COMPUTED_VALUE"""),"Paraíso")</f>
        <v>Paraíso</v>
      </c>
      <c r="B328" s="167" t="str">
        <f ca="1">IFERROR(__xludf.DUMMYFUNCTION("""COMPUTED_VALUE"""),"Paraiso do Tocantins")</f>
        <v>Paraiso do Tocantins</v>
      </c>
      <c r="C328" s="168" t="str">
        <f ca="1">IFERROR(__xludf.DUMMYFUNCTION("""COMPUTED_VALUE"""),"ASS. DE APOIO ESC. EST. AMANCIO DE MORAES")</f>
        <v>ASS. DE APOIO ESC. EST. AMANCIO DE MORAES</v>
      </c>
      <c r="D328" s="169" t="str">
        <f ca="1">IFERROR(__xludf.DUMMYFUNCTION("""COMPUTED_VALUE"""),"01068375000156")</f>
        <v>01068375000156</v>
      </c>
      <c r="E328" s="170" t="str">
        <f ca="1">IFERROR(__xludf.DUMMYFUNCTION("""COMPUTED_VALUE"""),"104")</f>
        <v>104</v>
      </c>
      <c r="F328" s="170" t="str">
        <f ca="1">IFERROR(__xludf.DUMMYFUNCTION("""COMPUTED_VALUE"""),"1141")</f>
        <v>1141</v>
      </c>
      <c r="G328" s="170" t="str">
        <f ca="1">IFERROR(__xludf.DUMMYFUNCTION("""COMPUTED_VALUE"""),"308140")</f>
        <v>308140</v>
      </c>
      <c r="H328" s="170">
        <f ca="1">IFERROR(__xludf.DUMMYFUNCTION("""COMPUTED_VALUE"""),0)</f>
        <v>0</v>
      </c>
      <c r="I328" s="170">
        <f ca="1">IFERROR(__xludf.DUMMYFUNCTION("""COMPUTED_VALUE"""),0)</f>
        <v>0</v>
      </c>
      <c r="J328" s="170">
        <f ca="1">IFERROR(__xludf.DUMMYFUNCTION("""COMPUTED_VALUE"""),2500)</f>
        <v>2500</v>
      </c>
      <c r="K328" s="170">
        <f ca="1">IFERROR(__xludf.DUMMYFUNCTION("""COMPUTED_VALUE"""),0)</f>
        <v>0</v>
      </c>
      <c r="L328" s="170">
        <f ca="1">IFERROR(__xludf.DUMMYFUNCTION("""COMPUTED_VALUE"""),0)</f>
        <v>0</v>
      </c>
      <c r="M328" s="170">
        <f ca="1">IFERROR(__xludf.DUMMYFUNCTION("""COMPUTED_VALUE"""),0)</f>
        <v>0</v>
      </c>
      <c r="N328" s="170">
        <f ca="1">IFERROR(__xludf.DUMMYFUNCTION("""COMPUTED_VALUE"""),0)</f>
        <v>0</v>
      </c>
      <c r="O328" s="170">
        <f ca="1">IFERROR(__xludf.DUMMYFUNCTION("""COMPUTED_VALUE"""),0)</f>
        <v>0</v>
      </c>
      <c r="P328" s="170">
        <f ca="1">IFERROR(__xludf.DUMMYFUNCTION("""COMPUTED_VALUE"""),176.799999999999)</f>
        <v>176.79999999999899</v>
      </c>
      <c r="Q328" s="170">
        <f ca="1">IFERROR(__xludf.DUMMYFUNCTION("""COMPUTED_VALUE"""),0)</f>
        <v>0</v>
      </c>
      <c r="R328" s="170">
        <f ca="1">IFERROR(__xludf.DUMMYFUNCTION("""COMPUTED_VALUE"""),0)</f>
        <v>0</v>
      </c>
      <c r="S328" s="170">
        <f ca="1">IFERROR(__xludf.DUMMYFUNCTION("""COMPUTED_VALUE"""),0)</f>
        <v>0</v>
      </c>
      <c r="T328" s="170">
        <f ca="1">IFERROR(__xludf.DUMMYFUNCTION("""COMPUTED_VALUE"""),0)</f>
        <v>0</v>
      </c>
      <c r="U328" s="170">
        <f ca="1"/>
        <v>2676.7999999999988</v>
      </c>
    </row>
    <row r="329" spans="1:21" ht="12.75">
      <c r="A329" s="162" t="str">
        <f ca="1">IFERROR(__xludf.DUMMYFUNCTION("""COMPUTED_VALUE"""),"Paraíso")</f>
        <v>Paraíso</v>
      </c>
      <c r="B329" s="162" t="str">
        <f ca="1">IFERROR(__xludf.DUMMYFUNCTION("""COMPUTED_VALUE"""),"Paraiso do Tocantins")</f>
        <v>Paraiso do Tocantins</v>
      </c>
      <c r="C329" s="163" t="str">
        <f ca="1">IFERROR(__xludf.DUMMYFUNCTION("""COMPUTED_VALUE"""),"A.A. ESCOLA ESTADUAL DEUSA DE MORAES")</f>
        <v>A.A. ESCOLA ESTADUAL DEUSA DE MORAES</v>
      </c>
      <c r="D329" s="164" t="str">
        <f ca="1">IFERROR(__xludf.DUMMYFUNCTION("""COMPUTED_VALUE"""),"01068362000187")</f>
        <v>01068362000187</v>
      </c>
      <c r="E329" s="165" t="str">
        <f ca="1">IFERROR(__xludf.DUMMYFUNCTION("""COMPUTED_VALUE"""),"001")</f>
        <v>001</v>
      </c>
      <c r="F329" s="165" t="str">
        <f ca="1">IFERROR(__xludf.DUMMYFUNCTION("""COMPUTED_VALUE"""),"0804")</f>
        <v>0804</v>
      </c>
      <c r="G329" s="165" t="str">
        <f ca="1">IFERROR(__xludf.DUMMYFUNCTION("""COMPUTED_VALUE"""),"304549")</f>
        <v>304549</v>
      </c>
      <c r="H329" s="165">
        <f ca="1">IFERROR(__xludf.DUMMYFUNCTION("""COMPUTED_VALUE"""),0)</f>
        <v>0</v>
      </c>
      <c r="I329" s="165">
        <f ca="1">IFERROR(__xludf.DUMMYFUNCTION("""COMPUTED_VALUE"""),0)</f>
        <v>0</v>
      </c>
      <c r="J329" s="165">
        <f ca="1">IFERROR(__xludf.DUMMYFUNCTION("""COMPUTED_VALUE"""),3660)</f>
        <v>3660</v>
      </c>
      <c r="K329" s="165">
        <f ca="1">IFERROR(__xludf.DUMMYFUNCTION("""COMPUTED_VALUE"""),0)</f>
        <v>0</v>
      </c>
      <c r="L329" s="165">
        <f ca="1">IFERROR(__xludf.DUMMYFUNCTION("""COMPUTED_VALUE"""),0)</f>
        <v>0</v>
      </c>
      <c r="M329" s="165">
        <f ca="1">IFERROR(__xludf.DUMMYFUNCTION("""COMPUTED_VALUE"""),0)</f>
        <v>0</v>
      </c>
      <c r="N329" s="165">
        <f ca="1">IFERROR(__xludf.DUMMYFUNCTION("""COMPUTED_VALUE"""),0)</f>
        <v>0</v>
      </c>
      <c r="O329" s="165">
        <f ca="1">IFERROR(__xludf.DUMMYFUNCTION("""COMPUTED_VALUE"""),0)</f>
        <v>0</v>
      </c>
      <c r="P329" s="165">
        <f ca="1">IFERROR(__xludf.DUMMYFUNCTION("""COMPUTED_VALUE"""),0)</f>
        <v>0</v>
      </c>
      <c r="Q329" s="165">
        <f ca="1">IFERROR(__xludf.DUMMYFUNCTION("""COMPUTED_VALUE"""),0)</f>
        <v>0</v>
      </c>
      <c r="R329" s="165">
        <f ca="1">IFERROR(__xludf.DUMMYFUNCTION("""COMPUTED_VALUE"""),0)</f>
        <v>0</v>
      </c>
      <c r="S329" s="165">
        <f ca="1">IFERROR(__xludf.DUMMYFUNCTION("""COMPUTED_VALUE"""),0)</f>
        <v>0</v>
      </c>
      <c r="T329" s="165">
        <f ca="1">IFERROR(__xludf.DUMMYFUNCTION("""COMPUTED_VALUE"""),0)</f>
        <v>0</v>
      </c>
      <c r="U329" s="165">
        <f ca="1"/>
        <v>3660</v>
      </c>
    </row>
    <row r="330" spans="1:21" ht="12.75">
      <c r="A330" s="167" t="str">
        <f ca="1">IFERROR(__xludf.DUMMYFUNCTION("""COMPUTED_VALUE"""),"Paraíso")</f>
        <v>Paraíso</v>
      </c>
      <c r="B330" s="167" t="str">
        <f ca="1">IFERROR(__xludf.DUMMYFUNCTION("""COMPUTED_VALUE"""),"Paraiso do Tocantins")</f>
        <v>Paraiso do Tocantins</v>
      </c>
      <c r="C330" s="168" t="str">
        <f ca="1">IFERROR(__xludf.DUMMYFUNCTION("""COMPUTED_VALUE"""),"A. ESC COM. DA ESC EST J.K. DE OLIVEIRA")</f>
        <v>A. ESC COM. DA ESC EST J.K. DE OLIVEIRA</v>
      </c>
      <c r="D330" s="169" t="str">
        <f ca="1">IFERROR(__xludf.DUMMYFUNCTION("""COMPUTED_VALUE"""),"00921537000194")</f>
        <v>00921537000194</v>
      </c>
      <c r="E330" s="170" t="str">
        <f ca="1">IFERROR(__xludf.DUMMYFUNCTION("""COMPUTED_VALUE"""),"001")</f>
        <v>001</v>
      </c>
      <c r="F330" s="170" t="str">
        <f ca="1">IFERROR(__xludf.DUMMYFUNCTION("""COMPUTED_VALUE"""),"0804")</f>
        <v>0804</v>
      </c>
      <c r="G330" s="170" t="str">
        <f ca="1">IFERROR(__xludf.DUMMYFUNCTION("""COMPUTED_VALUE"""),"163821")</f>
        <v>163821</v>
      </c>
      <c r="H330" s="170">
        <f ca="1">IFERROR(__xludf.DUMMYFUNCTION("""COMPUTED_VALUE"""),0)</f>
        <v>0</v>
      </c>
      <c r="I330" s="170">
        <f ca="1">IFERROR(__xludf.DUMMYFUNCTION("""COMPUTED_VALUE"""),0)</f>
        <v>0</v>
      </c>
      <c r="J330" s="170">
        <f ca="1">IFERROR(__xludf.DUMMYFUNCTION("""COMPUTED_VALUE"""),2660)</f>
        <v>2660</v>
      </c>
      <c r="K330" s="170">
        <f ca="1">IFERROR(__xludf.DUMMYFUNCTION("""COMPUTED_VALUE"""),0)</f>
        <v>0</v>
      </c>
      <c r="L330" s="170">
        <f ca="1">IFERROR(__xludf.DUMMYFUNCTION("""COMPUTED_VALUE"""),0)</f>
        <v>0</v>
      </c>
      <c r="M330" s="170">
        <f ca="1">IFERROR(__xludf.DUMMYFUNCTION("""COMPUTED_VALUE"""),0)</f>
        <v>0</v>
      </c>
      <c r="N330" s="170">
        <f ca="1">IFERROR(__xludf.DUMMYFUNCTION("""COMPUTED_VALUE"""),0)</f>
        <v>0</v>
      </c>
      <c r="O330" s="170">
        <f ca="1">IFERROR(__xludf.DUMMYFUNCTION("""COMPUTED_VALUE"""),0)</f>
        <v>0</v>
      </c>
      <c r="P330" s="170">
        <f ca="1">IFERROR(__xludf.DUMMYFUNCTION("""COMPUTED_VALUE"""),0)</f>
        <v>0</v>
      </c>
      <c r="Q330" s="170">
        <f ca="1">IFERROR(__xludf.DUMMYFUNCTION("""COMPUTED_VALUE"""),210)</f>
        <v>210</v>
      </c>
      <c r="R330" s="170">
        <f ca="1">IFERROR(__xludf.DUMMYFUNCTION("""COMPUTED_VALUE"""),0)</f>
        <v>0</v>
      </c>
      <c r="S330" s="170">
        <f ca="1">IFERROR(__xludf.DUMMYFUNCTION("""COMPUTED_VALUE"""),0)</f>
        <v>0</v>
      </c>
      <c r="T330" s="170">
        <f ca="1">IFERROR(__xludf.DUMMYFUNCTION("""COMPUTED_VALUE"""),0)</f>
        <v>0</v>
      </c>
      <c r="U330" s="170">
        <f ca="1"/>
        <v>2870</v>
      </c>
    </row>
    <row r="331" spans="1:21" ht="12.75">
      <c r="A331" s="162" t="str">
        <f ca="1">IFERROR(__xludf.DUMMYFUNCTION("""COMPUTED_VALUE"""),"Paraíso")</f>
        <v>Paraíso</v>
      </c>
      <c r="B331" s="162" t="str">
        <f ca="1">IFERROR(__xludf.DUMMYFUNCTION("""COMPUTED_VALUE"""),"Paraiso do Tocantins")</f>
        <v>Paraiso do Tocantins</v>
      </c>
      <c r="C331" s="163" t="str">
        <f ca="1">IFERROR(__xludf.DUMMYFUNCTION("""COMPUTED_VALUE"""),"A.A.  ESCOLA EST. SAO JOSE OPERARIO")</f>
        <v>A.A.  ESCOLA EST. SAO JOSE OPERARIO</v>
      </c>
      <c r="D331" s="164" t="str">
        <f ca="1">IFERROR(__xludf.DUMMYFUNCTION("""COMPUTED_VALUE"""),"01186454000161")</f>
        <v>01186454000161</v>
      </c>
      <c r="E331" s="165" t="str">
        <f ca="1">IFERROR(__xludf.DUMMYFUNCTION("""COMPUTED_VALUE"""),"001")</f>
        <v>001</v>
      </c>
      <c r="F331" s="165" t="str">
        <f ca="1">IFERROR(__xludf.DUMMYFUNCTION("""COMPUTED_VALUE"""),"0804")</f>
        <v>0804</v>
      </c>
      <c r="G331" s="165" t="str">
        <f ca="1">IFERROR(__xludf.DUMMYFUNCTION("""COMPUTED_VALUE"""),"285986")</f>
        <v>285986</v>
      </c>
      <c r="H331" s="165">
        <f ca="1">IFERROR(__xludf.DUMMYFUNCTION("""COMPUTED_VALUE"""),0)</f>
        <v>0</v>
      </c>
      <c r="I331" s="165">
        <f ca="1">IFERROR(__xludf.DUMMYFUNCTION("""COMPUTED_VALUE"""),0)</f>
        <v>0</v>
      </c>
      <c r="J331" s="165">
        <f ca="1">IFERROR(__xludf.DUMMYFUNCTION("""COMPUTED_VALUE"""),4270)</f>
        <v>4270</v>
      </c>
      <c r="K331" s="165">
        <f ca="1">IFERROR(__xludf.DUMMYFUNCTION("""COMPUTED_VALUE"""),0)</f>
        <v>0</v>
      </c>
      <c r="L331" s="165">
        <f ca="1">IFERROR(__xludf.DUMMYFUNCTION("""COMPUTED_VALUE"""),0)</f>
        <v>0</v>
      </c>
      <c r="M331" s="165">
        <f ca="1">IFERROR(__xludf.DUMMYFUNCTION("""COMPUTED_VALUE"""),0)</f>
        <v>0</v>
      </c>
      <c r="N331" s="165">
        <f ca="1">IFERROR(__xludf.DUMMYFUNCTION("""COMPUTED_VALUE"""),0)</f>
        <v>0</v>
      </c>
      <c r="O331" s="165">
        <f ca="1">IFERROR(__xludf.DUMMYFUNCTION("""COMPUTED_VALUE"""),0)</f>
        <v>0</v>
      </c>
      <c r="P331" s="165">
        <f ca="1">IFERROR(__xludf.DUMMYFUNCTION("""COMPUTED_VALUE"""),0)</f>
        <v>0</v>
      </c>
      <c r="Q331" s="165">
        <f ca="1">IFERROR(__xludf.DUMMYFUNCTION("""COMPUTED_VALUE"""),1080)</f>
        <v>1080</v>
      </c>
      <c r="R331" s="165">
        <f ca="1">IFERROR(__xludf.DUMMYFUNCTION("""COMPUTED_VALUE"""),0)</f>
        <v>0</v>
      </c>
      <c r="S331" s="165">
        <f ca="1">IFERROR(__xludf.DUMMYFUNCTION("""COMPUTED_VALUE"""),0)</f>
        <v>0</v>
      </c>
      <c r="T331" s="165">
        <f ca="1">IFERROR(__xludf.DUMMYFUNCTION("""COMPUTED_VALUE"""),0)</f>
        <v>0</v>
      </c>
      <c r="U331" s="165">
        <f ca="1"/>
        <v>5350</v>
      </c>
    </row>
    <row r="332" spans="1:21" ht="12.75">
      <c r="A332" s="167" t="str">
        <f ca="1">IFERROR(__xludf.DUMMYFUNCTION("""COMPUTED_VALUE"""),"Paraíso")</f>
        <v>Paraíso</v>
      </c>
      <c r="B332" s="167" t="str">
        <f ca="1">IFERROR(__xludf.DUMMYFUNCTION("""COMPUTED_VALUE"""),"Paraiso do Tocantins")</f>
        <v>Paraiso do Tocantins</v>
      </c>
      <c r="C332" s="168" t="str">
        <f ca="1">IFERROR(__xludf.DUMMYFUNCTION("""COMPUTED_VALUE"""),"A.A. DO COL. PRESB. VALE DO TOCANTINS")</f>
        <v>A.A. DO COL. PRESB. VALE DO TOCANTINS</v>
      </c>
      <c r="D332" s="169" t="str">
        <f ca="1">IFERROR(__xludf.DUMMYFUNCTION("""COMPUTED_VALUE"""),"01071426000107")</f>
        <v>01071426000107</v>
      </c>
      <c r="E332" s="170" t="str">
        <f ca="1">IFERROR(__xludf.DUMMYFUNCTION("""COMPUTED_VALUE"""),"001")</f>
        <v>001</v>
      </c>
      <c r="F332" s="170" t="str">
        <f ca="1">IFERROR(__xludf.DUMMYFUNCTION("""COMPUTED_VALUE"""),"0804")</f>
        <v>0804</v>
      </c>
      <c r="G332" s="170" t="str">
        <f ca="1">IFERROR(__xludf.DUMMYFUNCTION("""COMPUTED_VALUE"""),"311618")</f>
        <v>311618</v>
      </c>
      <c r="H332" s="170">
        <f ca="1">IFERROR(__xludf.DUMMYFUNCTION("""COMPUTED_VALUE"""),0)</f>
        <v>0</v>
      </c>
      <c r="I332" s="170">
        <f ca="1">IFERROR(__xludf.DUMMYFUNCTION("""COMPUTED_VALUE"""),0)</f>
        <v>0</v>
      </c>
      <c r="J332" s="170">
        <f ca="1">IFERROR(__xludf.DUMMYFUNCTION("""COMPUTED_VALUE"""),4930)</f>
        <v>4930</v>
      </c>
      <c r="K332" s="170">
        <f ca="1">IFERROR(__xludf.DUMMYFUNCTION("""COMPUTED_VALUE"""),0)</f>
        <v>0</v>
      </c>
      <c r="L332" s="170">
        <f ca="1">IFERROR(__xludf.DUMMYFUNCTION("""COMPUTED_VALUE"""),0)</f>
        <v>0</v>
      </c>
      <c r="M332" s="170">
        <f ca="1">IFERROR(__xludf.DUMMYFUNCTION("""COMPUTED_VALUE"""),0)</f>
        <v>0</v>
      </c>
      <c r="N332" s="170">
        <f ca="1">IFERROR(__xludf.DUMMYFUNCTION("""COMPUTED_VALUE"""),0)</f>
        <v>0</v>
      </c>
      <c r="O332" s="170">
        <f ca="1">IFERROR(__xludf.DUMMYFUNCTION("""COMPUTED_VALUE"""),0)</f>
        <v>0</v>
      </c>
      <c r="P332" s="170">
        <f ca="1">IFERROR(__xludf.DUMMYFUNCTION("""COMPUTED_VALUE"""),0)</f>
        <v>0</v>
      </c>
      <c r="Q332" s="170">
        <f ca="1">IFERROR(__xludf.DUMMYFUNCTION("""COMPUTED_VALUE"""),3780)</f>
        <v>3780</v>
      </c>
      <c r="R332" s="170">
        <f ca="1">IFERROR(__xludf.DUMMYFUNCTION("""COMPUTED_VALUE"""),0)</f>
        <v>0</v>
      </c>
      <c r="S332" s="170">
        <f ca="1">IFERROR(__xludf.DUMMYFUNCTION("""COMPUTED_VALUE"""),0)</f>
        <v>0</v>
      </c>
      <c r="T332" s="170">
        <f ca="1">IFERROR(__xludf.DUMMYFUNCTION("""COMPUTED_VALUE"""),0)</f>
        <v>0</v>
      </c>
      <c r="U332" s="170">
        <f ca="1"/>
        <v>8710</v>
      </c>
    </row>
    <row r="333" spans="1:21" ht="12.75">
      <c r="A333" s="162" t="str">
        <f ca="1">IFERROR(__xludf.DUMMYFUNCTION("""COMPUTED_VALUE"""),"Paraíso")</f>
        <v>Paraíso</v>
      </c>
      <c r="B333" s="162" t="str">
        <f ca="1">IFERROR(__xludf.DUMMYFUNCTION("""COMPUTED_VALUE"""),"Paraiso do Tocantins")</f>
        <v>Paraiso do Tocantins</v>
      </c>
      <c r="C333" s="163" t="str">
        <f ca="1">IFERROR(__xludf.DUMMYFUNCTION("""COMPUTED_VALUE"""),"ASS. A. ESCOLA EST. DE TEMPO INTEGRAL PROFESSORA RITA ANDRADE SANTOS")</f>
        <v>ASS. A. ESCOLA EST. DE TEMPO INTEGRAL PROFESSORA RITA ANDRADE SANTOS</v>
      </c>
      <c r="D333" s="164" t="str">
        <f ca="1">IFERROR(__xludf.DUMMYFUNCTION("""COMPUTED_VALUE"""),"48740961000169")</f>
        <v>48740961000169</v>
      </c>
      <c r="E333" s="165" t="str">
        <f ca="1">IFERROR(__xludf.DUMMYFUNCTION("""COMPUTED_VALUE"""),"001")</f>
        <v>001</v>
      </c>
      <c r="F333" s="165" t="str">
        <f ca="1">IFERROR(__xludf.DUMMYFUNCTION("""COMPUTED_VALUE"""),"0804")</f>
        <v>0804</v>
      </c>
      <c r="G333" s="165" t="str">
        <f ca="1">IFERROR(__xludf.DUMMYFUNCTION("""COMPUTED_VALUE"""),"58858X")</f>
        <v>58858X</v>
      </c>
      <c r="H333" s="165">
        <f ca="1">IFERROR(__xludf.DUMMYFUNCTION("""COMPUTED_VALUE"""),0)</f>
        <v>0</v>
      </c>
      <c r="I333" s="165">
        <f ca="1">IFERROR(__xludf.DUMMYFUNCTION("""COMPUTED_VALUE"""),0)</f>
        <v>0</v>
      </c>
      <c r="J333" s="165">
        <f ca="1">IFERROR(__xludf.DUMMYFUNCTION("""COMPUTED_VALUE"""),0)</f>
        <v>0</v>
      </c>
      <c r="K333" s="165">
        <f ca="1">IFERROR(__xludf.DUMMYFUNCTION("""COMPUTED_VALUE"""),13398.5999999999)</f>
        <v>13398.5999999999</v>
      </c>
      <c r="L333" s="165">
        <f ca="1">IFERROR(__xludf.DUMMYFUNCTION("""COMPUTED_VALUE"""),0)</f>
        <v>0</v>
      </c>
      <c r="M333" s="165">
        <f ca="1">IFERROR(__xludf.DUMMYFUNCTION("""COMPUTED_VALUE"""),0)</f>
        <v>0</v>
      </c>
      <c r="N333" s="165">
        <f ca="1">IFERROR(__xludf.DUMMYFUNCTION("""COMPUTED_VALUE"""),0)</f>
        <v>0</v>
      </c>
      <c r="O333" s="165">
        <f ca="1">IFERROR(__xludf.DUMMYFUNCTION("""COMPUTED_VALUE"""),0)</f>
        <v>0</v>
      </c>
      <c r="P333" s="165">
        <f ca="1">IFERROR(__xludf.DUMMYFUNCTION("""COMPUTED_VALUE"""),0)</f>
        <v>0</v>
      </c>
      <c r="Q333" s="165">
        <f ca="1">IFERROR(__xludf.DUMMYFUNCTION("""COMPUTED_VALUE"""),0)</f>
        <v>0</v>
      </c>
      <c r="R333" s="165">
        <f ca="1">IFERROR(__xludf.DUMMYFUNCTION("""COMPUTED_VALUE"""),767.199999999999)</f>
        <v>767.19999999999902</v>
      </c>
      <c r="S333" s="165">
        <f ca="1">IFERROR(__xludf.DUMMYFUNCTION("""COMPUTED_VALUE"""),0)</f>
        <v>0</v>
      </c>
      <c r="T333" s="165">
        <f ca="1">IFERROR(__xludf.DUMMYFUNCTION("""COMPUTED_VALUE"""),0)</f>
        <v>0</v>
      </c>
      <c r="U333" s="165">
        <f ca="1"/>
        <v>14165.799999999899</v>
      </c>
    </row>
    <row r="334" spans="1:21" ht="12.75">
      <c r="A334" s="167" t="str">
        <f ca="1">IFERROR(__xludf.DUMMYFUNCTION("""COMPUTED_VALUE"""),"Paraíso")</f>
        <v>Paraíso</v>
      </c>
      <c r="B334" s="167" t="str">
        <f ca="1">IFERROR(__xludf.DUMMYFUNCTION("""COMPUTED_VALUE"""),"Pium")</f>
        <v>Pium</v>
      </c>
      <c r="C334" s="168" t="str">
        <f ca="1">IFERROR(__xludf.DUMMYFUNCTION("""COMPUTED_VALUE"""),"A.A. COLEGIO ESTADUAL BARTOLOMEU BUENO")</f>
        <v>A.A. COLEGIO ESTADUAL BARTOLOMEU BUENO</v>
      </c>
      <c r="D334" s="169" t="str">
        <f ca="1">IFERROR(__xludf.DUMMYFUNCTION("""COMPUTED_VALUE"""),"01071436000134")</f>
        <v>01071436000134</v>
      </c>
      <c r="E334" s="170" t="str">
        <f ca="1">IFERROR(__xludf.DUMMYFUNCTION("""COMPUTED_VALUE"""),"001")</f>
        <v>001</v>
      </c>
      <c r="F334" s="170" t="str">
        <f ca="1">IFERROR(__xludf.DUMMYFUNCTION("""COMPUTED_VALUE"""),"0804")</f>
        <v>0804</v>
      </c>
      <c r="G334" s="170" t="str">
        <f ca="1">IFERROR(__xludf.DUMMYFUNCTION("""COMPUTED_VALUE"""),"286206")</f>
        <v>286206</v>
      </c>
      <c r="H334" s="170">
        <f ca="1">IFERROR(__xludf.DUMMYFUNCTION("""COMPUTED_VALUE"""),0)</f>
        <v>0</v>
      </c>
      <c r="I334" s="170">
        <f ca="1">IFERROR(__xludf.DUMMYFUNCTION("""COMPUTED_VALUE"""),0)</f>
        <v>0</v>
      </c>
      <c r="J334" s="170">
        <f ca="1">IFERROR(__xludf.DUMMYFUNCTION("""COMPUTED_VALUE"""),590)</f>
        <v>590</v>
      </c>
      <c r="K334" s="170">
        <f ca="1">IFERROR(__xludf.DUMMYFUNCTION("""COMPUTED_VALUE"""),0)</f>
        <v>0</v>
      </c>
      <c r="L334" s="170">
        <f ca="1">IFERROR(__xludf.DUMMYFUNCTION("""COMPUTED_VALUE"""),0)</f>
        <v>0</v>
      </c>
      <c r="M334" s="170">
        <f ca="1">IFERROR(__xludf.DUMMYFUNCTION("""COMPUTED_VALUE"""),0)</f>
        <v>0</v>
      </c>
      <c r="N334" s="170">
        <f ca="1">IFERROR(__xludf.DUMMYFUNCTION("""COMPUTED_VALUE"""),0)</f>
        <v>0</v>
      </c>
      <c r="O334" s="170">
        <f ca="1">IFERROR(__xludf.DUMMYFUNCTION("""COMPUTED_VALUE"""),0)</f>
        <v>0</v>
      </c>
      <c r="P334" s="170">
        <f ca="1">IFERROR(__xludf.DUMMYFUNCTION("""COMPUTED_VALUE"""),163.2)</f>
        <v>163.19999999999999</v>
      </c>
      <c r="Q334" s="170">
        <f ca="1">IFERROR(__xludf.DUMMYFUNCTION("""COMPUTED_VALUE"""),2890)</f>
        <v>2890</v>
      </c>
      <c r="R334" s="170">
        <f ca="1">IFERROR(__xludf.DUMMYFUNCTION("""COMPUTED_VALUE"""),0)</f>
        <v>0</v>
      </c>
      <c r="S334" s="170">
        <f ca="1">IFERROR(__xludf.DUMMYFUNCTION("""COMPUTED_VALUE"""),0)</f>
        <v>0</v>
      </c>
      <c r="T334" s="170">
        <f ca="1">IFERROR(__xludf.DUMMYFUNCTION("""COMPUTED_VALUE"""),0)</f>
        <v>0</v>
      </c>
      <c r="U334" s="170">
        <f ca="1"/>
        <v>3643.2</v>
      </c>
    </row>
    <row r="335" spans="1:21" ht="12.75">
      <c r="A335" s="162" t="str">
        <f ca="1">IFERROR(__xludf.DUMMYFUNCTION("""COMPUTED_VALUE"""),"Paraíso")</f>
        <v>Paraíso</v>
      </c>
      <c r="B335" s="162" t="str">
        <f ca="1">IFERROR(__xludf.DUMMYFUNCTION("""COMPUTED_VALUE"""),"Pugmil")</f>
        <v>Pugmil</v>
      </c>
      <c r="C335" s="163" t="str">
        <f ca="1">IFERROR(__xludf.DUMMYFUNCTION("""COMPUTED_VALUE"""),"A.A. DA ESC. EST. DARCY RIBEIRO")</f>
        <v>A.A. DA ESC. EST. DARCY RIBEIRO</v>
      </c>
      <c r="D335" s="164" t="str">
        <f ca="1">IFERROR(__xludf.DUMMYFUNCTION("""COMPUTED_VALUE"""),"02382845000114")</f>
        <v>02382845000114</v>
      </c>
      <c r="E335" s="165" t="str">
        <f ca="1">IFERROR(__xludf.DUMMYFUNCTION("""COMPUTED_VALUE"""),"001")</f>
        <v>001</v>
      </c>
      <c r="F335" s="165" t="str">
        <f ca="1">IFERROR(__xludf.DUMMYFUNCTION("""COMPUTED_VALUE"""),"0804")</f>
        <v>0804</v>
      </c>
      <c r="G335" s="165" t="str">
        <f ca="1">IFERROR(__xludf.DUMMYFUNCTION("""COMPUTED_VALUE"""),"286648")</f>
        <v>286648</v>
      </c>
      <c r="H335" s="165">
        <f ca="1">IFERROR(__xludf.DUMMYFUNCTION("""COMPUTED_VALUE"""),0)</f>
        <v>0</v>
      </c>
      <c r="I335" s="165">
        <f ca="1">IFERROR(__xludf.DUMMYFUNCTION("""COMPUTED_VALUE"""),0)</f>
        <v>0</v>
      </c>
      <c r="J335" s="165">
        <f ca="1">IFERROR(__xludf.DUMMYFUNCTION("""COMPUTED_VALUE"""),610)</f>
        <v>610</v>
      </c>
      <c r="K335" s="165">
        <f ca="1">IFERROR(__xludf.DUMMYFUNCTION("""COMPUTED_VALUE"""),0)</f>
        <v>0</v>
      </c>
      <c r="L335" s="165">
        <f ca="1">IFERROR(__xludf.DUMMYFUNCTION("""COMPUTED_VALUE"""),0)</f>
        <v>0</v>
      </c>
      <c r="M335" s="165">
        <f ca="1">IFERROR(__xludf.DUMMYFUNCTION("""COMPUTED_VALUE"""),0)</f>
        <v>0</v>
      </c>
      <c r="N335" s="165">
        <f ca="1">IFERROR(__xludf.DUMMYFUNCTION("""COMPUTED_VALUE"""),0)</f>
        <v>0</v>
      </c>
      <c r="O335" s="165">
        <f ca="1">IFERROR(__xludf.DUMMYFUNCTION("""COMPUTED_VALUE"""),0)</f>
        <v>0</v>
      </c>
      <c r="P335" s="165">
        <f ca="1">IFERROR(__xludf.DUMMYFUNCTION("""COMPUTED_VALUE"""),0)</f>
        <v>0</v>
      </c>
      <c r="Q335" s="165">
        <f ca="1">IFERROR(__xludf.DUMMYFUNCTION("""COMPUTED_VALUE"""),900)</f>
        <v>900</v>
      </c>
      <c r="R335" s="165">
        <f ca="1">IFERROR(__xludf.DUMMYFUNCTION("""COMPUTED_VALUE"""),0)</f>
        <v>0</v>
      </c>
      <c r="S335" s="165">
        <f ca="1">IFERROR(__xludf.DUMMYFUNCTION("""COMPUTED_VALUE"""),0)</f>
        <v>0</v>
      </c>
      <c r="T335" s="165">
        <f ca="1">IFERROR(__xludf.DUMMYFUNCTION("""COMPUTED_VALUE"""),106.6)</f>
        <v>106.6</v>
      </c>
      <c r="U335" s="165">
        <f ca="1"/>
        <v>1616.6</v>
      </c>
    </row>
    <row r="336" spans="1:21" ht="12.75">
      <c r="A336" s="167" t="str">
        <f ca="1">IFERROR(__xludf.DUMMYFUNCTION("""COMPUTED_VALUE"""),"Pedro Afonso")</f>
        <v>Pedro Afonso</v>
      </c>
      <c r="B336" s="167" t="str">
        <f ca="1">IFERROR(__xludf.DUMMYFUNCTION("""COMPUTED_VALUE"""),"Bom Jesus do Tocantins")</f>
        <v>Bom Jesus do Tocantins</v>
      </c>
      <c r="C336" s="168" t="str">
        <f ca="1">IFERROR(__xludf.DUMMYFUNCTION("""COMPUTED_VALUE"""),"ASSOC. DE AP.A ESC. EST. ALFREDO NASSER")</f>
        <v>ASSOC. DE AP.A ESC. EST. ALFREDO NASSER</v>
      </c>
      <c r="D336" s="169" t="str">
        <f ca="1">IFERROR(__xludf.DUMMYFUNCTION("""COMPUTED_VALUE"""),"01138329000186")</f>
        <v>01138329000186</v>
      </c>
      <c r="E336" s="170" t="str">
        <f ca="1">IFERROR(__xludf.DUMMYFUNCTION("""COMPUTED_VALUE"""),"001")</f>
        <v>001</v>
      </c>
      <c r="F336" s="170" t="str">
        <f ca="1">IFERROR(__xludf.DUMMYFUNCTION("""COMPUTED_VALUE"""),"1595")</f>
        <v>1595</v>
      </c>
      <c r="G336" s="170" t="str">
        <f ca="1">IFERROR(__xludf.DUMMYFUNCTION("""COMPUTED_VALUE"""),"59277")</f>
        <v>59277</v>
      </c>
      <c r="H336" s="170">
        <f ca="1">IFERROR(__xludf.DUMMYFUNCTION("""COMPUTED_VALUE"""),0)</f>
        <v>0</v>
      </c>
      <c r="I336" s="170">
        <f ca="1">IFERROR(__xludf.DUMMYFUNCTION("""COMPUTED_VALUE"""),0)</f>
        <v>0</v>
      </c>
      <c r="J336" s="170">
        <f ca="1">IFERROR(__xludf.DUMMYFUNCTION("""COMPUTED_VALUE"""),2600)</f>
        <v>2600</v>
      </c>
      <c r="K336" s="170">
        <f ca="1">IFERROR(__xludf.DUMMYFUNCTION("""COMPUTED_VALUE"""),0)</f>
        <v>0</v>
      </c>
      <c r="L336" s="170">
        <f ca="1">IFERROR(__xludf.DUMMYFUNCTION("""COMPUTED_VALUE"""),0)</f>
        <v>0</v>
      </c>
      <c r="M336" s="170">
        <f ca="1">IFERROR(__xludf.DUMMYFUNCTION("""COMPUTED_VALUE"""),0)</f>
        <v>0</v>
      </c>
      <c r="N336" s="170">
        <f ca="1">IFERROR(__xludf.DUMMYFUNCTION("""COMPUTED_VALUE"""),0)</f>
        <v>0</v>
      </c>
      <c r="O336" s="170">
        <f ca="1">IFERROR(__xludf.DUMMYFUNCTION("""COMPUTED_VALUE"""),0)</f>
        <v>0</v>
      </c>
      <c r="P336" s="170">
        <f ca="1">IFERROR(__xludf.DUMMYFUNCTION("""COMPUTED_VALUE"""),0)</f>
        <v>0</v>
      </c>
      <c r="Q336" s="170">
        <f ca="1">IFERROR(__xludf.DUMMYFUNCTION("""COMPUTED_VALUE"""),2010)</f>
        <v>2010</v>
      </c>
      <c r="R336" s="170">
        <f ca="1">IFERROR(__xludf.DUMMYFUNCTION("""COMPUTED_VALUE"""),0)</f>
        <v>0</v>
      </c>
      <c r="S336" s="170">
        <f ca="1">IFERROR(__xludf.DUMMYFUNCTION("""COMPUTED_VALUE"""),0)</f>
        <v>0</v>
      </c>
      <c r="T336" s="170">
        <f ca="1">IFERROR(__xludf.DUMMYFUNCTION("""COMPUTED_VALUE"""),0)</f>
        <v>0</v>
      </c>
      <c r="U336" s="170">
        <f ca="1"/>
        <v>4610</v>
      </c>
    </row>
    <row r="337" spans="1:21" ht="12.75">
      <c r="A337" s="162" t="str">
        <f ca="1">IFERROR(__xludf.DUMMYFUNCTION("""COMPUTED_VALUE"""),"Pedro Afonso")</f>
        <v>Pedro Afonso</v>
      </c>
      <c r="B337" s="162" t="str">
        <f ca="1">IFERROR(__xludf.DUMMYFUNCTION("""COMPUTED_VALUE"""),"Centenario")</f>
        <v>Centenario</v>
      </c>
      <c r="C337" s="163" t="str">
        <f ca="1">IFERROR(__xludf.DUMMYFUNCTION("""COMPUTED_VALUE"""),"A. ESC. COM. DO COL. EST. OTONIEL C.DE JESUS")</f>
        <v>A. ESC. COM. DO COL. EST. OTONIEL C.DE JESUS</v>
      </c>
      <c r="D337" s="164" t="str">
        <f ca="1">IFERROR(__xludf.DUMMYFUNCTION("""COMPUTED_VALUE"""),"02008180000183")</f>
        <v>02008180000183</v>
      </c>
      <c r="E337" s="165" t="str">
        <f ca="1">IFERROR(__xludf.DUMMYFUNCTION("""COMPUTED_VALUE"""),"001")</f>
        <v>001</v>
      </c>
      <c r="F337" s="165" t="str">
        <f ca="1">IFERROR(__xludf.DUMMYFUNCTION("""COMPUTED_VALUE"""),"1595")</f>
        <v>1595</v>
      </c>
      <c r="G337" s="165" t="str">
        <f ca="1">IFERROR(__xludf.DUMMYFUNCTION("""COMPUTED_VALUE"""),"10081")</f>
        <v>10081</v>
      </c>
      <c r="H337" s="165">
        <f ca="1">IFERROR(__xludf.DUMMYFUNCTION("""COMPUTED_VALUE"""),0)</f>
        <v>0</v>
      </c>
      <c r="I337" s="165">
        <f ca="1">IFERROR(__xludf.DUMMYFUNCTION("""COMPUTED_VALUE"""),0)</f>
        <v>0</v>
      </c>
      <c r="J337" s="165">
        <f ca="1">IFERROR(__xludf.DUMMYFUNCTION("""COMPUTED_VALUE"""),320)</f>
        <v>320</v>
      </c>
      <c r="K337" s="165">
        <f ca="1">IFERROR(__xludf.DUMMYFUNCTION("""COMPUTED_VALUE"""),0)</f>
        <v>0</v>
      </c>
      <c r="L337" s="165">
        <f ca="1">IFERROR(__xludf.DUMMYFUNCTION("""COMPUTED_VALUE"""),0)</f>
        <v>0</v>
      </c>
      <c r="M337" s="165">
        <f ca="1">IFERROR(__xludf.DUMMYFUNCTION("""COMPUTED_VALUE"""),0)</f>
        <v>0</v>
      </c>
      <c r="N337" s="165">
        <f ca="1">IFERROR(__xludf.DUMMYFUNCTION("""COMPUTED_VALUE"""),0)</f>
        <v>0</v>
      </c>
      <c r="O337" s="165">
        <f ca="1">IFERROR(__xludf.DUMMYFUNCTION("""COMPUTED_VALUE"""),0)</f>
        <v>0</v>
      </c>
      <c r="P337" s="165">
        <f ca="1">IFERROR(__xludf.DUMMYFUNCTION("""COMPUTED_VALUE"""),0)</f>
        <v>0</v>
      </c>
      <c r="Q337" s="165">
        <f ca="1">IFERROR(__xludf.DUMMYFUNCTION("""COMPUTED_VALUE"""),1100)</f>
        <v>1100</v>
      </c>
      <c r="R337" s="165">
        <f ca="1">IFERROR(__xludf.DUMMYFUNCTION("""COMPUTED_VALUE"""),0)</f>
        <v>0</v>
      </c>
      <c r="S337" s="165">
        <f ca="1">IFERROR(__xludf.DUMMYFUNCTION("""COMPUTED_VALUE"""),0)</f>
        <v>0</v>
      </c>
      <c r="T337" s="165">
        <f ca="1">IFERROR(__xludf.DUMMYFUNCTION("""COMPUTED_VALUE"""),0)</f>
        <v>0</v>
      </c>
      <c r="U337" s="165">
        <f ca="1"/>
        <v>1420</v>
      </c>
    </row>
    <row r="338" spans="1:21" ht="12.75">
      <c r="A338" s="167" t="str">
        <f ca="1">IFERROR(__xludf.DUMMYFUNCTION("""COMPUTED_VALUE"""),"Pedro Afonso")</f>
        <v>Pedro Afonso</v>
      </c>
      <c r="B338" s="167" t="str">
        <f ca="1">IFERROR(__xludf.DUMMYFUNCTION("""COMPUTED_VALUE"""),"Itacaja")</f>
        <v>Itacaja</v>
      </c>
      <c r="C338" s="168" t="str">
        <f ca="1">IFERROR(__xludf.DUMMYFUNCTION("""COMPUTED_VALUE"""),"A.A. COLEGIO ESTADUAL DE ITACAJA")</f>
        <v>A.A. COLEGIO ESTADUAL DE ITACAJA</v>
      </c>
      <c r="D338" s="169" t="str">
        <f ca="1">IFERROR(__xludf.DUMMYFUNCTION("""COMPUTED_VALUE"""),"01138428000168")</f>
        <v>01138428000168</v>
      </c>
      <c r="E338" s="170" t="str">
        <f ca="1">IFERROR(__xludf.DUMMYFUNCTION("""COMPUTED_VALUE"""),"001")</f>
        <v>001</v>
      </c>
      <c r="F338" s="170" t="str">
        <f ca="1">IFERROR(__xludf.DUMMYFUNCTION("""COMPUTED_VALUE"""),"1595")</f>
        <v>1595</v>
      </c>
      <c r="G338" s="170" t="str">
        <f ca="1">IFERROR(__xludf.DUMMYFUNCTION("""COMPUTED_VALUE"""),"59773")</f>
        <v>59773</v>
      </c>
      <c r="H338" s="170">
        <f ca="1">IFERROR(__xludf.DUMMYFUNCTION("""COMPUTED_VALUE"""),0)</f>
        <v>0</v>
      </c>
      <c r="I338" s="170">
        <f ca="1">IFERROR(__xludf.DUMMYFUNCTION("""COMPUTED_VALUE"""),0)</f>
        <v>0</v>
      </c>
      <c r="J338" s="170">
        <f ca="1">IFERROR(__xludf.DUMMYFUNCTION("""COMPUTED_VALUE"""),3080)</f>
        <v>3080</v>
      </c>
      <c r="K338" s="170">
        <f ca="1">IFERROR(__xludf.DUMMYFUNCTION("""COMPUTED_VALUE"""),0)</f>
        <v>0</v>
      </c>
      <c r="L338" s="170">
        <f ca="1">IFERROR(__xludf.DUMMYFUNCTION("""COMPUTED_VALUE"""),0)</f>
        <v>0</v>
      </c>
      <c r="M338" s="170">
        <f ca="1">IFERROR(__xludf.DUMMYFUNCTION("""COMPUTED_VALUE"""),0)</f>
        <v>0</v>
      </c>
      <c r="N338" s="170">
        <f ca="1">IFERROR(__xludf.DUMMYFUNCTION("""COMPUTED_VALUE"""),0)</f>
        <v>0</v>
      </c>
      <c r="O338" s="170">
        <f ca="1">IFERROR(__xludf.DUMMYFUNCTION("""COMPUTED_VALUE"""),0)</f>
        <v>0</v>
      </c>
      <c r="P338" s="170">
        <f ca="1">IFERROR(__xludf.DUMMYFUNCTION("""COMPUTED_VALUE"""),0)</f>
        <v>0</v>
      </c>
      <c r="Q338" s="170">
        <f ca="1">IFERROR(__xludf.DUMMYFUNCTION("""COMPUTED_VALUE"""),2130)</f>
        <v>2130</v>
      </c>
      <c r="R338" s="170">
        <f ca="1">IFERROR(__xludf.DUMMYFUNCTION("""COMPUTED_VALUE"""),0)</f>
        <v>0</v>
      </c>
      <c r="S338" s="170">
        <f ca="1">IFERROR(__xludf.DUMMYFUNCTION("""COMPUTED_VALUE"""),0)</f>
        <v>0</v>
      </c>
      <c r="T338" s="170">
        <f ca="1">IFERROR(__xludf.DUMMYFUNCTION("""COMPUTED_VALUE"""),0)</f>
        <v>0</v>
      </c>
      <c r="U338" s="170">
        <f ca="1"/>
        <v>5210</v>
      </c>
    </row>
    <row r="339" spans="1:21" ht="12.75">
      <c r="A339" s="162" t="str">
        <f ca="1">IFERROR(__xludf.DUMMYFUNCTION("""COMPUTED_VALUE"""),"Pedro Afonso")</f>
        <v>Pedro Afonso</v>
      </c>
      <c r="B339" s="162" t="str">
        <f ca="1">IFERROR(__xludf.DUMMYFUNCTION("""COMPUTED_VALUE"""),"Itacaja")</f>
        <v>Itacaja</v>
      </c>
      <c r="C339" s="163" t="str">
        <f ca="1">IFERROR(__xludf.DUMMYFUNCTION("""COMPUTED_VALUE"""),"ASSOC. APOIO ESC. EST. ALMEIDA SARDINHA")</f>
        <v>ASSOC. APOIO ESC. EST. ALMEIDA SARDINHA</v>
      </c>
      <c r="D339" s="164" t="str">
        <f ca="1">IFERROR(__xludf.DUMMYFUNCTION("""COMPUTED_VALUE"""),"01138335000133")</f>
        <v>01138335000133</v>
      </c>
      <c r="E339" s="165" t="str">
        <f ca="1">IFERROR(__xludf.DUMMYFUNCTION("""COMPUTED_VALUE"""),"001")</f>
        <v>001</v>
      </c>
      <c r="F339" s="165" t="str">
        <f ca="1">IFERROR(__xludf.DUMMYFUNCTION("""COMPUTED_VALUE"""),"2094")</f>
        <v>2094</v>
      </c>
      <c r="G339" s="165" t="str">
        <f ca="1">IFERROR(__xludf.DUMMYFUNCTION("""COMPUTED_VALUE"""),"466484")</f>
        <v>466484</v>
      </c>
      <c r="H339" s="165">
        <f ca="1">IFERROR(__xludf.DUMMYFUNCTION("""COMPUTED_VALUE"""),0)</f>
        <v>0</v>
      </c>
      <c r="I339" s="165">
        <f ca="1">IFERROR(__xludf.DUMMYFUNCTION("""COMPUTED_VALUE"""),0)</f>
        <v>0</v>
      </c>
      <c r="J339" s="165">
        <f ca="1">IFERROR(__xludf.DUMMYFUNCTION("""COMPUTED_VALUE"""),920)</f>
        <v>920</v>
      </c>
      <c r="K339" s="165">
        <f ca="1">IFERROR(__xludf.DUMMYFUNCTION("""COMPUTED_VALUE"""),0)</f>
        <v>0</v>
      </c>
      <c r="L339" s="165">
        <f ca="1">IFERROR(__xludf.DUMMYFUNCTION("""COMPUTED_VALUE"""),0)</f>
        <v>0</v>
      </c>
      <c r="M339" s="165">
        <f ca="1">IFERROR(__xludf.DUMMYFUNCTION("""COMPUTED_VALUE"""),0)</f>
        <v>0</v>
      </c>
      <c r="N339" s="165">
        <f ca="1">IFERROR(__xludf.DUMMYFUNCTION("""COMPUTED_VALUE"""),0)</f>
        <v>0</v>
      </c>
      <c r="O339" s="165">
        <f ca="1">IFERROR(__xludf.DUMMYFUNCTION("""COMPUTED_VALUE"""),0)</f>
        <v>0</v>
      </c>
      <c r="P339" s="165">
        <f ca="1">IFERROR(__xludf.DUMMYFUNCTION("""COMPUTED_VALUE"""),108.8)</f>
        <v>108.8</v>
      </c>
      <c r="Q339" s="165">
        <f ca="1">IFERROR(__xludf.DUMMYFUNCTION("""COMPUTED_VALUE"""),500)</f>
        <v>500</v>
      </c>
      <c r="R339" s="165">
        <f ca="1">IFERROR(__xludf.DUMMYFUNCTION("""COMPUTED_VALUE"""),0)</f>
        <v>0</v>
      </c>
      <c r="S339" s="165">
        <f ca="1">IFERROR(__xludf.DUMMYFUNCTION("""COMPUTED_VALUE"""),0)</f>
        <v>0</v>
      </c>
      <c r="T339" s="165">
        <f ca="1">IFERROR(__xludf.DUMMYFUNCTION("""COMPUTED_VALUE"""),328)</f>
        <v>328</v>
      </c>
      <c r="U339" s="165">
        <f ca="1"/>
        <v>1856.8</v>
      </c>
    </row>
    <row r="340" spans="1:21" ht="12.75">
      <c r="A340" s="167" t="str">
        <f ca="1">IFERROR(__xludf.DUMMYFUNCTION("""COMPUTED_VALUE"""),"Pedro Afonso")</f>
        <v>Pedro Afonso</v>
      </c>
      <c r="B340" s="167" t="str">
        <f ca="1">IFERROR(__xludf.DUMMYFUNCTION("""COMPUTED_VALUE"""),"Itacajá")</f>
        <v>Itacajá</v>
      </c>
      <c r="C340" s="168" t="str">
        <f ca="1">IFERROR(__xludf.DUMMYFUNCTION("""COMPUTED_VALUE"""),"A.A. ESCOLAS ESTADUAIS INDIGENAS DE ITACAJA II")</f>
        <v>A.A. ESCOLAS ESTADUAIS INDIGENAS DE ITACAJA II</v>
      </c>
      <c r="D340" s="169" t="str">
        <f ca="1">IFERROR(__xludf.DUMMYFUNCTION("""COMPUTED_VALUE"""),"43551682000133")</f>
        <v>43551682000133</v>
      </c>
      <c r="E340" s="170" t="str">
        <f ca="1">IFERROR(__xludf.DUMMYFUNCTION("""COMPUTED_VALUE"""),"001")</f>
        <v>001</v>
      </c>
      <c r="F340" s="170" t="str">
        <f ca="1">IFERROR(__xludf.DUMMYFUNCTION("""COMPUTED_VALUE"""),"1595")</f>
        <v>1595</v>
      </c>
      <c r="G340" s="170" t="str">
        <f ca="1">IFERROR(__xludf.DUMMYFUNCTION("""COMPUTED_VALUE"""),"327905")</f>
        <v>327905</v>
      </c>
      <c r="H340" s="170">
        <f ca="1">IFERROR(__xludf.DUMMYFUNCTION("""COMPUTED_VALUE"""),0)</f>
        <v>0</v>
      </c>
      <c r="I340" s="170">
        <f ca="1">IFERROR(__xludf.DUMMYFUNCTION("""COMPUTED_VALUE"""),0)</f>
        <v>0</v>
      </c>
      <c r="J340" s="170">
        <f ca="1">IFERROR(__xludf.DUMMYFUNCTION("""COMPUTED_VALUE"""),0)</f>
        <v>0</v>
      </c>
      <c r="K340" s="170">
        <f ca="1">IFERROR(__xludf.DUMMYFUNCTION("""COMPUTED_VALUE"""),0)</f>
        <v>0</v>
      </c>
      <c r="L340" s="170">
        <f ca="1">IFERROR(__xludf.DUMMYFUNCTION("""COMPUTED_VALUE"""),0)</f>
        <v>0</v>
      </c>
      <c r="M340" s="170">
        <f ca="1">IFERROR(__xludf.DUMMYFUNCTION("""COMPUTED_VALUE"""),0)</f>
        <v>0</v>
      </c>
      <c r="N340" s="170">
        <f ca="1">IFERROR(__xludf.DUMMYFUNCTION("""COMPUTED_VALUE"""),0)</f>
        <v>0</v>
      </c>
      <c r="O340" s="170">
        <f ca="1">IFERROR(__xludf.DUMMYFUNCTION("""COMPUTED_VALUE"""),2803.6)</f>
        <v>2803.6</v>
      </c>
      <c r="P340" s="170">
        <f ca="1">IFERROR(__xludf.DUMMYFUNCTION("""COMPUTED_VALUE"""),0)</f>
        <v>0</v>
      </c>
      <c r="Q340" s="170">
        <f ca="1">IFERROR(__xludf.DUMMYFUNCTION("""COMPUTED_VALUE"""),0)</f>
        <v>0</v>
      </c>
      <c r="R340" s="170">
        <f ca="1">IFERROR(__xludf.DUMMYFUNCTION("""COMPUTED_VALUE"""),0)</f>
        <v>0</v>
      </c>
      <c r="S340" s="170">
        <f ca="1">IFERROR(__xludf.DUMMYFUNCTION("""COMPUTED_VALUE"""),0)</f>
        <v>0</v>
      </c>
      <c r="T340" s="170">
        <f ca="1">IFERROR(__xludf.DUMMYFUNCTION("""COMPUTED_VALUE"""),0)</f>
        <v>0</v>
      </c>
      <c r="U340" s="170">
        <f ca="1"/>
        <v>2803.6</v>
      </c>
    </row>
    <row r="341" spans="1:21" ht="12.75">
      <c r="A341" s="162" t="str">
        <f ca="1">IFERROR(__xludf.DUMMYFUNCTION("""COMPUTED_VALUE"""),"Pedro Afonso")</f>
        <v>Pedro Afonso</v>
      </c>
      <c r="B341" s="162" t="str">
        <f ca="1">IFERROR(__xludf.DUMMYFUNCTION("""COMPUTED_VALUE"""),"Pedro Afonso")</f>
        <v>Pedro Afonso</v>
      </c>
      <c r="C341" s="175" t="str">
        <f ca="1">IFERROR(__xludf.DUMMYFUNCTION("""COMPUTED_VALUE"""),"A.A. EC.INDIGENAS")</f>
        <v>A.A. EC.INDIGENAS</v>
      </c>
      <c r="D341" s="164" t="str">
        <f ca="1">IFERROR(__xludf.DUMMYFUNCTION("""COMPUTED_VALUE"""),"06135108000178")</f>
        <v>06135108000178</v>
      </c>
      <c r="E341" s="165" t="str">
        <f ca="1">IFERROR(__xludf.DUMMYFUNCTION("""COMPUTED_VALUE"""),"001")</f>
        <v>001</v>
      </c>
      <c r="F341" s="165" t="str">
        <f ca="1">IFERROR(__xludf.DUMMYFUNCTION("""COMPUTED_VALUE"""),"1595")</f>
        <v>1595</v>
      </c>
      <c r="G341" s="165" t="str">
        <f ca="1">IFERROR(__xludf.DUMMYFUNCTION("""COMPUTED_VALUE"""),"114499")</f>
        <v>114499</v>
      </c>
      <c r="H341" s="165">
        <f ca="1">IFERROR(__xludf.DUMMYFUNCTION("""COMPUTED_VALUE"""),0)</f>
        <v>0</v>
      </c>
      <c r="I341" s="165">
        <f ca="1">IFERROR(__xludf.DUMMYFUNCTION("""COMPUTED_VALUE"""),0)</f>
        <v>0</v>
      </c>
      <c r="J341" s="165">
        <f ca="1">IFERROR(__xludf.DUMMYFUNCTION("""COMPUTED_VALUE"""),0)</f>
        <v>0</v>
      </c>
      <c r="K341" s="165">
        <f ca="1">IFERROR(__xludf.DUMMYFUNCTION("""COMPUTED_VALUE"""),0)</f>
        <v>0</v>
      </c>
      <c r="L341" s="165">
        <f ca="1">IFERROR(__xludf.DUMMYFUNCTION("""COMPUTED_VALUE"""),0)</f>
        <v>0</v>
      </c>
      <c r="M341" s="165">
        <f ca="1">IFERROR(__xludf.DUMMYFUNCTION("""COMPUTED_VALUE"""),0)</f>
        <v>0</v>
      </c>
      <c r="N341" s="165">
        <f ca="1">IFERROR(__xludf.DUMMYFUNCTION("""COMPUTED_VALUE"""),0)</f>
        <v>0</v>
      </c>
      <c r="O341" s="165">
        <f ca="1">IFERROR(__xludf.DUMMYFUNCTION("""COMPUTED_VALUE"""),18868.3999999999)</f>
        <v>18868.3999999999</v>
      </c>
      <c r="P341" s="165">
        <f ca="1">IFERROR(__xludf.DUMMYFUNCTION("""COMPUTED_VALUE"""),0)</f>
        <v>0</v>
      </c>
      <c r="Q341" s="165">
        <f ca="1">IFERROR(__xludf.DUMMYFUNCTION("""COMPUTED_VALUE"""),0)</f>
        <v>0</v>
      </c>
      <c r="R341" s="165">
        <f ca="1">IFERROR(__xludf.DUMMYFUNCTION("""COMPUTED_VALUE"""),0)</f>
        <v>0</v>
      </c>
      <c r="S341" s="165">
        <f ca="1">IFERROR(__xludf.DUMMYFUNCTION("""COMPUTED_VALUE"""),0)</f>
        <v>0</v>
      </c>
      <c r="T341" s="165">
        <f ca="1">IFERROR(__xludf.DUMMYFUNCTION("""COMPUTED_VALUE"""),0)</f>
        <v>0</v>
      </c>
      <c r="U341" s="165">
        <f ca="1"/>
        <v>18868.3999999999</v>
      </c>
    </row>
    <row r="342" spans="1:21" ht="12.75">
      <c r="A342" s="167" t="str">
        <f ca="1">IFERROR(__xludf.DUMMYFUNCTION("""COMPUTED_VALUE"""),"Pedro Afonso")</f>
        <v>Pedro Afonso</v>
      </c>
      <c r="B342" s="167" t="str">
        <f ca="1">IFERROR(__xludf.DUMMYFUNCTION("""COMPUTED_VALUE"""),"Pedro Afonso")</f>
        <v>Pedro Afonso</v>
      </c>
      <c r="C342" s="168" t="str">
        <f ca="1">IFERROR(__xludf.DUMMYFUNCTION("""COMPUTED_VALUE"""),"A.A. E. EST.IS.DA REG.DE ENS.DE GUARAI")</f>
        <v>A.A. E. EST.IS.DA REG.DE ENS.DE GUARAI</v>
      </c>
      <c r="D342" s="169" t="str">
        <f ca="1">IFERROR(__xludf.DUMMYFUNCTION("""COMPUTED_VALUE"""),"02508361000179")</f>
        <v>02508361000179</v>
      </c>
      <c r="E342" s="170" t="str">
        <f ca="1">IFERROR(__xludf.DUMMYFUNCTION("""COMPUTED_VALUE"""),"001")</f>
        <v>001</v>
      </c>
      <c r="F342" s="170" t="str">
        <f ca="1">IFERROR(__xludf.DUMMYFUNCTION("""COMPUTED_VALUE"""),"1595")</f>
        <v>1595</v>
      </c>
      <c r="G342" s="170" t="str">
        <f ca="1">IFERROR(__xludf.DUMMYFUNCTION("""COMPUTED_VALUE"""),"110663")</f>
        <v>110663</v>
      </c>
      <c r="H342" s="170">
        <f ca="1">IFERROR(__xludf.DUMMYFUNCTION("""COMPUTED_VALUE"""),0)</f>
        <v>0</v>
      </c>
      <c r="I342" s="170">
        <f ca="1">IFERROR(__xludf.DUMMYFUNCTION("""COMPUTED_VALUE"""),0)</f>
        <v>0</v>
      </c>
      <c r="J342" s="170">
        <f ca="1">IFERROR(__xludf.DUMMYFUNCTION("""COMPUTED_VALUE"""),720)</f>
        <v>720</v>
      </c>
      <c r="K342" s="170">
        <f ca="1">IFERROR(__xludf.DUMMYFUNCTION("""COMPUTED_VALUE"""),0)</f>
        <v>0</v>
      </c>
      <c r="L342" s="170">
        <f ca="1">IFERROR(__xludf.DUMMYFUNCTION("""COMPUTED_VALUE"""),0)</f>
        <v>0</v>
      </c>
      <c r="M342" s="170">
        <f ca="1">IFERROR(__xludf.DUMMYFUNCTION("""COMPUTED_VALUE"""),0)</f>
        <v>0</v>
      </c>
      <c r="N342" s="170">
        <f ca="1">IFERROR(__xludf.DUMMYFUNCTION("""COMPUTED_VALUE"""),0)</f>
        <v>0</v>
      </c>
      <c r="O342" s="170">
        <f ca="1">IFERROR(__xludf.DUMMYFUNCTION("""COMPUTED_VALUE"""),0)</f>
        <v>0</v>
      </c>
      <c r="P342" s="170">
        <f ca="1">IFERROR(__xludf.DUMMYFUNCTION("""COMPUTED_VALUE"""),40.8)</f>
        <v>40.799999999999997</v>
      </c>
      <c r="Q342" s="170">
        <f ca="1">IFERROR(__xludf.DUMMYFUNCTION("""COMPUTED_VALUE"""),350)</f>
        <v>350</v>
      </c>
      <c r="R342" s="170">
        <f ca="1">IFERROR(__xludf.DUMMYFUNCTION("""COMPUTED_VALUE"""),0)</f>
        <v>0</v>
      </c>
      <c r="S342" s="170">
        <f ca="1">IFERROR(__xludf.DUMMYFUNCTION("""COMPUTED_VALUE"""),0)</f>
        <v>0</v>
      </c>
      <c r="T342" s="170">
        <f ca="1">IFERROR(__xludf.DUMMYFUNCTION("""COMPUTED_VALUE"""),0)</f>
        <v>0</v>
      </c>
      <c r="U342" s="170">
        <f ca="1"/>
        <v>1110.8</v>
      </c>
    </row>
    <row r="343" spans="1:21" ht="12.75">
      <c r="A343" s="162" t="str">
        <f ca="1">IFERROR(__xludf.DUMMYFUNCTION("""COMPUTED_VALUE"""),"Pedro Afonso")</f>
        <v>Pedro Afonso</v>
      </c>
      <c r="B343" s="162" t="str">
        <f ca="1">IFERROR(__xludf.DUMMYFUNCTION("""COMPUTED_VALUE"""),"Pedro Afonso")</f>
        <v>Pedro Afonso</v>
      </c>
      <c r="C343" s="163" t="str">
        <f ca="1">IFERROR(__xludf.DUMMYFUNCTION("""COMPUTED_VALUE"""),"A.A. ESCOLAR DO COLEGIO EST.CRISTO REI")</f>
        <v>A.A. ESCOLAR DO COLEGIO EST.CRISTO REI</v>
      </c>
      <c r="D343" s="164" t="str">
        <f ca="1">IFERROR(__xludf.DUMMYFUNCTION("""COMPUTED_VALUE"""),"02250658000187")</f>
        <v>02250658000187</v>
      </c>
      <c r="E343" s="165" t="str">
        <f ca="1">IFERROR(__xludf.DUMMYFUNCTION("""COMPUTED_VALUE"""),"001")</f>
        <v>001</v>
      </c>
      <c r="F343" s="165" t="str">
        <f ca="1">IFERROR(__xludf.DUMMYFUNCTION("""COMPUTED_VALUE"""),"1595")</f>
        <v>1595</v>
      </c>
      <c r="G343" s="165" t="str">
        <f ca="1">IFERROR(__xludf.DUMMYFUNCTION("""COMPUTED_VALUE"""),"66141")</f>
        <v>66141</v>
      </c>
      <c r="H343" s="165">
        <f ca="1">IFERROR(__xludf.DUMMYFUNCTION("""COMPUTED_VALUE"""),0)</f>
        <v>0</v>
      </c>
      <c r="I343" s="165">
        <f ca="1">IFERROR(__xludf.DUMMYFUNCTION("""COMPUTED_VALUE"""),0)</f>
        <v>0</v>
      </c>
      <c r="J343" s="165">
        <f ca="1">IFERROR(__xludf.DUMMYFUNCTION("""COMPUTED_VALUE"""),0)</f>
        <v>0</v>
      </c>
      <c r="K343" s="165">
        <f ca="1">IFERROR(__xludf.DUMMYFUNCTION("""COMPUTED_VALUE"""),0)</f>
        <v>0</v>
      </c>
      <c r="L343" s="165">
        <f ca="1">IFERROR(__xludf.DUMMYFUNCTION("""COMPUTED_VALUE"""),0)</f>
        <v>0</v>
      </c>
      <c r="M343" s="165">
        <f ca="1">IFERROR(__xludf.DUMMYFUNCTION("""COMPUTED_VALUE"""),0)</f>
        <v>0</v>
      </c>
      <c r="N343" s="165">
        <f ca="1">IFERROR(__xludf.DUMMYFUNCTION("""COMPUTED_VALUE"""),0)</f>
        <v>0</v>
      </c>
      <c r="O343" s="165">
        <f ca="1">IFERROR(__xludf.DUMMYFUNCTION("""COMPUTED_VALUE"""),0)</f>
        <v>0</v>
      </c>
      <c r="P343" s="165">
        <f ca="1">IFERROR(__xludf.DUMMYFUNCTION("""COMPUTED_VALUE"""),136)</f>
        <v>136</v>
      </c>
      <c r="Q343" s="165">
        <f ca="1">IFERROR(__xludf.DUMMYFUNCTION("""COMPUTED_VALUE"""),5320)</f>
        <v>5320</v>
      </c>
      <c r="R343" s="165">
        <f ca="1">IFERROR(__xludf.DUMMYFUNCTION("""COMPUTED_VALUE"""),0)</f>
        <v>0</v>
      </c>
      <c r="S343" s="165">
        <f ca="1">IFERROR(__xludf.DUMMYFUNCTION("""COMPUTED_VALUE"""),0)</f>
        <v>0</v>
      </c>
      <c r="T343" s="165">
        <f ca="1">IFERROR(__xludf.DUMMYFUNCTION("""COMPUTED_VALUE"""),0)</f>
        <v>0</v>
      </c>
      <c r="U343" s="165">
        <f ca="1"/>
        <v>5456</v>
      </c>
    </row>
    <row r="344" spans="1:21" ht="12.75">
      <c r="A344" s="167" t="str">
        <f ca="1">IFERROR(__xludf.DUMMYFUNCTION("""COMPUTED_VALUE"""),"Pedro Afonso")</f>
        <v>Pedro Afonso</v>
      </c>
      <c r="B344" s="167" t="str">
        <f ca="1">IFERROR(__xludf.DUMMYFUNCTION("""COMPUTED_VALUE"""),"Pedro Afonso")</f>
        <v>Pedro Afonso</v>
      </c>
      <c r="C344" s="168" t="str">
        <f ca="1">IFERROR(__xludf.DUMMYFUNCTION("""COMPUTED_VALUE"""),"ASSOCIAÇÃO DE PAIS E AMIGOS DOS EXCEPCIONAIS DE PEDRO AFONSO")</f>
        <v>ASSOCIAÇÃO DE PAIS E AMIGOS DOS EXCEPCIONAIS DE PEDRO AFONSO</v>
      </c>
      <c r="D344" s="169" t="str">
        <f ca="1">IFERROR(__xludf.DUMMYFUNCTION("""COMPUTED_VALUE"""),"04406588000139")</f>
        <v>04406588000139</v>
      </c>
      <c r="E344" s="170" t="str">
        <f ca="1">IFERROR(__xludf.DUMMYFUNCTION("""COMPUTED_VALUE"""),"001")</f>
        <v>001</v>
      </c>
      <c r="F344" s="170" t="str">
        <f ca="1">IFERROR(__xludf.DUMMYFUNCTION("""COMPUTED_VALUE"""),"1595")</f>
        <v>1595</v>
      </c>
      <c r="G344" s="170" t="str">
        <f ca="1">IFERROR(__xludf.DUMMYFUNCTION("""COMPUTED_VALUE"""),"119105")</f>
        <v>119105</v>
      </c>
      <c r="H344" s="170">
        <f ca="1">IFERROR(__xludf.DUMMYFUNCTION("""COMPUTED_VALUE"""),0)</f>
        <v>0</v>
      </c>
      <c r="I344" s="170">
        <f ca="1">IFERROR(__xludf.DUMMYFUNCTION("""COMPUTED_VALUE"""),0)</f>
        <v>0</v>
      </c>
      <c r="J344" s="170">
        <f ca="1">IFERROR(__xludf.DUMMYFUNCTION("""COMPUTED_VALUE"""),50)</f>
        <v>50</v>
      </c>
      <c r="K344" s="170">
        <f ca="1">IFERROR(__xludf.DUMMYFUNCTION("""COMPUTED_VALUE"""),0)</f>
        <v>0</v>
      </c>
      <c r="L344" s="170">
        <f ca="1">IFERROR(__xludf.DUMMYFUNCTION("""COMPUTED_VALUE"""),0)</f>
        <v>0</v>
      </c>
      <c r="M344" s="170">
        <f ca="1">IFERROR(__xludf.DUMMYFUNCTION("""COMPUTED_VALUE"""),0)</f>
        <v>0</v>
      </c>
      <c r="N344" s="170">
        <f ca="1">IFERROR(__xludf.DUMMYFUNCTION("""COMPUTED_VALUE"""),0)</f>
        <v>0</v>
      </c>
      <c r="O344" s="170">
        <f ca="1">IFERROR(__xludf.DUMMYFUNCTION("""COMPUTED_VALUE"""),0)</f>
        <v>0</v>
      </c>
      <c r="P344" s="170">
        <f ca="1">IFERROR(__xludf.DUMMYFUNCTION("""COMPUTED_VALUE"""),312.8)</f>
        <v>312.8</v>
      </c>
      <c r="Q344" s="170">
        <f ca="1">IFERROR(__xludf.DUMMYFUNCTION("""COMPUTED_VALUE"""),0)</f>
        <v>0</v>
      </c>
      <c r="R344" s="170">
        <f ca="1">IFERROR(__xludf.DUMMYFUNCTION("""COMPUTED_VALUE"""),0)</f>
        <v>0</v>
      </c>
      <c r="S344" s="170">
        <f ca="1">IFERROR(__xludf.DUMMYFUNCTION("""COMPUTED_VALUE"""),0)</f>
        <v>0</v>
      </c>
      <c r="T344" s="170">
        <f ca="1">IFERROR(__xludf.DUMMYFUNCTION("""COMPUTED_VALUE"""),885.599999999999)</f>
        <v>885.599999999999</v>
      </c>
      <c r="U344" s="170">
        <f ca="1"/>
        <v>1248.399999999999</v>
      </c>
    </row>
    <row r="345" spans="1:21" ht="12.75">
      <c r="A345" s="162" t="str">
        <f ca="1">IFERROR(__xludf.DUMMYFUNCTION("""COMPUTED_VALUE"""),"Pedro Afonso")</f>
        <v>Pedro Afonso</v>
      </c>
      <c r="B345" s="162" t="str">
        <f ca="1">IFERROR(__xludf.DUMMYFUNCTION("""COMPUTED_VALUE"""),"Pedro Afonso")</f>
        <v>Pedro Afonso</v>
      </c>
      <c r="C345" s="163" t="str">
        <f ca="1">IFERROR(__xludf.DUMMYFUNCTION("""COMPUTED_VALUE"""),"A. DE PAIS E MEST. DA ESC. EST. ANA AMORIM")</f>
        <v>A. DE PAIS E MEST. DA ESC. EST. ANA AMORIM</v>
      </c>
      <c r="D345" s="164" t="str">
        <f ca="1">IFERROR(__xludf.DUMMYFUNCTION("""COMPUTED_VALUE"""),"01990364000129")</f>
        <v>01990364000129</v>
      </c>
      <c r="E345" s="165" t="str">
        <f ca="1">IFERROR(__xludf.DUMMYFUNCTION("""COMPUTED_VALUE"""),"001")</f>
        <v>001</v>
      </c>
      <c r="F345" s="165" t="str">
        <f ca="1">IFERROR(__xludf.DUMMYFUNCTION("""COMPUTED_VALUE"""),"1595")</f>
        <v>1595</v>
      </c>
      <c r="G345" s="165" t="str">
        <f ca="1">IFERROR(__xludf.DUMMYFUNCTION("""COMPUTED_VALUE"""),"59722")</f>
        <v>59722</v>
      </c>
      <c r="H345" s="165">
        <f ca="1">IFERROR(__xludf.DUMMYFUNCTION("""COMPUTED_VALUE"""),0)</f>
        <v>0</v>
      </c>
      <c r="I345" s="165">
        <f ca="1">IFERROR(__xludf.DUMMYFUNCTION("""COMPUTED_VALUE"""),0)</f>
        <v>0</v>
      </c>
      <c r="J345" s="165">
        <f ca="1">IFERROR(__xludf.DUMMYFUNCTION("""COMPUTED_VALUE"""),4920)</f>
        <v>4920</v>
      </c>
      <c r="K345" s="165">
        <f ca="1">IFERROR(__xludf.DUMMYFUNCTION("""COMPUTED_VALUE"""),0)</f>
        <v>0</v>
      </c>
      <c r="L345" s="165">
        <f ca="1">IFERROR(__xludf.DUMMYFUNCTION("""COMPUTED_VALUE"""),0)</f>
        <v>0</v>
      </c>
      <c r="M345" s="165">
        <f ca="1">IFERROR(__xludf.DUMMYFUNCTION("""COMPUTED_VALUE"""),0)</f>
        <v>0</v>
      </c>
      <c r="N345" s="165">
        <f ca="1">IFERROR(__xludf.DUMMYFUNCTION("""COMPUTED_VALUE"""),0)</f>
        <v>0</v>
      </c>
      <c r="O345" s="165">
        <f ca="1">IFERROR(__xludf.DUMMYFUNCTION("""COMPUTED_VALUE"""),0)</f>
        <v>0</v>
      </c>
      <c r="P345" s="165">
        <f ca="1">IFERROR(__xludf.DUMMYFUNCTION("""COMPUTED_VALUE"""),190.4)</f>
        <v>190.4</v>
      </c>
      <c r="Q345" s="165">
        <f ca="1">IFERROR(__xludf.DUMMYFUNCTION("""COMPUTED_VALUE"""),0)</f>
        <v>0</v>
      </c>
      <c r="R345" s="165">
        <f ca="1">IFERROR(__xludf.DUMMYFUNCTION("""COMPUTED_VALUE"""),0)</f>
        <v>0</v>
      </c>
      <c r="S345" s="165">
        <f ca="1">IFERROR(__xludf.DUMMYFUNCTION("""COMPUTED_VALUE"""),0)</f>
        <v>0</v>
      </c>
      <c r="T345" s="165">
        <f ca="1">IFERROR(__xludf.DUMMYFUNCTION("""COMPUTED_VALUE"""),754.4)</f>
        <v>754.4</v>
      </c>
      <c r="U345" s="165">
        <f ca="1"/>
        <v>5864.7999999999993</v>
      </c>
    </row>
    <row r="346" spans="1:21" ht="12.75">
      <c r="A346" s="167" t="str">
        <f ca="1">IFERROR(__xludf.DUMMYFUNCTION("""COMPUTED_VALUE"""),"Pedro Afonso")</f>
        <v>Pedro Afonso</v>
      </c>
      <c r="B346" s="167" t="str">
        <f ca="1">IFERROR(__xludf.DUMMYFUNCTION("""COMPUTED_VALUE"""),"Pedro Afonso")</f>
        <v>Pedro Afonso</v>
      </c>
      <c r="C346" s="168" t="str">
        <f ca="1">IFERROR(__xludf.DUMMYFUNCTION("""COMPUTED_VALUE"""),"ASS. DE APOIO A ESCOLA ESTADUAL BOM TEMPO")</f>
        <v>ASS. DE APOIO A ESCOLA ESTADUAL BOM TEMPO</v>
      </c>
      <c r="D346" s="169" t="str">
        <f ca="1">IFERROR(__xludf.DUMMYFUNCTION("""COMPUTED_VALUE"""),"44776099000193")</f>
        <v>44776099000193</v>
      </c>
      <c r="E346" s="170" t="str">
        <f ca="1">IFERROR(__xludf.DUMMYFUNCTION("""COMPUTED_VALUE"""),"001")</f>
        <v>001</v>
      </c>
      <c r="F346" s="170" t="str">
        <f ca="1">IFERROR(__xludf.DUMMYFUNCTION("""COMPUTED_VALUE"""),"1595")</f>
        <v>1595</v>
      </c>
      <c r="G346" s="170" t="str">
        <f ca="1">IFERROR(__xludf.DUMMYFUNCTION("""COMPUTED_VALUE"""),"324981")</f>
        <v>324981</v>
      </c>
      <c r="H346" s="170">
        <f ca="1">IFERROR(__xludf.DUMMYFUNCTION("""COMPUTED_VALUE"""),0)</f>
        <v>0</v>
      </c>
      <c r="I346" s="170">
        <f ca="1">IFERROR(__xludf.DUMMYFUNCTION("""COMPUTED_VALUE"""),0)</f>
        <v>0</v>
      </c>
      <c r="J346" s="170">
        <f ca="1">IFERROR(__xludf.DUMMYFUNCTION("""COMPUTED_VALUE"""),410)</f>
        <v>410</v>
      </c>
      <c r="K346" s="170">
        <f ca="1">IFERROR(__xludf.DUMMYFUNCTION("""COMPUTED_VALUE"""),0)</f>
        <v>0</v>
      </c>
      <c r="L346" s="170">
        <f ca="1">IFERROR(__xludf.DUMMYFUNCTION("""COMPUTED_VALUE"""),0)</f>
        <v>0</v>
      </c>
      <c r="M346" s="170">
        <f ca="1">IFERROR(__xludf.DUMMYFUNCTION("""COMPUTED_VALUE"""),0)</f>
        <v>0</v>
      </c>
      <c r="N346" s="170">
        <f ca="1">IFERROR(__xludf.DUMMYFUNCTION("""COMPUTED_VALUE"""),0)</f>
        <v>0</v>
      </c>
      <c r="O346" s="170">
        <f ca="1">IFERROR(__xludf.DUMMYFUNCTION("""COMPUTED_VALUE"""),0)</f>
        <v>0</v>
      </c>
      <c r="P346" s="170">
        <f ca="1">IFERROR(__xludf.DUMMYFUNCTION("""COMPUTED_VALUE"""),0)</f>
        <v>0</v>
      </c>
      <c r="Q346" s="170">
        <f ca="1">IFERROR(__xludf.DUMMYFUNCTION("""COMPUTED_VALUE"""),90)</f>
        <v>90</v>
      </c>
      <c r="R346" s="170">
        <f ca="1">IFERROR(__xludf.DUMMYFUNCTION("""COMPUTED_VALUE"""),0)</f>
        <v>0</v>
      </c>
      <c r="S346" s="170">
        <f ca="1">IFERROR(__xludf.DUMMYFUNCTION("""COMPUTED_VALUE"""),0)</f>
        <v>0</v>
      </c>
      <c r="T346" s="170">
        <f ca="1">IFERROR(__xludf.DUMMYFUNCTION("""COMPUTED_VALUE"""),106.6)</f>
        <v>106.6</v>
      </c>
      <c r="U346" s="170">
        <f ca="1"/>
        <v>606.6</v>
      </c>
    </row>
    <row r="347" spans="1:21" ht="12.75">
      <c r="A347" s="162" t="str">
        <f ca="1">IFERROR(__xludf.DUMMYFUNCTION("""COMPUTED_VALUE"""),"Pedro Afonso")</f>
        <v>Pedro Afonso</v>
      </c>
      <c r="B347" s="162" t="str">
        <f ca="1">IFERROR(__xludf.DUMMYFUNCTION("""COMPUTED_VALUE"""),"Pedro Afonso")</f>
        <v>Pedro Afonso</v>
      </c>
      <c r="C347" s="163" t="str">
        <f ca="1">IFERROR(__xludf.DUMMYFUNCTION("""COMPUTED_VALUE"""),"A.A. AO COLÉGIO DE TEMPO INTEGRAL PROFESSOR ANTONIO BELARMINO FILHO")</f>
        <v>A.A. AO COLÉGIO DE TEMPO INTEGRAL PROFESSOR ANTONIO BELARMINO FILHO</v>
      </c>
      <c r="D347" s="164" t="str">
        <f ca="1">IFERROR(__xludf.DUMMYFUNCTION("""COMPUTED_VALUE"""),"47823286000179")</f>
        <v>47823286000179</v>
      </c>
      <c r="E347" s="165" t="str">
        <f ca="1">IFERROR(__xludf.DUMMYFUNCTION("""COMPUTED_VALUE"""),"001")</f>
        <v>001</v>
      </c>
      <c r="F347" s="165" t="str">
        <f ca="1">IFERROR(__xludf.DUMMYFUNCTION("""COMPUTED_VALUE"""),"1595")</f>
        <v>1595</v>
      </c>
      <c r="G347" s="165" t="str">
        <f ca="1">IFERROR(__xludf.DUMMYFUNCTION("""COMPUTED_VALUE"""),"334804")</f>
        <v>334804</v>
      </c>
      <c r="H347" s="165">
        <f ca="1">IFERROR(__xludf.DUMMYFUNCTION("""COMPUTED_VALUE"""),0)</f>
        <v>0</v>
      </c>
      <c r="I347" s="165">
        <f ca="1">IFERROR(__xludf.DUMMYFUNCTION("""COMPUTED_VALUE"""),0)</f>
        <v>0</v>
      </c>
      <c r="J347" s="165">
        <f ca="1">IFERROR(__xludf.DUMMYFUNCTION("""COMPUTED_VALUE"""),0)</f>
        <v>0</v>
      </c>
      <c r="K347" s="165">
        <f ca="1">IFERROR(__xludf.DUMMYFUNCTION("""COMPUTED_VALUE"""),11014.8)</f>
        <v>11014.8</v>
      </c>
      <c r="L347" s="165">
        <f ca="1">IFERROR(__xludf.DUMMYFUNCTION("""COMPUTED_VALUE"""),0)</f>
        <v>0</v>
      </c>
      <c r="M347" s="165">
        <f ca="1">IFERROR(__xludf.DUMMYFUNCTION("""COMPUTED_VALUE"""),0)</f>
        <v>0</v>
      </c>
      <c r="N347" s="165">
        <f ca="1">IFERROR(__xludf.DUMMYFUNCTION("""COMPUTED_VALUE"""),0)</f>
        <v>0</v>
      </c>
      <c r="O347" s="165">
        <f ca="1">IFERROR(__xludf.DUMMYFUNCTION("""COMPUTED_VALUE"""),0)</f>
        <v>0</v>
      </c>
      <c r="P347" s="165">
        <f ca="1">IFERROR(__xludf.DUMMYFUNCTION("""COMPUTED_VALUE"""),0)</f>
        <v>0</v>
      </c>
      <c r="Q347" s="165">
        <f ca="1">IFERROR(__xludf.DUMMYFUNCTION("""COMPUTED_VALUE"""),0)</f>
        <v>0</v>
      </c>
      <c r="R347" s="165">
        <f ca="1">IFERROR(__xludf.DUMMYFUNCTION("""COMPUTED_VALUE"""),2767.39999999999)</f>
        <v>2767.3999999999901</v>
      </c>
      <c r="S347" s="165">
        <f ca="1">IFERROR(__xludf.DUMMYFUNCTION("""COMPUTED_VALUE"""),0)</f>
        <v>0</v>
      </c>
      <c r="T347" s="165">
        <f ca="1">IFERROR(__xludf.DUMMYFUNCTION("""COMPUTED_VALUE"""),0)</f>
        <v>0</v>
      </c>
      <c r="U347" s="165">
        <f ca="1"/>
        <v>13782.19999999999</v>
      </c>
    </row>
    <row r="348" spans="1:21" ht="12.75">
      <c r="A348" s="167" t="str">
        <f ca="1">IFERROR(__xludf.DUMMYFUNCTION("""COMPUTED_VALUE"""),"Pedro Afonso")</f>
        <v>Pedro Afonso</v>
      </c>
      <c r="B348" s="167" t="str">
        <f ca="1">IFERROR(__xludf.DUMMYFUNCTION("""COMPUTED_VALUE"""),"Recursolandia")</f>
        <v>Recursolandia</v>
      </c>
      <c r="C348" s="168" t="str">
        <f ca="1">IFERROR(__xludf.DUMMYFUNCTION("""COMPUTED_VALUE"""),"ASS. DE A. A ESCOLA EST. RECURSO I")</f>
        <v>ASS. DE A. A ESCOLA EST. RECURSO I</v>
      </c>
      <c r="D348" s="169" t="str">
        <f ca="1">IFERROR(__xludf.DUMMYFUNCTION("""COMPUTED_VALUE"""),"02021097000144")</f>
        <v>02021097000144</v>
      </c>
      <c r="E348" s="170" t="str">
        <f ca="1">IFERROR(__xludf.DUMMYFUNCTION("""COMPUTED_VALUE"""),"001")</f>
        <v>001</v>
      </c>
      <c r="F348" s="170" t="str">
        <f ca="1">IFERROR(__xludf.DUMMYFUNCTION("""COMPUTED_VALUE"""),"1595")</f>
        <v>1595</v>
      </c>
      <c r="G348" s="170" t="str">
        <f ca="1">IFERROR(__xludf.DUMMYFUNCTION("""COMPUTED_VALUE"""),"11029")</f>
        <v>11029</v>
      </c>
      <c r="H348" s="170">
        <f ca="1">IFERROR(__xludf.DUMMYFUNCTION("""COMPUTED_VALUE"""),0)</f>
        <v>0</v>
      </c>
      <c r="I348" s="170">
        <f ca="1">IFERROR(__xludf.DUMMYFUNCTION("""COMPUTED_VALUE"""),0)</f>
        <v>0</v>
      </c>
      <c r="J348" s="170">
        <f ca="1">IFERROR(__xludf.DUMMYFUNCTION("""COMPUTED_VALUE"""),1210)</f>
        <v>1210</v>
      </c>
      <c r="K348" s="170">
        <f ca="1">IFERROR(__xludf.DUMMYFUNCTION("""COMPUTED_VALUE"""),0)</f>
        <v>0</v>
      </c>
      <c r="L348" s="170">
        <f ca="1">IFERROR(__xludf.DUMMYFUNCTION("""COMPUTED_VALUE"""),0)</f>
        <v>0</v>
      </c>
      <c r="M348" s="170">
        <f ca="1">IFERROR(__xludf.DUMMYFUNCTION("""COMPUTED_VALUE"""),0)</f>
        <v>0</v>
      </c>
      <c r="N348" s="170">
        <f ca="1">IFERROR(__xludf.DUMMYFUNCTION("""COMPUTED_VALUE"""),0)</f>
        <v>0</v>
      </c>
      <c r="O348" s="170">
        <f ca="1">IFERROR(__xludf.DUMMYFUNCTION("""COMPUTED_VALUE"""),0)</f>
        <v>0</v>
      </c>
      <c r="P348" s="170">
        <f ca="1">IFERROR(__xludf.DUMMYFUNCTION("""COMPUTED_VALUE"""),0)</f>
        <v>0</v>
      </c>
      <c r="Q348" s="170">
        <f ca="1">IFERROR(__xludf.DUMMYFUNCTION("""COMPUTED_VALUE"""),1890)</f>
        <v>1890</v>
      </c>
      <c r="R348" s="170">
        <f ca="1">IFERROR(__xludf.DUMMYFUNCTION("""COMPUTED_VALUE"""),0)</f>
        <v>0</v>
      </c>
      <c r="S348" s="170">
        <f ca="1">IFERROR(__xludf.DUMMYFUNCTION("""COMPUTED_VALUE"""),0)</f>
        <v>0</v>
      </c>
      <c r="T348" s="170">
        <f ca="1">IFERROR(__xludf.DUMMYFUNCTION("""COMPUTED_VALUE"""),0)</f>
        <v>0</v>
      </c>
      <c r="U348" s="170">
        <f ca="1"/>
        <v>3100</v>
      </c>
    </row>
    <row r="349" spans="1:21" ht="12.75">
      <c r="A349" s="162" t="str">
        <f ca="1">IFERROR(__xludf.DUMMYFUNCTION("""COMPUTED_VALUE"""),"Pedro Afonso")</f>
        <v>Pedro Afonso</v>
      </c>
      <c r="B349" s="162" t="str">
        <f ca="1">IFERROR(__xludf.DUMMYFUNCTION("""COMPUTED_VALUE"""),"Santa Maria do Tocantins")</f>
        <v>Santa Maria do Tocantins</v>
      </c>
      <c r="C349" s="163" t="str">
        <f ca="1">IFERROR(__xludf.DUMMYFUNCTION("""COMPUTED_VALUE"""),"A. A.AS ESC.DO COL. EST. SANTA MARIA")</f>
        <v>A. A.AS ESC.DO COL. EST. SANTA MARIA</v>
      </c>
      <c r="D349" s="164" t="str">
        <f ca="1">IFERROR(__xludf.DUMMYFUNCTION("""COMPUTED_VALUE"""),"02087933000193")</f>
        <v>02087933000193</v>
      </c>
      <c r="E349" s="165" t="str">
        <f ca="1">IFERROR(__xludf.DUMMYFUNCTION("""COMPUTED_VALUE"""),"001")</f>
        <v>001</v>
      </c>
      <c r="F349" s="165" t="str">
        <f ca="1">IFERROR(__xludf.DUMMYFUNCTION("""COMPUTED_VALUE"""),"1595")</f>
        <v>1595</v>
      </c>
      <c r="G349" s="165" t="str">
        <f ca="1">IFERROR(__xludf.DUMMYFUNCTION("""COMPUTED_VALUE"""),"83089")</f>
        <v>83089</v>
      </c>
      <c r="H349" s="165">
        <f ca="1">IFERROR(__xludf.DUMMYFUNCTION("""COMPUTED_VALUE"""),0)</f>
        <v>0</v>
      </c>
      <c r="I349" s="165">
        <f ca="1">IFERROR(__xludf.DUMMYFUNCTION("""COMPUTED_VALUE"""),0)</f>
        <v>0</v>
      </c>
      <c r="J349" s="165">
        <f ca="1">IFERROR(__xludf.DUMMYFUNCTION("""COMPUTED_VALUE"""),1380)</f>
        <v>1380</v>
      </c>
      <c r="K349" s="165">
        <f ca="1">IFERROR(__xludf.DUMMYFUNCTION("""COMPUTED_VALUE"""),2904.39999999999)</f>
        <v>2904.3999999999901</v>
      </c>
      <c r="L349" s="165">
        <f ca="1">IFERROR(__xludf.DUMMYFUNCTION("""COMPUTED_VALUE"""),0)</f>
        <v>0</v>
      </c>
      <c r="M349" s="165">
        <f ca="1">IFERROR(__xludf.DUMMYFUNCTION("""COMPUTED_VALUE"""),0)</f>
        <v>0</v>
      </c>
      <c r="N349" s="165">
        <f ca="1">IFERROR(__xludf.DUMMYFUNCTION("""COMPUTED_VALUE"""),0)</f>
        <v>0</v>
      </c>
      <c r="O349" s="165">
        <f ca="1">IFERROR(__xludf.DUMMYFUNCTION("""COMPUTED_VALUE"""),0)</f>
        <v>0</v>
      </c>
      <c r="P349" s="165">
        <f ca="1">IFERROR(__xludf.DUMMYFUNCTION("""COMPUTED_VALUE"""),0)</f>
        <v>0</v>
      </c>
      <c r="Q349" s="165">
        <f ca="1">IFERROR(__xludf.DUMMYFUNCTION("""COMPUTED_VALUE"""),1180)</f>
        <v>1180</v>
      </c>
      <c r="R349" s="165">
        <f ca="1">IFERROR(__xludf.DUMMYFUNCTION("""COMPUTED_VALUE"""),0)</f>
        <v>0</v>
      </c>
      <c r="S349" s="165">
        <f ca="1">IFERROR(__xludf.DUMMYFUNCTION("""COMPUTED_VALUE"""),0)</f>
        <v>0</v>
      </c>
      <c r="T349" s="165">
        <f ca="1">IFERROR(__xludf.DUMMYFUNCTION("""COMPUTED_VALUE"""),0)</f>
        <v>0</v>
      </c>
      <c r="U349" s="165">
        <f ca="1"/>
        <v>5464.3999999999905</v>
      </c>
    </row>
    <row r="350" spans="1:21" ht="12.75">
      <c r="A350" s="167" t="str">
        <f ca="1">IFERROR(__xludf.DUMMYFUNCTION("""COMPUTED_VALUE"""),"Pedro Afonso")</f>
        <v>Pedro Afonso</v>
      </c>
      <c r="B350" s="167" t="str">
        <f ca="1">IFERROR(__xludf.DUMMYFUNCTION("""COMPUTED_VALUE"""),"Tupirama")</f>
        <v>Tupirama</v>
      </c>
      <c r="C350" s="168" t="str">
        <f ca="1">IFERROR(__xludf.DUMMYFUNCTION("""COMPUTED_VALUE"""),"A.A. A ESCOLA EST. MARIA DA GLORIA")</f>
        <v>A.A. A ESCOLA EST. MARIA DA GLORIA</v>
      </c>
      <c r="D350" s="169" t="str">
        <f ca="1">IFERROR(__xludf.DUMMYFUNCTION("""COMPUTED_VALUE"""),"02096555000104")</f>
        <v>02096555000104</v>
      </c>
      <c r="E350" s="170" t="str">
        <f ca="1">IFERROR(__xludf.DUMMYFUNCTION("""COMPUTED_VALUE"""),"001")</f>
        <v>001</v>
      </c>
      <c r="F350" s="170" t="str">
        <f ca="1">IFERROR(__xludf.DUMMYFUNCTION("""COMPUTED_VALUE"""),"2094")</f>
        <v>2094</v>
      </c>
      <c r="G350" s="170" t="str">
        <f ca="1">IFERROR(__xludf.DUMMYFUNCTION("""COMPUTED_VALUE"""),"50482")</f>
        <v>50482</v>
      </c>
      <c r="H350" s="170">
        <f ca="1">IFERROR(__xludf.DUMMYFUNCTION("""COMPUTED_VALUE"""),0)</f>
        <v>0</v>
      </c>
      <c r="I350" s="170">
        <f ca="1">IFERROR(__xludf.DUMMYFUNCTION("""COMPUTED_VALUE"""),0)</f>
        <v>0</v>
      </c>
      <c r="J350" s="170">
        <f ca="1">IFERROR(__xludf.DUMMYFUNCTION("""COMPUTED_VALUE"""),0)</f>
        <v>0</v>
      </c>
      <c r="K350" s="170">
        <f ca="1">IFERROR(__xludf.DUMMYFUNCTION("""COMPUTED_VALUE"""),3671.6)</f>
        <v>3671.6</v>
      </c>
      <c r="L350" s="170">
        <f ca="1">IFERROR(__xludf.DUMMYFUNCTION("""COMPUTED_VALUE"""),0)</f>
        <v>0</v>
      </c>
      <c r="M350" s="170">
        <f ca="1">IFERROR(__xludf.DUMMYFUNCTION("""COMPUTED_VALUE"""),0)</f>
        <v>0</v>
      </c>
      <c r="N350" s="170">
        <f ca="1">IFERROR(__xludf.DUMMYFUNCTION("""COMPUTED_VALUE"""),0)</f>
        <v>0</v>
      </c>
      <c r="O350" s="170">
        <f ca="1">IFERROR(__xludf.DUMMYFUNCTION("""COMPUTED_VALUE"""),0)</f>
        <v>0</v>
      </c>
      <c r="P350" s="170">
        <f ca="1">IFERROR(__xludf.DUMMYFUNCTION("""COMPUTED_VALUE"""),0)</f>
        <v>0</v>
      </c>
      <c r="Q350" s="170">
        <f ca="1">IFERROR(__xludf.DUMMYFUNCTION("""COMPUTED_VALUE"""),580)</f>
        <v>580</v>
      </c>
      <c r="R350" s="170">
        <f ca="1">IFERROR(__xludf.DUMMYFUNCTION("""COMPUTED_VALUE"""),2383.79999999999)</f>
        <v>2383.7999999999902</v>
      </c>
      <c r="S350" s="170">
        <f ca="1">IFERROR(__xludf.DUMMYFUNCTION("""COMPUTED_VALUE"""),0)</f>
        <v>0</v>
      </c>
      <c r="T350" s="170">
        <f ca="1">IFERROR(__xludf.DUMMYFUNCTION("""COMPUTED_VALUE"""),0)</f>
        <v>0</v>
      </c>
      <c r="U350" s="170">
        <f ca="1"/>
        <v>6635.3999999999905</v>
      </c>
    </row>
    <row r="351" spans="1:21" ht="12.75">
      <c r="A351" s="162" t="str">
        <f ca="1">IFERROR(__xludf.DUMMYFUNCTION("""COMPUTED_VALUE"""),"Porto Nacional")</f>
        <v>Porto Nacional</v>
      </c>
      <c r="B351" s="162" t="str">
        <f ca="1">IFERROR(__xludf.DUMMYFUNCTION("""COMPUTED_VALUE"""),"Brejinho de Nazare")</f>
        <v>Brejinho de Nazare</v>
      </c>
      <c r="C351" s="163" t="str">
        <f ca="1">IFERROR(__xludf.DUMMYFUNCTION("""COMPUTED_VALUE"""),"A.A. DO COLEGIO ESTADUAL PADRAO")</f>
        <v>A.A. DO COLEGIO ESTADUAL PADRAO</v>
      </c>
      <c r="D351" s="164" t="str">
        <f ca="1">IFERROR(__xludf.DUMMYFUNCTION("""COMPUTED_VALUE"""),"01181175000105")</f>
        <v>01181175000105</v>
      </c>
      <c r="E351" s="165" t="str">
        <f ca="1">IFERROR(__xludf.DUMMYFUNCTION("""COMPUTED_VALUE"""),"001")</f>
        <v>001</v>
      </c>
      <c r="F351" s="165" t="str">
        <f ca="1">IFERROR(__xludf.DUMMYFUNCTION("""COMPUTED_VALUE"""),"3976")</f>
        <v>3976</v>
      </c>
      <c r="G351" s="165" t="str">
        <f ca="1">IFERROR(__xludf.DUMMYFUNCTION("""COMPUTED_VALUE"""),"51047")</f>
        <v>51047</v>
      </c>
      <c r="H351" s="165">
        <f ca="1">IFERROR(__xludf.DUMMYFUNCTION("""COMPUTED_VALUE"""),0)</f>
        <v>0</v>
      </c>
      <c r="I351" s="165">
        <f ca="1">IFERROR(__xludf.DUMMYFUNCTION("""COMPUTED_VALUE"""),0)</f>
        <v>0</v>
      </c>
      <c r="J351" s="165">
        <f ca="1">IFERROR(__xludf.DUMMYFUNCTION("""COMPUTED_VALUE"""),0)</f>
        <v>0</v>
      </c>
      <c r="K351" s="165">
        <f ca="1">IFERROR(__xludf.DUMMYFUNCTION("""COMPUTED_VALUE"""),0)</f>
        <v>0</v>
      </c>
      <c r="L351" s="165">
        <f ca="1">IFERROR(__xludf.DUMMYFUNCTION("""COMPUTED_VALUE"""),0)</f>
        <v>0</v>
      </c>
      <c r="M351" s="165">
        <f ca="1">IFERROR(__xludf.DUMMYFUNCTION("""COMPUTED_VALUE"""),0)</f>
        <v>0</v>
      </c>
      <c r="N351" s="165">
        <f ca="1">IFERROR(__xludf.DUMMYFUNCTION("""COMPUTED_VALUE"""),0)</f>
        <v>0</v>
      </c>
      <c r="O351" s="165">
        <f ca="1">IFERROR(__xludf.DUMMYFUNCTION("""COMPUTED_VALUE"""),0)</f>
        <v>0</v>
      </c>
      <c r="P351" s="165">
        <f ca="1">IFERROR(__xludf.DUMMYFUNCTION("""COMPUTED_VALUE"""),0)</f>
        <v>0</v>
      </c>
      <c r="Q351" s="165">
        <f ca="1">IFERROR(__xludf.DUMMYFUNCTION("""COMPUTED_VALUE"""),0)</f>
        <v>0</v>
      </c>
      <c r="R351" s="165">
        <f ca="1">IFERROR(__xludf.DUMMYFUNCTION("""COMPUTED_VALUE"""),0)</f>
        <v>0</v>
      </c>
      <c r="S351" s="165">
        <f ca="1">IFERROR(__xludf.DUMMYFUNCTION("""COMPUTED_VALUE"""),8960)</f>
        <v>8960</v>
      </c>
      <c r="T351" s="165">
        <f ca="1">IFERROR(__xludf.DUMMYFUNCTION("""COMPUTED_VALUE"""),0)</f>
        <v>0</v>
      </c>
      <c r="U351" s="165">
        <f ca="1"/>
        <v>8960</v>
      </c>
    </row>
    <row r="352" spans="1:21" ht="12.75">
      <c r="A352" s="167" t="str">
        <f ca="1">IFERROR(__xludf.DUMMYFUNCTION("""COMPUTED_VALUE"""),"Porto Nacional")</f>
        <v>Porto Nacional</v>
      </c>
      <c r="B352" s="167" t="str">
        <f ca="1">IFERROR(__xludf.DUMMYFUNCTION("""COMPUTED_VALUE"""),"Brejinho de Nazare")</f>
        <v>Brejinho de Nazare</v>
      </c>
      <c r="C352" s="168" t="str">
        <f ca="1">IFERROR(__xludf.DUMMYFUNCTION("""COMPUTED_VALUE"""),"AS.DE APOIO A ESC. EST. JONAS PEREIRA LIMA")</f>
        <v>AS.DE APOIO A ESC. EST. JONAS PEREIRA LIMA</v>
      </c>
      <c r="D352" s="169" t="str">
        <f ca="1">IFERROR(__xludf.DUMMYFUNCTION("""COMPUTED_VALUE"""),"01148459000108")</f>
        <v>01148459000108</v>
      </c>
      <c r="E352" s="170" t="str">
        <f ca="1">IFERROR(__xludf.DUMMYFUNCTION("""COMPUTED_VALUE"""),"001")</f>
        <v>001</v>
      </c>
      <c r="F352" s="170" t="str">
        <f ca="1">IFERROR(__xludf.DUMMYFUNCTION("""COMPUTED_VALUE"""),"3976")</f>
        <v>3976</v>
      </c>
      <c r="G352" s="170" t="str">
        <f ca="1">IFERROR(__xludf.DUMMYFUNCTION("""COMPUTED_VALUE"""),"80489")</f>
        <v>80489</v>
      </c>
      <c r="H352" s="170">
        <f ca="1">IFERROR(__xludf.DUMMYFUNCTION("""COMPUTED_VALUE"""),0)</f>
        <v>0</v>
      </c>
      <c r="I352" s="170">
        <f ca="1">IFERROR(__xludf.DUMMYFUNCTION("""COMPUTED_VALUE"""),0)</f>
        <v>0</v>
      </c>
      <c r="J352" s="170">
        <f ca="1">IFERROR(__xludf.DUMMYFUNCTION("""COMPUTED_VALUE"""),0)</f>
        <v>0</v>
      </c>
      <c r="K352" s="170">
        <f ca="1">IFERROR(__xludf.DUMMYFUNCTION("""COMPUTED_VALUE"""),6987)</f>
        <v>6987</v>
      </c>
      <c r="L352" s="170">
        <f ca="1">IFERROR(__xludf.DUMMYFUNCTION("""COMPUTED_VALUE"""),0)</f>
        <v>0</v>
      </c>
      <c r="M352" s="170">
        <f ca="1">IFERROR(__xludf.DUMMYFUNCTION("""COMPUTED_VALUE"""),0)</f>
        <v>0</v>
      </c>
      <c r="N352" s="170">
        <f ca="1">IFERROR(__xludf.DUMMYFUNCTION("""COMPUTED_VALUE"""),0)</f>
        <v>0</v>
      </c>
      <c r="O352" s="170">
        <f ca="1">IFERROR(__xludf.DUMMYFUNCTION("""COMPUTED_VALUE"""),0)</f>
        <v>0</v>
      </c>
      <c r="P352" s="170">
        <f ca="1">IFERROR(__xludf.DUMMYFUNCTION("""COMPUTED_VALUE"""),217.6)</f>
        <v>217.6</v>
      </c>
      <c r="Q352" s="170">
        <f ca="1">IFERROR(__xludf.DUMMYFUNCTION("""COMPUTED_VALUE"""),0)</f>
        <v>0</v>
      </c>
      <c r="R352" s="170">
        <f ca="1">IFERROR(__xludf.DUMMYFUNCTION("""COMPUTED_VALUE"""),0)</f>
        <v>0</v>
      </c>
      <c r="S352" s="170">
        <f ca="1">IFERROR(__xludf.DUMMYFUNCTION("""COMPUTED_VALUE"""),0)</f>
        <v>0</v>
      </c>
      <c r="T352" s="170">
        <f ca="1">IFERROR(__xludf.DUMMYFUNCTION("""COMPUTED_VALUE"""),0)</f>
        <v>0</v>
      </c>
      <c r="U352" s="170">
        <f ca="1"/>
        <v>7204.6</v>
      </c>
    </row>
    <row r="353" spans="1:21" ht="12.75">
      <c r="A353" s="162" t="str">
        <f ca="1">IFERROR(__xludf.DUMMYFUNCTION("""COMPUTED_VALUE"""),"Porto Nacional")</f>
        <v>Porto Nacional</v>
      </c>
      <c r="B353" s="162" t="str">
        <f ca="1">IFERROR(__xludf.DUMMYFUNCTION("""COMPUTED_VALUE"""),"Chapada da Natividade")</f>
        <v>Chapada da Natividade</v>
      </c>
      <c r="C353" s="163" t="str">
        <f ca="1">IFERROR(__xludf.DUMMYFUNCTION("""COMPUTED_VALUE"""),"A. APOIO ESCOLA EST. FULGENCIO NUNES")</f>
        <v>A. APOIO ESCOLA EST. FULGENCIO NUNES</v>
      </c>
      <c r="D353" s="164" t="str">
        <f ca="1">IFERROR(__xludf.DUMMYFUNCTION("""COMPUTED_VALUE"""),"01257085000150")</f>
        <v>01257085000150</v>
      </c>
      <c r="E353" s="165" t="str">
        <f ca="1">IFERROR(__xludf.DUMMYFUNCTION("""COMPUTED_VALUE"""),"003")</f>
        <v>003</v>
      </c>
      <c r="F353" s="165" t="str">
        <f ca="1">IFERROR(__xludf.DUMMYFUNCTION("""COMPUTED_VALUE"""),"0037")</f>
        <v>0037</v>
      </c>
      <c r="G353" s="165" t="str">
        <f ca="1">IFERROR(__xludf.DUMMYFUNCTION("""COMPUTED_VALUE"""),"706153")</f>
        <v>706153</v>
      </c>
      <c r="H353" s="165">
        <f ca="1">IFERROR(__xludf.DUMMYFUNCTION("""COMPUTED_VALUE"""),0)</f>
        <v>0</v>
      </c>
      <c r="I353" s="165">
        <f ca="1">IFERROR(__xludf.DUMMYFUNCTION("""COMPUTED_VALUE"""),0)</f>
        <v>0</v>
      </c>
      <c r="J353" s="165">
        <f ca="1">IFERROR(__xludf.DUMMYFUNCTION("""COMPUTED_VALUE"""),0)</f>
        <v>0</v>
      </c>
      <c r="K353" s="165">
        <f ca="1">IFERROR(__xludf.DUMMYFUNCTION("""COMPUTED_VALUE"""),0)</f>
        <v>0</v>
      </c>
      <c r="L353" s="165">
        <f ca="1">IFERROR(__xludf.DUMMYFUNCTION("""COMPUTED_VALUE"""),5624.4)</f>
        <v>5624.4</v>
      </c>
      <c r="M353" s="165">
        <f ca="1">IFERROR(__xludf.DUMMYFUNCTION("""COMPUTED_VALUE"""),0)</f>
        <v>0</v>
      </c>
      <c r="N353" s="165">
        <f ca="1">IFERROR(__xludf.DUMMYFUNCTION("""COMPUTED_VALUE"""),0)</f>
        <v>0</v>
      </c>
      <c r="O353" s="165">
        <f ca="1">IFERROR(__xludf.DUMMYFUNCTION("""COMPUTED_VALUE"""),0)</f>
        <v>0</v>
      </c>
      <c r="P353" s="165">
        <f ca="1">IFERROR(__xludf.DUMMYFUNCTION("""COMPUTED_VALUE"""),0)</f>
        <v>0</v>
      </c>
      <c r="Q353" s="165">
        <f ca="1">IFERROR(__xludf.DUMMYFUNCTION("""COMPUTED_VALUE"""),0)</f>
        <v>0</v>
      </c>
      <c r="R353" s="165">
        <f ca="1">IFERROR(__xludf.DUMMYFUNCTION("""COMPUTED_VALUE"""),0)</f>
        <v>0</v>
      </c>
      <c r="S353" s="165">
        <f ca="1">IFERROR(__xludf.DUMMYFUNCTION("""COMPUTED_VALUE"""),0)</f>
        <v>0</v>
      </c>
      <c r="T353" s="165">
        <f ca="1">IFERROR(__xludf.DUMMYFUNCTION("""COMPUTED_VALUE"""),0)</f>
        <v>0</v>
      </c>
      <c r="U353" s="165">
        <f ca="1"/>
        <v>5624.4</v>
      </c>
    </row>
    <row r="354" spans="1:21" ht="12.75">
      <c r="A354" s="167" t="str">
        <f ca="1">IFERROR(__xludf.DUMMYFUNCTION("""COMPUTED_VALUE"""),"Porto Nacional")</f>
        <v>Porto Nacional</v>
      </c>
      <c r="B354" s="167" t="str">
        <f ca="1">IFERROR(__xludf.DUMMYFUNCTION("""COMPUTED_VALUE"""),"Fatima")</f>
        <v>Fatima</v>
      </c>
      <c r="C354" s="168" t="str">
        <f ca="1">IFERROR(__xludf.DUMMYFUNCTION("""COMPUTED_VALUE"""),"A.A. ESCOLA ESTADUAL CONCEICAO BRITO")</f>
        <v>A.A. ESCOLA ESTADUAL CONCEICAO BRITO</v>
      </c>
      <c r="D354" s="169" t="str">
        <f ca="1">IFERROR(__xludf.DUMMYFUNCTION("""COMPUTED_VALUE"""),"01268285000109")</f>
        <v>01268285000109</v>
      </c>
      <c r="E354" s="170" t="str">
        <f ca="1">IFERROR(__xludf.DUMMYFUNCTION("""COMPUTED_VALUE"""),"001")</f>
        <v>001</v>
      </c>
      <c r="F354" s="170" t="str">
        <f ca="1">IFERROR(__xludf.DUMMYFUNCTION("""COMPUTED_VALUE"""),"4107")</f>
        <v>4107</v>
      </c>
      <c r="G354" s="170" t="str">
        <f ca="1">IFERROR(__xludf.DUMMYFUNCTION("""COMPUTED_VALUE"""),"50911")</f>
        <v>50911</v>
      </c>
      <c r="H354" s="170">
        <f ca="1">IFERROR(__xludf.DUMMYFUNCTION("""COMPUTED_VALUE"""),0)</f>
        <v>0</v>
      </c>
      <c r="I354" s="170">
        <f ca="1">IFERROR(__xludf.DUMMYFUNCTION("""COMPUTED_VALUE"""),0)</f>
        <v>0</v>
      </c>
      <c r="J354" s="170">
        <f ca="1">IFERROR(__xludf.DUMMYFUNCTION("""COMPUTED_VALUE"""),2690)</f>
        <v>2690</v>
      </c>
      <c r="K354" s="170">
        <f ca="1">IFERROR(__xludf.DUMMYFUNCTION("""COMPUTED_VALUE"""),0)</f>
        <v>0</v>
      </c>
      <c r="L354" s="170">
        <f ca="1">IFERROR(__xludf.DUMMYFUNCTION("""COMPUTED_VALUE"""),0)</f>
        <v>0</v>
      </c>
      <c r="M354" s="170">
        <f ca="1">IFERROR(__xludf.DUMMYFUNCTION("""COMPUTED_VALUE"""),0)</f>
        <v>0</v>
      </c>
      <c r="N354" s="170">
        <f ca="1">IFERROR(__xludf.DUMMYFUNCTION("""COMPUTED_VALUE"""),0)</f>
        <v>0</v>
      </c>
      <c r="O354" s="170">
        <f ca="1">IFERROR(__xludf.DUMMYFUNCTION("""COMPUTED_VALUE"""),0)</f>
        <v>0</v>
      </c>
      <c r="P354" s="170">
        <f ca="1">IFERROR(__xludf.DUMMYFUNCTION("""COMPUTED_VALUE"""),122.399999999999)</f>
        <v>122.399999999999</v>
      </c>
      <c r="Q354" s="170">
        <f ca="1">IFERROR(__xludf.DUMMYFUNCTION("""COMPUTED_VALUE"""),1320)</f>
        <v>1320</v>
      </c>
      <c r="R354" s="170">
        <f ca="1">IFERROR(__xludf.DUMMYFUNCTION("""COMPUTED_VALUE"""),0)</f>
        <v>0</v>
      </c>
      <c r="S354" s="170">
        <f ca="1">IFERROR(__xludf.DUMMYFUNCTION("""COMPUTED_VALUE"""),0)</f>
        <v>0</v>
      </c>
      <c r="T354" s="170">
        <f ca="1">IFERROR(__xludf.DUMMYFUNCTION("""COMPUTED_VALUE"""),0)</f>
        <v>0</v>
      </c>
      <c r="U354" s="170">
        <f ca="1"/>
        <v>4132.3999999999996</v>
      </c>
    </row>
    <row r="355" spans="1:21" ht="12.75">
      <c r="A355" s="162" t="str">
        <f ca="1">IFERROR(__xludf.DUMMYFUNCTION("""COMPUTED_VALUE"""),"Porto Nacional")</f>
        <v>Porto Nacional</v>
      </c>
      <c r="B355" s="162" t="str">
        <f ca="1">IFERROR(__xludf.DUMMYFUNCTION("""COMPUTED_VALUE"""),"Fatima")</f>
        <v>Fatima</v>
      </c>
      <c r="C355" s="163" t="str">
        <f ca="1">IFERROR(__xludf.DUMMYFUNCTION("""COMPUTED_VALUE"""),"ASSOC. DE APOIO A ESCOLA ESPECIAL RENASCER")</f>
        <v>ASSOC. DE APOIO A ESCOLA ESPECIAL RENASCER</v>
      </c>
      <c r="D355" s="164" t="str">
        <f ca="1">IFERROR(__xludf.DUMMYFUNCTION("""COMPUTED_VALUE"""),"11726757000183")</f>
        <v>11726757000183</v>
      </c>
      <c r="E355" s="165" t="str">
        <f ca="1">IFERROR(__xludf.DUMMYFUNCTION("""COMPUTED_VALUE"""),"001")</f>
        <v>001</v>
      </c>
      <c r="F355" s="165" t="str">
        <f ca="1">IFERROR(__xludf.DUMMYFUNCTION("""COMPUTED_VALUE"""),"4107")</f>
        <v>4107</v>
      </c>
      <c r="G355" s="165" t="str">
        <f ca="1">IFERROR(__xludf.DUMMYFUNCTION("""COMPUTED_VALUE"""),"7991X")</f>
        <v>7991X</v>
      </c>
      <c r="H355" s="165">
        <f ca="1">IFERROR(__xludf.DUMMYFUNCTION("""COMPUTED_VALUE"""),0)</f>
        <v>0</v>
      </c>
      <c r="I355" s="165">
        <f ca="1">IFERROR(__xludf.DUMMYFUNCTION("""COMPUTED_VALUE"""),0)</f>
        <v>0</v>
      </c>
      <c r="J355" s="165">
        <f ca="1">IFERROR(__xludf.DUMMYFUNCTION("""COMPUTED_VALUE"""),0)</f>
        <v>0</v>
      </c>
      <c r="K355" s="165">
        <f ca="1">IFERROR(__xludf.DUMMYFUNCTION("""COMPUTED_VALUE"""),0)</f>
        <v>0</v>
      </c>
      <c r="L355" s="165">
        <f ca="1">IFERROR(__xludf.DUMMYFUNCTION("""COMPUTED_VALUE"""),0)</f>
        <v>0</v>
      </c>
      <c r="M355" s="165">
        <f ca="1">IFERROR(__xludf.DUMMYFUNCTION("""COMPUTED_VALUE"""),0)</f>
        <v>0</v>
      </c>
      <c r="N355" s="165">
        <f ca="1">IFERROR(__xludf.DUMMYFUNCTION("""COMPUTED_VALUE"""),0)</f>
        <v>0</v>
      </c>
      <c r="O355" s="165">
        <f ca="1">IFERROR(__xludf.DUMMYFUNCTION("""COMPUTED_VALUE"""),0)</f>
        <v>0</v>
      </c>
      <c r="P355" s="165">
        <f ca="1">IFERROR(__xludf.DUMMYFUNCTION("""COMPUTED_VALUE"""),244.799999999999)</f>
        <v>244.79999999999899</v>
      </c>
      <c r="Q355" s="165">
        <f ca="1">IFERROR(__xludf.DUMMYFUNCTION("""COMPUTED_VALUE"""),0)</f>
        <v>0</v>
      </c>
      <c r="R355" s="165">
        <f ca="1">IFERROR(__xludf.DUMMYFUNCTION("""COMPUTED_VALUE"""),0)</f>
        <v>0</v>
      </c>
      <c r="S355" s="165">
        <f ca="1">IFERROR(__xludf.DUMMYFUNCTION("""COMPUTED_VALUE"""),0)</f>
        <v>0</v>
      </c>
      <c r="T355" s="165">
        <f ca="1">IFERROR(__xludf.DUMMYFUNCTION("""COMPUTED_VALUE"""),270.599999999999)</f>
        <v>270.599999999999</v>
      </c>
      <c r="U355" s="165">
        <f ca="1"/>
        <v>515.39999999999804</v>
      </c>
    </row>
    <row r="356" spans="1:21" ht="12.75">
      <c r="A356" s="167" t="str">
        <f ca="1">IFERROR(__xludf.DUMMYFUNCTION("""COMPUTED_VALUE"""),"Porto Nacional")</f>
        <v>Porto Nacional</v>
      </c>
      <c r="B356" s="167" t="str">
        <f ca="1">IFERROR(__xludf.DUMMYFUNCTION("""COMPUTED_VALUE"""),"Ipueiras")</f>
        <v>Ipueiras</v>
      </c>
      <c r="C356" s="168" t="str">
        <f ca="1">IFERROR(__xludf.DUMMYFUNCTION("""COMPUTED_VALUE"""),"ASSOC. DE APOIO DA ESC. EST. FELIX CAMOA")</f>
        <v>ASSOC. DE APOIO DA ESC. EST. FELIX CAMOA</v>
      </c>
      <c r="D356" s="169" t="str">
        <f ca="1">IFERROR(__xludf.DUMMYFUNCTION("""COMPUTED_VALUE"""),"01469443000199")</f>
        <v>01469443000199</v>
      </c>
      <c r="E356" s="170" t="str">
        <f ca="1">IFERROR(__xludf.DUMMYFUNCTION("""COMPUTED_VALUE"""),"001")</f>
        <v>001</v>
      </c>
      <c r="F356" s="170" t="str">
        <f ca="1">IFERROR(__xludf.DUMMYFUNCTION("""COMPUTED_VALUE"""),"1117")</f>
        <v>1117</v>
      </c>
      <c r="G356" s="170" t="str">
        <f ca="1">IFERROR(__xludf.DUMMYFUNCTION("""COMPUTED_VALUE"""),"315052")</f>
        <v>315052</v>
      </c>
      <c r="H356" s="170">
        <f ca="1">IFERROR(__xludf.DUMMYFUNCTION("""COMPUTED_VALUE"""),0)</f>
        <v>0</v>
      </c>
      <c r="I356" s="170">
        <f ca="1">IFERROR(__xludf.DUMMYFUNCTION("""COMPUTED_VALUE"""),0)</f>
        <v>0</v>
      </c>
      <c r="J356" s="170">
        <f ca="1">IFERROR(__xludf.DUMMYFUNCTION("""COMPUTED_VALUE"""),200)</f>
        <v>200</v>
      </c>
      <c r="K356" s="170">
        <f ca="1">IFERROR(__xludf.DUMMYFUNCTION("""COMPUTED_VALUE"""),0)</f>
        <v>0</v>
      </c>
      <c r="L356" s="170">
        <f ca="1">IFERROR(__xludf.DUMMYFUNCTION("""COMPUTED_VALUE"""),0)</f>
        <v>0</v>
      </c>
      <c r="M356" s="170">
        <f ca="1">IFERROR(__xludf.DUMMYFUNCTION("""COMPUTED_VALUE"""),0)</f>
        <v>0</v>
      </c>
      <c r="N356" s="170">
        <f ca="1">IFERROR(__xludf.DUMMYFUNCTION("""COMPUTED_VALUE"""),0)</f>
        <v>0</v>
      </c>
      <c r="O356" s="170">
        <f ca="1">IFERROR(__xludf.DUMMYFUNCTION("""COMPUTED_VALUE"""),0)</f>
        <v>0</v>
      </c>
      <c r="P356" s="170">
        <f ca="1">IFERROR(__xludf.DUMMYFUNCTION("""COMPUTED_VALUE"""),54.4)</f>
        <v>54.4</v>
      </c>
      <c r="Q356" s="170">
        <f ca="1">IFERROR(__xludf.DUMMYFUNCTION("""COMPUTED_VALUE"""),720)</f>
        <v>720</v>
      </c>
      <c r="R356" s="170">
        <f ca="1">IFERROR(__xludf.DUMMYFUNCTION("""COMPUTED_VALUE"""),0)</f>
        <v>0</v>
      </c>
      <c r="S356" s="170">
        <f ca="1">IFERROR(__xludf.DUMMYFUNCTION("""COMPUTED_VALUE"""),0)</f>
        <v>0</v>
      </c>
      <c r="T356" s="170">
        <f ca="1">IFERROR(__xludf.DUMMYFUNCTION("""COMPUTED_VALUE"""),122.999999999999)</f>
        <v>122.99999999999901</v>
      </c>
      <c r="U356" s="170">
        <f ca="1"/>
        <v>1097.399999999999</v>
      </c>
    </row>
    <row r="357" spans="1:21" ht="12.75">
      <c r="A357" s="162" t="str">
        <f ca="1">IFERROR(__xludf.DUMMYFUNCTION("""COMPUTED_VALUE"""),"Porto Nacional")</f>
        <v>Porto Nacional</v>
      </c>
      <c r="B357" s="162" t="str">
        <f ca="1">IFERROR(__xludf.DUMMYFUNCTION("""COMPUTED_VALUE"""),"Monte do Carmo")</f>
        <v>Monte do Carmo</v>
      </c>
      <c r="C357" s="163" t="str">
        <f ca="1">IFERROR(__xludf.DUMMYFUNCTION("""COMPUTED_VALUE"""),"A.A. DA ESC. EST. BRIGADAS CHE GUEVARA")</f>
        <v>A.A. DA ESC. EST. BRIGADAS CHE GUEVARA</v>
      </c>
      <c r="D357" s="164" t="str">
        <f ca="1">IFERROR(__xludf.DUMMYFUNCTION("""COMPUTED_VALUE"""),"08593650000108")</f>
        <v>08593650000108</v>
      </c>
      <c r="E357" s="165" t="str">
        <f ca="1">IFERROR(__xludf.DUMMYFUNCTION("""COMPUTED_VALUE"""),"001")</f>
        <v>001</v>
      </c>
      <c r="F357" s="165" t="str">
        <f ca="1">IFERROR(__xludf.DUMMYFUNCTION("""COMPUTED_VALUE"""),"1117")</f>
        <v>1117</v>
      </c>
      <c r="G357" s="165" t="str">
        <f ca="1">IFERROR(__xludf.DUMMYFUNCTION("""COMPUTED_VALUE"""),"263060")</f>
        <v>263060</v>
      </c>
      <c r="H357" s="165">
        <f ca="1">IFERROR(__xludf.DUMMYFUNCTION("""COMPUTED_VALUE"""),0)</f>
        <v>0</v>
      </c>
      <c r="I357" s="165">
        <f ca="1">IFERROR(__xludf.DUMMYFUNCTION("""COMPUTED_VALUE"""),0)</f>
        <v>0</v>
      </c>
      <c r="J357" s="165">
        <f ca="1">IFERROR(__xludf.DUMMYFUNCTION("""COMPUTED_VALUE"""),0)</f>
        <v>0</v>
      </c>
      <c r="K357" s="165">
        <f ca="1">IFERROR(__xludf.DUMMYFUNCTION("""COMPUTED_VALUE"""),0)</f>
        <v>0</v>
      </c>
      <c r="L357" s="165">
        <f ca="1">IFERROR(__xludf.DUMMYFUNCTION("""COMPUTED_VALUE"""),0)</f>
        <v>0</v>
      </c>
      <c r="M357" s="165">
        <f ca="1">IFERROR(__xludf.DUMMYFUNCTION("""COMPUTED_VALUE"""),0)</f>
        <v>0</v>
      </c>
      <c r="N357" s="165">
        <f ca="1">IFERROR(__xludf.DUMMYFUNCTION("""COMPUTED_VALUE"""),0)</f>
        <v>0</v>
      </c>
      <c r="O357" s="165">
        <f ca="1">IFERROR(__xludf.DUMMYFUNCTION("""COMPUTED_VALUE"""),0)</f>
        <v>0</v>
      </c>
      <c r="P357" s="165">
        <f ca="1">IFERROR(__xludf.DUMMYFUNCTION("""COMPUTED_VALUE"""),0)</f>
        <v>0</v>
      </c>
      <c r="Q357" s="165">
        <f ca="1">IFERROR(__xludf.DUMMYFUNCTION("""COMPUTED_VALUE"""),0)</f>
        <v>0</v>
      </c>
      <c r="R357" s="165">
        <f ca="1">IFERROR(__xludf.DUMMYFUNCTION("""COMPUTED_VALUE"""),1287.8)</f>
        <v>1287.8</v>
      </c>
      <c r="S357" s="165">
        <f ca="1">IFERROR(__xludf.DUMMYFUNCTION("""COMPUTED_VALUE"""),0)</f>
        <v>0</v>
      </c>
      <c r="T357" s="165">
        <f ca="1">IFERROR(__xludf.DUMMYFUNCTION("""COMPUTED_VALUE"""),0)</f>
        <v>0</v>
      </c>
      <c r="U357" s="165">
        <f ca="1"/>
        <v>1287.8</v>
      </c>
    </row>
    <row r="358" spans="1:21" ht="12.75">
      <c r="A358" s="167" t="str">
        <f ca="1">IFERROR(__xludf.DUMMYFUNCTION("""COMPUTED_VALUE"""),"Porto Nacional")</f>
        <v>Porto Nacional</v>
      </c>
      <c r="B358" s="167" t="str">
        <f ca="1">IFERROR(__xludf.DUMMYFUNCTION("""COMPUTED_VALUE"""),"Monte do Carmo")</f>
        <v>Monte do Carmo</v>
      </c>
      <c r="C358" s="168" t="str">
        <f ca="1">IFERROR(__xludf.DUMMYFUNCTION("""COMPUTED_VALUE"""),"A.A.  DO COLEGIO EST. PADRE GAMA")</f>
        <v>A.A.  DO COLEGIO EST. PADRE GAMA</v>
      </c>
      <c r="D358" s="169" t="str">
        <f ca="1">IFERROR(__xludf.DUMMYFUNCTION("""COMPUTED_VALUE"""),"01071443000136")</f>
        <v>01071443000136</v>
      </c>
      <c r="E358" s="170" t="str">
        <f ca="1">IFERROR(__xludf.DUMMYFUNCTION("""COMPUTED_VALUE"""),"001")</f>
        <v>001</v>
      </c>
      <c r="F358" s="170" t="str">
        <f ca="1">IFERROR(__xludf.DUMMYFUNCTION("""COMPUTED_VALUE"""),"1117")</f>
        <v>1117</v>
      </c>
      <c r="G358" s="170" t="str">
        <f ca="1">IFERROR(__xludf.DUMMYFUNCTION("""COMPUTED_VALUE"""),"0312878")</f>
        <v>0312878</v>
      </c>
      <c r="H358" s="170">
        <f ca="1">IFERROR(__xludf.DUMMYFUNCTION("""COMPUTED_VALUE"""),0)</f>
        <v>0</v>
      </c>
      <c r="I358" s="170">
        <f ca="1">IFERROR(__xludf.DUMMYFUNCTION("""COMPUTED_VALUE"""),0)</f>
        <v>0</v>
      </c>
      <c r="J358" s="170">
        <f ca="1">IFERROR(__xludf.DUMMYFUNCTION("""COMPUTED_VALUE"""),1430)</f>
        <v>1430</v>
      </c>
      <c r="K358" s="170">
        <f ca="1">IFERROR(__xludf.DUMMYFUNCTION("""COMPUTED_VALUE"""),0)</f>
        <v>0</v>
      </c>
      <c r="L358" s="170">
        <f ca="1">IFERROR(__xludf.DUMMYFUNCTION("""COMPUTED_VALUE"""),0)</f>
        <v>0</v>
      </c>
      <c r="M358" s="170">
        <f ca="1">IFERROR(__xludf.DUMMYFUNCTION("""COMPUTED_VALUE"""),0)</f>
        <v>0</v>
      </c>
      <c r="N358" s="170">
        <f ca="1">IFERROR(__xludf.DUMMYFUNCTION("""COMPUTED_VALUE"""),0)</f>
        <v>0</v>
      </c>
      <c r="O358" s="170">
        <f ca="1">IFERROR(__xludf.DUMMYFUNCTION("""COMPUTED_VALUE"""),0)</f>
        <v>0</v>
      </c>
      <c r="P358" s="170">
        <f ca="1">IFERROR(__xludf.DUMMYFUNCTION("""COMPUTED_VALUE"""),149.6)</f>
        <v>149.6</v>
      </c>
      <c r="Q358" s="170">
        <f ca="1">IFERROR(__xludf.DUMMYFUNCTION("""COMPUTED_VALUE"""),1480)</f>
        <v>1480</v>
      </c>
      <c r="R358" s="170">
        <f ca="1">IFERROR(__xludf.DUMMYFUNCTION("""COMPUTED_VALUE"""),0)</f>
        <v>0</v>
      </c>
      <c r="S358" s="170">
        <f ca="1">IFERROR(__xludf.DUMMYFUNCTION("""COMPUTED_VALUE"""),0)</f>
        <v>0</v>
      </c>
      <c r="T358" s="170">
        <f ca="1">IFERROR(__xludf.DUMMYFUNCTION("""COMPUTED_VALUE"""),188.6)</f>
        <v>188.6</v>
      </c>
      <c r="U358" s="170">
        <f ca="1"/>
        <v>3248.2</v>
      </c>
    </row>
    <row r="359" spans="1:21" ht="12.75">
      <c r="A359" s="162" t="str">
        <f ca="1">IFERROR(__xludf.DUMMYFUNCTION("""COMPUTED_VALUE"""),"Porto Nacional")</f>
        <v>Porto Nacional</v>
      </c>
      <c r="B359" s="162" t="str">
        <f ca="1">IFERROR(__xludf.DUMMYFUNCTION("""COMPUTED_VALUE"""),"Monte do Carmo")</f>
        <v>Monte do Carmo</v>
      </c>
      <c r="C359" s="163" t="str">
        <f ca="1">IFERROR(__xludf.DUMMYFUNCTION("""COMPUTED_VALUE"""),"A.APOIO DA ESCOLA ESTADUAL MESTRA BELA")</f>
        <v>A.APOIO DA ESCOLA ESTADUAL MESTRA BELA</v>
      </c>
      <c r="D359" s="164" t="str">
        <f ca="1">IFERROR(__xludf.DUMMYFUNCTION("""COMPUTED_VALUE"""),"01071442000191")</f>
        <v>01071442000191</v>
      </c>
      <c r="E359" s="165" t="str">
        <f ca="1">IFERROR(__xludf.DUMMYFUNCTION("""COMPUTED_VALUE"""),"001")</f>
        <v>001</v>
      </c>
      <c r="F359" s="165" t="str">
        <f ca="1">IFERROR(__xludf.DUMMYFUNCTION("""COMPUTED_VALUE"""),"1117")</f>
        <v>1117</v>
      </c>
      <c r="G359" s="165" t="str">
        <f ca="1">IFERROR(__xludf.DUMMYFUNCTION("""COMPUTED_VALUE"""),"31286X")</f>
        <v>31286X</v>
      </c>
      <c r="H359" s="165">
        <f ca="1">IFERROR(__xludf.DUMMYFUNCTION("""COMPUTED_VALUE"""),0)</f>
        <v>0</v>
      </c>
      <c r="I359" s="165">
        <f ca="1">IFERROR(__xludf.DUMMYFUNCTION("""COMPUTED_VALUE"""),0)</f>
        <v>0</v>
      </c>
      <c r="J359" s="165">
        <f ca="1">IFERROR(__xludf.DUMMYFUNCTION("""COMPUTED_VALUE"""),0)</f>
        <v>0</v>
      </c>
      <c r="K359" s="165">
        <f ca="1">IFERROR(__xludf.DUMMYFUNCTION("""COMPUTED_VALUE"""),3014)</f>
        <v>3014</v>
      </c>
      <c r="L359" s="165">
        <f ca="1">IFERROR(__xludf.DUMMYFUNCTION("""COMPUTED_VALUE"""),0)</f>
        <v>0</v>
      </c>
      <c r="M359" s="165">
        <f ca="1">IFERROR(__xludf.DUMMYFUNCTION("""COMPUTED_VALUE"""),0)</f>
        <v>0</v>
      </c>
      <c r="N359" s="165">
        <f ca="1">IFERROR(__xludf.DUMMYFUNCTION("""COMPUTED_VALUE"""),0)</f>
        <v>0</v>
      </c>
      <c r="O359" s="165">
        <f ca="1">IFERROR(__xludf.DUMMYFUNCTION("""COMPUTED_VALUE"""),0)</f>
        <v>0</v>
      </c>
      <c r="P359" s="165">
        <f ca="1">IFERROR(__xludf.DUMMYFUNCTION("""COMPUTED_VALUE"""),136)</f>
        <v>136</v>
      </c>
      <c r="Q359" s="165">
        <f ca="1">IFERROR(__xludf.DUMMYFUNCTION("""COMPUTED_VALUE"""),0)</f>
        <v>0</v>
      </c>
      <c r="R359" s="165">
        <f ca="1">IFERROR(__xludf.DUMMYFUNCTION("""COMPUTED_VALUE"""),0)</f>
        <v>0</v>
      </c>
      <c r="S359" s="165">
        <f ca="1">IFERROR(__xludf.DUMMYFUNCTION("""COMPUTED_VALUE"""),0)</f>
        <v>0</v>
      </c>
      <c r="T359" s="165">
        <f ca="1">IFERROR(__xludf.DUMMYFUNCTION("""COMPUTED_VALUE"""),0)</f>
        <v>0</v>
      </c>
      <c r="U359" s="165">
        <f ca="1"/>
        <v>3150</v>
      </c>
    </row>
    <row r="360" spans="1:21" ht="12.75">
      <c r="A360" s="167" t="str">
        <f ca="1">IFERROR(__xludf.DUMMYFUNCTION("""COMPUTED_VALUE"""),"Porto Nacional")</f>
        <v>Porto Nacional</v>
      </c>
      <c r="B360" s="167" t="str">
        <f ca="1">IFERROR(__xludf.DUMMYFUNCTION("""COMPUTED_VALUE"""),"Monte do Carmo")</f>
        <v>Monte do Carmo</v>
      </c>
      <c r="C360" s="168" t="str">
        <f ca="1">IFERROR(__xludf.DUMMYFUNCTION("""COMPUTED_VALUE"""),"ASSOC. APOIA A ESC. EST. PROF.DINA DE OLIVEIRA AMORIM")</f>
        <v>ASSOC. APOIA A ESC. EST. PROF.DINA DE OLIVEIRA AMORIM</v>
      </c>
      <c r="D360" s="169" t="str">
        <f ca="1">IFERROR(__xludf.DUMMYFUNCTION("""COMPUTED_VALUE"""),"16437349000125")</f>
        <v>16437349000125</v>
      </c>
      <c r="E360" s="170" t="str">
        <f ca="1">IFERROR(__xludf.DUMMYFUNCTION("""COMPUTED_VALUE"""),"001")</f>
        <v>001</v>
      </c>
      <c r="F360" s="170" t="str">
        <f ca="1">IFERROR(__xludf.DUMMYFUNCTION("""COMPUTED_VALUE"""),"1117")</f>
        <v>1117</v>
      </c>
      <c r="G360" s="170" t="str">
        <f ca="1">IFERROR(__xludf.DUMMYFUNCTION("""COMPUTED_VALUE"""),"339113")</f>
        <v>339113</v>
      </c>
      <c r="H360" s="170">
        <f ca="1">IFERROR(__xludf.DUMMYFUNCTION("""COMPUTED_VALUE"""),0)</f>
        <v>0</v>
      </c>
      <c r="I360" s="170">
        <f ca="1">IFERROR(__xludf.DUMMYFUNCTION("""COMPUTED_VALUE"""),0)</f>
        <v>0</v>
      </c>
      <c r="J360" s="170">
        <f ca="1">IFERROR(__xludf.DUMMYFUNCTION("""COMPUTED_VALUE"""),720)</f>
        <v>720</v>
      </c>
      <c r="K360" s="170">
        <f ca="1">IFERROR(__xludf.DUMMYFUNCTION("""COMPUTED_VALUE"""),0)</f>
        <v>0</v>
      </c>
      <c r="L360" s="170">
        <f ca="1">IFERROR(__xludf.DUMMYFUNCTION("""COMPUTED_VALUE"""),0)</f>
        <v>0</v>
      </c>
      <c r="M360" s="170">
        <f ca="1">IFERROR(__xludf.DUMMYFUNCTION("""COMPUTED_VALUE"""),0)</f>
        <v>0</v>
      </c>
      <c r="N360" s="170">
        <f ca="1">IFERROR(__xludf.DUMMYFUNCTION("""COMPUTED_VALUE"""),0)</f>
        <v>0</v>
      </c>
      <c r="O360" s="170">
        <f ca="1">IFERROR(__xludf.DUMMYFUNCTION("""COMPUTED_VALUE"""),0)</f>
        <v>0</v>
      </c>
      <c r="P360" s="170">
        <f ca="1">IFERROR(__xludf.DUMMYFUNCTION("""COMPUTED_VALUE"""),0)</f>
        <v>0</v>
      </c>
      <c r="Q360" s="170">
        <f ca="1">IFERROR(__xludf.DUMMYFUNCTION("""COMPUTED_VALUE"""),0)</f>
        <v>0</v>
      </c>
      <c r="R360" s="170">
        <f ca="1">IFERROR(__xludf.DUMMYFUNCTION("""COMPUTED_VALUE"""),0)</f>
        <v>0</v>
      </c>
      <c r="S360" s="170">
        <f ca="1">IFERROR(__xludf.DUMMYFUNCTION("""COMPUTED_VALUE"""),0)</f>
        <v>0</v>
      </c>
      <c r="T360" s="170">
        <f ca="1">IFERROR(__xludf.DUMMYFUNCTION("""COMPUTED_VALUE"""),0)</f>
        <v>0</v>
      </c>
      <c r="U360" s="170">
        <f ca="1"/>
        <v>720</v>
      </c>
    </row>
    <row r="361" spans="1:21" ht="12.75">
      <c r="A361" s="162" t="str">
        <f ca="1">IFERROR(__xludf.DUMMYFUNCTION("""COMPUTED_VALUE"""),"Porto Nacional")</f>
        <v>Porto Nacional</v>
      </c>
      <c r="B361" s="162" t="str">
        <f ca="1">IFERROR(__xludf.DUMMYFUNCTION("""COMPUTED_VALUE"""),"Natividade")</f>
        <v>Natividade</v>
      </c>
      <c r="C361" s="163" t="str">
        <f ca="1">IFERROR(__xludf.DUMMYFUNCTION("""COMPUTED_VALUE"""),"ASSOC. NOSSA SENHORA NATIVIDADE COL. AGRÍCOLA")</f>
        <v>ASSOC. NOSSA SENHORA NATIVIDADE COL. AGRÍCOLA</v>
      </c>
      <c r="D361" s="164" t="str">
        <f ca="1">IFERROR(__xludf.DUMMYFUNCTION("""COMPUTED_VALUE"""),"03758716000140")</f>
        <v>03758716000140</v>
      </c>
      <c r="E361" s="165" t="str">
        <f ca="1">IFERROR(__xludf.DUMMYFUNCTION("""COMPUTED_VALUE"""),"001")</f>
        <v>001</v>
      </c>
      <c r="F361" s="165" t="str">
        <f ca="1">IFERROR(__xludf.DUMMYFUNCTION("""COMPUTED_VALUE"""),"3980")</f>
        <v>3980</v>
      </c>
      <c r="G361" s="165" t="str">
        <f ca="1">IFERROR(__xludf.DUMMYFUNCTION("""COMPUTED_VALUE"""),"282782")</f>
        <v>282782</v>
      </c>
      <c r="H361" s="165">
        <f ca="1">IFERROR(__xludf.DUMMYFUNCTION("""COMPUTED_VALUE"""),0)</f>
        <v>0</v>
      </c>
      <c r="I361" s="165">
        <f ca="1">IFERROR(__xludf.DUMMYFUNCTION("""COMPUTED_VALUE"""),0)</f>
        <v>0</v>
      </c>
      <c r="J361" s="165">
        <f ca="1">IFERROR(__xludf.DUMMYFUNCTION("""COMPUTED_VALUE"""),0)</f>
        <v>0</v>
      </c>
      <c r="K361" s="165">
        <f ca="1">IFERROR(__xludf.DUMMYFUNCTION("""COMPUTED_VALUE"""),0)</f>
        <v>0</v>
      </c>
      <c r="L361" s="165">
        <f ca="1">IFERROR(__xludf.DUMMYFUNCTION("""COMPUTED_VALUE"""),0)</f>
        <v>0</v>
      </c>
      <c r="M361" s="165">
        <f ca="1">IFERROR(__xludf.DUMMYFUNCTION("""COMPUTED_VALUE"""),0)</f>
        <v>0</v>
      </c>
      <c r="N361" s="165">
        <f ca="1">IFERROR(__xludf.DUMMYFUNCTION("""COMPUTED_VALUE"""),0)</f>
        <v>0</v>
      </c>
      <c r="O361" s="165">
        <f ca="1">IFERROR(__xludf.DUMMYFUNCTION("""COMPUTED_VALUE"""),0)</f>
        <v>0</v>
      </c>
      <c r="P361" s="165">
        <f ca="1">IFERROR(__xludf.DUMMYFUNCTION("""COMPUTED_VALUE"""),0)</f>
        <v>0</v>
      </c>
      <c r="Q361" s="165">
        <f ca="1">IFERROR(__xludf.DUMMYFUNCTION("""COMPUTED_VALUE"""),0)</f>
        <v>0</v>
      </c>
      <c r="R361" s="165">
        <f ca="1">IFERROR(__xludf.DUMMYFUNCTION("""COMPUTED_VALUE"""),0)</f>
        <v>0</v>
      </c>
      <c r="S361" s="165">
        <f ca="1">IFERROR(__xludf.DUMMYFUNCTION("""COMPUTED_VALUE"""),11878.4)</f>
        <v>11878.4</v>
      </c>
      <c r="T361" s="165">
        <f ca="1">IFERROR(__xludf.DUMMYFUNCTION("""COMPUTED_VALUE"""),0)</f>
        <v>0</v>
      </c>
      <c r="U361" s="165">
        <f ca="1"/>
        <v>11878.4</v>
      </c>
    </row>
    <row r="362" spans="1:21" ht="12.75">
      <c r="A362" s="167" t="str">
        <f ca="1">IFERROR(__xludf.DUMMYFUNCTION("""COMPUTED_VALUE"""),"Porto Nacional")</f>
        <v>Porto Nacional</v>
      </c>
      <c r="B362" s="167" t="str">
        <f ca="1">IFERROR(__xludf.DUMMYFUNCTION("""COMPUTED_VALUE"""),"Natividade")</f>
        <v>Natividade</v>
      </c>
      <c r="C362" s="168" t="str">
        <f ca="1">IFERROR(__xludf.DUMMYFUNCTION("""COMPUTED_VALUE"""),"A.A. COL. EST. DR.QUINTILIANO DA SILVA")</f>
        <v>A.A. COL. EST. DR.QUINTILIANO DA SILVA</v>
      </c>
      <c r="D362" s="169" t="str">
        <f ca="1">IFERROR(__xludf.DUMMYFUNCTION("""COMPUTED_VALUE"""),"01133702000106")</f>
        <v>01133702000106</v>
      </c>
      <c r="E362" s="170" t="str">
        <f ca="1">IFERROR(__xludf.DUMMYFUNCTION("""COMPUTED_VALUE"""),"003")</f>
        <v>003</v>
      </c>
      <c r="F362" s="170" t="str">
        <f ca="1">IFERROR(__xludf.DUMMYFUNCTION("""COMPUTED_VALUE"""),"0037")</f>
        <v>0037</v>
      </c>
      <c r="G362" s="170" t="str">
        <f ca="1">IFERROR(__xludf.DUMMYFUNCTION("""COMPUTED_VALUE"""),"0702727")</f>
        <v>0702727</v>
      </c>
      <c r="H362" s="170">
        <f ca="1">IFERROR(__xludf.DUMMYFUNCTION("""COMPUTED_VALUE"""),0)</f>
        <v>0</v>
      </c>
      <c r="I362" s="170">
        <f ca="1">IFERROR(__xludf.DUMMYFUNCTION("""COMPUTED_VALUE"""),0)</f>
        <v>0</v>
      </c>
      <c r="J362" s="170">
        <f ca="1">IFERROR(__xludf.DUMMYFUNCTION("""COMPUTED_VALUE"""),1550)</f>
        <v>1550</v>
      </c>
      <c r="K362" s="170">
        <f ca="1">IFERROR(__xludf.DUMMYFUNCTION("""COMPUTED_VALUE"""),0)</f>
        <v>0</v>
      </c>
      <c r="L362" s="170">
        <f ca="1">IFERROR(__xludf.DUMMYFUNCTION("""COMPUTED_VALUE"""),0)</f>
        <v>0</v>
      </c>
      <c r="M362" s="170">
        <f ca="1">IFERROR(__xludf.DUMMYFUNCTION("""COMPUTED_VALUE"""),0)</f>
        <v>0</v>
      </c>
      <c r="N362" s="170">
        <f ca="1">IFERROR(__xludf.DUMMYFUNCTION("""COMPUTED_VALUE"""),0)</f>
        <v>0</v>
      </c>
      <c r="O362" s="170">
        <f ca="1">IFERROR(__xludf.DUMMYFUNCTION("""COMPUTED_VALUE"""),0)</f>
        <v>0</v>
      </c>
      <c r="P362" s="170">
        <f ca="1">IFERROR(__xludf.DUMMYFUNCTION("""COMPUTED_VALUE"""),0)</f>
        <v>0</v>
      </c>
      <c r="Q362" s="170">
        <f ca="1">IFERROR(__xludf.DUMMYFUNCTION("""COMPUTED_VALUE"""),2340)</f>
        <v>2340</v>
      </c>
      <c r="R362" s="170">
        <f ca="1">IFERROR(__xludf.DUMMYFUNCTION("""COMPUTED_VALUE"""),0)</f>
        <v>0</v>
      </c>
      <c r="S362" s="170">
        <f ca="1">IFERROR(__xludf.DUMMYFUNCTION("""COMPUTED_VALUE"""),0)</f>
        <v>0</v>
      </c>
      <c r="T362" s="170">
        <f ca="1">IFERROR(__xludf.DUMMYFUNCTION("""COMPUTED_VALUE"""),0)</f>
        <v>0</v>
      </c>
      <c r="U362" s="170">
        <f ca="1"/>
        <v>3890</v>
      </c>
    </row>
    <row r="363" spans="1:21" ht="12.75">
      <c r="A363" s="162" t="str">
        <f ca="1">IFERROR(__xludf.DUMMYFUNCTION("""COMPUTED_VALUE"""),"Porto Nacional")</f>
        <v>Porto Nacional</v>
      </c>
      <c r="B363" s="162" t="str">
        <f ca="1">IFERROR(__xludf.DUMMYFUNCTION("""COMPUTED_VALUE"""),"Natividade")</f>
        <v>Natividade</v>
      </c>
      <c r="C363" s="163" t="str">
        <f ca="1">IFERROR(__xludf.DUMMYFUNCTION("""COMPUTED_VALUE"""),"ASSOC. DE APOIO A ESC. ESPECIAL TIA CORACI DE SENA FERNANDES")</f>
        <v>ASSOC. DE APOIO A ESC. ESPECIAL TIA CORACI DE SENA FERNANDES</v>
      </c>
      <c r="D363" s="164" t="str">
        <f ca="1">IFERROR(__xludf.DUMMYFUNCTION("""COMPUTED_VALUE"""),"17163914000176")</f>
        <v>17163914000176</v>
      </c>
      <c r="E363" s="165" t="str">
        <f ca="1">IFERROR(__xludf.DUMMYFUNCTION("""COMPUTED_VALUE"""),"001")</f>
        <v>001</v>
      </c>
      <c r="F363" s="165" t="str">
        <f ca="1">IFERROR(__xludf.DUMMYFUNCTION("""COMPUTED_VALUE"""),"2334")</f>
        <v>2334</v>
      </c>
      <c r="G363" s="165" t="str">
        <f ca="1">IFERROR(__xludf.DUMMYFUNCTION("""COMPUTED_VALUE"""),"19860")</f>
        <v>19860</v>
      </c>
      <c r="H363" s="165">
        <f ca="1">IFERROR(__xludf.DUMMYFUNCTION("""COMPUTED_VALUE"""),0)</f>
        <v>0</v>
      </c>
      <c r="I363" s="165">
        <f ca="1">IFERROR(__xludf.DUMMYFUNCTION("""COMPUTED_VALUE"""),0)</f>
        <v>0</v>
      </c>
      <c r="J363" s="165">
        <f ca="1">IFERROR(__xludf.DUMMYFUNCTION("""COMPUTED_VALUE"""),80)</f>
        <v>80</v>
      </c>
      <c r="K363" s="165">
        <f ca="1">IFERROR(__xludf.DUMMYFUNCTION("""COMPUTED_VALUE"""),0)</f>
        <v>0</v>
      </c>
      <c r="L363" s="165">
        <f ca="1">IFERROR(__xludf.DUMMYFUNCTION("""COMPUTED_VALUE"""),0)</f>
        <v>0</v>
      </c>
      <c r="M363" s="165">
        <f ca="1">IFERROR(__xludf.DUMMYFUNCTION("""COMPUTED_VALUE"""),0)</f>
        <v>0</v>
      </c>
      <c r="N363" s="165">
        <f ca="1">IFERROR(__xludf.DUMMYFUNCTION("""COMPUTED_VALUE"""),0)</f>
        <v>0</v>
      </c>
      <c r="O363" s="165">
        <f ca="1">IFERROR(__xludf.DUMMYFUNCTION("""COMPUTED_VALUE"""),0)</f>
        <v>0</v>
      </c>
      <c r="P363" s="165">
        <f ca="1">IFERROR(__xludf.DUMMYFUNCTION("""COMPUTED_VALUE"""),204)</f>
        <v>204</v>
      </c>
      <c r="Q363" s="165">
        <f ca="1">IFERROR(__xludf.DUMMYFUNCTION("""COMPUTED_VALUE"""),0)</f>
        <v>0</v>
      </c>
      <c r="R363" s="165">
        <f ca="1">IFERROR(__xludf.DUMMYFUNCTION("""COMPUTED_VALUE"""),0)</f>
        <v>0</v>
      </c>
      <c r="S363" s="165">
        <f ca="1">IFERROR(__xludf.DUMMYFUNCTION("""COMPUTED_VALUE"""),0)</f>
        <v>0</v>
      </c>
      <c r="T363" s="165">
        <f ca="1">IFERROR(__xludf.DUMMYFUNCTION("""COMPUTED_VALUE"""),368.999999999999)</f>
        <v>368.99999999999898</v>
      </c>
      <c r="U363" s="165">
        <f ca="1"/>
        <v>652.99999999999898</v>
      </c>
    </row>
    <row r="364" spans="1:21" ht="12.75">
      <c r="A364" s="167" t="str">
        <f ca="1">IFERROR(__xludf.DUMMYFUNCTION("""COMPUTED_VALUE"""),"Porto Nacional")</f>
        <v>Porto Nacional</v>
      </c>
      <c r="B364" s="167" t="str">
        <f ca="1">IFERROR(__xludf.DUMMYFUNCTION("""COMPUTED_VALUE"""),"Natividade")</f>
        <v>Natividade</v>
      </c>
      <c r="C364" s="168" t="str">
        <f ca="1">IFERROR(__xludf.DUMMYFUNCTION("""COMPUTED_VALUE"""),"ASS. APOIO ESC. EST. JOAQUIM LINO SUARTE")</f>
        <v>ASS. APOIO ESC. EST. JOAQUIM LINO SUARTE</v>
      </c>
      <c r="D364" s="169" t="str">
        <f ca="1">IFERROR(__xludf.DUMMYFUNCTION("""COMPUTED_VALUE"""),"01133708000183")</f>
        <v>01133708000183</v>
      </c>
      <c r="E364" s="170" t="str">
        <f ca="1">IFERROR(__xludf.DUMMYFUNCTION("""COMPUTED_VALUE"""),"003")</f>
        <v>003</v>
      </c>
      <c r="F364" s="170" t="str">
        <f ca="1">IFERROR(__xludf.DUMMYFUNCTION("""COMPUTED_VALUE"""),"0037")</f>
        <v>0037</v>
      </c>
      <c r="G364" s="170" t="str">
        <f ca="1">IFERROR(__xludf.DUMMYFUNCTION("""COMPUTED_VALUE"""),"0702670")</f>
        <v>0702670</v>
      </c>
      <c r="H364" s="170">
        <f ca="1">IFERROR(__xludf.DUMMYFUNCTION("""COMPUTED_VALUE"""),0)</f>
        <v>0</v>
      </c>
      <c r="I364" s="170">
        <f ca="1">IFERROR(__xludf.DUMMYFUNCTION("""COMPUTED_VALUE"""),0)</f>
        <v>0</v>
      </c>
      <c r="J364" s="170">
        <f ca="1">IFERROR(__xludf.DUMMYFUNCTION("""COMPUTED_VALUE"""),1610)</f>
        <v>1610</v>
      </c>
      <c r="K364" s="170">
        <f ca="1">IFERROR(__xludf.DUMMYFUNCTION("""COMPUTED_VALUE"""),0)</f>
        <v>0</v>
      </c>
      <c r="L364" s="170">
        <f ca="1">IFERROR(__xludf.DUMMYFUNCTION("""COMPUTED_VALUE"""),0)</f>
        <v>0</v>
      </c>
      <c r="M364" s="170">
        <f ca="1">IFERROR(__xludf.DUMMYFUNCTION("""COMPUTED_VALUE"""),0)</f>
        <v>0</v>
      </c>
      <c r="N364" s="170">
        <f ca="1">IFERROR(__xludf.DUMMYFUNCTION("""COMPUTED_VALUE"""),0)</f>
        <v>0</v>
      </c>
      <c r="O364" s="170">
        <f ca="1">IFERROR(__xludf.DUMMYFUNCTION("""COMPUTED_VALUE"""),0)</f>
        <v>0</v>
      </c>
      <c r="P364" s="170">
        <f ca="1">IFERROR(__xludf.DUMMYFUNCTION("""COMPUTED_VALUE"""),190.4)</f>
        <v>190.4</v>
      </c>
      <c r="Q364" s="170">
        <f ca="1">IFERROR(__xludf.DUMMYFUNCTION("""COMPUTED_VALUE"""),440)</f>
        <v>440</v>
      </c>
      <c r="R364" s="170">
        <f ca="1">IFERROR(__xludf.DUMMYFUNCTION("""COMPUTED_VALUE"""),0)</f>
        <v>0</v>
      </c>
      <c r="S364" s="170">
        <f ca="1">IFERROR(__xludf.DUMMYFUNCTION("""COMPUTED_VALUE"""),0)</f>
        <v>0</v>
      </c>
      <c r="T364" s="170">
        <f ca="1">IFERROR(__xludf.DUMMYFUNCTION("""COMPUTED_VALUE"""),0)</f>
        <v>0</v>
      </c>
      <c r="U364" s="170">
        <f ca="1"/>
        <v>2240.4</v>
      </c>
    </row>
    <row r="365" spans="1:21" ht="12.75">
      <c r="A365" s="162" t="str">
        <f ca="1">IFERROR(__xludf.DUMMYFUNCTION("""COMPUTED_VALUE"""),"Porto Nacional")</f>
        <v>Porto Nacional</v>
      </c>
      <c r="B365" s="162" t="str">
        <f ca="1">IFERROR(__xludf.DUMMYFUNCTION("""COMPUTED_VALUE"""),"Natividade")</f>
        <v>Natividade</v>
      </c>
      <c r="C365" s="163" t="str">
        <f ca="1">IFERROR(__xludf.DUMMYFUNCTION("""COMPUTED_VALUE"""),"A.A. E. EST.NOSSA SENHORA DE FATIMA")</f>
        <v>A.A. E. EST.NOSSA SENHORA DE FATIMA</v>
      </c>
      <c r="D365" s="164" t="str">
        <f ca="1">IFERROR(__xludf.DUMMYFUNCTION("""COMPUTED_VALUE"""),"01064860000151")</f>
        <v>01064860000151</v>
      </c>
      <c r="E365" s="165" t="str">
        <f ca="1">IFERROR(__xludf.DUMMYFUNCTION("""COMPUTED_VALUE"""),"003")</f>
        <v>003</v>
      </c>
      <c r="F365" s="165" t="str">
        <f ca="1">IFERROR(__xludf.DUMMYFUNCTION("""COMPUTED_VALUE"""),"0037")</f>
        <v>0037</v>
      </c>
      <c r="G365" s="165" t="str">
        <f ca="1">IFERROR(__xludf.DUMMYFUNCTION("""COMPUTED_VALUE"""),"0702646")</f>
        <v>0702646</v>
      </c>
      <c r="H365" s="165">
        <f ca="1">IFERROR(__xludf.DUMMYFUNCTION("""COMPUTED_VALUE"""),0)</f>
        <v>0</v>
      </c>
      <c r="I365" s="165">
        <f ca="1">IFERROR(__xludf.DUMMYFUNCTION("""COMPUTED_VALUE"""),0)</f>
        <v>0</v>
      </c>
      <c r="J365" s="165">
        <f ca="1">IFERROR(__xludf.DUMMYFUNCTION("""COMPUTED_VALUE"""),3000)</f>
        <v>3000</v>
      </c>
      <c r="K365" s="165">
        <f ca="1">IFERROR(__xludf.DUMMYFUNCTION("""COMPUTED_VALUE"""),0)</f>
        <v>0</v>
      </c>
      <c r="L365" s="165">
        <f ca="1">IFERROR(__xludf.DUMMYFUNCTION("""COMPUTED_VALUE"""),0)</f>
        <v>0</v>
      </c>
      <c r="M365" s="165">
        <f ca="1">IFERROR(__xludf.DUMMYFUNCTION("""COMPUTED_VALUE"""),0)</f>
        <v>0</v>
      </c>
      <c r="N365" s="165">
        <f ca="1">IFERROR(__xludf.DUMMYFUNCTION("""COMPUTED_VALUE"""),0)</f>
        <v>0</v>
      </c>
      <c r="O365" s="165">
        <f ca="1">IFERROR(__xludf.DUMMYFUNCTION("""COMPUTED_VALUE"""),0)</f>
        <v>0</v>
      </c>
      <c r="P365" s="165">
        <f ca="1">IFERROR(__xludf.DUMMYFUNCTION("""COMPUTED_VALUE"""),149.6)</f>
        <v>149.6</v>
      </c>
      <c r="Q365" s="165">
        <f ca="1">IFERROR(__xludf.DUMMYFUNCTION("""COMPUTED_VALUE"""),0)</f>
        <v>0</v>
      </c>
      <c r="R365" s="165">
        <f ca="1">IFERROR(__xludf.DUMMYFUNCTION("""COMPUTED_VALUE"""),0)</f>
        <v>0</v>
      </c>
      <c r="S365" s="165">
        <f ca="1">IFERROR(__xludf.DUMMYFUNCTION("""COMPUTED_VALUE"""),0)</f>
        <v>0</v>
      </c>
      <c r="T365" s="165">
        <f ca="1">IFERROR(__xludf.DUMMYFUNCTION("""COMPUTED_VALUE"""),0)</f>
        <v>0</v>
      </c>
      <c r="U365" s="165">
        <f ca="1"/>
        <v>3149.6</v>
      </c>
    </row>
    <row r="366" spans="1:21" ht="12.75">
      <c r="A366" s="167" t="str">
        <f ca="1">IFERROR(__xludf.DUMMYFUNCTION("""COMPUTED_VALUE"""),"Porto Nacional")</f>
        <v>Porto Nacional</v>
      </c>
      <c r="B366" s="167" t="str">
        <f ca="1">IFERROR(__xludf.DUMMYFUNCTION("""COMPUTED_VALUE"""),"Oliveira de Fatima")</f>
        <v>Oliveira de Fatima</v>
      </c>
      <c r="C366" s="168" t="str">
        <f ca="1">IFERROR(__xludf.DUMMYFUNCTION("""COMPUTED_VALUE"""),"ASS. DE APOIO DA ESC. EST.RIACHUELO")</f>
        <v>ASS. DE APOIO DA ESC. EST.RIACHUELO</v>
      </c>
      <c r="D366" s="169" t="str">
        <f ca="1">IFERROR(__xludf.DUMMYFUNCTION("""COMPUTED_VALUE"""),"01696068000110")</f>
        <v>01696068000110</v>
      </c>
      <c r="E366" s="170" t="str">
        <f ca="1">IFERROR(__xludf.DUMMYFUNCTION("""COMPUTED_VALUE"""),"001")</f>
        <v>001</v>
      </c>
      <c r="F366" s="170" t="str">
        <f ca="1">IFERROR(__xludf.DUMMYFUNCTION("""COMPUTED_VALUE"""),"4107")</f>
        <v>4107</v>
      </c>
      <c r="G366" s="170" t="str">
        <f ca="1">IFERROR(__xludf.DUMMYFUNCTION("""COMPUTED_VALUE"""),"319511")</f>
        <v>319511</v>
      </c>
      <c r="H366" s="170">
        <f ca="1">IFERROR(__xludf.DUMMYFUNCTION("""COMPUTED_VALUE"""),0)</f>
        <v>0</v>
      </c>
      <c r="I366" s="170">
        <f ca="1">IFERROR(__xludf.DUMMYFUNCTION("""COMPUTED_VALUE"""),0)</f>
        <v>0</v>
      </c>
      <c r="J366" s="170">
        <f ca="1">IFERROR(__xludf.DUMMYFUNCTION("""COMPUTED_VALUE"""),180)</f>
        <v>180</v>
      </c>
      <c r="K366" s="170">
        <f ca="1">IFERROR(__xludf.DUMMYFUNCTION("""COMPUTED_VALUE"""),0)</f>
        <v>0</v>
      </c>
      <c r="L366" s="170">
        <f ca="1">IFERROR(__xludf.DUMMYFUNCTION("""COMPUTED_VALUE"""),0)</f>
        <v>0</v>
      </c>
      <c r="M366" s="170">
        <f ca="1">IFERROR(__xludf.DUMMYFUNCTION("""COMPUTED_VALUE"""),0)</f>
        <v>0</v>
      </c>
      <c r="N366" s="170">
        <f ca="1">IFERROR(__xludf.DUMMYFUNCTION("""COMPUTED_VALUE"""),0)</f>
        <v>0</v>
      </c>
      <c r="O366" s="170">
        <f ca="1">IFERROR(__xludf.DUMMYFUNCTION("""COMPUTED_VALUE"""),0)</f>
        <v>0</v>
      </c>
      <c r="P366" s="170">
        <f ca="1">IFERROR(__xludf.DUMMYFUNCTION("""COMPUTED_VALUE"""),0)</f>
        <v>0</v>
      </c>
      <c r="Q366" s="170">
        <f ca="1">IFERROR(__xludf.DUMMYFUNCTION("""COMPUTED_VALUE"""),530)</f>
        <v>530</v>
      </c>
      <c r="R366" s="170">
        <f ca="1">IFERROR(__xludf.DUMMYFUNCTION("""COMPUTED_VALUE"""),0)</f>
        <v>0</v>
      </c>
      <c r="S366" s="170">
        <f ca="1">IFERROR(__xludf.DUMMYFUNCTION("""COMPUTED_VALUE"""),0)</f>
        <v>0</v>
      </c>
      <c r="T366" s="170">
        <f ca="1">IFERROR(__xludf.DUMMYFUNCTION("""COMPUTED_VALUE"""),90.1999999999999)</f>
        <v>90.199999999999903</v>
      </c>
      <c r="U366" s="170">
        <f ca="1"/>
        <v>800.19999999999993</v>
      </c>
    </row>
    <row r="367" spans="1:21" ht="12.75">
      <c r="A367" s="162" t="str">
        <f ca="1">IFERROR(__xludf.DUMMYFUNCTION("""COMPUTED_VALUE"""),"Porto Nacional")</f>
        <v>Porto Nacional</v>
      </c>
      <c r="B367" s="162" t="str">
        <f ca="1">IFERROR(__xludf.DUMMYFUNCTION("""COMPUTED_VALUE"""),"Pindorama do Tocantins")</f>
        <v>Pindorama do Tocantins</v>
      </c>
      <c r="C367" s="163" t="str">
        <f ca="1">IFERROR(__xludf.DUMMYFUNCTION("""COMPUTED_VALUE"""),"A.A. DO COL. EST. MANOEL DOS SANTOS ROSAL")</f>
        <v>A.A. DO COL. EST. MANOEL DOS SANTOS ROSAL</v>
      </c>
      <c r="D367" s="164" t="str">
        <f ca="1">IFERROR(__xludf.DUMMYFUNCTION("""COMPUTED_VALUE"""),"01034136000185")</f>
        <v>01034136000185</v>
      </c>
      <c r="E367" s="165" t="str">
        <f ca="1">IFERROR(__xludf.DUMMYFUNCTION("""COMPUTED_VALUE"""),"001")</f>
        <v>001</v>
      </c>
      <c r="F367" s="165" t="str">
        <f ca="1">IFERROR(__xludf.DUMMYFUNCTION("""COMPUTED_VALUE"""),"1117")</f>
        <v>1117</v>
      </c>
      <c r="G367" s="165" t="str">
        <f ca="1">IFERROR(__xludf.DUMMYFUNCTION("""COMPUTED_VALUE"""),"312991")</f>
        <v>312991</v>
      </c>
      <c r="H367" s="165">
        <f ca="1">IFERROR(__xludf.DUMMYFUNCTION("""COMPUTED_VALUE"""),0)</f>
        <v>0</v>
      </c>
      <c r="I367" s="165">
        <f ca="1">IFERROR(__xludf.DUMMYFUNCTION("""COMPUTED_VALUE"""),0)</f>
        <v>0</v>
      </c>
      <c r="J367" s="165">
        <f ca="1">IFERROR(__xludf.DUMMYFUNCTION("""COMPUTED_VALUE"""),0)</f>
        <v>0</v>
      </c>
      <c r="K367" s="165">
        <f ca="1">IFERROR(__xludf.DUMMYFUNCTION("""COMPUTED_VALUE"""),3041.39999999999)</f>
        <v>3041.3999999999901</v>
      </c>
      <c r="L367" s="165">
        <f ca="1">IFERROR(__xludf.DUMMYFUNCTION("""COMPUTED_VALUE"""),0)</f>
        <v>0</v>
      </c>
      <c r="M367" s="165">
        <f ca="1">IFERROR(__xludf.DUMMYFUNCTION("""COMPUTED_VALUE"""),0)</f>
        <v>0</v>
      </c>
      <c r="N367" s="165">
        <f ca="1">IFERROR(__xludf.DUMMYFUNCTION("""COMPUTED_VALUE"""),0)</f>
        <v>0</v>
      </c>
      <c r="O367" s="165">
        <f ca="1">IFERROR(__xludf.DUMMYFUNCTION("""COMPUTED_VALUE"""),0)</f>
        <v>0</v>
      </c>
      <c r="P367" s="165">
        <f ca="1">IFERROR(__xludf.DUMMYFUNCTION("""COMPUTED_VALUE"""),0)</f>
        <v>0</v>
      </c>
      <c r="Q367" s="165">
        <f ca="1">IFERROR(__xludf.DUMMYFUNCTION("""COMPUTED_VALUE"""),0)</f>
        <v>0</v>
      </c>
      <c r="R367" s="165">
        <f ca="1">IFERROR(__xludf.DUMMYFUNCTION("""COMPUTED_VALUE"""),0)</f>
        <v>0</v>
      </c>
      <c r="S367" s="165">
        <f ca="1">IFERROR(__xludf.DUMMYFUNCTION("""COMPUTED_VALUE"""),8499.2)</f>
        <v>8499.2000000000007</v>
      </c>
      <c r="T367" s="165">
        <f ca="1">IFERROR(__xludf.DUMMYFUNCTION("""COMPUTED_VALUE"""),0)</f>
        <v>0</v>
      </c>
      <c r="U367" s="165">
        <f ca="1"/>
        <v>11540.599999999991</v>
      </c>
    </row>
    <row r="368" spans="1:21" ht="12.75">
      <c r="A368" s="167" t="str">
        <f ca="1">IFERROR(__xludf.DUMMYFUNCTION("""COMPUTED_VALUE"""),"Porto Nacional")</f>
        <v>Porto Nacional</v>
      </c>
      <c r="B368" s="167" t="str">
        <f ca="1">IFERROR(__xludf.DUMMYFUNCTION("""COMPUTED_VALUE"""),"Pindorama do Tocantins")</f>
        <v>Pindorama do Tocantins</v>
      </c>
      <c r="C368" s="168" t="str">
        <f ca="1">IFERROR(__xludf.DUMMYFUNCTION("""COMPUTED_VALUE"""),"A.A. E. E. DEP.JOSE A. DE ASSIS")</f>
        <v>A.A. E. E. DEP.JOSE A. DE ASSIS</v>
      </c>
      <c r="D368" s="169" t="str">
        <f ca="1">IFERROR(__xludf.DUMMYFUNCTION("""COMPUTED_VALUE"""),"01066411000142")</f>
        <v>01066411000142</v>
      </c>
      <c r="E368" s="170" t="str">
        <f ca="1">IFERROR(__xludf.DUMMYFUNCTION("""COMPUTED_VALUE"""),"001")</f>
        <v>001</v>
      </c>
      <c r="F368" s="170" t="str">
        <f ca="1">IFERROR(__xludf.DUMMYFUNCTION("""COMPUTED_VALUE"""),"1117")</f>
        <v>1117</v>
      </c>
      <c r="G368" s="170" t="str">
        <f ca="1">IFERROR(__xludf.DUMMYFUNCTION("""COMPUTED_VALUE"""),"312770")</f>
        <v>312770</v>
      </c>
      <c r="H368" s="170">
        <f ca="1">IFERROR(__xludf.DUMMYFUNCTION("""COMPUTED_VALUE"""),0)</f>
        <v>0</v>
      </c>
      <c r="I368" s="170">
        <f ca="1">IFERROR(__xludf.DUMMYFUNCTION("""COMPUTED_VALUE"""),0)</f>
        <v>0</v>
      </c>
      <c r="J368" s="170">
        <f ca="1">IFERROR(__xludf.DUMMYFUNCTION("""COMPUTED_VALUE"""),1440)</f>
        <v>1440</v>
      </c>
      <c r="K368" s="170">
        <f ca="1">IFERROR(__xludf.DUMMYFUNCTION("""COMPUTED_VALUE"""),0)</f>
        <v>0</v>
      </c>
      <c r="L368" s="170">
        <f ca="1">IFERROR(__xludf.DUMMYFUNCTION("""COMPUTED_VALUE"""),0)</f>
        <v>0</v>
      </c>
      <c r="M368" s="170">
        <f ca="1">IFERROR(__xludf.DUMMYFUNCTION("""COMPUTED_VALUE"""),0)</f>
        <v>0</v>
      </c>
      <c r="N368" s="170">
        <f ca="1">IFERROR(__xludf.DUMMYFUNCTION("""COMPUTED_VALUE"""),0)</f>
        <v>0</v>
      </c>
      <c r="O368" s="170">
        <f ca="1">IFERROR(__xludf.DUMMYFUNCTION("""COMPUTED_VALUE"""),0)</f>
        <v>0</v>
      </c>
      <c r="P368" s="170">
        <f ca="1">IFERROR(__xludf.DUMMYFUNCTION("""COMPUTED_VALUE"""),122.399999999999)</f>
        <v>122.399999999999</v>
      </c>
      <c r="Q368" s="170">
        <f ca="1">IFERROR(__xludf.DUMMYFUNCTION("""COMPUTED_VALUE"""),340)</f>
        <v>340</v>
      </c>
      <c r="R368" s="170">
        <f ca="1">IFERROR(__xludf.DUMMYFUNCTION("""COMPUTED_VALUE"""),0)</f>
        <v>0</v>
      </c>
      <c r="S368" s="170">
        <f ca="1">IFERROR(__xludf.DUMMYFUNCTION("""COMPUTED_VALUE"""),0)</f>
        <v>0</v>
      </c>
      <c r="T368" s="170">
        <f ca="1">IFERROR(__xludf.DUMMYFUNCTION("""COMPUTED_VALUE"""),0)</f>
        <v>0</v>
      </c>
      <c r="U368" s="170">
        <f ca="1"/>
        <v>1902.399999999999</v>
      </c>
    </row>
    <row r="369" spans="1:21" ht="12.75">
      <c r="A369" s="162" t="str">
        <f ca="1">IFERROR(__xludf.DUMMYFUNCTION("""COMPUTED_VALUE"""),"Porto Nacional")</f>
        <v>Porto Nacional</v>
      </c>
      <c r="B369" s="162" t="str">
        <f ca="1">IFERROR(__xludf.DUMMYFUNCTION("""COMPUTED_VALUE"""),"Ponte Alta do Tocantins")</f>
        <v>Ponte Alta do Tocantins</v>
      </c>
      <c r="C369" s="163" t="str">
        <f ca="1">IFERROR(__xludf.DUMMYFUNCTION("""COMPUTED_VALUE"""),"ASS. A. AO COL. EST. ODOLFO SOARES")</f>
        <v>ASS. A. AO COL. EST. ODOLFO SOARES</v>
      </c>
      <c r="D369" s="164" t="str">
        <f ca="1">IFERROR(__xludf.DUMMYFUNCTION("""COMPUTED_VALUE"""),"01342866000143")</f>
        <v>01342866000143</v>
      </c>
      <c r="E369" s="165" t="str">
        <f ca="1">IFERROR(__xludf.DUMMYFUNCTION("""COMPUTED_VALUE"""),"001")</f>
        <v>001</v>
      </c>
      <c r="F369" s="165" t="str">
        <f ca="1">IFERROR(__xludf.DUMMYFUNCTION("""COMPUTED_VALUE"""),"1117")</f>
        <v>1117</v>
      </c>
      <c r="G369" s="165" t="str">
        <f ca="1">IFERROR(__xludf.DUMMYFUNCTION("""COMPUTED_VALUE"""),"333921")</f>
        <v>333921</v>
      </c>
      <c r="H369" s="165">
        <f ca="1">IFERROR(__xludf.DUMMYFUNCTION("""COMPUTED_VALUE"""),0)</f>
        <v>0</v>
      </c>
      <c r="I369" s="165">
        <f ca="1">IFERROR(__xludf.DUMMYFUNCTION("""COMPUTED_VALUE"""),0)</f>
        <v>0</v>
      </c>
      <c r="J369" s="165">
        <f ca="1">IFERROR(__xludf.DUMMYFUNCTION("""COMPUTED_VALUE"""),6180)</f>
        <v>6180</v>
      </c>
      <c r="K369" s="165">
        <f ca="1">IFERROR(__xludf.DUMMYFUNCTION("""COMPUTED_VALUE"""),0)</f>
        <v>0</v>
      </c>
      <c r="L369" s="165">
        <f ca="1">IFERROR(__xludf.DUMMYFUNCTION("""COMPUTED_VALUE"""),0)</f>
        <v>0</v>
      </c>
      <c r="M369" s="165">
        <f ca="1">IFERROR(__xludf.DUMMYFUNCTION("""COMPUTED_VALUE"""),0)</f>
        <v>0</v>
      </c>
      <c r="N369" s="165">
        <f ca="1">IFERROR(__xludf.DUMMYFUNCTION("""COMPUTED_VALUE"""),0)</f>
        <v>0</v>
      </c>
      <c r="O369" s="165">
        <f ca="1">IFERROR(__xludf.DUMMYFUNCTION("""COMPUTED_VALUE"""),0)</f>
        <v>0</v>
      </c>
      <c r="P369" s="165">
        <f ca="1">IFERROR(__xludf.DUMMYFUNCTION("""COMPUTED_VALUE"""),380.8)</f>
        <v>380.8</v>
      </c>
      <c r="Q369" s="165">
        <f ca="1">IFERROR(__xludf.DUMMYFUNCTION("""COMPUTED_VALUE"""),6440)</f>
        <v>6440</v>
      </c>
      <c r="R369" s="165">
        <f ca="1">IFERROR(__xludf.DUMMYFUNCTION("""COMPUTED_VALUE"""),0)</f>
        <v>0</v>
      </c>
      <c r="S369" s="165">
        <f ca="1">IFERROR(__xludf.DUMMYFUNCTION("""COMPUTED_VALUE"""),0)</f>
        <v>0</v>
      </c>
      <c r="T369" s="165">
        <f ca="1">IFERROR(__xludf.DUMMYFUNCTION("""COMPUTED_VALUE"""),0)</f>
        <v>0</v>
      </c>
      <c r="U369" s="165">
        <f ca="1"/>
        <v>13000.8</v>
      </c>
    </row>
    <row r="370" spans="1:21" ht="12.75">
      <c r="A370" s="167" t="str">
        <f ca="1">IFERROR(__xludf.DUMMYFUNCTION("""COMPUTED_VALUE"""),"Porto Nacional")</f>
        <v>Porto Nacional</v>
      </c>
      <c r="B370" s="167" t="str">
        <f ca="1">IFERROR(__xludf.DUMMYFUNCTION("""COMPUTED_VALUE"""),"Ponte Alta do Tocantins")</f>
        <v>Ponte Alta do Tocantins</v>
      </c>
      <c r="C370" s="168" t="str">
        <f ca="1">IFERROR(__xludf.DUMMYFUNCTION("""COMPUTED_VALUE"""),"ASS. APOIO DA ESCOLA EST. ALCIDES RUFO")</f>
        <v>ASS. APOIO DA ESCOLA EST. ALCIDES RUFO</v>
      </c>
      <c r="D370" s="169" t="str">
        <f ca="1">IFERROR(__xludf.DUMMYFUNCTION("""COMPUTED_VALUE"""),"01192931000100")</f>
        <v>01192931000100</v>
      </c>
      <c r="E370" s="170" t="str">
        <f ca="1">IFERROR(__xludf.DUMMYFUNCTION("""COMPUTED_VALUE"""),"001")</f>
        <v>001</v>
      </c>
      <c r="F370" s="170" t="str">
        <f ca="1">IFERROR(__xludf.DUMMYFUNCTION("""COMPUTED_VALUE"""),"1117")</f>
        <v>1117</v>
      </c>
      <c r="G370" s="170" t="str">
        <f ca="1">IFERROR(__xludf.DUMMYFUNCTION("""COMPUTED_VALUE"""),"313785")</f>
        <v>313785</v>
      </c>
      <c r="H370" s="170">
        <f ca="1">IFERROR(__xludf.DUMMYFUNCTION("""COMPUTED_VALUE"""),0)</f>
        <v>0</v>
      </c>
      <c r="I370" s="170">
        <f ca="1">IFERROR(__xludf.DUMMYFUNCTION("""COMPUTED_VALUE"""),0)</f>
        <v>0</v>
      </c>
      <c r="J370" s="170">
        <f ca="1">IFERROR(__xludf.DUMMYFUNCTION("""COMPUTED_VALUE"""),2610)</f>
        <v>2610</v>
      </c>
      <c r="K370" s="170">
        <f ca="1">IFERROR(__xludf.DUMMYFUNCTION("""COMPUTED_VALUE"""),0)</f>
        <v>0</v>
      </c>
      <c r="L370" s="170">
        <f ca="1">IFERROR(__xludf.DUMMYFUNCTION("""COMPUTED_VALUE"""),0)</f>
        <v>0</v>
      </c>
      <c r="M370" s="170">
        <f ca="1">IFERROR(__xludf.DUMMYFUNCTION("""COMPUTED_VALUE"""),0)</f>
        <v>0</v>
      </c>
      <c r="N370" s="170">
        <f ca="1">IFERROR(__xludf.DUMMYFUNCTION("""COMPUTED_VALUE"""),0)</f>
        <v>0</v>
      </c>
      <c r="O370" s="170">
        <f ca="1">IFERROR(__xludf.DUMMYFUNCTION("""COMPUTED_VALUE"""),0)</f>
        <v>0</v>
      </c>
      <c r="P370" s="170">
        <f ca="1">IFERROR(__xludf.DUMMYFUNCTION("""COMPUTED_VALUE"""),0)</f>
        <v>0</v>
      </c>
      <c r="Q370" s="170">
        <f ca="1">IFERROR(__xludf.DUMMYFUNCTION("""COMPUTED_VALUE"""),0)</f>
        <v>0</v>
      </c>
      <c r="R370" s="170">
        <f ca="1">IFERROR(__xludf.DUMMYFUNCTION("""COMPUTED_VALUE"""),0)</f>
        <v>0</v>
      </c>
      <c r="S370" s="170">
        <f ca="1">IFERROR(__xludf.DUMMYFUNCTION("""COMPUTED_VALUE"""),0)</f>
        <v>0</v>
      </c>
      <c r="T370" s="170">
        <f ca="1">IFERROR(__xludf.DUMMYFUNCTION("""COMPUTED_VALUE"""),0)</f>
        <v>0</v>
      </c>
      <c r="U370" s="170">
        <f ca="1"/>
        <v>2610</v>
      </c>
    </row>
    <row r="371" spans="1:21" ht="12.75">
      <c r="A371" s="179" t="str">
        <f ca="1">IFERROR(__xludf.DUMMYFUNCTION("""COMPUTED_VALUE"""),"Porto Nacional")</f>
        <v>Porto Nacional</v>
      </c>
      <c r="B371" s="179" t="str">
        <f ca="1">IFERROR(__xludf.DUMMYFUNCTION("""COMPUTED_VALUE"""),"Ponte Alta do Tocantins")</f>
        <v>Ponte Alta do Tocantins</v>
      </c>
      <c r="C371" s="180" t="str">
        <f ca="1">IFERROR(__xludf.DUMMYFUNCTION("""COMPUTED_VALUE"""),"ASS. DE APOIO A ESCOLA EST. ESPECIAL AMILSON FRAZÃO DOS REIS")</f>
        <v>ASS. DE APOIO A ESCOLA EST. ESPECIAL AMILSON FRAZÃO DOS REIS</v>
      </c>
      <c r="D371" s="164" t="str">
        <f ca="1">IFERROR(__xludf.DUMMYFUNCTION("""COMPUTED_VALUE"""),"20309905000155")</f>
        <v>20309905000155</v>
      </c>
      <c r="E371" s="165" t="str">
        <f ca="1">IFERROR(__xludf.DUMMYFUNCTION("""COMPUTED_VALUE"""),"001")</f>
        <v>001</v>
      </c>
      <c r="F371" s="165" t="str">
        <f ca="1">IFERROR(__xludf.DUMMYFUNCTION("""COMPUTED_VALUE"""),"1117")</f>
        <v>1117</v>
      </c>
      <c r="G371" s="165" t="str">
        <f ca="1">IFERROR(__xludf.DUMMYFUNCTION("""COMPUTED_VALUE"""),"567426")</f>
        <v>567426</v>
      </c>
      <c r="H371" s="165">
        <f ca="1">IFERROR(__xludf.DUMMYFUNCTION("""COMPUTED_VALUE"""),0)</f>
        <v>0</v>
      </c>
      <c r="I371" s="165">
        <f ca="1">IFERROR(__xludf.DUMMYFUNCTION("""COMPUTED_VALUE"""),0)</f>
        <v>0</v>
      </c>
      <c r="J371" s="165">
        <f ca="1">IFERROR(__xludf.DUMMYFUNCTION("""COMPUTED_VALUE"""),80)</f>
        <v>80</v>
      </c>
      <c r="K371" s="165">
        <f ca="1">IFERROR(__xludf.DUMMYFUNCTION("""COMPUTED_VALUE"""),0)</f>
        <v>0</v>
      </c>
      <c r="L371" s="165">
        <f ca="1">IFERROR(__xludf.DUMMYFUNCTION("""COMPUTED_VALUE"""),0)</f>
        <v>0</v>
      </c>
      <c r="M371" s="165">
        <f ca="1">IFERROR(__xludf.DUMMYFUNCTION("""COMPUTED_VALUE"""),0)</f>
        <v>0</v>
      </c>
      <c r="N371" s="165">
        <f ca="1">IFERROR(__xludf.DUMMYFUNCTION("""COMPUTED_VALUE"""),0)</f>
        <v>0</v>
      </c>
      <c r="O371" s="165">
        <f ca="1">IFERROR(__xludf.DUMMYFUNCTION("""COMPUTED_VALUE"""),0)</f>
        <v>0</v>
      </c>
      <c r="P371" s="165">
        <f ca="1">IFERROR(__xludf.DUMMYFUNCTION("""COMPUTED_VALUE"""),163.2)</f>
        <v>163.19999999999999</v>
      </c>
      <c r="Q371" s="165">
        <f ca="1">IFERROR(__xludf.DUMMYFUNCTION("""COMPUTED_VALUE"""),0)</f>
        <v>0</v>
      </c>
      <c r="R371" s="165">
        <f ca="1">IFERROR(__xludf.DUMMYFUNCTION("""COMPUTED_VALUE"""),0)</f>
        <v>0</v>
      </c>
      <c r="S371" s="165">
        <f ca="1">IFERROR(__xludf.DUMMYFUNCTION("""COMPUTED_VALUE"""),0)</f>
        <v>0</v>
      </c>
      <c r="T371" s="165">
        <f ca="1">IFERROR(__xludf.DUMMYFUNCTION("""COMPUTED_VALUE"""),393.599999999999)</f>
        <v>393.599999999999</v>
      </c>
      <c r="U371" s="165">
        <f ca="1"/>
        <v>636.79999999999905</v>
      </c>
    </row>
    <row r="372" spans="1:21" ht="12.75">
      <c r="A372" s="181" t="str">
        <f ca="1">IFERROR(__xludf.DUMMYFUNCTION("""COMPUTED_VALUE"""),"Porto Nacional")</f>
        <v>Porto Nacional</v>
      </c>
      <c r="B372" s="181" t="str">
        <f ca="1">IFERROR(__xludf.DUMMYFUNCTION("""COMPUTED_VALUE"""),"Porto Nacional")</f>
        <v>Porto Nacional</v>
      </c>
      <c r="C372" s="182" t="str">
        <f ca="1">IFERROR(__xludf.DUMMYFUNCTION("""COMPUTED_VALUE"""),"ASSOC. DE APOIO AO CEM FELIX CAMOA I")</f>
        <v>ASSOC. DE APOIO AO CEM FELIX CAMOA I</v>
      </c>
      <c r="D372" s="169" t="str">
        <f ca="1">IFERROR(__xludf.DUMMYFUNCTION("""COMPUTED_VALUE"""),"01112476000187")</f>
        <v>01112476000187</v>
      </c>
      <c r="E372" s="170" t="str">
        <f ca="1">IFERROR(__xludf.DUMMYFUNCTION("""COMPUTED_VALUE"""),"104")</f>
        <v>104</v>
      </c>
      <c r="F372" s="170" t="str">
        <f ca="1">IFERROR(__xludf.DUMMYFUNCTION("""COMPUTED_VALUE"""),"1829")</f>
        <v>1829</v>
      </c>
      <c r="G372" s="170" t="str">
        <f ca="1">IFERROR(__xludf.DUMMYFUNCTION("""COMPUTED_VALUE"""),"3050011")</f>
        <v>3050011</v>
      </c>
      <c r="H372" s="170">
        <f ca="1">IFERROR(__xludf.DUMMYFUNCTION("""COMPUTED_VALUE"""),0)</f>
        <v>0</v>
      </c>
      <c r="I372" s="170">
        <f ca="1">IFERROR(__xludf.DUMMYFUNCTION("""COMPUTED_VALUE"""),0)</f>
        <v>0</v>
      </c>
      <c r="J372" s="170">
        <f ca="1">IFERROR(__xludf.DUMMYFUNCTION("""COMPUTED_VALUE"""),0)</f>
        <v>0</v>
      </c>
      <c r="K372" s="170">
        <f ca="1">IFERROR(__xludf.DUMMYFUNCTION("""COMPUTED_VALUE"""),0)</f>
        <v>0</v>
      </c>
      <c r="L372" s="170">
        <f ca="1">IFERROR(__xludf.DUMMYFUNCTION("""COMPUTED_VALUE"""),0)</f>
        <v>0</v>
      </c>
      <c r="M372" s="170">
        <f ca="1">IFERROR(__xludf.DUMMYFUNCTION("""COMPUTED_VALUE"""),0)</f>
        <v>0</v>
      </c>
      <c r="N372" s="170">
        <f ca="1">IFERROR(__xludf.DUMMYFUNCTION("""COMPUTED_VALUE"""),0)</f>
        <v>0</v>
      </c>
      <c r="O372" s="170">
        <f ca="1">IFERROR(__xludf.DUMMYFUNCTION("""COMPUTED_VALUE"""),0)</f>
        <v>0</v>
      </c>
      <c r="P372" s="170">
        <f ca="1">IFERROR(__xludf.DUMMYFUNCTION("""COMPUTED_VALUE"""),163.2)</f>
        <v>163.19999999999999</v>
      </c>
      <c r="Q372" s="170">
        <f ca="1">IFERROR(__xludf.DUMMYFUNCTION("""COMPUTED_VALUE"""),0)</f>
        <v>0</v>
      </c>
      <c r="R372" s="170">
        <f ca="1">IFERROR(__xludf.DUMMYFUNCTION("""COMPUTED_VALUE"""),0)</f>
        <v>0</v>
      </c>
      <c r="S372" s="170">
        <f ca="1">IFERROR(__xludf.DUMMYFUNCTION("""COMPUTED_VALUE"""),13926.4)</f>
        <v>13926.4</v>
      </c>
      <c r="T372" s="170">
        <f ca="1">IFERROR(__xludf.DUMMYFUNCTION("""COMPUTED_VALUE"""),0)</f>
        <v>0</v>
      </c>
      <c r="U372" s="170">
        <f ca="1"/>
        <v>14089.6</v>
      </c>
    </row>
    <row r="373" spans="1:21" ht="12.75">
      <c r="A373" s="179" t="str">
        <f ca="1">IFERROR(__xludf.DUMMYFUNCTION("""COMPUTED_VALUE"""),"Porto Nacional")</f>
        <v>Porto Nacional</v>
      </c>
      <c r="B373" s="179" t="str">
        <f ca="1">IFERROR(__xludf.DUMMYFUNCTION("""COMPUTED_VALUE"""),"Porto Nacional")</f>
        <v>Porto Nacional</v>
      </c>
      <c r="C373" s="180" t="str">
        <f ca="1">IFERROR(__xludf.DUMMYFUNCTION("""COMPUTED_VALUE"""),"ASSOC. DE A.DO CEM PROFº. FLORÊNCIO AIRES DA SILVA")</f>
        <v>ASSOC. DE A.DO CEM PROFº. FLORÊNCIO AIRES DA SILVA</v>
      </c>
      <c r="D373" s="164" t="str">
        <f ca="1">IFERROR(__xludf.DUMMYFUNCTION("""COMPUTED_VALUE"""),"01138326000142")</f>
        <v>01138326000142</v>
      </c>
      <c r="E373" s="165" t="str">
        <f ca="1">IFERROR(__xludf.DUMMYFUNCTION("""COMPUTED_VALUE"""),"001")</f>
        <v>001</v>
      </c>
      <c r="F373" s="165" t="str">
        <f ca="1">IFERROR(__xludf.DUMMYFUNCTION("""COMPUTED_VALUE"""),"1117")</f>
        <v>1117</v>
      </c>
      <c r="G373" s="165" t="str">
        <f ca="1">IFERROR(__xludf.DUMMYFUNCTION("""COMPUTED_VALUE"""),"5500X")</f>
        <v>5500X</v>
      </c>
      <c r="H373" s="165">
        <f ca="1">IFERROR(__xludf.DUMMYFUNCTION("""COMPUTED_VALUE"""),0)</f>
        <v>0</v>
      </c>
      <c r="I373" s="165">
        <f ca="1">IFERROR(__xludf.DUMMYFUNCTION("""COMPUTED_VALUE"""),0)</f>
        <v>0</v>
      </c>
      <c r="J373" s="165">
        <f ca="1">IFERROR(__xludf.DUMMYFUNCTION("""COMPUTED_VALUE"""),1020)</f>
        <v>1020</v>
      </c>
      <c r="K373" s="165">
        <f ca="1">IFERROR(__xludf.DUMMYFUNCTION("""COMPUTED_VALUE"""),0)</f>
        <v>0</v>
      </c>
      <c r="L373" s="165">
        <f ca="1">IFERROR(__xludf.DUMMYFUNCTION("""COMPUTED_VALUE"""),0)</f>
        <v>0</v>
      </c>
      <c r="M373" s="165">
        <f ca="1">IFERROR(__xludf.DUMMYFUNCTION("""COMPUTED_VALUE"""),0)</f>
        <v>0</v>
      </c>
      <c r="N373" s="165">
        <f ca="1">IFERROR(__xludf.DUMMYFUNCTION("""COMPUTED_VALUE"""),0)</f>
        <v>0</v>
      </c>
      <c r="O373" s="165">
        <f ca="1">IFERROR(__xludf.DUMMYFUNCTION("""COMPUTED_VALUE"""),0)</f>
        <v>0</v>
      </c>
      <c r="P373" s="165">
        <f ca="1">IFERROR(__xludf.DUMMYFUNCTION("""COMPUTED_VALUE"""),190.4)</f>
        <v>190.4</v>
      </c>
      <c r="Q373" s="165">
        <f ca="1">IFERROR(__xludf.DUMMYFUNCTION("""COMPUTED_VALUE"""),2360)</f>
        <v>2360</v>
      </c>
      <c r="R373" s="165">
        <f ca="1">IFERROR(__xludf.DUMMYFUNCTION("""COMPUTED_VALUE"""),0)</f>
        <v>0</v>
      </c>
      <c r="S373" s="165">
        <f ca="1">IFERROR(__xludf.DUMMYFUNCTION("""COMPUTED_VALUE"""),0)</f>
        <v>0</v>
      </c>
      <c r="T373" s="165">
        <f ca="1">IFERROR(__xludf.DUMMYFUNCTION("""COMPUTED_VALUE"""),442.799999999999)</f>
        <v>442.79999999999899</v>
      </c>
      <c r="U373" s="165">
        <f ca="1"/>
        <v>4013.1999999999989</v>
      </c>
    </row>
    <row r="374" spans="1:21" ht="12.75">
      <c r="A374" s="167" t="str">
        <f ca="1">IFERROR(__xludf.DUMMYFUNCTION("""COMPUTED_VALUE"""),"Porto Nacional")</f>
        <v>Porto Nacional</v>
      </c>
      <c r="B374" s="167" t="str">
        <f ca="1">IFERROR(__xludf.DUMMYFUNCTION("""COMPUTED_VALUE"""),"Porto Nacional")</f>
        <v>Porto Nacional</v>
      </c>
      <c r="C374" s="168" t="str">
        <f ca="1">IFERROR(__xludf.DUMMYFUNCTION("""COMPUTED_VALUE"""),"A. E. COM. ESC. CONV. ANGELICA R. ARANHA")</f>
        <v>A. E. COM. ESC. CONV. ANGELICA R. ARANHA</v>
      </c>
      <c r="D374" s="169" t="str">
        <f ca="1">IFERROR(__xludf.DUMMYFUNCTION("""COMPUTED_VALUE"""),"01075455000139")</f>
        <v>01075455000139</v>
      </c>
      <c r="E374" s="170" t="str">
        <f ca="1">IFERROR(__xludf.DUMMYFUNCTION("""COMPUTED_VALUE"""),"104")</f>
        <v>104</v>
      </c>
      <c r="F374" s="170" t="str">
        <f ca="1">IFERROR(__xludf.DUMMYFUNCTION("""COMPUTED_VALUE"""),"1829")</f>
        <v>1829</v>
      </c>
      <c r="G374" s="170" t="str">
        <f ca="1">IFERROR(__xludf.DUMMYFUNCTION("""COMPUTED_VALUE"""),"307313")</f>
        <v>307313</v>
      </c>
      <c r="H374" s="170">
        <f ca="1">IFERROR(__xludf.DUMMYFUNCTION("""COMPUTED_VALUE"""),0)</f>
        <v>0</v>
      </c>
      <c r="I374" s="170">
        <f ca="1">IFERROR(__xludf.DUMMYFUNCTION("""COMPUTED_VALUE"""),0)</f>
        <v>0</v>
      </c>
      <c r="J374" s="170">
        <f ca="1">IFERROR(__xludf.DUMMYFUNCTION("""COMPUTED_VALUE"""),1470)</f>
        <v>1470</v>
      </c>
      <c r="K374" s="170">
        <f ca="1">IFERROR(__xludf.DUMMYFUNCTION("""COMPUTED_VALUE"""),0)</f>
        <v>0</v>
      </c>
      <c r="L374" s="170">
        <f ca="1">IFERROR(__xludf.DUMMYFUNCTION("""COMPUTED_VALUE"""),0)</f>
        <v>0</v>
      </c>
      <c r="M374" s="170">
        <f ca="1">IFERROR(__xludf.DUMMYFUNCTION("""COMPUTED_VALUE"""),0)</f>
        <v>0</v>
      </c>
      <c r="N374" s="170">
        <f ca="1">IFERROR(__xludf.DUMMYFUNCTION("""COMPUTED_VALUE"""),0)</f>
        <v>0</v>
      </c>
      <c r="O374" s="170">
        <f ca="1">IFERROR(__xludf.DUMMYFUNCTION("""COMPUTED_VALUE"""),0)</f>
        <v>0</v>
      </c>
      <c r="P374" s="170">
        <f ca="1">IFERROR(__xludf.DUMMYFUNCTION("""COMPUTED_VALUE"""),149.6)</f>
        <v>149.6</v>
      </c>
      <c r="Q374" s="170">
        <f ca="1">IFERROR(__xludf.DUMMYFUNCTION("""COMPUTED_VALUE"""),700)</f>
        <v>700</v>
      </c>
      <c r="R374" s="170">
        <f ca="1">IFERROR(__xludf.DUMMYFUNCTION("""COMPUTED_VALUE"""),0)</f>
        <v>0</v>
      </c>
      <c r="S374" s="170">
        <f ca="1">IFERROR(__xludf.DUMMYFUNCTION("""COMPUTED_VALUE"""),0)</f>
        <v>0</v>
      </c>
      <c r="T374" s="170">
        <f ca="1">IFERROR(__xludf.DUMMYFUNCTION("""COMPUTED_VALUE"""),0)</f>
        <v>0</v>
      </c>
      <c r="U374" s="170">
        <f ca="1"/>
        <v>2319.6</v>
      </c>
    </row>
    <row r="375" spans="1:21" ht="12.75">
      <c r="A375" s="162" t="str">
        <f ca="1">IFERROR(__xludf.DUMMYFUNCTION("""COMPUTED_VALUE"""),"Porto Nacional")</f>
        <v>Porto Nacional</v>
      </c>
      <c r="B375" s="162" t="str">
        <f ca="1">IFERROR(__xludf.DUMMYFUNCTION("""COMPUTED_VALUE"""),"Porto Nacional")</f>
        <v>Porto Nacional</v>
      </c>
      <c r="C375" s="163" t="str">
        <f ca="1">IFERROR(__xludf.DUMMYFUNCTION("""COMPUTED_VALUE"""),"A.A. ESC. EST. DR.PEDRO LUDOVICO TEIXEIRA")</f>
        <v>A.A. ESC. EST. DR.PEDRO LUDOVICO TEIXEIRA</v>
      </c>
      <c r="D375" s="164" t="str">
        <f ca="1">IFERROR(__xludf.DUMMYFUNCTION("""COMPUTED_VALUE"""),"01135997000150")</f>
        <v>01135997000150</v>
      </c>
      <c r="E375" s="165" t="str">
        <f ca="1">IFERROR(__xludf.DUMMYFUNCTION("""COMPUTED_VALUE"""),"104")</f>
        <v>104</v>
      </c>
      <c r="F375" s="165" t="str">
        <f ca="1">IFERROR(__xludf.DUMMYFUNCTION("""COMPUTED_VALUE"""),"1829")</f>
        <v>1829</v>
      </c>
      <c r="G375" s="165" t="str">
        <f ca="1">IFERROR(__xludf.DUMMYFUNCTION("""COMPUTED_VALUE"""),"305949")</f>
        <v>305949</v>
      </c>
      <c r="H375" s="165">
        <f ca="1">IFERROR(__xludf.DUMMYFUNCTION("""COMPUTED_VALUE"""),0)</f>
        <v>0</v>
      </c>
      <c r="I375" s="165">
        <f ca="1">IFERROR(__xludf.DUMMYFUNCTION("""COMPUTED_VALUE"""),0)</f>
        <v>0</v>
      </c>
      <c r="J375" s="165">
        <f ca="1">IFERROR(__xludf.DUMMYFUNCTION("""COMPUTED_VALUE"""),9560)</f>
        <v>9560</v>
      </c>
      <c r="K375" s="165">
        <f ca="1">IFERROR(__xludf.DUMMYFUNCTION("""COMPUTED_VALUE"""),0)</f>
        <v>0</v>
      </c>
      <c r="L375" s="165">
        <f ca="1">IFERROR(__xludf.DUMMYFUNCTION("""COMPUTED_VALUE"""),0)</f>
        <v>0</v>
      </c>
      <c r="M375" s="165">
        <f ca="1">IFERROR(__xludf.DUMMYFUNCTION("""COMPUTED_VALUE"""),0)</f>
        <v>0</v>
      </c>
      <c r="N375" s="165">
        <f ca="1">IFERROR(__xludf.DUMMYFUNCTION("""COMPUTED_VALUE"""),0)</f>
        <v>0</v>
      </c>
      <c r="O375" s="165">
        <f ca="1">IFERROR(__xludf.DUMMYFUNCTION("""COMPUTED_VALUE"""),0)</f>
        <v>0</v>
      </c>
      <c r="P375" s="165">
        <f ca="1">IFERROR(__xludf.DUMMYFUNCTION("""COMPUTED_VALUE"""),571.199999999999)</f>
        <v>571.19999999999902</v>
      </c>
      <c r="Q375" s="165">
        <f ca="1">IFERROR(__xludf.DUMMYFUNCTION("""COMPUTED_VALUE"""),4900)</f>
        <v>4900</v>
      </c>
      <c r="R375" s="165">
        <f ca="1">IFERROR(__xludf.DUMMYFUNCTION("""COMPUTED_VALUE"""),0)</f>
        <v>0</v>
      </c>
      <c r="S375" s="165">
        <f ca="1">IFERROR(__xludf.DUMMYFUNCTION("""COMPUTED_VALUE"""),0)</f>
        <v>0</v>
      </c>
      <c r="T375" s="165">
        <f ca="1">IFERROR(__xludf.DUMMYFUNCTION("""COMPUTED_VALUE"""),0)</f>
        <v>0</v>
      </c>
      <c r="U375" s="165">
        <f ca="1"/>
        <v>15031.199999999999</v>
      </c>
    </row>
    <row r="376" spans="1:21" ht="12.75">
      <c r="A376" s="167" t="str">
        <f ca="1">IFERROR(__xludf.DUMMYFUNCTION("""COMPUTED_VALUE"""),"Porto Nacional")</f>
        <v>Porto Nacional</v>
      </c>
      <c r="B376" s="167" t="str">
        <f ca="1">IFERROR(__xludf.DUMMYFUNCTION("""COMPUTED_VALUE"""),"Porto Nacional")</f>
        <v>Porto Nacional</v>
      </c>
      <c r="C376" s="168" t="str">
        <f ca="1">IFERROR(__xludf.DUMMYFUNCTION("""COMPUTED_VALUE"""),"A. ESCOL.COM. ESC. EST. MAL.ARTUR C.E SILVA")</f>
        <v>A. ESCOL.COM. ESC. EST. MAL.ARTUR C.E SILVA</v>
      </c>
      <c r="D376" s="169" t="str">
        <f ca="1">IFERROR(__xludf.DUMMYFUNCTION("""COMPUTED_VALUE"""),"01112763000197")</f>
        <v>01112763000197</v>
      </c>
      <c r="E376" s="170" t="str">
        <f ca="1">IFERROR(__xludf.DUMMYFUNCTION("""COMPUTED_VALUE"""),"104")</f>
        <v>104</v>
      </c>
      <c r="F376" s="170" t="str">
        <f ca="1">IFERROR(__xludf.DUMMYFUNCTION("""COMPUTED_VALUE"""),"1829")</f>
        <v>1829</v>
      </c>
      <c r="G376" s="170" t="str">
        <f ca="1">IFERROR(__xludf.DUMMYFUNCTION("""COMPUTED_VALUE"""),"307364")</f>
        <v>307364</v>
      </c>
      <c r="H376" s="170">
        <f ca="1">IFERROR(__xludf.DUMMYFUNCTION("""COMPUTED_VALUE"""),0)</f>
        <v>0</v>
      </c>
      <c r="I376" s="170">
        <f ca="1">IFERROR(__xludf.DUMMYFUNCTION("""COMPUTED_VALUE"""),0)</f>
        <v>0</v>
      </c>
      <c r="J376" s="170">
        <f ca="1">IFERROR(__xludf.DUMMYFUNCTION("""COMPUTED_VALUE"""),2390)</f>
        <v>2390</v>
      </c>
      <c r="K376" s="170">
        <f ca="1">IFERROR(__xludf.DUMMYFUNCTION("""COMPUTED_VALUE"""),0)</f>
        <v>0</v>
      </c>
      <c r="L376" s="170">
        <f ca="1">IFERROR(__xludf.DUMMYFUNCTION("""COMPUTED_VALUE"""),0)</f>
        <v>0</v>
      </c>
      <c r="M376" s="170">
        <f ca="1">IFERROR(__xludf.DUMMYFUNCTION("""COMPUTED_VALUE"""),0)</f>
        <v>0</v>
      </c>
      <c r="N376" s="170">
        <f ca="1">IFERROR(__xludf.DUMMYFUNCTION("""COMPUTED_VALUE"""),0)</f>
        <v>0</v>
      </c>
      <c r="O376" s="170">
        <f ca="1">IFERROR(__xludf.DUMMYFUNCTION("""COMPUTED_VALUE"""),0)</f>
        <v>0</v>
      </c>
      <c r="P376" s="170">
        <f ca="1">IFERROR(__xludf.DUMMYFUNCTION("""COMPUTED_VALUE"""),231.2)</f>
        <v>231.2</v>
      </c>
      <c r="Q376" s="170">
        <f ca="1">IFERROR(__xludf.DUMMYFUNCTION("""COMPUTED_VALUE"""),1440)</f>
        <v>1440</v>
      </c>
      <c r="R376" s="170">
        <f ca="1">IFERROR(__xludf.DUMMYFUNCTION("""COMPUTED_VALUE"""),0)</f>
        <v>0</v>
      </c>
      <c r="S376" s="170">
        <f ca="1">IFERROR(__xludf.DUMMYFUNCTION("""COMPUTED_VALUE"""),0)</f>
        <v>0</v>
      </c>
      <c r="T376" s="170">
        <f ca="1">IFERROR(__xludf.DUMMYFUNCTION("""COMPUTED_VALUE"""),656)</f>
        <v>656</v>
      </c>
      <c r="U376" s="170">
        <f ca="1"/>
        <v>4717.2</v>
      </c>
    </row>
    <row r="377" spans="1:21" ht="12.75">
      <c r="A377" s="162" t="str">
        <f ca="1">IFERROR(__xludf.DUMMYFUNCTION("""COMPUTED_VALUE"""),"Porto Nacional")</f>
        <v>Porto Nacional</v>
      </c>
      <c r="B377" s="162" t="str">
        <f ca="1">IFERROR(__xludf.DUMMYFUNCTION("""COMPUTED_VALUE"""),"Porto Nacional")</f>
        <v>Porto Nacional</v>
      </c>
      <c r="C377" s="163" t="str">
        <f ca="1">IFERROR(__xludf.DUMMYFUNCTION("""COMPUTED_VALUE"""),"ASSOCIAÇÃO DE APOIO DA ESCOLA FAMÍLIA AGRÍCOLA")</f>
        <v>ASSOCIAÇÃO DE APOIO DA ESCOLA FAMÍLIA AGRÍCOLA</v>
      </c>
      <c r="D377" s="164" t="str">
        <f ca="1">IFERROR(__xludf.DUMMYFUNCTION("""COMPUTED_VALUE"""),"01197155000122")</f>
        <v>01197155000122</v>
      </c>
      <c r="E377" s="165" t="str">
        <f ca="1">IFERROR(__xludf.DUMMYFUNCTION("""COMPUTED_VALUE"""),"001")</f>
        <v>001</v>
      </c>
      <c r="F377" s="165" t="str">
        <f ca="1">IFERROR(__xludf.DUMMYFUNCTION("""COMPUTED_VALUE"""),"1117")</f>
        <v>1117</v>
      </c>
      <c r="G377" s="165" t="str">
        <f ca="1">IFERROR(__xludf.DUMMYFUNCTION("""COMPUTED_VALUE"""),"313483")</f>
        <v>313483</v>
      </c>
      <c r="H377" s="165">
        <f ca="1">IFERROR(__xludf.DUMMYFUNCTION("""COMPUTED_VALUE"""),0)</f>
        <v>0</v>
      </c>
      <c r="I377" s="165">
        <f ca="1">IFERROR(__xludf.DUMMYFUNCTION("""COMPUTED_VALUE"""),0)</f>
        <v>0</v>
      </c>
      <c r="J377" s="165">
        <f ca="1">IFERROR(__xludf.DUMMYFUNCTION("""COMPUTED_VALUE"""),0)</f>
        <v>0</v>
      </c>
      <c r="K377" s="165">
        <f ca="1">IFERROR(__xludf.DUMMYFUNCTION("""COMPUTED_VALUE"""),0)</f>
        <v>0</v>
      </c>
      <c r="L377" s="165">
        <f ca="1">IFERROR(__xludf.DUMMYFUNCTION("""COMPUTED_VALUE"""),0)</f>
        <v>0</v>
      </c>
      <c r="M377" s="165">
        <f ca="1">IFERROR(__xludf.DUMMYFUNCTION("""COMPUTED_VALUE"""),0)</f>
        <v>0</v>
      </c>
      <c r="N377" s="165">
        <f ca="1">IFERROR(__xludf.DUMMYFUNCTION("""COMPUTED_VALUE"""),0)</f>
        <v>0</v>
      </c>
      <c r="O377" s="165">
        <f ca="1">IFERROR(__xludf.DUMMYFUNCTION("""COMPUTED_VALUE"""),0)</f>
        <v>0</v>
      </c>
      <c r="P377" s="165">
        <f ca="1">IFERROR(__xludf.DUMMYFUNCTION("""COMPUTED_VALUE"""),0)</f>
        <v>0</v>
      </c>
      <c r="Q377" s="165">
        <f ca="1">IFERROR(__xludf.DUMMYFUNCTION("""COMPUTED_VALUE"""),0)</f>
        <v>0</v>
      </c>
      <c r="R377" s="165">
        <f ca="1">IFERROR(__xludf.DUMMYFUNCTION("""COMPUTED_VALUE"""),5918.4)</f>
        <v>5918.4</v>
      </c>
      <c r="S377" s="165">
        <f ca="1">IFERROR(__xludf.DUMMYFUNCTION("""COMPUTED_VALUE"""),0)</f>
        <v>0</v>
      </c>
      <c r="T377" s="165">
        <f ca="1">IFERROR(__xludf.DUMMYFUNCTION("""COMPUTED_VALUE"""),0)</f>
        <v>0</v>
      </c>
      <c r="U377" s="165">
        <f ca="1"/>
        <v>5918.4</v>
      </c>
    </row>
    <row r="378" spans="1:21" ht="12.75">
      <c r="A378" s="167" t="str">
        <f ca="1">IFERROR(__xludf.DUMMYFUNCTION("""COMPUTED_VALUE"""),"Porto Nacional")</f>
        <v>Porto Nacional</v>
      </c>
      <c r="B378" s="167" t="str">
        <f ca="1">IFERROR(__xludf.DUMMYFUNCTION("""COMPUTED_VALUE"""),"Porto Nacional")</f>
        <v>Porto Nacional</v>
      </c>
      <c r="C378" s="168" t="str">
        <f ca="1">IFERROR(__xludf.DUMMYFUNCTION("""COMPUTED_VALUE"""),"ASSOC.P.A.DOS EXCEP. DE PORTO NACIONAL")</f>
        <v>ASSOC.P.A.DOS EXCEP. DE PORTO NACIONAL</v>
      </c>
      <c r="D378" s="169" t="str">
        <f ca="1">IFERROR(__xludf.DUMMYFUNCTION("""COMPUTED_VALUE"""),"26752113000137")</f>
        <v>26752113000137</v>
      </c>
      <c r="E378" s="170" t="str">
        <f ca="1">IFERROR(__xludf.DUMMYFUNCTION("""COMPUTED_VALUE"""),"001")</f>
        <v>001</v>
      </c>
      <c r="F378" s="170" t="str">
        <f ca="1">IFERROR(__xludf.DUMMYFUNCTION("""COMPUTED_VALUE"""),"1117")</f>
        <v>1117</v>
      </c>
      <c r="G378" s="170" t="str">
        <f ca="1">IFERROR(__xludf.DUMMYFUNCTION("""COMPUTED_VALUE"""),"86657")</f>
        <v>86657</v>
      </c>
      <c r="H378" s="170">
        <f ca="1">IFERROR(__xludf.DUMMYFUNCTION("""COMPUTED_VALUE"""),0)</f>
        <v>0</v>
      </c>
      <c r="I378" s="170">
        <f ca="1">IFERROR(__xludf.DUMMYFUNCTION("""COMPUTED_VALUE"""),172.8)</f>
        <v>172.8</v>
      </c>
      <c r="J378" s="170">
        <f ca="1">IFERROR(__xludf.DUMMYFUNCTION("""COMPUTED_VALUE"""),140)</f>
        <v>140</v>
      </c>
      <c r="K378" s="170">
        <f ca="1">IFERROR(__xludf.DUMMYFUNCTION("""COMPUTED_VALUE"""),0)</f>
        <v>0</v>
      </c>
      <c r="L378" s="170">
        <f ca="1">IFERROR(__xludf.DUMMYFUNCTION("""COMPUTED_VALUE"""),0)</f>
        <v>0</v>
      </c>
      <c r="M378" s="170">
        <f ca="1">IFERROR(__xludf.DUMMYFUNCTION("""COMPUTED_VALUE"""),0)</f>
        <v>0</v>
      </c>
      <c r="N378" s="170">
        <f ca="1">IFERROR(__xludf.DUMMYFUNCTION("""COMPUTED_VALUE"""),0)</f>
        <v>0</v>
      </c>
      <c r="O378" s="170">
        <f ca="1">IFERROR(__xludf.DUMMYFUNCTION("""COMPUTED_VALUE"""),0)</f>
        <v>0</v>
      </c>
      <c r="P378" s="170">
        <f ca="1">IFERROR(__xludf.DUMMYFUNCTION("""COMPUTED_VALUE"""),231.2)</f>
        <v>231.2</v>
      </c>
      <c r="Q378" s="170">
        <f ca="1">IFERROR(__xludf.DUMMYFUNCTION("""COMPUTED_VALUE"""),0)</f>
        <v>0</v>
      </c>
      <c r="R378" s="170">
        <f ca="1">IFERROR(__xludf.DUMMYFUNCTION("""COMPUTED_VALUE"""),0)</f>
        <v>0</v>
      </c>
      <c r="S378" s="170">
        <f ca="1">IFERROR(__xludf.DUMMYFUNCTION("""COMPUTED_VALUE"""),0)</f>
        <v>0</v>
      </c>
      <c r="T378" s="170">
        <f ca="1">IFERROR(__xludf.DUMMYFUNCTION("""COMPUTED_VALUE"""),672.4)</f>
        <v>672.4</v>
      </c>
      <c r="U378" s="170">
        <f ca="1"/>
        <v>1216.4000000000001</v>
      </c>
    </row>
    <row r="379" spans="1:21" ht="12.75">
      <c r="A379" s="162" t="str">
        <f ca="1">IFERROR(__xludf.DUMMYFUNCTION("""COMPUTED_VALUE"""),"Porto Nacional")</f>
        <v>Porto Nacional</v>
      </c>
      <c r="B379" s="162" t="str">
        <f ca="1">IFERROR(__xludf.DUMMYFUNCTION("""COMPUTED_VALUE"""),"Porto Nacional")</f>
        <v>Porto Nacional</v>
      </c>
      <c r="C379" s="163" t="str">
        <f ca="1">IFERROR(__xludf.DUMMYFUNCTION("""COMPUTED_VALUE"""),"A.A.  ESCOLA ESTADUAL ALFREDO NASSER")</f>
        <v>A.A.  ESCOLA ESTADUAL ALFREDO NASSER</v>
      </c>
      <c r="D379" s="164" t="str">
        <f ca="1">IFERROR(__xludf.DUMMYFUNCTION("""COMPUTED_VALUE"""),"01251862000150")</f>
        <v>01251862000150</v>
      </c>
      <c r="E379" s="165" t="str">
        <f ca="1">IFERROR(__xludf.DUMMYFUNCTION("""COMPUTED_VALUE"""),"104")</f>
        <v>104</v>
      </c>
      <c r="F379" s="165" t="str">
        <f ca="1">IFERROR(__xludf.DUMMYFUNCTION("""COMPUTED_VALUE"""),"1829")</f>
        <v>1829</v>
      </c>
      <c r="G379" s="165" t="str">
        <f ca="1">IFERROR(__xludf.DUMMYFUNCTION("""COMPUTED_VALUE"""),"307410")</f>
        <v>307410</v>
      </c>
      <c r="H379" s="165">
        <f ca="1">IFERROR(__xludf.DUMMYFUNCTION("""COMPUTED_VALUE"""),0)</f>
        <v>0</v>
      </c>
      <c r="I379" s="165">
        <f ca="1">IFERROR(__xludf.DUMMYFUNCTION("""COMPUTED_VALUE"""),0)</f>
        <v>0</v>
      </c>
      <c r="J379" s="165">
        <f ca="1">IFERROR(__xludf.DUMMYFUNCTION("""COMPUTED_VALUE"""),1410)</f>
        <v>1410</v>
      </c>
      <c r="K379" s="165">
        <f ca="1">IFERROR(__xludf.DUMMYFUNCTION("""COMPUTED_VALUE"""),0)</f>
        <v>0</v>
      </c>
      <c r="L379" s="165">
        <f ca="1">IFERROR(__xludf.DUMMYFUNCTION("""COMPUTED_VALUE"""),0)</f>
        <v>0</v>
      </c>
      <c r="M379" s="165">
        <f ca="1">IFERROR(__xludf.DUMMYFUNCTION("""COMPUTED_VALUE"""),0)</f>
        <v>0</v>
      </c>
      <c r="N379" s="165">
        <f ca="1">IFERROR(__xludf.DUMMYFUNCTION("""COMPUTED_VALUE"""),0)</f>
        <v>0</v>
      </c>
      <c r="O379" s="165">
        <f ca="1">IFERROR(__xludf.DUMMYFUNCTION("""COMPUTED_VALUE"""),0)</f>
        <v>0</v>
      </c>
      <c r="P379" s="165">
        <f ca="1">IFERROR(__xludf.DUMMYFUNCTION("""COMPUTED_VALUE"""),108.8)</f>
        <v>108.8</v>
      </c>
      <c r="Q379" s="165">
        <f ca="1">IFERROR(__xludf.DUMMYFUNCTION("""COMPUTED_VALUE"""),470)</f>
        <v>470</v>
      </c>
      <c r="R379" s="165">
        <f ca="1">IFERROR(__xludf.DUMMYFUNCTION("""COMPUTED_VALUE"""),0)</f>
        <v>0</v>
      </c>
      <c r="S379" s="165">
        <f ca="1">IFERROR(__xludf.DUMMYFUNCTION("""COMPUTED_VALUE"""),0)</f>
        <v>0</v>
      </c>
      <c r="T379" s="165">
        <f ca="1">IFERROR(__xludf.DUMMYFUNCTION("""COMPUTED_VALUE"""),0)</f>
        <v>0</v>
      </c>
      <c r="U379" s="165">
        <f ca="1"/>
        <v>1988.8</v>
      </c>
    </row>
    <row r="380" spans="1:21" ht="12.75">
      <c r="A380" s="167" t="str">
        <f ca="1">IFERROR(__xludf.DUMMYFUNCTION("""COMPUTED_VALUE"""),"Porto Nacional")</f>
        <v>Porto Nacional</v>
      </c>
      <c r="B380" s="167" t="str">
        <f ca="1">IFERROR(__xludf.DUMMYFUNCTION("""COMPUTED_VALUE"""),"Porto Nacional")</f>
        <v>Porto Nacional</v>
      </c>
      <c r="C380" s="168" t="str">
        <f ca="1">IFERROR(__xludf.DUMMYFUNCTION("""COMPUTED_VALUE"""),"A.A. ESCOLA ESTADUAL ANA MACEDO MAIA")</f>
        <v>A.A. ESCOLA ESTADUAL ANA MACEDO MAIA</v>
      </c>
      <c r="D380" s="169" t="str">
        <f ca="1">IFERROR(__xludf.DUMMYFUNCTION("""COMPUTED_VALUE"""),"01243662000155")</f>
        <v>01243662000155</v>
      </c>
      <c r="E380" s="170" t="str">
        <f ca="1">IFERROR(__xludf.DUMMYFUNCTION("""COMPUTED_VALUE"""),"104")</f>
        <v>104</v>
      </c>
      <c r="F380" s="170" t="str">
        <f ca="1">IFERROR(__xludf.DUMMYFUNCTION("""COMPUTED_VALUE"""),"1829")</f>
        <v>1829</v>
      </c>
      <c r="G380" s="170" t="str">
        <f ca="1">IFERROR(__xludf.DUMMYFUNCTION("""COMPUTED_VALUE"""),"306015")</f>
        <v>306015</v>
      </c>
      <c r="H380" s="170">
        <f ca="1">IFERROR(__xludf.DUMMYFUNCTION("""COMPUTED_VALUE"""),0)</f>
        <v>0</v>
      </c>
      <c r="I380" s="170">
        <f ca="1">IFERROR(__xludf.DUMMYFUNCTION("""COMPUTED_VALUE"""),0)</f>
        <v>0</v>
      </c>
      <c r="J380" s="170">
        <f ca="1">IFERROR(__xludf.DUMMYFUNCTION("""COMPUTED_VALUE"""),3090)</f>
        <v>3090</v>
      </c>
      <c r="K380" s="170">
        <f ca="1">IFERROR(__xludf.DUMMYFUNCTION("""COMPUTED_VALUE"""),0)</f>
        <v>0</v>
      </c>
      <c r="L380" s="170">
        <f ca="1">IFERROR(__xludf.DUMMYFUNCTION("""COMPUTED_VALUE"""),0)</f>
        <v>0</v>
      </c>
      <c r="M380" s="170">
        <f ca="1">IFERROR(__xludf.DUMMYFUNCTION("""COMPUTED_VALUE"""),0)</f>
        <v>0</v>
      </c>
      <c r="N380" s="170">
        <f ca="1">IFERROR(__xludf.DUMMYFUNCTION("""COMPUTED_VALUE"""),0)</f>
        <v>0</v>
      </c>
      <c r="O380" s="170">
        <f ca="1">IFERROR(__xludf.DUMMYFUNCTION("""COMPUTED_VALUE"""),0)</f>
        <v>0</v>
      </c>
      <c r="P380" s="170">
        <f ca="1">IFERROR(__xludf.DUMMYFUNCTION("""COMPUTED_VALUE"""),0)</f>
        <v>0</v>
      </c>
      <c r="Q380" s="170">
        <f ca="1">IFERROR(__xludf.DUMMYFUNCTION("""COMPUTED_VALUE"""),0)</f>
        <v>0</v>
      </c>
      <c r="R380" s="170">
        <f ca="1">IFERROR(__xludf.DUMMYFUNCTION("""COMPUTED_VALUE"""),0)</f>
        <v>0</v>
      </c>
      <c r="S380" s="170">
        <f ca="1">IFERROR(__xludf.DUMMYFUNCTION("""COMPUTED_VALUE"""),0)</f>
        <v>0</v>
      </c>
      <c r="T380" s="170">
        <f ca="1">IFERROR(__xludf.DUMMYFUNCTION("""COMPUTED_VALUE"""),0)</f>
        <v>0</v>
      </c>
      <c r="U380" s="170">
        <f ca="1"/>
        <v>3090</v>
      </c>
    </row>
    <row r="381" spans="1:21" ht="12.75">
      <c r="A381" s="162" t="str">
        <f ca="1">IFERROR(__xludf.DUMMYFUNCTION("""COMPUTED_VALUE"""),"Porto Nacional")</f>
        <v>Porto Nacional</v>
      </c>
      <c r="B381" s="162" t="str">
        <f ca="1">IFERROR(__xludf.DUMMYFUNCTION("""COMPUTED_VALUE"""),"Porto Nacional")</f>
        <v>Porto Nacional</v>
      </c>
      <c r="C381" s="163" t="str">
        <f ca="1">IFERROR(__xludf.DUMMYFUNCTION("""COMPUTED_VALUE"""),"A. ESCOLAR COMUN. DA ESC. CONV. BRASIL")</f>
        <v>A. ESCOLAR COMUN. DA ESC. CONV. BRASIL</v>
      </c>
      <c r="D381" s="164" t="str">
        <f ca="1">IFERROR(__xludf.DUMMYFUNCTION("""COMPUTED_VALUE"""),"01112471000154")</f>
        <v>01112471000154</v>
      </c>
      <c r="E381" s="165" t="str">
        <f ca="1">IFERROR(__xludf.DUMMYFUNCTION("""COMPUTED_VALUE"""),"104")</f>
        <v>104</v>
      </c>
      <c r="F381" s="165" t="str">
        <f ca="1">IFERROR(__xludf.DUMMYFUNCTION("""COMPUTED_VALUE"""),"1829")</f>
        <v>1829</v>
      </c>
      <c r="G381" s="165" t="str">
        <f ca="1">IFERROR(__xludf.DUMMYFUNCTION("""COMPUTED_VALUE"""),"307402")</f>
        <v>307402</v>
      </c>
      <c r="H381" s="165">
        <f ca="1">IFERROR(__xludf.DUMMYFUNCTION("""COMPUTED_VALUE"""),0)</f>
        <v>0</v>
      </c>
      <c r="I381" s="165">
        <f ca="1">IFERROR(__xludf.DUMMYFUNCTION("""COMPUTED_VALUE"""),0)</f>
        <v>0</v>
      </c>
      <c r="J381" s="165">
        <f ca="1">IFERROR(__xludf.DUMMYFUNCTION("""COMPUTED_VALUE"""),860)</f>
        <v>860</v>
      </c>
      <c r="K381" s="165">
        <f ca="1">IFERROR(__xludf.DUMMYFUNCTION("""COMPUTED_VALUE"""),0)</f>
        <v>0</v>
      </c>
      <c r="L381" s="165">
        <f ca="1">IFERROR(__xludf.DUMMYFUNCTION("""COMPUTED_VALUE"""),0)</f>
        <v>0</v>
      </c>
      <c r="M381" s="165">
        <f ca="1">IFERROR(__xludf.DUMMYFUNCTION("""COMPUTED_VALUE"""),0)</f>
        <v>0</v>
      </c>
      <c r="N381" s="165">
        <f ca="1">IFERROR(__xludf.DUMMYFUNCTION("""COMPUTED_VALUE"""),0)</f>
        <v>0</v>
      </c>
      <c r="O381" s="165">
        <f ca="1">IFERROR(__xludf.DUMMYFUNCTION("""COMPUTED_VALUE"""),0)</f>
        <v>0</v>
      </c>
      <c r="P381" s="165">
        <f ca="1">IFERROR(__xludf.DUMMYFUNCTION("""COMPUTED_VALUE"""),0)</f>
        <v>0</v>
      </c>
      <c r="Q381" s="165">
        <f ca="1">IFERROR(__xludf.DUMMYFUNCTION("""COMPUTED_VALUE"""),520)</f>
        <v>520</v>
      </c>
      <c r="R381" s="165">
        <f ca="1">IFERROR(__xludf.DUMMYFUNCTION("""COMPUTED_VALUE"""),0)</f>
        <v>0</v>
      </c>
      <c r="S381" s="165">
        <f ca="1">IFERROR(__xludf.DUMMYFUNCTION("""COMPUTED_VALUE"""),0)</f>
        <v>0</v>
      </c>
      <c r="T381" s="165">
        <f ca="1">IFERROR(__xludf.DUMMYFUNCTION("""COMPUTED_VALUE"""),0)</f>
        <v>0</v>
      </c>
      <c r="U381" s="165">
        <f ca="1"/>
        <v>1380</v>
      </c>
    </row>
    <row r="382" spans="1:21" ht="12.75">
      <c r="A382" s="167" t="str">
        <f ca="1">IFERROR(__xludf.DUMMYFUNCTION("""COMPUTED_VALUE"""),"Porto Nacional")</f>
        <v>Porto Nacional</v>
      </c>
      <c r="B382" s="167" t="str">
        <f ca="1">IFERROR(__xludf.DUMMYFUNCTION("""COMPUTED_VALUE"""),"Porto Nacional")</f>
        <v>Porto Nacional</v>
      </c>
      <c r="C382" s="168" t="str">
        <f ca="1">IFERROR(__xludf.DUMMYFUNCTION("""COMPUTED_VALUE"""),"A.A.  ESCOLA ESTADUAL CUSTÓDIA DA SILVA PEDREIRA")</f>
        <v>A.A.  ESCOLA ESTADUAL CUSTÓDIA DA SILVA PEDREIRA</v>
      </c>
      <c r="D382" s="169" t="str">
        <f ca="1">IFERROR(__xludf.DUMMYFUNCTION("""COMPUTED_VALUE"""),"01192932000146")</f>
        <v>01192932000146</v>
      </c>
      <c r="E382" s="170" t="str">
        <f ca="1">IFERROR(__xludf.DUMMYFUNCTION("""COMPUTED_VALUE"""),"001")</f>
        <v>001</v>
      </c>
      <c r="F382" s="170" t="str">
        <f ca="1">IFERROR(__xludf.DUMMYFUNCTION("""COMPUTED_VALUE"""),"1117")</f>
        <v>1117</v>
      </c>
      <c r="G382" s="170" t="str">
        <f ca="1">IFERROR(__xludf.DUMMYFUNCTION("""COMPUTED_VALUE"""),"314080")</f>
        <v>314080</v>
      </c>
      <c r="H382" s="170">
        <f ca="1">IFERROR(__xludf.DUMMYFUNCTION("""COMPUTED_VALUE"""),0)</f>
        <v>0</v>
      </c>
      <c r="I382" s="170">
        <f ca="1">IFERROR(__xludf.DUMMYFUNCTION("""COMPUTED_VALUE"""),0)</f>
        <v>0</v>
      </c>
      <c r="J382" s="170">
        <f ca="1">IFERROR(__xludf.DUMMYFUNCTION("""COMPUTED_VALUE"""),4460)</f>
        <v>4460</v>
      </c>
      <c r="K382" s="170">
        <f ca="1">IFERROR(__xludf.DUMMYFUNCTION("""COMPUTED_VALUE"""),0)</f>
        <v>0</v>
      </c>
      <c r="L382" s="170">
        <f ca="1">IFERROR(__xludf.DUMMYFUNCTION("""COMPUTED_VALUE"""),0)</f>
        <v>0</v>
      </c>
      <c r="M382" s="170">
        <f ca="1">IFERROR(__xludf.DUMMYFUNCTION("""COMPUTED_VALUE"""),0)</f>
        <v>0</v>
      </c>
      <c r="N382" s="170">
        <f ca="1">IFERROR(__xludf.DUMMYFUNCTION("""COMPUTED_VALUE"""),0)</f>
        <v>0</v>
      </c>
      <c r="O382" s="170">
        <f ca="1">IFERROR(__xludf.DUMMYFUNCTION("""COMPUTED_VALUE"""),0)</f>
        <v>0</v>
      </c>
      <c r="P382" s="170">
        <f ca="1">IFERROR(__xludf.DUMMYFUNCTION("""COMPUTED_VALUE"""),0)</f>
        <v>0</v>
      </c>
      <c r="Q382" s="170">
        <f ca="1">IFERROR(__xludf.DUMMYFUNCTION("""COMPUTED_VALUE"""),3230)</f>
        <v>3230</v>
      </c>
      <c r="R382" s="170">
        <f ca="1">IFERROR(__xludf.DUMMYFUNCTION("""COMPUTED_VALUE"""),0)</f>
        <v>0</v>
      </c>
      <c r="S382" s="170">
        <f ca="1">IFERROR(__xludf.DUMMYFUNCTION("""COMPUTED_VALUE"""),0)</f>
        <v>0</v>
      </c>
      <c r="T382" s="170">
        <f ca="1">IFERROR(__xludf.DUMMYFUNCTION("""COMPUTED_VALUE"""),0)</f>
        <v>0</v>
      </c>
      <c r="U382" s="170">
        <f ca="1"/>
        <v>7690</v>
      </c>
    </row>
    <row r="383" spans="1:21" ht="12.75">
      <c r="A383" s="162" t="str">
        <f ca="1">IFERROR(__xludf.DUMMYFUNCTION("""COMPUTED_VALUE"""),"Porto Nacional")</f>
        <v>Porto Nacional</v>
      </c>
      <c r="B383" s="162" t="str">
        <f ca="1">IFERROR(__xludf.DUMMYFUNCTION("""COMPUTED_VALUE"""),"Porto Nacional")</f>
        <v>Porto Nacional</v>
      </c>
      <c r="C383" s="163" t="str">
        <f ca="1">IFERROR(__xludf.DUMMYFUNCTION("""COMPUTED_VALUE"""),"A. ESC. COM./ESC. EST. D.DOMINGOS CARREROT")</f>
        <v>A. ESC. COM./ESC. EST. D.DOMINGOS CARREROT</v>
      </c>
      <c r="D383" s="164" t="str">
        <f ca="1">IFERROR(__xludf.DUMMYFUNCTION("""COMPUTED_VALUE"""),"00900197000115")</f>
        <v>00900197000115</v>
      </c>
      <c r="E383" s="165" t="str">
        <f ca="1">IFERROR(__xludf.DUMMYFUNCTION("""COMPUTED_VALUE"""),"104")</f>
        <v>104</v>
      </c>
      <c r="F383" s="165" t="str">
        <f ca="1">IFERROR(__xludf.DUMMYFUNCTION("""COMPUTED_VALUE"""),"1829")</f>
        <v>1829</v>
      </c>
      <c r="G383" s="165" t="str">
        <f ca="1">IFERROR(__xludf.DUMMYFUNCTION("""COMPUTED_VALUE"""),"305914")</f>
        <v>305914</v>
      </c>
      <c r="H383" s="165">
        <f ca="1">IFERROR(__xludf.DUMMYFUNCTION("""COMPUTED_VALUE"""),0)</f>
        <v>0</v>
      </c>
      <c r="I383" s="165">
        <f ca="1">IFERROR(__xludf.DUMMYFUNCTION("""COMPUTED_VALUE"""),0)</f>
        <v>0</v>
      </c>
      <c r="J383" s="165">
        <f ca="1">IFERROR(__xludf.DUMMYFUNCTION("""COMPUTED_VALUE"""),3540)</f>
        <v>3540</v>
      </c>
      <c r="K383" s="165">
        <f ca="1">IFERROR(__xludf.DUMMYFUNCTION("""COMPUTED_VALUE"""),0)</f>
        <v>0</v>
      </c>
      <c r="L383" s="165">
        <f ca="1">IFERROR(__xludf.DUMMYFUNCTION("""COMPUTED_VALUE"""),0)</f>
        <v>0</v>
      </c>
      <c r="M383" s="165">
        <f ca="1">IFERROR(__xludf.DUMMYFUNCTION("""COMPUTED_VALUE"""),0)</f>
        <v>0</v>
      </c>
      <c r="N383" s="165">
        <f ca="1">IFERROR(__xludf.DUMMYFUNCTION("""COMPUTED_VALUE"""),0)</f>
        <v>0</v>
      </c>
      <c r="O383" s="165">
        <f ca="1">IFERROR(__xludf.DUMMYFUNCTION("""COMPUTED_VALUE"""),0)</f>
        <v>0</v>
      </c>
      <c r="P383" s="165">
        <f ca="1">IFERROR(__xludf.DUMMYFUNCTION("""COMPUTED_VALUE"""),217.6)</f>
        <v>217.6</v>
      </c>
      <c r="Q383" s="165">
        <f ca="1">IFERROR(__xludf.DUMMYFUNCTION("""COMPUTED_VALUE"""),0)</f>
        <v>0</v>
      </c>
      <c r="R383" s="165">
        <f ca="1">IFERROR(__xludf.DUMMYFUNCTION("""COMPUTED_VALUE"""),0)</f>
        <v>0</v>
      </c>
      <c r="S383" s="165">
        <f ca="1">IFERROR(__xludf.DUMMYFUNCTION("""COMPUTED_VALUE"""),0)</f>
        <v>0</v>
      </c>
      <c r="T383" s="165">
        <f ca="1">IFERROR(__xludf.DUMMYFUNCTION("""COMPUTED_VALUE"""),0)</f>
        <v>0</v>
      </c>
      <c r="U383" s="165">
        <f ca="1"/>
        <v>3757.6</v>
      </c>
    </row>
    <row r="384" spans="1:21" ht="12.75">
      <c r="A384" s="167" t="str">
        <f ca="1">IFERROR(__xludf.DUMMYFUNCTION("""COMPUTED_VALUE"""),"Porto Nacional")</f>
        <v>Porto Nacional</v>
      </c>
      <c r="B384" s="167" t="str">
        <f ca="1">IFERROR(__xludf.DUMMYFUNCTION("""COMPUTED_VALUE"""),"Porto Nacional")</f>
        <v>Porto Nacional</v>
      </c>
      <c r="C384" s="168" t="str">
        <f ca="1">IFERROR(__xludf.DUMMYFUNCTION("""COMPUTED_VALUE"""),"A.A.  A ESCOLA D. PEDRO II")</f>
        <v>A.A.  A ESCOLA D. PEDRO II</v>
      </c>
      <c r="D384" s="169" t="str">
        <f ca="1">IFERROR(__xludf.DUMMYFUNCTION("""COMPUTED_VALUE"""),"01133697000131")</f>
        <v>01133697000131</v>
      </c>
      <c r="E384" s="170" t="str">
        <f ca="1">IFERROR(__xludf.DUMMYFUNCTION("""COMPUTED_VALUE"""),"001")</f>
        <v>001</v>
      </c>
      <c r="F384" s="170" t="str">
        <f ca="1">IFERROR(__xludf.DUMMYFUNCTION("""COMPUTED_VALUE"""),"1117")</f>
        <v>1117</v>
      </c>
      <c r="G384" s="170" t="str">
        <f ca="1">IFERROR(__xludf.DUMMYFUNCTION("""COMPUTED_VALUE"""),"0313092")</f>
        <v>0313092</v>
      </c>
      <c r="H384" s="170">
        <f ca="1">IFERROR(__xludf.DUMMYFUNCTION("""COMPUTED_VALUE"""),0)</f>
        <v>0</v>
      </c>
      <c r="I384" s="170">
        <f ca="1">IFERROR(__xludf.DUMMYFUNCTION("""COMPUTED_VALUE"""),0)</f>
        <v>0</v>
      </c>
      <c r="J384" s="170">
        <f ca="1">IFERROR(__xludf.DUMMYFUNCTION("""COMPUTED_VALUE"""),0)</f>
        <v>0</v>
      </c>
      <c r="K384" s="170">
        <f ca="1">IFERROR(__xludf.DUMMYFUNCTION("""COMPUTED_VALUE"""),3781.2)</f>
        <v>3781.2</v>
      </c>
      <c r="L384" s="170">
        <f ca="1">IFERROR(__xludf.DUMMYFUNCTION("""COMPUTED_VALUE"""),0)</f>
        <v>0</v>
      </c>
      <c r="M384" s="170">
        <f ca="1">IFERROR(__xludf.DUMMYFUNCTION("""COMPUTED_VALUE"""),0)</f>
        <v>0</v>
      </c>
      <c r="N384" s="170">
        <f ca="1">IFERROR(__xludf.DUMMYFUNCTION("""COMPUTED_VALUE"""),0)</f>
        <v>0</v>
      </c>
      <c r="O384" s="170">
        <f ca="1">IFERROR(__xludf.DUMMYFUNCTION("""COMPUTED_VALUE"""),0)</f>
        <v>0</v>
      </c>
      <c r="P384" s="170">
        <f ca="1">IFERROR(__xludf.DUMMYFUNCTION("""COMPUTED_VALUE"""),217.6)</f>
        <v>217.6</v>
      </c>
      <c r="Q384" s="170">
        <f ca="1">IFERROR(__xludf.DUMMYFUNCTION("""COMPUTED_VALUE"""),0)</f>
        <v>0</v>
      </c>
      <c r="R384" s="170">
        <f ca="1">IFERROR(__xludf.DUMMYFUNCTION("""COMPUTED_VALUE"""),0)</f>
        <v>0</v>
      </c>
      <c r="S384" s="170">
        <f ca="1">IFERROR(__xludf.DUMMYFUNCTION("""COMPUTED_VALUE"""),0)</f>
        <v>0</v>
      </c>
      <c r="T384" s="170">
        <f ca="1">IFERROR(__xludf.DUMMYFUNCTION("""COMPUTED_VALUE"""),0)</f>
        <v>0</v>
      </c>
      <c r="U384" s="170">
        <f ca="1"/>
        <v>3998.7999999999997</v>
      </c>
    </row>
    <row r="385" spans="1:21" ht="12.75">
      <c r="A385" s="162" t="str">
        <f ca="1">IFERROR(__xludf.DUMMYFUNCTION("""COMPUTED_VALUE"""),"Porto Nacional")</f>
        <v>Porto Nacional</v>
      </c>
      <c r="B385" s="162" t="str">
        <f ca="1">IFERROR(__xludf.DUMMYFUNCTION("""COMPUTED_VALUE"""),"Porto Nacional")</f>
        <v>Porto Nacional</v>
      </c>
      <c r="C385" s="163" t="str">
        <f ca="1">IFERROR(__xludf.DUMMYFUNCTION("""COMPUTED_VALUE"""),"A.A. ESCOLA ESTADUAL IRMA ASPASIA")</f>
        <v>A.A. ESCOLA ESTADUAL IRMA ASPASIA</v>
      </c>
      <c r="D385" s="164" t="str">
        <f ca="1">IFERROR(__xludf.DUMMYFUNCTION("""COMPUTED_VALUE"""),"01136022000146")</f>
        <v>01136022000146</v>
      </c>
      <c r="E385" s="165" t="str">
        <f ca="1">IFERROR(__xludf.DUMMYFUNCTION("""COMPUTED_VALUE"""),"104")</f>
        <v>104</v>
      </c>
      <c r="F385" s="165" t="str">
        <f ca="1">IFERROR(__xludf.DUMMYFUNCTION("""COMPUTED_VALUE"""),"1829")</f>
        <v>1829</v>
      </c>
      <c r="G385" s="165" t="str">
        <f ca="1">IFERROR(__xludf.DUMMYFUNCTION("""COMPUTED_VALUE"""),"307453")</f>
        <v>307453</v>
      </c>
      <c r="H385" s="165">
        <f ca="1">IFERROR(__xludf.DUMMYFUNCTION("""COMPUTED_VALUE"""),0)</f>
        <v>0</v>
      </c>
      <c r="I385" s="165">
        <f ca="1">IFERROR(__xludf.DUMMYFUNCTION("""COMPUTED_VALUE"""),0)</f>
        <v>0</v>
      </c>
      <c r="J385" s="165">
        <f ca="1">IFERROR(__xludf.DUMMYFUNCTION("""COMPUTED_VALUE"""),1360)</f>
        <v>1360</v>
      </c>
      <c r="K385" s="165">
        <f ca="1">IFERROR(__xludf.DUMMYFUNCTION("""COMPUTED_VALUE"""),0)</f>
        <v>0</v>
      </c>
      <c r="L385" s="165">
        <f ca="1">IFERROR(__xludf.DUMMYFUNCTION("""COMPUTED_VALUE"""),0)</f>
        <v>0</v>
      </c>
      <c r="M385" s="165">
        <f ca="1">IFERROR(__xludf.DUMMYFUNCTION("""COMPUTED_VALUE"""),0)</f>
        <v>0</v>
      </c>
      <c r="N385" s="165">
        <f ca="1">IFERROR(__xludf.DUMMYFUNCTION("""COMPUTED_VALUE"""),0)</f>
        <v>0</v>
      </c>
      <c r="O385" s="165">
        <f ca="1">IFERROR(__xludf.DUMMYFUNCTION("""COMPUTED_VALUE"""),0)</f>
        <v>0</v>
      </c>
      <c r="P385" s="165">
        <f ca="1">IFERROR(__xludf.DUMMYFUNCTION("""COMPUTED_VALUE"""),204)</f>
        <v>204</v>
      </c>
      <c r="Q385" s="165">
        <f ca="1">IFERROR(__xludf.DUMMYFUNCTION("""COMPUTED_VALUE"""),2100)</f>
        <v>2100</v>
      </c>
      <c r="R385" s="165">
        <f ca="1">IFERROR(__xludf.DUMMYFUNCTION("""COMPUTED_VALUE"""),0)</f>
        <v>0</v>
      </c>
      <c r="S385" s="165">
        <f ca="1">IFERROR(__xludf.DUMMYFUNCTION("""COMPUTED_VALUE"""),0)</f>
        <v>0</v>
      </c>
      <c r="T385" s="165">
        <f ca="1">IFERROR(__xludf.DUMMYFUNCTION("""COMPUTED_VALUE"""),0)</f>
        <v>0</v>
      </c>
      <c r="U385" s="165">
        <f ca="1"/>
        <v>3664</v>
      </c>
    </row>
    <row r="386" spans="1:21" ht="12.75">
      <c r="A386" s="167" t="str">
        <f ca="1">IFERROR(__xludf.DUMMYFUNCTION("""COMPUTED_VALUE"""),"Porto Nacional")</f>
        <v>Porto Nacional</v>
      </c>
      <c r="B386" s="167" t="str">
        <f ca="1">IFERROR(__xludf.DUMMYFUNCTION("""COMPUTED_VALUE"""),"Porto Nacional")</f>
        <v>Porto Nacional</v>
      </c>
      <c r="C386" s="168" t="str">
        <f ca="1">IFERROR(__xludf.DUMMYFUNCTION("""COMPUTED_VALUE"""),"A.A. DA ESC. EST. ALCIDES RODRIGUES AIRES")</f>
        <v>A.A. DA ESC. EST. ALCIDES RODRIGUES AIRES</v>
      </c>
      <c r="D386" s="169" t="str">
        <f ca="1">IFERROR(__xludf.DUMMYFUNCTION("""COMPUTED_VALUE"""),"03495455000113")</f>
        <v>03495455000113</v>
      </c>
      <c r="E386" s="170" t="str">
        <f ca="1">IFERROR(__xludf.DUMMYFUNCTION("""COMPUTED_VALUE"""),"001")</f>
        <v>001</v>
      </c>
      <c r="F386" s="170" t="str">
        <f ca="1">IFERROR(__xludf.DUMMYFUNCTION("""COMPUTED_VALUE"""),"1117")</f>
        <v>1117</v>
      </c>
      <c r="G386" s="170" t="str">
        <f ca="1">IFERROR(__xludf.DUMMYFUNCTION("""COMPUTED_VALUE"""),"77143")</f>
        <v>77143</v>
      </c>
      <c r="H386" s="170">
        <f ca="1">IFERROR(__xludf.DUMMYFUNCTION("""COMPUTED_VALUE"""),0)</f>
        <v>0</v>
      </c>
      <c r="I386" s="170">
        <f ca="1">IFERROR(__xludf.DUMMYFUNCTION("""COMPUTED_VALUE"""),0)</f>
        <v>0</v>
      </c>
      <c r="J386" s="170">
        <f ca="1">IFERROR(__xludf.DUMMYFUNCTION("""COMPUTED_VALUE"""),3690)</f>
        <v>3690</v>
      </c>
      <c r="K386" s="170">
        <f ca="1">IFERROR(__xludf.DUMMYFUNCTION("""COMPUTED_VALUE"""),0)</f>
        <v>0</v>
      </c>
      <c r="L386" s="170">
        <f ca="1">IFERROR(__xludf.DUMMYFUNCTION("""COMPUTED_VALUE"""),0)</f>
        <v>0</v>
      </c>
      <c r="M386" s="170">
        <f ca="1">IFERROR(__xludf.DUMMYFUNCTION("""COMPUTED_VALUE"""),0)</f>
        <v>0</v>
      </c>
      <c r="N386" s="170">
        <f ca="1">IFERROR(__xludf.DUMMYFUNCTION("""COMPUTED_VALUE"""),0)</f>
        <v>0</v>
      </c>
      <c r="O386" s="170">
        <f ca="1">IFERROR(__xludf.DUMMYFUNCTION("""COMPUTED_VALUE"""),0)</f>
        <v>0</v>
      </c>
      <c r="P386" s="170">
        <f ca="1">IFERROR(__xludf.DUMMYFUNCTION("""COMPUTED_VALUE"""),312.8)</f>
        <v>312.8</v>
      </c>
      <c r="Q386" s="170">
        <f ca="1">IFERROR(__xludf.DUMMYFUNCTION("""COMPUTED_VALUE"""),0)</f>
        <v>0</v>
      </c>
      <c r="R386" s="170">
        <f ca="1">IFERROR(__xludf.DUMMYFUNCTION("""COMPUTED_VALUE"""),0)</f>
        <v>0</v>
      </c>
      <c r="S386" s="170">
        <f ca="1">IFERROR(__xludf.DUMMYFUNCTION("""COMPUTED_VALUE"""),0)</f>
        <v>0</v>
      </c>
      <c r="T386" s="170">
        <f ca="1">IFERROR(__xludf.DUMMYFUNCTION("""COMPUTED_VALUE"""),360.799999999999)</f>
        <v>360.79999999999899</v>
      </c>
      <c r="U386" s="170">
        <f ca="1"/>
        <v>4363.5999999999995</v>
      </c>
    </row>
    <row r="387" spans="1:21" ht="12.75">
      <c r="A387" s="162" t="str">
        <f ca="1">IFERROR(__xludf.DUMMYFUNCTION("""COMPUTED_VALUE"""),"Porto Nacional")</f>
        <v>Porto Nacional</v>
      </c>
      <c r="B387" s="162" t="str">
        <f ca="1">IFERROR(__xludf.DUMMYFUNCTION("""COMPUTED_VALUE"""),"Porto Nacional")</f>
        <v>Porto Nacional</v>
      </c>
      <c r="C387" s="163" t="str">
        <f ca="1">IFERROR(__xludf.DUMMYFUNCTION("""COMPUTED_VALUE"""),"A.A. E. E. PROFA. CARMENIA MATOS MAIA")</f>
        <v>A.A. E. E. PROFA. CARMENIA MATOS MAIA</v>
      </c>
      <c r="D387" s="164" t="str">
        <f ca="1">IFERROR(__xludf.DUMMYFUNCTION("""COMPUTED_VALUE"""),"01118897000115")</f>
        <v>01118897000115</v>
      </c>
      <c r="E387" s="165" t="str">
        <f ca="1">IFERROR(__xludf.DUMMYFUNCTION("""COMPUTED_VALUE"""),"104")</f>
        <v>104</v>
      </c>
      <c r="F387" s="165" t="str">
        <f ca="1">IFERROR(__xludf.DUMMYFUNCTION("""COMPUTED_VALUE"""),"1829")</f>
        <v>1829</v>
      </c>
      <c r="G387" s="165" t="str">
        <f ca="1">IFERROR(__xludf.DUMMYFUNCTION("""COMPUTED_VALUE"""),"307399")</f>
        <v>307399</v>
      </c>
      <c r="H387" s="165">
        <f ca="1">IFERROR(__xludf.DUMMYFUNCTION("""COMPUTED_VALUE"""),0)</f>
        <v>0</v>
      </c>
      <c r="I387" s="165">
        <f ca="1">IFERROR(__xludf.DUMMYFUNCTION("""COMPUTED_VALUE"""),0)</f>
        <v>0</v>
      </c>
      <c r="J387" s="165">
        <f ca="1">IFERROR(__xludf.DUMMYFUNCTION("""COMPUTED_VALUE"""),4460)</f>
        <v>4460</v>
      </c>
      <c r="K387" s="165">
        <f ca="1">IFERROR(__xludf.DUMMYFUNCTION("""COMPUTED_VALUE"""),0)</f>
        <v>0</v>
      </c>
      <c r="L387" s="165">
        <f ca="1">IFERROR(__xludf.DUMMYFUNCTION("""COMPUTED_VALUE"""),0)</f>
        <v>0</v>
      </c>
      <c r="M387" s="165">
        <f ca="1">IFERROR(__xludf.DUMMYFUNCTION("""COMPUTED_VALUE"""),0)</f>
        <v>0</v>
      </c>
      <c r="N387" s="165">
        <f ca="1">IFERROR(__xludf.DUMMYFUNCTION("""COMPUTED_VALUE"""),0)</f>
        <v>0</v>
      </c>
      <c r="O387" s="165">
        <f ca="1">IFERROR(__xludf.DUMMYFUNCTION("""COMPUTED_VALUE"""),0)</f>
        <v>0</v>
      </c>
      <c r="P387" s="165">
        <f ca="1">IFERROR(__xludf.DUMMYFUNCTION("""COMPUTED_VALUE"""),408)</f>
        <v>408</v>
      </c>
      <c r="Q387" s="165">
        <f ca="1">IFERROR(__xludf.DUMMYFUNCTION("""COMPUTED_VALUE"""),1740)</f>
        <v>1740</v>
      </c>
      <c r="R387" s="165">
        <f ca="1">IFERROR(__xludf.DUMMYFUNCTION("""COMPUTED_VALUE"""),0)</f>
        <v>0</v>
      </c>
      <c r="S387" s="165">
        <f ca="1">IFERROR(__xludf.DUMMYFUNCTION("""COMPUTED_VALUE"""),0)</f>
        <v>0</v>
      </c>
      <c r="T387" s="165">
        <f ca="1">IFERROR(__xludf.DUMMYFUNCTION("""COMPUTED_VALUE"""),0)</f>
        <v>0</v>
      </c>
      <c r="U387" s="165">
        <f ca="1"/>
        <v>6608</v>
      </c>
    </row>
    <row r="388" spans="1:21" ht="12.75">
      <c r="A388" s="167" t="str">
        <f ca="1">IFERROR(__xludf.DUMMYFUNCTION("""COMPUTED_VALUE"""),"Porto Nacional")</f>
        <v>Porto Nacional</v>
      </c>
      <c r="B388" s="167" t="str">
        <f ca="1">IFERROR(__xludf.DUMMYFUNCTION("""COMPUTED_VALUE"""),"Santa Rita do Tocantins")</f>
        <v>Santa Rita do Tocantins</v>
      </c>
      <c r="C388" s="168" t="str">
        <f ca="1">IFERROR(__xludf.DUMMYFUNCTION("""COMPUTED_VALUE"""),"ASS. COM.DE AP.ESC. EST. DE 1 GRAU BOA NOVA")</f>
        <v>ASS. COM.DE AP.ESC. EST. DE 1 GRAU BOA NOVA</v>
      </c>
      <c r="D388" s="169" t="str">
        <f ca="1">IFERROR(__xludf.DUMMYFUNCTION("""COMPUTED_VALUE"""),"01856561000150")</f>
        <v>01856561000150</v>
      </c>
      <c r="E388" s="170" t="str">
        <f ca="1">IFERROR(__xludf.DUMMYFUNCTION("""COMPUTED_VALUE"""),"001")</f>
        <v>001</v>
      </c>
      <c r="F388" s="170" t="str">
        <f ca="1">IFERROR(__xludf.DUMMYFUNCTION("""COMPUTED_VALUE"""),"4107")</f>
        <v>4107</v>
      </c>
      <c r="G388" s="170" t="str">
        <f ca="1">IFERROR(__xludf.DUMMYFUNCTION("""COMPUTED_VALUE"""),"320722")</f>
        <v>320722</v>
      </c>
      <c r="H388" s="170">
        <f ca="1">IFERROR(__xludf.DUMMYFUNCTION("""COMPUTED_VALUE"""),0)</f>
        <v>0</v>
      </c>
      <c r="I388" s="170">
        <f ca="1">IFERROR(__xludf.DUMMYFUNCTION("""COMPUTED_VALUE"""),0)</f>
        <v>0</v>
      </c>
      <c r="J388" s="170">
        <f ca="1">IFERROR(__xludf.DUMMYFUNCTION("""COMPUTED_VALUE"""),850)</f>
        <v>850</v>
      </c>
      <c r="K388" s="170">
        <f ca="1">IFERROR(__xludf.DUMMYFUNCTION("""COMPUTED_VALUE"""),0)</f>
        <v>0</v>
      </c>
      <c r="L388" s="170">
        <f ca="1">IFERROR(__xludf.DUMMYFUNCTION("""COMPUTED_VALUE"""),0)</f>
        <v>0</v>
      </c>
      <c r="M388" s="170">
        <f ca="1">IFERROR(__xludf.DUMMYFUNCTION("""COMPUTED_VALUE"""),0)</f>
        <v>0</v>
      </c>
      <c r="N388" s="170">
        <f ca="1">IFERROR(__xludf.DUMMYFUNCTION("""COMPUTED_VALUE"""),0)</f>
        <v>0</v>
      </c>
      <c r="O388" s="170">
        <f ca="1">IFERROR(__xludf.DUMMYFUNCTION("""COMPUTED_VALUE"""),0)</f>
        <v>0</v>
      </c>
      <c r="P388" s="170">
        <f ca="1">IFERROR(__xludf.DUMMYFUNCTION("""COMPUTED_VALUE"""),0)</f>
        <v>0</v>
      </c>
      <c r="Q388" s="170">
        <f ca="1">IFERROR(__xludf.DUMMYFUNCTION("""COMPUTED_VALUE"""),870)</f>
        <v>870</v>
      </c>
      <c r="R388" s="170">
        <f ca="1">IFERROR(__xludf.DUMMYFUNCTION("""COMPUTED_VALUE"""),0)</f>
        <v>0</v>
      </c>
      <c r="S388" s="170">
        <f ca="1">IFERROR(__xludf.DUMMYFUNCTION("""COMPUTED_VALUE"""),0)</f>
        <v>0</v>
      </c>
      <c r="T388" s="170">
        <f ca="1">IFERROR(__xludf.DUMMYFUNCTION("""COMPUTED_VALUE"""),0)</f>
        <v>0</v>
      </c>
      <c r="U388" s="170">
        <f ca="1"/>
        <v>1720</v>
      </c>
    </row>
    <row r="389" spans="1:21" ht="12.75">
      <c r="A389" s="162" t="str">
        <f ca="1">IFERROR(__xludf.DUMMYFUNCTION("""COMPUTED_VALUE"""),"Porto Nacional")</f>
        <v>Porto Nacional</v>
      </c>
      <c r="B389" s="162" t="str">
        <f ca="1">IFERROR(__xludf.DUMMYFUNCTION("""COMPUTED_VALUE"""),"Santa Rosa do Tocantins")</f>
        <v>Santa Rosa do Tocantins</v>
      </c>
      <c r="C389" s="163" t="str">
        <f ca="1">IFERROR(__xludf.DUMMYFUNCTION("""COMPUTED_VALUE"""),"A.A. E. E.PROF.ZACHARIAS NUNES DA SILVEIRA")</f>
        <v>A.A. E. E.PROF.ZACHARIAS NUNES DA SILVEIRA</v>
      </c>
      <c r="D389" s="164" t="str">
        <f ca="1">IFERROR(__xludf.DUMMYFUNCTION("""COMPUTED_VALUE"""),"01066420000133")</f>
        <v>01066420000133</v>
      </c>
      <c r="E389" s="165" t="str">
        <f ca="1">IFERROR(__xludf.DUMMYFUNCTION("""COMPUTED_VALUE"""),"104")</f>
        <v>104</v>
      </c>
      <c r="F389" s="165" t="str">
        <f ca="1">IFERROR(__xludf.DUMMYFUNCTION("""COMPUTED_VALUE"""),"1829")</f>
        <v>1829</v>
      </c>
      <c r="G389" s="165" t="str">
        <f ca="1">IFERROR(__xludf.DUMMYFUNCTION("""COMPUTED_VALUE"""),"0307461")</f>
        <v>0307461</v>
      </c>
      <c r="H389" s="165">
        <f ca="1">IFERROR(__xludf.DUMMYFUNCTION("""COMPUTED_VALUE"""),0)</f>
        <v>0</v>
      </c>
      <c r="I389" s="165">
        <f ca="1">IFERROR(__xludf.DUMMYFUNCTION("""COMPUTED_VALUE"""),0)</f>
        <v>0</v>
      </c>
      <c r="J389" s="165">
        <f ca="1">IFERROR(__xludf.DUMMYFUNCTION("""COMPUTED_VALUE"""),1570)</f>
        <v>1570</v>
      </c>
      <c r="K389" s="165">
        <f ca="1">IFERROR(__xludf.DUMMYFUNCTION("""COMPUTED_VALUE"""),0)</f>
        <v>0</v>
      </c>
      <c r="L389" s="165">
        <f ca="1">IFERROR(__xludf.DUMMYFUNCTION("""COMPUTED_VALUE"""),0)</f>
        <v>0</v>
      </c>
      <c r="M389" s="165">
        <f ca="1">IFERROR(__xludf.DUMMYFUNCTION("""COMPUTED_VALUE"""),0)</f>
        <v>0</v>
      </c>
      <c r="N389" s="165">
        <f ca="1">IFERROR(__xludf.DUMMYFUNCTION("""COMPUTED_VALUE"""),0)</f>
        <v>0</v>
      </c>
      <c r="O389" s="165">
        <f ca="1">IFERROR(__xludf.DUMMYFUNCTION("""COMPUTED_VALUE"""),0)</f>
        <v>0</v>
      </c>
      <c r="P389" s="165">
        <f ca="1">IFERROR(__xludf.DUMMYFUNCTION("""COMPUTED_VALUE"""),149.6)</f>
        <v>149.6</v>
      </c>
      <c r="Q389" s="165">
        <f ca="1">IFERROR(__xludf.DUMMYFUNCTION("""COMPUTED_VALUE"""),0)</f>
        <v>0</v>
      </c>
      <c r="R389" s="165">
        <f ca="1">IFERROR(__xludf.DUMMYFUNCTION("""COMPUTED_VALUE"""),0)</f>
        <v>0</v>
      </c>
      <c r="S389" s="165">
        <f ca="1">IFERROR(__xludf.DUMMYFUNCTION("""COMPUTED_VALUE"""),0)</f>
        <v>0</v>
      </c>
      <c r="T389" s="165">
        <f ca="1">IFERROR(__xludf.DUMMYFUNCTION("""COMPUTED_VALUE"""),0)</f>
        <v>0</v>
      </c>
      <c r="U389" s="165">
        <f ca="1"/>
        <v>1719.6</v>
      </c>
    </row>
    <row r="390" spans="1:21" ht="12.75">
      <c r="A390" s="167" t="str">
        <f ca="1">IFERROR(__xludf.DUMMYFUNCTION("""COMPUTED_VALUE"""),"Porto Nacional")</f>
        <v>Porto Nacional</v>
      </c>
      <c r="B390" s="167" t="str">
        <f ca="1">IFERROR(__xludf.DUMMYFUNCTION("""COMPUTED_VALUE"""),"Santa Rosa do Tocantins")</f>
        <v>Santa Rosa do Tocantins</v>
      </c>
      <c r="C390" s="168" t="str">
        <f ca="1">IFERROR(__xludf.DUMMYFUNCTION("""COMPUTED_VALUE"""),"A.A. E. E. TENENTE SALVADOR RIBEIRO")</f>
        <v>A.A. E. E. TENENTE SALVADOR RIBEIRO</v>
      </c>
      <c r="D390" s="169" t="str">
        <f ca="1">IFERROR(__xludf.DUMMYFUNCTION("""COMPUTED_VALUE"""),"01066424000111")</f>
        <v>01066424000111</v>
      </c>
      <c r="E390" s="170" t="str">
        <f ca="1">IFERROR(__xludf.DUMMYFUNCTION("""COMPUTED_VALUE"""),"001")</f>
        <v>001</v>
      </c>
      <c r="F390" s="170" t="str">
        <f ca="1">IFERROR(__xludf.DUMMYFUNCTION("""COMPUTED_VALUE"""),"1117")</f>
        <v>1117</v>
      </c>
      <c r="G390" s="170" t="str">
        <f ca="1">IFERROR(__xludf.DUMMYFUNCTION("""COMPUTED_VALUE"""),"332623")</f>
        <v>332623</v>
      </c>
      <c r="H390" s="170">
        <f ca="1">IFERROR(__xludf.DUMMYFUNCTION("""COMPUTED_VALUE"""),0)</f>
        <v>0</v>
      </c>
      <c r="I390" s="170">
        <f ca="1">IFERROR(__xludf.DUMMYFUNCTION("""COMPUTED_VALUE"""),0)</f>
        <v>0</v>
      </c>
      <c r="J390" s="170">
        <f ca="1">IFERROR(__xludf.DUMMYFUNCTION("""COMPUTED_VALUE"""),250)</f>
        <v>250</v>
      </c>
      <c r="K390" s="170">
        <f ca="1">IFERROR(__xludf.DUMMYFUNCTION("""COMPUTED_VALUE"""),0)</f>
        <v>0</v>
      </c>
      <c r="L390" s="170">
        <f ca="1">IFERROR(__xludf.DUMMYFUNCTION("""COMPUTED_VALUE"""),0)</f>
        <v>0</v>
      </c>
      <c r="M390" s="170">
        <f ca="1">IFERROR(__xludf.DUMMYFUNCTION("""COMPUTED_VALUE"""),0)</f>
        <v>0</v>
      </c>
      <c r="N390" s="170">
        <f ca="1">IFERROR(__xludf.DUMMYFUNCTION("""COMPUTED_VALUE"""),0)</f>
        <v>0</v>
      </c>
      <c r="O390" s="170">
        <f ca="1">IFERROR(__xludf.DUMMYFUNCTION("""COMPUTED_VALUE"""),0)</f>
        <v>0</v>
      </c>
      <c r="P390" s="170">
        <f ca="1">IFERROR(__xludf.DUMMYFUNCTION("""COMPUTED_VALUE"""),0)</f>
        <v>0</v>
      </c>
      <c r="Q390" s="170">
        <f ca="1">IFERROR(__xludf.DUMMYFUNCTION("""COMPUTED_VALUE"""),1810)</f>
        <v>1810</v>
      </c>
      <c r="R390" s="170">
        <f ca="1">IFERROR(__xludf.DUMMYFUNCTION("""COMPUTED_VALUE"""),0)</f>
        <v>0</v>
      </c>
      <c r="S390" s="170">
        <f ca="1">IFERROR(__xludf.DUMMYFUNCTION("""COMPUTED_VALUE"""),0)</f>
        <v>0</v>
      </c>
      <c r="T390" s="170">
        <f ca="1">IFERROR(__xludf.DUMMYFUNCTION("""COMPUTED_VALUE"""),114.799999999999)</f>
        <v>114.799999999999</v>
      </c>
      <c r="U390" s="170">
        <f ca="1"/>
        <v>2174.7999999999988</v>
      </c>
    </row>
    <row r="391" spans="1:21" ht="12.75">
      <c r="A391" s="162" t="str">
        <f ca="1">IFERROR(__xludf.DUMMYFUNCTION("""COMPUTED_VALUE"""),"Porto Nacional")</f>
        <v>Porto Nacional</v>
      </c>
      <c r="B391" s="162" t="str">
        <f ca="1">IFERROR(__xludf.DUMMYFUNCTION("""COMPUTED_VALUE"""),"Silvanopolis")</f>
        <v>Silvanopolis</v>
      </c>
      <c r="C391" s="163" t="str">
        <f ca="1">IFERROR(__xludf.DUMMYFUNCTION("""COMPUTED_VALUE"""),"A.A. DA ESC. EST. JOAO DA SILVA GUIMARAES")</f>
        <v>A.A. DA ESC. EST. JOAO DA SILVA GUIMARAES</v>
      </c>
      <c r="D391" s="164" t="str">
        <f ca="1">IFERROR(__xludf.DUMMYFUNCTION("""COMPUTED_VALUE"""),"01557779000103")</f>
        <v>01557779000103</v>
      </c>
      <c r="E391" s="165" t="str">
        <f ca="1">IFERROR(__xludf.DUMMYFUNCTION("""COMPUTED_VALUE"""),"001")</f>
        <v>001</v>
      </c>
      <c r="F391" s="165" t="str">
        <f ca="1">IFERROR(__xludf.DUMMYFUNCTION("""COMPUTED_VALUE"""),"3980")</f>
        <v>3980</v>
      </c>
      <c r="G391" s="165" t="str">
        <f ca="1">IFERROR(__xludf.DUMMYFUNCTION("""COMPUTED_VALUE"""),"51292")</f>
        <v>51292</v>
      </c>
      <c r="H391" s="165">
        <f ca="1">IFERROR(__xludf.DUMMYFUNCTION("""COMPUTED_VALUE"""),0)</f>
        <v>0</v>
      </c>
      <c r="I391" s="165">
        <f ca="1">IFERROR(__xludf.DUMMYFUNCTION("""COMPUTED_VALUE"""),0)</f>
        <v>0</v>
      </c>
      <c r="J391" s="165">
        <f ca="1">IFERROR(__xludf.DUMMYFUNCTION("""COMPUTED_VALUE"""),3190)</f>
        <v>3190</v>
      </c>
      <c r="K391" s="165">
        <f ca="1">IFERROR(__xludf.DUMMYFUNCTION("""COMPUTED_VALUE"""),0)</f>
        <v>0</v>
      </c>
      <c r="L391" s="165">
        <f ca="1">IFERROR(__xludf.DUMMYFUNCTION("""COMPUTED_VALUE"""),0)</f>
        <v>0</v>
      </c>
      <c r="M391" s="165">
        <f ca="1">IFERROR(__xludf.DUMMYFUNCTION("""COMPUTED_VALUE"""),0)</f>
        <v>0</v>
      </c>
      <c r="N391" s="165">
        <f ca="1">IFERROR(__xludf.DUMMYFUNCTION("""COMPUTED_VALUE"""),0)</f>
        <v>0</v>
      </c>
      <c r="O391" s="165">
        <f ca="1">IFERROR(__xludf.DUMMYFUNCTION("""COMPUTED_VALUE"""),0)</f>
        <v>0</v>
      </c>
      <c r="P391" s="165">
        <f ca="1">IFERROR(__xludf.DUMMYFUNCTION("""COMPUTED_VALUE"""),0)</f>
        <v>0</v>
      </c>
      <c r="Q391" s="165">
        <f ca="1">IFERROR(__xludf.DUMMYFUNCTION("""COMPUTED_VALUE"""),2390)</f>
        <v>2390</v>
      </c>
      <c r="R391" s="165">
        <f ca="1">IFERROR(__xludf.DUMMYFUNCTION("""COMPUTED_VALUE"""),0)</f>
        <v>0</v>
      </c>
      <c r="S391" s="165">
        <f ca="1">IFERROR(__xludf.DUMMYFUNCTION("""COMPUTED_VALUE"""),0)</f>
        <v>0</v>
      </c>
      <c r="T391" s="165">
        <f ca="1">IFERROR(__xludf.DUMMYFUNCTION("""COMPUTED_VALUE"""),0)</f>
        <v>0</v>
      </c>
      <c r="U391" s="165">
        <f ca="1"/>
        <v>5580</v>
      </c>
    </row>
    <row r="392" spans="1:21" ht="12.75">
      <c r="A392" s="167" t="str">
        <f ca="1">IFERROR(__xludf.DUMMYFUNCTION("""COMPUTED_VALUE"""),"Porto Nacional")</f>
        <v>Porto Nacional</v>
      </c>
      <c r="B392" s="167" t="str">
        <f ca="1">IFERROR(__xludf.DUMMYFUNCTION("""COMPUTED_VALUE"""),"Silvanopolis")</f>
        <v>Silvanopolis</v>
      </c>
      <c r="C392" s="168" t="str">
        <f ca="1">IFERROR(__xludf.DUMMYFUNCTION("""COMPUTED_VALUE"""),"A.A. A ESC. EST. JOAO PIRES QUERIDO")</f>
        <v>A.A. A ESC. EST. JOAO PIRES QUERIDO</v>
      </c>
      <c r="D392" s="169" t="str">
        <f ca="1">IFERROR(__xludf.DUMMYFUNCTION("""COMPUTED_VALUE"""),"01284632000197")</f>
        <v>01284632000197</v>
      </c>
      <c r="E392" s="170" t="str">
        <f ca="1">IFERROR(__xludf.DUMMYFUNCTION("""COMPUTED_VALUE"""),"001")</f>
        <v>001</v>
      </c>
      <c r="F392" s="170" t="str">
        <f ca="1">IFERROR(__xludf.DUMMYFUNCTION("""COMPUTED_VALUE"""),"3980")</f>
        <v>3980</v>
      </c>
      <c r="G392" s="170" t="str">
        <f ca="1">IFERROR(__xludf.DUMMYFUNCTION("""COMPUTED_VALUE"""),"051187")</f>
        <v>051187</v>
      </c>
      <c r="H392" s="170">
        <f ca="1">IFERROR(__xludf.DUMMYFUNCTION("""COMPUTED_VALUE"""),0)</f>
        <v>0</v>
      </c>
      <c r="I392" s="170">
        <f ca="1">IFERROR(__xludf.DUMMYFUNCTION("""COMPUTED_VALUE"""),0)</f>
        <v>0</v>
      </c>
      <c r="J392" s="170">
        <f ca="1">IFERROR(__xludf.DUMMYFUNCTION("""COMPUTED_VALUE"""),0)</f>
        <v>0</v>
      </c>
      <c r="K392" s="170">
        <f ca="1">IFERROR(__xludf.DUMMYFUNCTION("""COMPUTED_VALUE"""),4247)</f>
        <v>4247</v>
      </c>
      <c r="L392" s="170">
        <f ca="1">IFERROR(__xludf.DUMMYFUNCTION("""COMPUTED_VALUE"""),0)</f>
        <v>0</v>
      </c>
      <c r="M392" s="170">
        <f ca="1">IFERROR(__xludf.DUMMYFUNCTION("""COMPUTED_VALUE"""),0)</f>
        <v>0</v>
      </c>
      <c r="N392" s="170">
        <f ca="1">IFERROR(__xludf.DUMMYFUNCTION("""COMPUTED_VALUE"""),0)</f>
        <v>0</v>
      </c>
      <c r="O392" s="170">
        <f ca="1">IFERROR(__xludf.DUMMYFUNCTION("""COMPUTED_VALUE"""),0)</f>
        <v>0</v>
      </c>
      <c r="P392" s="170">
        <f ca="1">IFERROR(__xludf.DUMMYFUNCTION("""COMPUTED_VALUE"""),0)</f>
        <v>0</v>
      </c>
      <c r="Q392" s="170">
        <f ca="1">IFERROR(__xludf.DUMMYFUNCTION("""COMPUTED_VALUE"""),0)</f>
        <v>0</v>
      </c>
      <c r="R392" s="170">
        <f ca="1">IFERROR(__xludf.DUMMYFUNCTION("""COMPUTED_VALUE"""),0)</f>
        <v>0</v>
      </c>
      <c r="S392" s="170">
        <f ca="1">IFERROR(__xludf.DUMMYFUNCTION("""COMPUTED_VALUE"""),0)</f>
        <v>0</v>
      </c>
      <c r="T392" s="170">
        <f ca="1">IFERROR(__xludf.DUMMYFUNCTION("""COMPUTED_VALUE"""),106.6)</f>
        <v>106.6</v>
      </c>
      <c r="U392" s="170">
        <f ca="1"/>
        <v>4353.6000000000004</v>
      </c>
    </row>
    <row r="393" spans="1:21" ht="12.75">
      <c r="A393" s="162" t="str">
        <f ca="1">IFERROR(__xludf.DUMMYFUNCTION("""COMPUTED_VALUE"""),"Tocantinópolis")</f>
        <v>Tocantinópolis</v>
      </c>
      <c r="B393" s="162" t="str">
        <f ca="1">IFERROR(__xludf.DUMMYFUNCTION("""COMPUTED_VALUE"""),"Aguiarnopolis")</f>
        <v>Aguiarnopolis</v>
      </c>
      <c r="C393" s="163" t="str">
        <f ca="1">IFERROR(__xludf.DUMMYFUNCTION("""COMPUTED_VALUE"""),"A.A. DA ESC. EST. NAZARÉ NUNES DA SILVA (AGUIARNOPOLIS)")</f>
        <v>A.A. DA ESC. EST. NAZARÉ NUNES DA SILVA (AGUIARNOPOLIS)</v>
      </c>
      <c r="D393" s="164" t="str">
        <f ca="1">IFERROR(__xludf.DUMMYFUNCTION("""COMPUTED_VALUE"""),"01213519000110")</f>
        <v>01213519000110</v>
      </c>
      <c r="E393" s="165" t="str">
        <f ca="1">IFERROR(__xludf.DUMMYFUNCTION("""COMPUTED_VALUE"""),"001")</f>
        <v>001</v>
      </c>
      <c r="F393" s="165" t="str">
        <f ca="1">IFERROR(__xludf.DUMMYFUNCTION("""COMPUTED_VALUE"""),"0810")</f>
        <v>0810</v>
      </c>
      <c r="G393" s="165" t="str">
        <f ca="1">IFERROR(__xludf.DUMMYFUNCTION("""COMPUTED_VALUE"""),"217727")</f>
        <v>217727</v>
      </c>
      <c r="H393" s="165">
        <f ca="1">IFERROR(__xludf.DUMMYFUNCTION("""COMPUTED_VALUE"""),0)</f>
        <v>0</v>
      </c>
      <c r="I393" s="165">
        <f ca="1">IFERROR(__xludf.DUMMYFUNCTION("""COMPUTED_VALUE"""),0)</f>
        <v>0</v>
      </c>
      <c r="J393" s="165">
        <f ca="1">IFERROR(__xludf.DUMMYFUNCTION("""COMPUTED_VALUE"""),1560)</f>
        <v>1560</v>
      </c>
      <c r="K393" s="165">
        <f ca="1">IFERROR(__xludf.DUMMYFUNCTION("""COMPUTED_VALUE"""),2438.6)</f>
        <v>2438.6</v>
      </c>
      <c r="L393" s="165">
        <f ca="1">IFERROR(__xludf.DUMMYFUNCTION("""COMPUTED_VALUE"""),0)</f>
        <v>0</v>
      </c>
      <c r="M393" s="165">
        <f ca="1">IFERROR(__xludf.DUMMYFUNCTION("""COMPUTED_VALUE"""),0)</f>
        <v>0</v>
      </c>
      <c r="N393" s="165">
        <f ca="1">IFERROR(__xludf.DUMMYFUNCTION("""COMPUTED_VALUE"""),0)</f>
        <v>0</v>
      </c>
      <c r="O393" s="165">
        <f ca="1">IFERROR(__xludf.DUMMYFUNCTION("""COMPUTED_VALUE"""),0)</f>
        <v>0</v>
      </c>
      <c r="P393" s="165">
        <f ca="1">IFERROR(__xludf.DUMMYFUNCTION("""COMPUTED_VALUE"""),0)</f>
        <v>0</v>
      </c>
      <c r="Q393" s="165">
        <f ca="1">IFERROR(__xludf.DUMMYFUNCTION("""COMPUTED_VALUE"""),700)</f>
        <v>700</v>
      </c>
      <c r="R393" s="165">
        <f ca="1">IFERROR(__xludf.DUMMYFUNCTION("""COMPUTED_VALUE"""),0)</f>
        <v>0</v>
      </c>
      <c r="S393" s="165">
        <f ca="1">IFERROR(__xludf.DUMMYFUNCTION("""COMPUTED_VALUE"""),9830.4)</f>
        <v>9830.4</v>
      </c>
      <c r="T393" s="165">
        <f ca="1">IFERROR(__xludf.DUMMYFUNCTION("""COMPUTED_VALUE"""),0)</f>
        <v>0</v>
      </c>
      <c r="U393" s="165">
        <f ca="1"/>
        <v>14529</v>
      </c>
    </row>
    <row r="394" spans="1:21" ht="12.75">
      <c r="A394" s="167" t="str">
        <f ca="1">IFERROR(__xludf.DUMMYFUNCTION("""COMPUTED_VALUE"""),"Tocantinópolis")</f>
        <v>Tocantinópolis</v>
      </c>
      <c r="B394" s="167" t="str">
        <f ca="1">IFERROR(__xludf.DUMMYFUNCTION("""COMPUTED_VALUE"""),"Angico")</f>
        <v>Angico</v>
      </c>
      <c r="C394" s="168" t="str">
        <f ca="1">IFERROR(__xludf.DUMMYFUNCTION("""COMPUTED_VALUE"""),"ASSOCIAÇÃO DE APOIO DO COL. EST. DULCE COELHO DE SOUSA")</f>
        <v>ASSOCIAÇÃO DE APOIO DO COL. EST. DULCE COELHO DE SOUSA</v>
      </c>
      <c r="D394" s="169" t="str">
        <f ca="1">IFERROR(__xludf.DUMMYFUNCTION("""COMPUTED_VALUE"""),"10800992000195")</f>
        <v>10800992000195</v>
      </c>
      <c r="E394" s="170" t="str">
        <f ca="1">IFERROR(__xludf.DUMMYFUNCTION("""COMPUTED_VALUE"""),"001")</f>
        <v>001</v>
      </c>
      <c r="F394" s="170" t="str">
        <f ca="1">IFERROR(__xludf.DUMMYFUNCTION("""COMPUTED_VALUE"""),"3973")</f>
        <v>3973</v>
      </c>
      <c r="G394" s="170" t="str">
        <f ca="1">IFERROR(__xludf.DUMMYFUNCTION("""COMPUTED_VALUE"""),"212792")</f>
        <v>212792</v>
      </c>
      <c r="H394" s="170">
        <f ca="1">IFERROR(__xludf.DUMMYFUNCTION("""COMPUTED_VALUE"""),0)</f>
        <v>0</v>
      </c>
      <c r="I394" s="170">
        <f ca="1">IFERROR(__xludf.DUMMYFUNCTION("""COMPUTED_VALUE"""),0)</f>
        <v>0</v>
      </c>
      <c r="J394" s="170">
        <f ca="1">IFERROR(__xludf.DUMMYFUNCTION("""COMPUTED_VALUE"""),2150)</f>
        <v>2150</v>
      </c>
      <c r="K394" s="170">
        <f ca="1">IFERROR(__xludf.DUMMYFUNCTION("""COMPUTED_VALUE"""),0)</f>
        <v>0</v>
      </c>
      <c r="L394" s="170">
        <f ca="1">IFERROR(__xludf.DUMMYFUNCTION("""COMPUTED_VALUE"""),0)</f>
        <v>0</v>
      </c>
      <c r="M394" s="170">
        <f ca="1">IFERROR(__xludf.DUMMYFUNCTION("""COMPUTED_VALUE"""),0)</f>
        <v>0</v>
      </c>
      <c r="N394" s="170">
        <f ca="1">IFERROR(__xludf.DUMMYFUNCTION("""COMPUTED_VALUE"""),0)</f>
        <v>0</v>
      </c>
      <c r="O394" s="170">
        <f ca="1">IFERROR(__xludf.DUMMYFUNCTION("""COMPUTED_VALUE"""),0)</f>
        <v>0</v>
      </c>
      <c r="P394" s="170">
        <f ca="1">IFERROR(__xludf.DUMMYFUNCTION("""COMPUTED_VALUE"""),326.4)</f>
        <v>326.39999999999998</v>
      </c>
      <c r="Q394" s="170">
        <f ca="1">IFERROR(__xludf.DUMMYFUNCTION("""COMPUTED_VALUE"""),1320)</f>
        <v>1320</v>
      </c>
      <c r="R394" s="170">
        <f ca="1">IFERROR(__xludf.DUMMYFUNCTION("""COMPUTED_VALUE"""),0)</f>
        <v>0</v>
      </c>
      <c r="S394" s="170">
        <f ca="1">IFERROR(__xludf.DUMMYFUNCTION("""COMPUTED_VALUE"""),0)</f>
        <v>0</v>
      </c>
      <c r="T394" s="170">
        <f ca="1">IFERROR(__xludf.DUMMYFUNCTION("""COMPUTED_VALUE"""),0)</f>
        <v>0</v>
      </c>
      <c r="U394" s="170">
        <f ca="1"/>
        <v>3796.4</v>
      </c>
    </row>
    <row r="395" spans="1:21" ht="12.75">
      <c r="A395" s="162" t="str">
        <f ca="1">IFERROR(__xludf.DUMMYFUNCTION("""COMPUTED_VALUE"""),"Tocantinópolis")</f>
        <v>Tocantinópolis</v>
      </c>
      <c r="B395" s="162" t="str">
        <f ca="1">IFERROR(__xludf.DUMMYFUNCTION("""COMPUTED_VALUE"""),"Cachoeirinha")</f>
        <v>Cachoeirinha</v>
      </c>
      <c r="C395" s="163" t="str">
        <f ca="1">IFERROR(__xludf.DUMMYFUNCTION("""COMPUTED_VALUE"""),"A.A. E. EST. NOVA DA CACHOEIRINHA/RAIMUNDO NONATO TORRES")</f>
        <v>A.A. E. EST. NOVA DA CACHOEIRINHA/RAIMUNDO NONATO TORRES</v>
      </c>
      <c r="D395" s="164" t="str">
        <f ca="1">IFERROR(__xludf.DUMMYFUNCTION("""COMPUTED_VALUE"""),"01213535000103")</f>
        <v>01213535000103</v>
      </c>
      <c r="E395" s="165" t="str">
        <f ca="1">IFERROR(__xludf.DUMMYFUNCTION("""COMPUTED_VALUE"""),"001")</f>
        <v>001</v>
      </c>
      <c r="F395" s="165" t="str">
        <f ca="1">IFERROR(__xludf.DUMMYFUNCTION("""COMPUTED_VALUE"""),"0810")</f>
        <v>0810</v>
      </c>
      <c r="G395" s="165" t="str">
        <f ca="1">IFERROR(__xludf.DUMMYFUNCTION("""COMPUTED_VALUE"""),"0217689")</f>
        <v>0217689</v>
      </c>
      <c r="H395" s="165">
        <f ca="1">IFERROR(__xludf.DUMMYFUNCTION("""COMPUTED_VALUE"""),0)</f>
        <v>0</v>
      </c>
      <c r="I395" s="165">
        <f ca="1">IFERROR(__xludf.DUMMYFUNCTION("""COMPUTED_VALUE"""),0)</f>
        <v>0</v>
      </c>
      <c r="J395" s="165">
        <f ca="1">IFERROR(__xludf.DUMMYFUNCTION("""COMPUTED_VALUE"""),1200)</f>
        <v>1200</v>
      </c>
      <c r="K395" s="165">
        <f ca="1">IFERROR(__xludf.DUMMYFUNCTION("""COMPUTED_VALUE"""),0)</f>
        <v>0</v>
      </c>
      <c r="L395" s="165">
        <f ca="1">IFERROR(__xludf.DUMMYFUNCTION("""COMPUTED_VALUE"""),0)</f>
        <v>0</v>
      </c>
      <c r="M395" s="165">
        <f ca="1">IFERROR(__xludf.DUMMYFUNCTION("""COMPUTED_VALUE"""),0)</f>
        <v>0</v>
      </c>
      <c r="N395" s="165">
        <f ca="1">IFERROR(__xludf.DUMMYFUNCTION("""COMPUTED_VALUE"""),0)</f>
        <v>0</v>
      </c>
      <c r="O395" s="165">
        <f ca="1">IFERROR(__xludf.DUMMYFUNCTION("""COMPUTED_VALUE"""),0)</f>
        <v>0</v>
      </c>
      <c r="P395" s="165">
        <f ca="1">IFERROR(__xludf.DUMMYFUNCTION("""COMPUTED_VALUE"""),163.2)</f>
        <v>163.19999999999999</v>
      </c>
      <c r="Q395" s="165">
        <f ca="1">IFERROR(__xludf.DUMMYFUNCTION("""COMPUTED_VALUE"""),910)</f>
        <v>910</v>
      </c>
      <c r="R395" s="165">
        <f ca="1">IFERROR(__xludf.DUMMYFUNCTION("""COMPUTED_VALUE"""),0)</f>
        <v>0</v>
      </c>
      <c r="S395" s="165">
        <f ca="1">IFERROR(__xludf.DUMMYFUNCTION("""COMPUTED_VALUE"""),0)</f>
        <v>0</v>
      </c>
      <c r="T395" s="165">
        <f ca="1">IFERROR(__xludf.DUMMYFUNCTION("""COMPUTED_VALUE"""),0)</f>
        <v>0</v>
      </c>
      <c r="U395" s="165">
        <f ca="1"/>
        <v>2273.1999999999998</v>
      </c>
    </row>
    <row r="396" spans="1:21" ht="12.75">
      <c r="A396" s="167" t="str">
        <f ca="1">IFERROR(__xludf.DUMMYFUNCTION("""COMPUTED_VALUE"""),"Tocantinópolis")</f>
        <v>Tocantinópolis</v>
      </c>
      <c r="B396" s="167" t="str">
        <f ca="1">IFERROR(__xludf.DUMMYFUNCTION("""COMPUTED_VALUE"""),"darcinopolis")</f>
        <v>darcinopolis</v>
      </c>
      <c r="C396" s="168" t="str">
        <f ca="1">IFERROR(__xludf.DUMMYFUNCTION("""COMPUTED_VALUE"""),"A. APOIO COL. EST. JOSE DE SOUZA PORTO")</f>
        <v>A. APOIO COL. EST. JOSE DE SOUZA PORTO</v>
      </c>
      <c r="D396" s="169" t="str">
        <f ca="1">IFERROR(__xludf.DUMMYFUNCTION("""COMPUTED_VALUE"""),"01213532000170")</f>
        <v>01213532000170</v>
      </c>
      <c r="E396" s="170" t="str">
        <f ca="1">IFERROR(__xludf.DUMMYFUNCTION("""COMPUTED_VALUE"""),"001")</f>
        <v>001</v>
      </c>
      <c r="F396" s="170" t="str">
        <f ca="1">IFERROR(__xludf.DUMMYFUNCTION("""COMPUTED_VALUE"""),"0810")</f>
        <v>0810</v>
      </c>
      <c r="G396" s="170" t="str">
        <f ca="1">IFERROR(__xludf.DUMMYFUNCTION("""COMPUTED_VALUE"""),"25739")</f>
        <v>25739</v>
      </c>
      <c r="H396" s="170">
        <f ca="1">IFERROR(__xludf.DUMMYFUNCTION("""COMPUTED_VALUE"""),0)</f>
        <v>0</v>
      </c>
      <c r="I396" s="170">
        <f ca="1">IFERROR(__xludf.DUMMYFUNCTION("""COMPUTED_VALUE"""),0)</f>
        <v>0</v>
      </c>
      <c r="J396" s="170">
        <f ca="1">IFERROR(__xludf.DUMMYFUNCTION("""COMPUTED_VALUE"""),5100)</f>
        <v>5100</v>
      </c>
      <c r="K396" s="170">
        <f ca="1">IFERROR(__xludf.DUMMYFUNCTION("""COMPUTED_VALUE"""),0)</f>
        <v>0</v>
      </c>
      <c r="L396" s="170">
        <f ca="1">IFERROR(__xludf.DUMMYFUNCTION("""COMPUTED_VALUE"""),0)</f>
        <v>0</v>
      </c>
      <c r="M396" s="170">
        <f ca="1">IFERROR(__xludf.DUMMYFUNCTION("""COMPUTED_VALUE"""),0)</f>
        <v>0</v>
      </c>
      <c r="N396" s="170">
        <f ca="1">IFERROR(__xludf.DUMMYFUNCTION("""COMPUTED_VALUE"""),0)</f>
        <v>0</v>
      </c>
      <c r="O396" s="170">
        <f ca="1">IFERROR(__xludf.DUMMYFUNCTION("""COMPUTED_VALUE"""),0)</f>
        <v>0</v>
      </c>
      <c r="P396" s="170">
        <f ca="1">IFERROR(__xludf.DUMMYFUNCTION("""COMPUTED_VALUE"""),340)</f>
        <v>340</v>
      </c>
      <c r="Q396" s="170">
        <f ca="1">IFERROR(__xludf.DUMMYFUNCTION("""COMPUTED_VALUE"""),2520)</f>
        <v>2520</v>
      </c>
      <c r="R396" s="170">
        <f ca="1">IFERROR(__xludf.DUMMYFUNCTION("""COMPUTED_VALUE"""),0)</f>
        <v>0</v>
      </c>
      <c r="S396" s="170">
        <f ca="1">IFERROR(__xludf.DUMMYFUNCTION("""COMPUTED_VALUE"""),0)</f>
        <v>0</v>
      </c>
      <c r="T396" s="170">
        <f ca="1">IFERROR(__xludf.DUMMYFUNCTION("""COMPUTED_VALUE"""),0)</f>
        <v>0</v>
      </c>
      <c r="U396" s="170">
        <f ca="1"/>
        <v>7960</v>
      </c>
    </row>
    <row r="397" spans="1:21" ht="12.75">
      <c r="A397" s="162" t="str">
        <f ca="1">IFERROR(__xludf.DUMMYFUNCTION("""COMPUTED_VALUE"""),"Tocantinópolis")</f>
        <v>Tocantinópolis</v>
      </c>
      <c r="B397" s="162" t="str">
        <f ca="1">IFERROR(__xludf.DUMMYFUNCTION("""COMPUTED_VALUE"""),"Itaguatins")</f>
        <v>Itaguatins</v>
      </c>
      <c r="C397" s="163" t="str">
        <f ca="1">IFERROR(__xludf.DUMMYFUNCTION("""COMPUTED_VALUE"""),"ASS. DE APOIO ESC. EST. OLAVO BILAC")</f>
        <v>ASS. DE APOIO ESC. EST. OLAVO BILAC</v>
      </c>
      <c r="D397" s="164" t="str">
        <f ca="1">IFERROR(__xludf.DUMMYFUNCTION("""COMPUTED_VALUE"""),"01358337000138")</f>
        <v>01358337000138</v>
      </c>
      <c r="E397" s="165" t="str">
        <f ca="1">IFERROR(__xludf.DUMMYFUNCTION("""COMPUTED_VALUE"""),"001")</f>
        <v>001</v>
      </c>
      <c r="F397" s="165" t="str">
        <f ca="1">IFERROR(__xludf.DUMMYFUNCTION("""COMPUTED_VALUE"""),"0810")</f>
        <v>0810</v>
      </c>
      <c r="G397" s="165" t="str">
        <f ca="1">IFERROR(__xludf.DUMMYFUNCTION("""COMPUTED_VALUE"""),"218391")</f>
        <v>218391</v>
      </c>
      <c r="H397" s="165">
        <f ca="1">IFERROR(__xludf.DUMMYFUNCTION("""COMPUTED_VALUE"""),0)</f>
        <v>0</v>
      </c>
      <c r="I397" s="165">
        <f ca="1">IFERROR(__xludf.DUMMYFUNCTION("""COMPUTED_VALUE"""),0)</f>
        <v>0</v>
      </c>
      <c r="J397" s="165">
        <f ca="1">IFERROR(__xludf.DUMMYFUNCTION("""COMPUTED_VALUE"""),630)</f>
        <v>630</v>
      </c>
      <c r="K397" s="165">
        <f ca="1">IFERROR(__xludf.DUMMYFUNCTION("""COMPUTED_VALUE"""),0)</f>
        <v>0</v>
      </c>
      <c r="L397" s="165">
        <f ca="1">IFERROR(__xludf.DUMMYFUNCTION("""COMPUTED_VALUE"""),0)</f>
        <v>0</v>
      </c>
      <c r="M397" s="165">
        <f ca="1">IFERROR(__xludf.DUMMYFUNCTION("""COMPUTED_VALUE"""),0)</f>
        <v>0</v>
      </c>
      <c r="N397" s="165">
        <f ca="1">IFERROR(__xludf.DUMMYFUNCTION("""COMPUTED_VALUE"""),0)</f>
        <v>0</v>
      </c>
      <c r="O397" s="165">
        <f ca="1">IFERROR(__xludf.DUMMYFUNCTION("""COMPUTED_VALUE"""),0)</f>
        <v>0</v>
      </c>
      <c r="P397" s="165">
        <f ca="1">IFERROR(__xludf.DUMMYFUNCTION("""COMPUTED_VALUE"""),0)</f>
        <v>0</v>
      </c>
      <c r="Q397" s="165">
        <f ca="1">IFERROR(__xludf.DUMMYFUNCTION("""COMPUTED_VALUE"""),2120)</f>
        <v>2120</v>
      </c>
      <c r="R397" s="165">
        <f ca="1">IFERROR(__xludf.DUMMYFUNCTION("""COMPUTED_VALUE"""),0)</f>
        <v>0</v>
      </c>
      <c r="S397" s="165">
        <f ca="1">IFERROR(__xludf.DUMMYFUNCTION("""COMPUTED_VALUE"""),0)</f>
        <v>0</v>
      </c>
      <c r="T397" s="165">
        <f ca="1">IFERROR(__xludf.DUMMYFUNCTION("""COMPUTED_VALUE"""),122.999999999999)</f>
        <v>122.99999999999901</v>
      </c>
      <c r="U397" s="165">
        <f ca="1"/>
        <v>2872.9999999999991</v>
      </c>
    </row>
    <row r="398" spans="1:21" ht="12.75">
      <c r="A398" s="167" t="str">
        <f ca="1">IFERROR(__xludf.DUMMYFUNCTION("""COMPUTED_VALUE"""),"Tocantinópolis")</f>
        <v>Tocantinópolis</v>
      </c>
      <c r="B398" s="167" t="str">
        <f ca="1">IFERROR(__xludf.DUMMYFUNCTION("""COMPUTED_VALUE"""),"Luzinopolis")</f>
        <v>Luzinopolis</v>
      </c>
      <c r="C398" s="168" t="str">
        <f ca="1">IFERROR(__xludf.DUMMYFUNCTION("""COMPUTED_VALUE"""),"ASS. AP.A ESC. EST. JUSCELINO K.DE OLIVEIRA")</f>
        <v>ASS. AP.A ESC. EST. JUSCELINO K.DE OLIVEIRA</v>
      </c>
      <c r="D398" s="169" t="str">
        <f ca="1">IFERROR(__xludf.DUMMYFUNCTION("""COMPUTED_VALUE"""),"01230232000107")</f>
        <v>01230232000107</v>
      </c>
      <c r="E398" s="170" t="str">
        <f ca="1">IFERROR(__xludf.DUMMYFUNCTION("""COMPUTED_VALUE"""),"001")</f>
        <v>001</v>
      </c>
      <c r="F398" s="170" t="str">
        <f ca="1">IFERROR(__xludf.DUMMYFUNCTION("""COMPUTED_VALUE"""),"0810")</f>
        <v>0810</v>
      </c>
      <c r="G398" s="170" t="str">
        <f ca="1">IFERROR(__xludf.DUMMYFUNCTION("""COMPUTED_VALUE"""),"022135X")</f>
        <v>022135X</v>
      </c>
      <c r="H398" s="170">
        <f ca="1">IFERROR(__xludf.DUMMYFUNCTION("""COMPUTED_VALUE"""),0)</f>
        <v>0</v>
      </c>
      <c r="I398" s="170">
        <f ca="1">IFERROR(__xludf.DUMMYFUNCTION("""COMPUTED_VALUE"""),0)</f>
        <v>0</v>
      </c>
      <c r="J398" s="170">
        <f ca="1">IFERROR(__xludf.DUMMYFUNCTION("""COMPUTED_VALUE"""),2390)</f>
        <v>2390</v>
      </c>
      <c r="K398" s="170">
        <f ca="1">IFERROR(__xludf.DUMMYFUNCTION("""COMPUTED_VALUE"""),0)</f>
        <v>0</v>
      </c>
      <c r="L398" s="170">
        <f ca="1">IFERROR(__xludf.DUMMYFUNCTION("""COMPUTED_VALUE"""),0)</f>
        <v>0</v>
      </c>
      <c r="M398" s="170">
        <f ca="1">IFERROR(__xludf.DUMMYFUNCTION("""COMPUTED_VALUE"""),0)</f>
        <v>0</v>
      </c>
      <c r="N398" s="170">
        <f ca="1">IFERROR(__xludf.DUMMYFUNCTION("""COMPUTED_VALUE"""),0)</f>
        <v>0</v>
      </c>
      <c r="O398" s="170">
        <f ca="1">IFERROR(__xludf.DUMMYFUNCTION("""COMPUTED_VALUE"""),0)</f>
        <v>0</v>
      </c>
      <c r="P398" s="170">
        <f ca="1">IFERROR(__xludf.DUMMYFUNCTION("""COMPUTED_VALUE"""),0)</f>
        <v>0</v>
      </c>
      <c r="Q398" s="170">
        <f ca="1">IFERROR(__xludf.DUMMYFUNCTION("""COMPUTED_VALUE"""),1660)</f>
        <v>1660</v>
      </c>
      <c r="R398" s="170">
        <f ca="1">IFERROR(__xludf.DUMMYFUNCTION("""COMPUTED_VALUE"""),0)</f>
        <v>0</v>
      </c>
      <c r="S398" s="170">
        <f ca="1">IFERROR(__xludf.DUMMYFUNCTION("""COMPUTED_VALUE"""),0)</f>
        <v>0</v>
      </c>
      <c r="T398" s="170">
        <f ca="1">IFERROR(__xludf.DUMMYFUNCTION("""COMPUTED_VALUE"""),0)</f>
        <v>0</v>
      </c>
      <c r="U398" s="170">
        <f ca="1"/>
        <v>4050</v>
      </c>
    </row>
    <row r="399" spans="1:21" ht="12.75">
      <c r="A399" s="162" t="str">
        <f ca="1">IFERROR(__xludf.DUMMYFUNCTION("""COMPUTED_VALUE"""),"Tocantinópolis")</f>
        <v>Tocantinópolis</v>
      </c>
      <c r="B399" s="162" t="str">
        <f ca="1">IFERROR(__xludf.DUMMYFUNCTION("""COMPUTED_VALUE"""),"Maurilandia do Tocantins")</f>
        <v>Maurilandia do Tocantins</v>
      </c>
      <c r="C399" s="163" t="str">
        <f ca="1">IFERROR(__xludf.DUMMYFUNCTION("""COMPUTED_VALUE"""),"A.A.  DA ESC. EST.PEDRO LUDOVICO TEIXEIRA")</f>
        <v>A.A.  DA ESC. EST.PEDRO LUDOVICO TEIXEIRA</v>
      </c>
      <c r="D399" s="164" t="str">
        <f ca="1">IFERROR(__xludf.DUMMYFUNCTION("""COMPUTED_VALUE"""),"01213528000101")</f>
        <v>01213528000101</v>
      </c>
      <c r="E399" s="165" t="str">
        <f ca="1">IFERROR(__xludf.DUMMYFUNCTION("""COMPUTED_VALUE"""),"001")</f>
        <v>001</v>
      </c>
      <c r="F399" s="165" t="str">
        <f ca="1">IFERROR(__xludf.DUMMYFUNCTION("""COMPUTED_VALUE"""),"0810")</f>
        <v>0810</v>
      </c>
      <c r="G399" s="165" t="str">
        <f ca="1">IFERROR(__xludf.DUMMYFUNCTION("""COMPUTED_VALUE"""),"0217670")</f>
        <v>0217670</v>
      </c>
      <c r="H399" s="165">
        <f ca="1">IFERROR(__xludf.DUMMYFUNCTION("""COMPUTED_VALUE"""),0)</f>
        <v>0</v>
      </c>
      <c r="I399" s="165">
        <f ca="1">IFERROR(__xludf.DUMMYFUNCTION("""COMPUTED_VALUE"""),0)</f>
        <v>0</v>
      </c>
      <c r="J399" s="165">
        <f ca="1">IFERROR(__xludf.DUMMYFUNCTION("""COMPUTED_VALUE"""),570)</f>
        <v>570</v>
      </c>
      <c r="K399" s="165">
        <f ca="1">IFERROR(__xludf.DUMMYFUNCTION("""COMPUTED_VALUE"""),0)</f>
        <v>0</v>
      </c>
      <c r="L399" s="165">
        <f ca="1">IFERROR(__xludf.DUMMYFUNCTION("""COMPUTED_VALUE"""),0)</f>
        <v>0</v>
      </c>
      <c r="M399" s="165">
        <f ca="1">IFERROR(__xludf.DUMMYFUNCTION("""COMPUTED_VALUE"""),0)</f>
        <v>0</v>
      </c>
      <c r="N399" s="165">
        <f ca="1">IFERROR(__xludf.DUMMYFUNCTION("""COMPUTED_VALUE"""),0)</f>
        <v>0</v>
      </c>
      <c r="O399" s="165">
        <f ca="1">IFERROR(__xludf.DUMMYFUNCTION("""COMPUTED_VALUE"""),0)</f>
        <v>0</v>
      </c>
      <c r="P399" s="165">
        <f ca="1">IFERROR(__xludf.DUMMYFUNCTION("""COMPUTED_VALUE"""),0)</f>
        <v>0</v>
      </c>
      <c r="Q399" s="165">
        <f ca="1">IFERROR(__xludf.DUMMYFUNCTION("""COMPUTED_VALUE"""),1560)</f>
        <v>1560</v>
      </c>
      <c r="R399" s="165">
        <f ca="1">IFERROR(__xludf.DUMMYFUNCTION("""COMPUTED_VALUE"""),0)</f>
        <v>0</v>
      </c>
      <c r="S399" s="165">
        <f ca="1">IFERROR(__xludf.DUMMYFUNCTION("""COMPUTED_VALUE"""),0)</f>
        <v>0</v>
      </c>
      <c r="T399" s="165">
        <f ca="1">IFERROR(__xludf.DUMMYFUNCTION("""COMPUTED_VALUE"""),0)</f>
        <v>0</v>
      </c>
      <c r="U399" s="165">
        <f ca="1"/>
        <v>2130</v>
      </c>
    </row>
    <row r="400" spans="1:21" ht="12.75">
      <c r="A400" s="167" t="str">
        <f ca="1">IFERROR(__xludf.DUMMYFUNCTION("""COMPUTED_VALUE"""),"Tocantinópolis")</f>
        <v>Tocantinópolis</v>
      </c>
      <c r="B400" s="167" t="str">
        <f ca="1">IFERROR(__xludf.DUMMYFUNCTION("""COMPUTED_VALUE"""),"Nazare")</f>
        <v>Nazare</v>
      </c>
      <c r="C400" s="168" t="str">
        <f ca="1">IFERROR(__xludf.DUMMYFUNCTION("""COMPUTED_VALUE"""),"A.DO COLEGIO EST.PRES.CASTELO BRANCO")</f>
        <v>A.DO COLEGIO EST.PRES.CASTELO BRANCO</v>
      </c>
      <c r="D400" s="169" t="str">
        <f ca="1">IFERROR(__xludf.DUMMYFUNCTION("""COMPUTED_VALUE"""),"01213522000134")</f>
        <v>01213522000134</v>
      </c>
      <c r="E400" s="170" t="str">
        <f ca="1">IFERROR(__xludf.DUMMYFUNCTION("""COMPUTED_VALUE"""),"001")</f>
        <v>001</v>
      </c>
      <c r="F400" s="170" t="str">
        <f ca="1">IFERROR(__xludf.DUMMYFUNCTION("""COMPUTED_VALUE"""),"0810")</f>
        <v>0810</v>
      </c>
      <c r="G400" s="170" t="str">
        <f ca="1">IFERROR(__xludf.DUMMYFUNCTION("""COMPUTED_VALUE"""),"217859")</f>
        <v>217859</v>
      </c>
      <c r="H400" s="170">
        <f ca="1">IFERROR(__xludf.DUMMYFUNCTION("""COMPUTED_VALUE"""),0)</f>
        <v>0</v>
      </c>
      <c r="I400" s="170">
        <f ca="1">IFERROR(__xludf.DUMMYFUNCTION("""COMPUTED_VALUE"""),0)</f>
        <v>0</v>
      </c>
      <c r="J400" s="170">
        <f ca="1">IFERROR(__xludf.DUMMYFUNCTION("""COMPUTED_VALUE"""),2030)</f>
        <v>2030</v>
      </c>
      <c r="K400" s="170">
        <f ca="1">IFERROR(__xludf.DUMMYFUNCTION("""COMPUTED_VALUE"""),0)</f>
        <v>0</v>
      </c>
      <c r="L400" s="170">
        <f ca="1">IFERROR(__xludf.DUMMYFUNCTION("""COMPUTED_VALUE"""),0)</f>
        <v>0</v>
      </c>
      <c r="M400" s="170">
        <f ca="1">IFERROR(__xludf.DUMMYFUNCTION("""COMPUTED_VALUE"""),0)</f>
        <v>0</v>
      </c>
      <c r="N400" s="170">
        <f ca="1">IFERROR(__xludf.DUMMYFUNCTION("""COMPUTED_VALUE"""),0)</f>
        <v>0</v>
      </c>
      <c r="O400" s="170">
        <f ca="1">IFERROR(__xludf.DUMMYFUNCTION("""COMPUTED_VALUE"""),0)</f>
        <v>0</v>
      </c>
      <c r="P400" s="170">
        <f ca="1">IFERROR(__xludf.DUMMYFUNCTION("""COMPUTED_VALUE"""),299.2)</f>
        <v>299.2</v>
      </c>
      <c r="Q400" s="170">
        <f ca="1">IFERROR(__xludf.DUMMYFUNCTION("""COMPUTED_VALUE"""),900)</f>
        <v>900</v>
      </c>
      <c r="R400" s="170">
        <f ca="1">IFERROR(__xludf.DUMMYFUNCTION("""COMPUTED_VALUE"""),0)</f>
        <v>0</v>
      </c>
      <c r="S400" s="170">
        <f ca="1">IFERROR(__xludf.DUMMYFUNCTION("""COMPUTED_VALUE"""),0)</f>
        <v>0</v>
      </c>
      <c r="T400" s="170">
        <f ca="1">IFERROR(__xludf.DUMMYFUNCTION("""COMPUTED_VALUE"""),0)</f>
        <v>0</v>
      </c>
      <c r="U400" s="170">
        <f ca="1"/>
        <v>3229.2</v>
      </c>
    </row>
    <row r="401" spans="1:21" ht="12.75">
      <c r="A401" s="162" t="str">
        <f ca="1">IFERROR(__xludf.DUMMYFUNCTION("""COMPUTED_VALUE"""),"Tocantinópolis")</f>
        <v>Tocantinópolis</v>
      </c>
      <c r="B401" s="162" t="str">
        <f ca="1">IFERROR(__xludf.DUMMYFUNCTION("""COMPUTED_VALUE"""),"Nazare")</f>
        <v>Nazare</v>
      </c>
      <c r="C401" s="163" t="str">
        <f ca="1">IFERROR(__xludf.DUMMYFUNCTION("""COMPUTED_VALUE"""),"ASSOC. DE APOIO A ESC. EST.ESPECIAL BEM VIVER")</f>
        <v>ASSOC. DE APOIO A ESC. EST.ESPECIAL BEM VIVER</v>
      </c>
      <c r="D401" s="164" t="str">
        <f ca="1">IFERROR(__xludf.DUMMYFUNCTION("""COMPUTED_VALUE"""),"10520927000106")</f>
        <v>10520927000106</v>
      </c>
      <c r="E401" s="165" t="str">
        <f ca="1">IFERROR(__xludf.DUMMYFUNCTION("""COMPUTED_VALUE"""),"001")</f>
        <v>001</v>
      </c>
      <c r="F401" s="165" t="str">
        <f ca="1">IFERROR(__xludf.DUMMYFUNCTION("""COMPUTED_VALUE"""),"0810")</f>
        <v>0810</v>
      </c>
      <c r="G401" s="165" t="str">
        <f ca="1">IFERROR(__xludf.DUMMYFUNCTION("""COMPUTED_VALUE"""),"200336")</f>
        <v>200336</v>
      </c>
      <c r="H401" s="165">
        <f ca="1">IFERROR(__xludf.DUMMYFUNCTION("""COMPUTED_VALUE"""),0)</f>
        <v>0</v>
      </c>
      <c r="I401" s="165">
        <f ca="1">IFERROR(__xludf.DUMMYFUNCTION("""COMPUTED_VALUE"""),144)</f>
        <v>144</v>
      </c>
      <c r="J401" s="165">
        <f ca="1">IFERROR(__xludf.DUMMYFUNCTION("""COMPUTED_VALUE"""),210)</f>
        <v>210</v>
      </c>
      <c r="K401" s="165">
        <f ca="1">IFERROR(__xludf.DUMMYFUNCTION("""COMPUTED_VALUE"""),0)</f>
        <v>0</v>
      </c>
      <c r="L401" s="165">
        <f ca="1">IFERROR(__xludf.DUMMYFUNCTION("""COMPUTED_VALUE"""),0)</f>
        <v>0</v>
      </c>
      <c r="M401" s="165">
        <f ca="1">IFERROR(__xludf.DUMMYFUNCTION("""COMPUTED_VALUE"""),0)</f>
        <v>0</v>
      </c>
      <c r="N401" s="165">
        <f ca="1">IFERROR(__xludf.DUMMYFUNCTION("""COMPUTED_VALUE"""),0)</f>
        <v>0</v>
      </c>
      <c r="O401" s="165">
        <f ca="1">IFERROR(__xludf.DUMMYFUNCTION("""COMPUTED_VALUE"""),0)</f>
        <v>0</v>
      </c>
      <c r="P401" s="165">
        <f ca="1">IFERROR(__xludf.DUMMYFUNCTION("""COMPUTED_VALUE"""),0)</f>
        <v>0</v>
      </c>
      <c r="Q401" s="165">
        <f ca="1">IFERROR(__xludf.DUMMYFUNCTION("""COMPUTED_VALUE"""),0)</f>
        <v>0</v>
      </c>
      <c r="R401" s="165">
        <f ca="1">IFERROR(__xludf.DUMMYFUNCTION("""COMPUTED_VALUE"""),0)</f>
        <v>0</v>
      </c>
      <c r="S401" s="165">
        <f ca="1">IFERROR(__xludf.DUMMYFUNCTION("""COMPUTED_VALUE"""),0)</f>
        <v>0</v>
      </c>
      <c r="T401" s="165">
        <f ca="1">IFERROR(__xludf.DUMMYFUNCTION("""COMPUTED_VALUE"""),475.599999999999)</f>
        <v>475.599999999999</v>
      </c>
      <c r="U401" s="165">
        <f ca="1"/>
        <v>829.599999999999</v>
      </c>
    </row>
    <row r="402" spans="1:21" ht="12.75">
      <c r="A402" s="167" t="str">
        <f ca="1">IFERROR(__xludf.DUMMYFUNCTION("""COMPUTED_VALUE"""),"Tocantinópolis")</f>
        <v>Tocantinópolis</v>
      </c>
      <c r="B402" s="167" t="str">
        <f ca="1">IFERROR(__xludf.DUMMYFUNCTION("""COMPUTED_VALUE"""),"Nazare")</f>
        <v>Nazare</v>
      </c>
      <c r="C402" s="168" t="str">
        <f ca="1">IFERROR(__xludf.DUMMYFUNCTION("""COMPUTED_VALUE"""),"A.A. ESC. EST. DOM CORNELIO CHIZZINI")</f>
        <v>A.A. ESC. EST. DOM CORNELIO CHIZZINI</v>
      </c>
      <c r="D402" s="169" t="str">
        <f ca="1">IFERROR(__xludf.DUMMYFUNCTION("""COMPUTED_VALUE"""),"01230233000143")</f>
        <v>01230233000143</v>
      </c>
      <c r="E402" s="170" t="str">
        <f ca="1">IFERROR(__xludf.DUMMYFUNCTION("""COMPUTED_VALUE"""),"001")</f>
        <v>001</v>
      </c>
      <c r="F402" s="170" t="str">
        <f ca="1">IFERROR(__xludf.DUMMYFUNCTION("""COMPUTED_VALUE"""),"0810")</f>
        <v>0810</v>
      </c>
      <c r="G402" s="170" t="str">
        <f ca="1">IFERROR(__xludf.DUMMYFUNCTION("""COMPUTED_VALUE"""),"21776X")</f>
        <v>21776X</v>
      </c>
      <c r="H402" s="170">
        <f ca="1">IFERROR(__xludf.DUMMYFUNCTION("""COMPUTED_VALUE"""),0)</f>
        <v>0</v>
      </c>
      <c r="I402" s="170">
        <f ca="1">IFERROR(__xludf.DUMMYFUNCTION("""COMPUTED_VALUE"""),0)</f>
        <v>0</v>
      </c>
      <c r="J402" s="170">
        <f ca="1">IFERROR(__xludf.DUMMYFUNCTION("""COMPUTED_VALUE"""),640)</f>
        <v>640</v>
      </c>
      <c r="K402" s="170">
        <f ca="1">IFERROR(__xludf.DUMMYFUNCTION("""COMPUTED_VALUE"""),0)</f>
        <v>0</v>
      </c>
      <c r="L402" s="170">
        <f ca="1">IFERROR(__xludf.DUMMYFUNCTION("""COMPUTED_VALUE"""),0)</f>
        <v>0</v>
      </c>
      <c r="M402" s="170">
        <f ca="1">IFERROR(__xludf.DUMMYFUNCTION("""COMPUTED_VALUE"""),0)</f>
        <v>0</v>
      </c>
      <c r="N402" s="170">
        <f ca="1">IFERROR(__xludf.DUMMYFUNCTION("""COMPUTED_VALUE"""),0)</f>
        <v>0</v>
      </c>
      <c r="O402" s="170">
        <f ca="1">IFERROR(__xludf.DUMMYFUNCTION("""COMPUTED_VALUE"""),0)</f>
        <v>0</v>
      </c>
      <c r="P402" s="170">
        <f ca="1">IFERROR(__xludf.DUMMYFUNCTION("""COMPUTED_VALUE"""),0)</f>
        <v>0</v>
      </c>
      <c r="Q402" s="170">
        <f ca="1">IFERROR(__xludf.DUMMYFUNCTION("""COMPUTED_VALUE"""),470)</f>
        <v>470</v>
      </c>
      <c r="R402" s="170">
        <f ca="1">IFERROR(__xludf.DUMMYFUNCTION("""COMPUTED_VALUE"""),0)</f>
        <v>0</v>
      </c>
      <c r="S402" s="170">
        <f ca="1">IFERROR(__xludf.DUMMYFUNCTION("""COMPUTED_VALUE"""),0)</f>
        <v>0</v>
      </c>
      <c r="T402" s="170">
        <f ca="1">IFERROR(__xludf.DUMMYFUNCTION("""COMPUTED_VALUE"""),0)</f>
        <v>0</v>
      </c>
      <c r="U402" s="170">
        <f ca="1"/>
        <v>1110</v>
      </c>
    </row>
    <row r="403" spans="1:21" ht="12.75">
      <c r="A403" s="162" t="str">
        <f ca="1">IFERROR(__xludf.DUMMYFUNCTION("""COMPUTED_VALUE"""),"Tocantinópolis")</f>
        <v>Tocantinópolis</v>
      </c>
      <c r="B403" s="162" t="str">
        <f ca="1">IFERROR(__xludf.DUMMYFUNCTION("""COMPUTED_VALUE"""),"Nazare")</f>
        <v>Nazare</v>
      </c>
      <c r="C403" s="163" t="str">
        <f ca="1">IFERROR(__xludf.DUMMYFUNCTION("""COMPUTED_VALUE"""),"A.A.  DA ESCOLA ESTADUAL PIACAVA")</f>
        <v>A.A.  DA ESCOLA ESTADUAL PIACAVA</v>
      </c>
      <c r="D403" s="164" t="str">
        <f ca="1">IFERROR(__xludf.DUMMYFUNCTION("""COMPUTED_VALUE"""),"01230239000110")</f>
        <v>01230239000110</v>
      </c>
      <c r="E403" s="165" t="str">
        <f ca="1">IFERROR(__xludf.DUMMYFUNCTION("""COMPUTED_VALUE"""),"001")</f>
        <v>001</v>
      </c>
      <c r="F403" s="165" t="str">
        <f ca="1">IFERROR(__xludf.DUMMYFUNCTION("""COMPUTED_VALUE"""),"0810")</f>
        <v>0810</v>
      </c>
      <c r="G403" s="165" t="str">
        <f ca="1">IFERROR(__xludf.DUMMYFUNCTION("""COMPUTED_VALUE"""),"217883")</f>
        <v>217883</v>
      </c>
      <c r="H403" s="165">
        <f ca="1">IFERROR(__xludf.DUMMYFUNCTION("""COMPUTED_VALUE"""),0)</f>
        <v>0</v>
      </c>
      <c r="I403" s="165">
        <f ca="1">IFERROR(__xludf.DUMMYFUNCTION("""COMPUTED_VALUE"""),0)</f>
        <v>0</v>
      </c>
      <c r="J403" s="165">
        <f ca="1">IFERROR(__xludf.DUMMYFUNCTION("""COMPUTED_VALUE"""),470)</f>
        <v>470</v>
      </c>
      <c r="K403" s="165">
        <f ca="1">IFERROR(__xludf.DUMMYFUNCTION("""COMPUTED_VALUE"""),0)</f>
        <v>0</v>
      </c>
      <c r="L403" s="165">
        <f ca="1">IFERROR(__xludf.DUMMYFUNCTION("""COMPUTED_VALUE"""),0)</f>
        <v>0</v>
      </c>
      <c r="M403" s="165">
        <f ca="1">IFERROR(__xludf.DUMMYFUNCTION("""COMPUTED_VALUE"""),0)</f>
        <v>0</v>
      </c>
      <c r="N403" s="165">
        <f ca="1">IFERROR(__xludf.DUMMYFUNCTION("""COMPUTED_VALUE"""),0)</f>
        <v>0</v>
      </c>
      <c r="O403" s="165">
        <f ca="1">IFERROR(__xludf.DUMMYFUNCTION("""COMPUTED_VALUE"""),0)</f>
        <v>0</v>
      </c>
      <c r="P403" s="165">
        <f ca="1">IFERROR(__xludf.DUMMYFUNCTION("""COMPUTED_VALUE"""),0)</f>
        <v>0</v>
      </c>
      <c r="Q403" s="165">
        <f ca="1">IFERROR(__xludf.DUMMYFUNCTION("""COMPUTED_VALUE"""),290)</f>
        <v>290</v>
      </c>
      <c r="R403" s="165">
        <f ca="1">IFERROR(__xludf.DUMMYFUNCTION("""COMPUTED_VALUE"""),0)</f>
        <v>0</v>
      </c>
      <c r="S403" s="165">
        <f ca="1">IFERROR(__xludf.DUMMYFUNCTION("""COMPUTED_VALUE"""),0)</f>
        <v>0</v>
      </c>
      <c r="T403" s="165">
        <f ca="1">IFERROR(__xludf.DUMMYFUNCTION("""COMPUTED_VALUE"""),196.799999999999)</f>
        <v>196.79999999999899</v>
      </c>
      <c r="U403" s="165">
        <f ca="1"/>
        <v>956.79999999999905</v>
      </c>
    </row>
    <row r="404" spans="1:21" ht="12.75">
      <c r="A404" s="167" t="str">
        <f ca="1">IFERROR(__xludf.DUMMYFUNCTION("""COMPUTED_VALUE"""),"Tocantinópolis")</f>
        <v>Tocantinópolis</v>
      </c>
      <c r="B404" s="167" t="str">
        <f ca="1">IFERROR(__xludf.DUMMYFUNCTION("""COMPUTED_VALUE"""),"Palmeiras do Tocantins")</f>
        <v>Palmeiras do Tocantins</v>
      </c>
      <c r="C404" s="168" t="str">
        <f ca="1">IFERROR(__xludf.DUMMYFUNCTION("""COMPUTED_VALUE"""),"A.A. ESC. EST. RAIMUNDO NEIVA DE CARVALHO")</f>
        <v>A.A. ESC. EST. RAIMUNDO NEIVA DE CARVALHO</v>
      </c>
      <c r="D404" s="169" t="str">
        <f ca="1">IFERROR(__xludf.DUMMYFUNCTION("""COMPUTED_VALUE"""),"01213533000114")</f>
        <v>01213533000114</v>
      </c>
      <c r="E404" s="170" t="str">
        <f ca="1">IFERROR(__xludf.DUMMYFUNCTION("""COMPUTED_VALUE"""),"001")</f>
        <v>001</v>
      </c>
      <c r="F404" s="170" t="str">
        <f ca="1">IFERROR(__xludf.DUMMYFUNCTION("""COMPUTED_VALUE"""),"0810")</f>
        <v>0810</v>
      </c>
      <c r="G404" s="170" t="str">
        <f ca="1">IFERROR(__xludf.DUMMYFUNCTION("""COMPUTED_VALUE"""),"0027529")</f>
        <v>0027529</v>
      </c>
      <c r="H404" s="170">
        <f ca="1">IFERROR(__xludf.DUMMYFUNCTION("""COMPUTED_VALUE"""),0)</f>
        <v>0</v>
      </c>
      <c r="I404" s="170">
        <f ca="1">IFERROR(__xludf.DUMMYFUNCTION("""COMPUTED_VALUE"""),0)</f>
        <v>0</v>
      </c>
      <c r="J404" s="170">
        <f ca="1">IFERROR(__xludf.DUMMYFUNCTION("""COMPUTED_VALUE"""),2140)</f>
        <v>2140</v>
      </c>
      <c r="K404" s="170">
        <f ca="1">IFERROR(__xludf.DUMMYFUNCTION("""COMPUTED_VALUE"""),0)</f>
        <v>0</v>
      </c>
      <c r="L404" s="170">
        <f ca="1">IFERROR(__xludf.DUMMYFUNCTION("""COMPUTED_VALUE"""),0)</f>
        <v>0</v>
      </c>
      <c r="M404" s="170">
        <f ca="1">IFERROR(__xludf.DUMMYFUNCTION("""COMPUTED_VALUE"""),0)</f>
        <v>0</v>
      </c>
      <c r="N404" s="170">
        <f ca="1">IFERROR(__xludf.DUMMYFUNCTION("""COMPUTED_VALUE"""),0)</f>
        <v>0</v>
      </c>
      <c r="O404" s="170">
        <f ca="1">IFERROR(__xludf.DUMMYFUNCTION("""COMPUTED_VALUE"""),0)</f>
        <v>0</v>
      </c>
      <c r="P404" s="170">
        <f ca="1">IFERROR(__xludf.DUMMYFUNCTION("""COMPUTED_VALUE"""),217.6)</f>
        <v>217.6</v>
      </c>
      <c r="Q404" s="170">
        <f ca="1">IFERROR(__xludf.DUMMYFUNCTION("""COMPUTED_VALUE"""),2590)</f>
        <v>2590</v>
      </c>
      <c r="R404" s="170">
        <f ca="1">IFERROR(__xludf.DUMMYFUNCTION("""COMPUTED_VALUE"""),0)</f>
        <v>0</v>
      </c>
      <c r="S404" s="170">
        <f ca="1">IFERROR(__xludf.DUMMYFUNCTION("""COMPUTED_VALUE"""),0)</f>
        <v>0</v>
      </c>
      <c r="T404" s="170">
        <f ca="1">IFERROR(__xludf.DUMMYFUNCTION("""COMPUTED_VALUE"""),0)</f>
        <v>0</v>
      </c>
      <c r="U404" s="170">
        <f ca="1"/>
        <v>4947.6000000000004</v>
      </c>
    </row>
    <row r="405" spans="1:21" ht="12.75">
      <c r="A405" s="162" t="str">
        <f ca="1">IFERROR(__xludf.DUMMYFUNCTION("""COMPUTED_VALUE"""),"Tocantinópolis")</f>
        <v>Tocantinópolis</v>
      </c>
      <c r="B405" s="162" t="str">
        <f ca="1">IFERROR(__xludf.DUMMYFUNCTION("""COMPUTED_VALUE"""),"Palmeiras do Tocantins")</f>
        <v>Palmeiras do Tocantins</v>
      </c>
      <c r="C405" s="163" t="str">
        <f ca="1">IFERROR(__xludf.DUMMYFUNCTION("""COMPUTED_VALUE"""),"A. DE APOIO DA E. E. PE. CESARE LELLI")</f>
        <v>A. DE APOIO DA E. E. PE. CESARE LELLI</v>
      </c>
      <c r="D405" s="164" t="str">
        <f ca="1">IFERROR(__xludf.DUMMYFUNCTION("""COMPUTED_VALUE"""),"03778873000118")</f>
        <v>03778873000118</v>
      </c>
      <c r="E405" s="165" t="str">
        <f ca="1">IFERROR(__xludf.DUMMYFUNCTION("""COMPUTED_VALUE"""),"001")</f>
        <v>001</v>
      </c>
      <c r="F405" s="165" t="str">
        <f ca="1">IFERROR(__xludf.DUMMYFUNCTION("""COMPUTED_VALUE"""),"0810")</f>
        <v>0810</v>
      </c>
      <c r="G405" s="165" t="str">
        <f ca="1">IFERROR(__xludf.DUMMYFUNCTION("""COMPUTED_VALUE"""),"82007")</f>
        <v>82007</v>
      </c>
      <c r="H405" s="165">
        <f ca="1">IFERROR(__xludf.DUMMYFUNCTION("""COMPUTED_VALUE"""),0)</f>
        <v>0</v>
      </c>
      <c r="I405" s="165">
        <f ca="1">IFERROR(__xludf.DUMMYFUNCTION("""COMPUTED_VALUE"""),0)</f>
        <v>0</v>
      </c>
      <c r="J405" s="165">
        <f ca="1">IFERROR(__xludf.DUMMYFUNCTION("""COMPUTED_VALUE"""),1950)</f>
        <v>1950</v>
      </c>
      <c r="K405" s="165">
        <f ca="1">IFERROR(__xludf.DUMMYFUNCTION("""COMPUTED_VALUE"""),0)</f>
        <v>0</v>
      </c>
      <c r="L405" s="165">
        <f ca="1">IFERROR(__xludf.DUMMYFUNCTION("""COMPUTED_VALUE"""),0)</f>
        <v>0</v>
      </c>
      <c r="M405" s="165">
        <f ca="1">IFERROR(__xludf.DUMMYFUNCTION("""COMPUTED_VALUE"""),0)</f>
        <v>0</v>
      </c>
      <c r="N405" s="165">
        <f ca="1">IFERROR(__xludf.DUMMYFUNCTION("""COMPUTED_VALUE"""),0)</f>
        <v>0</v>
      </c>
      <c r="O405" s="165">
        <f ca="1">IFERROR(__xludf.DUMMYFUNCTION("""COMPUTED_VALUE"""),0)</f>
        <v>0</v>
      </c>
      <c r="P405" s="165">
        <f ca="1">IFERROR(__xludf.DUMMYFUNCTION("""COMPUTED_VALUE"""),312.8)</f>
        <v>312.8</v>
      </c>
      <c r="Q405" s="165">
        <f ca="1">IFERROR(__xludf.DUMMYFUNCTION("""COMPUTED_VALUE"""),0)</f>
        <v>0</v>
      </c>
      <c r="R405" s="165">
        <f ca="1">IFERROR(__xludf.DUMMYFUNCTION("""COMPUTED_VALUE"""),0)</f>
        <v>0</v>
      </c>
      <c r="S405" s="165">
        <f ca="1">IFERROR(__xludf.DUMMYFUNCTION("""COMPUTED_VALUE"""),0)</f>
        <v>0</v>
      </c>
      <c r="T405" s="165">
        <f ca="1">IFERROR(__xludf.DUMMYFUNCTION("""COMPUTED_VALUE"""),0)</f>
        <v>0</v>
      </c>
      <c r="U405" s="165">
        <f ca="1"/>
        <v>2262.8000000000002</v>
      </c>
    </row>
    <row r="406" spans="1:21" ht="12.75">
      <c r="A406" s="167" t="str">
        <f ca="1">IFERROR(__xludf.DUMMYFUNCTION("""COMPUTED_VALUE"""),"Tocantinópolis")</f>
        <v>Tocantinópolis</v>
      </c>
      <c r="B406" s="167" t="str">
        <f ca="1">IFERROR(__xludf.DUMMYFUNCTION("""COMPUTED_VALUE"""),"Santa Terezinha do Tocantins")</f>
        <v>Santa Terezinha do Tocantins</v>
      </c>
      <c r="C406" s="168" t="str">
        <f ca="1">IFERROR(__xludf.DUMMYFUNCTION("""COMPUTED_VALUE"""),"ASS. A. ESC. EST. DR JOSE FELICIANO FERREIRA")</f>
        <v>ASS. A. ESC. EST. DR JOSE FELICIANO FERREIRA</v>
      </c>
      <c r="D406" s="169" t="str">
        <f ca="1">IFERROR(__xludf.DUMMYFUNCTION("""COMPUTED_VALUE"""),"01077441000154")</f>
        <v>01077441000154</v>
      </c>
      <c r="E406" s="170" t="str">
        <f ca="1">IFERROR(__xludf.DUMMYFUNCTION("""COMPUTED_VALUE"""),"001")</f>
        <v>001</v>
      </c>
      <c r="F406" s="170" t="str">
        <f ca="1">IFERROR(__xludf.DUMMYFUNCTION("""COMPUTED_VALUE"""),"0810")</f>
        <v>0810</v>
      </c>
      <c r="G406" s="170" t="str">
        <f ca="1">IFERROR(__xludf.DUMMYFUNCTION("""COMPUTED_VALUE"""),"0026085")</f>
        <v>0026085</v>
      </c>
      <c r="H406" s="170">
        <f ca="1">IFERROR(__xludf.DUMMYFUNCTION("""COMPUTED_VALUE"""),0)</f>
        <v>0</v>
      </c>
      <c r="I406" s="170">
        <f ca="1">IFERROR(__xludf.DUMMYFUNCTION("""COMPUTED_VALUE"""),0)</f>
        <v>0</v>
      </c>
      <c r="J406" s="170">
        <f ca="1">IFERROR(__xludf.DUMMYFUNCTION("""COMPUTED_VALUE"""),610)</f>
        <v>610</v>
      </c>
      <c r="K406" s="170">
        <f ca="1">IFERROR(__xludf.DUMMYFUNCTION("""COMPUTED_VALUE"""),0)</f>
        <v>0</v>
      </c>
      <c r="L406" s="170">
        <f ca="1">IFERROR(__xludf.DUMMYFUNCTION("""COMPUTED_VALUE"""),0)</f>
        <v>0</v>
      </c>
      <c r="M406" s="170">
        <f ca="1">IFERROR(__xludf.DUMMYFUNCTION("""COMPUTED_VALUE"""),0)</f>
        <v>0</v>
      </c>
      <c r="N406" s="170">
        <f ca="1">IFERROR(__xludf.DUMMYFUNCTION("""COMPUTED_VALUE"""),0)</f>
        <v>0</v>
      </c>
      <c r="O406" s="170">
        <f ca="1">IFERROR(__xludf.DUMMYFUNCTION("""COMPUTED_VALUE"""),0)</f>
        <v>0</v>
      </c>
      <c r="P406" s="170">
        <f ca="1">IFERROR(__xludf.DUMMYFUNCTION("""COMPUTED_VALUE"""),0)</f>
        <v>0</v>
      </c>
      <c r="Q406" s="170">
        <f ca="1">IFERROR(__xludf.DUMMYFUNCTION("""COMPUTED_VALUE"""),860)</f>
        <v>860</v>
      </c>
      <c r="R406" s="170">
        <f ca="1">IFERROR(__xludf.DUMMYFUNCTION("""COMPUTED_VALUE"""),0)</f>
        <v>0</v>
      </c>
      <c r="S406" s="170">
        <f ca="1">IFERROR(__xludf.DUMMYFUNCTION("""COMPUTED_VALUE"""),0)</f>
        <v>0</v>
      </c>
      <c r="T406" s="170">
        <f ca="1">IFERROR(__xludf.DUMMYFUNCTION("""COMPUTED_VALUE"""),0)</f>
        <v>0</v>
      </c>
      <c r="U406" s="170">
        <f ca="1"/>
        <v>1470</v>
      </c>
    </row>
    <row r="407" spans="1:21" ht="12.75">
      <c r="A407" s="162" t="str">
        <f ca="1">IFERROR(__xludf.DUMMYFUNCTION("""COMPUTED_VALUE"""),"Tocantinópolis")</f>
        <v>Tocantinópolis</v>
      </c>
      <c r="B407" s="162" t="str">
        <f ca="1">IFERROR(__xludf.DUMMYFUNCTION("""COMPUTED_VALUE"""),"Tocantinopolis")</f>
        <v>Tocantinopolis</v>
      </c>
      <c r="C407" s="163" t="str">
        <f ca="1">IFERROR(__xludf.DUMMYFUNCTION("""COMPUTED_VALUE"""),"A.A ESC. EST.INDIGENAS NRE TOCANTINOPOLIS")</f>
        <v>A.A ESC. EST.INDIGENAS NRE TOCANTINOPOLIS</v>
      </c>
      <c r="D407" s="164" t="str">
        <f ca="1">IFERROR(__xludf.DUMMYFUNCTION("""COMPUTED_VALUE"""),"06171083000168")</f>
        <v>06171083000168</v>
      </c>
      <c r="E407" s="165" t="str">
        <f ca="1">IFERROR(__xludf.DUMMYFUNCTION("""COMPUTED_VALUE"""),"001")</f>
        <v>001</v>
      </c>
      <c r="F407" s="165" t="str">
        <f ca="1">IFERROR(__xludf.DUMMYFUNCTION("""COMPUTED_VALUE"""),"0810")</f>
        <v>0810</v>
      </c>
      <c r="G407" s="165" t="str">
        <f ca="1">IFERROR(__xludf.DUMMYFUNCTION("""COMPUTED_VALUE"""),"140538")</f>
        <v>140538</v>
      </c>
      <c r="H407" s="165">
        <f ca="1">IFERROR(__xludf.DUMMYFUNCTION("""COMPUTED_VALUE"""),0)</f>
        <v>0</v>
      </c>
      <c r="I407" s="165">
        <f ca="1">IFERROR(__xludf.DUMMYFUNCTION("""COMPUTED_VALUE"""),0)</f>
        <v>0</v>
      </c>
      <c r="J407" s="165">
        <f ca="1">IFERROR(__xludf.DUMMYFUNCTION("""COMPUTED_VALUE"""),0)</f>
        <v>0</v>
      </c>
      <c r="K407" s="165">
        <f ca="1">IFERROR(__xludf.DUMMYFUNCTION("""COMPUTED_VALUE"""),0)</f>
        <v>0</v>
      </c>
      <c r="L407" s="165">
        <f ca="1">IFERROR(__xludf.DUMMYFUNCTION("""COMPUTED_VALUE"""),0)</f>
        <v>0</v>
      </c>
      <c r="M407" s="165">
        <f ca="1">IFERROR(__xludf.DUMMYFUNCTION("""COMPUTED_VALUE"""),0)</f>
        <v>0</v>
      </c>
      <c r="N407" s="165">
        <f ca="1">IFERROR(__xludf.DUMMYFUNCTION("""COMPUTED_VALUE"""),0)</f>
        <v>0</v>
      </c>
      <c r="O407" s="165">
        <f ca="1">IFERROR(__xludf.DUMMYFUNCTION("""COMPUTED_VALUE"""),9683.6)</f>
        <v>9683.6</v>
      </c>
      <c r="P407" s="165">
        <f ca="1">IFERROR(__xludf.DUMMYFUNCTION("""COMPUTED_VALUE"""),0)</f>
        <v>0</v>
      </c>
      <c r="Q407" s="165">
        <f ca="1">IFERROR(__xludf.DUMMYFUNCTION("""COMPUTED_VALUE"""),0)</f>
        <v>0</v>
      </c>
      <c r="R407" s="165">
        <f ca="1">IFERROR(__xludf.DUMMYFUNCTION("""COMPUTED_VALUE"""),0)</f>
        <v>0</v>
      </c>
      <c r="S407" s="165">
        <f ca="1">IFERROR(__xludf.DUMMYFUNCTION("""COMPUTED_VALUE"""),0)</f>
        <v>0</v>
      </c>
      <c r="T407" s="165">
        <f ca="1">IFERROR(__xludf.DUMMYFUNCTION("""COMPUTED_VALUE"""),0)</f>
        <v>0</v>
      </c>
      <c r="U407" s="165">
        <f ca="1"/>
        <v>9683.6</v>
      </c>
    </row>
    <row r="408" spans="1:21" ht="12.75">
      <c r="A408" s="167" t="str">
        <f ca="1">IFERROR(__xludf.DUMMYFUNCTION("""COMPUTED_VALUE"""),"Tocantinópolis")</f>
        <v>Tocantinópolis</v>
      </c>
      <c r="B408" s="167" t="str">
        <f ca="1">IFERROR(__xludf.DUMMYFUNCTION("""COMPUTED_VALUE"""),"Tocantinopolis")</f>
        <v>Tocantinopolis</v>
      </c>
      <c r="C408" s="168" t="str">
        <f ca="1">IFERROR(__xludf.DUMMYFUNCTION("""COMPUTED_VALUE"""),"A.A. AS ESC. EST.INDIGENAS MATYK E APORO")</f>
        <v>A.A. AS ESC. EST.INDIGENAS MATYK E APORO</v>
      </c>
      <c r="D408" s="169" t="str">
        <f ca="1">IFERROR(__xludf.DUMMYFUNCTION("""COMPUTED_VALUE"""),"03544096000147")</f>
        <v>03544096000147</v>
      </c>
      <c r="E408" s="170" t="str">
        <f ca="1">IFERROR(__xludf.DUMMYFUNCTION("""COMPUTED_VALUE"""),"001")</f>
        <v>001</v>
      </c>
      <c r="F408" s="170" t="str">
        <f ca="1">IFERROR(__xludf.DUMMYFUNCTION("""COMPUTED_VALUE"""),"0810")</f>
        <v>0810</v>
      </c>
      <c r="G408" s="170" t="str">
        <f ca="1">IFERROR(__xludf.DUMMYFUNCTION("""COMPUTED_VALUE"""),"67423")</f>
        <v>67423</v>
      </c>
      <c r="H408" s="170">
        <f ca="1">IFERROR(__xludf.DUMMYFUNCTION("""COMPUTED_VALUE"""),0)</f>
        <v>0</v>
      </c>
      <c r="I408" s="170">
        <f ca="1">IFERROR(__xludf.DUMMYFUNCTION("""COMPUTED_VALUE"""),0)</f>
        <v>0</v>
      </c>
      <c r="J408" s="170">
        <f ca="1">IFERROR(__xludf.DUMMYFUNCTION("""COMPUTED_VALUE"""),0)</f>
        <v>0</v>
      </c>
      <c r="K408" s="170">
        <f ca="1">IFERROR(__xludf.DUMMYFUNCTION("""COMPUTED_VALUE"""),0)</f>
        <v>0</v>
      </c>
      <c r="L408" s="170">
        <f ca="1">IFERROR(__xludf.DUMMYFUNCTION("""COMPUTED_VALUE"""),0)</f>
        <v>0</v>
      </c>
      <c r="M408" s="170">
        <f ca="1">IFERROR(__xludf.DUMMYFUNCTION("""COMPUTED_VALUE"""),0)</f>
        <v>0</v>
      </c>
      <c r="N408" s="170">
        <f ca="1">IFERROR(__xludf.DUMMYFUNCTION("""COMPUTED_VALUE"""),0)</f>
        <v>0</v>
      </c>
      <c r="O408" s="170">
        <f ca="1">IFERROR(__xludf.DUMMYFUNCTION("""COMPUTED_VALUE"""),11730.4)</f>
        <v>11730.4</v>
      </c>
      <c r="P408" s="170">
        <f ca="1">IFERROR(__xludf.DUMMYFUNCTION("""COMPUTED_VALUE"""),0)</f>
        <v>0</v>
      </c>
      <c r="Q408" s="170">
        <f ca="1">IFERROR(__xludf.DUMMYFUNCTION("""COMPUTED_VALUE"""),0)</f>
        <v>0</v>
      </c>
      <c r="R408" s="170">
        <f ca="1">IFERROR(__xludf.DUMMYFUNCTION("""COMPUTED_VALUE"""),0)</f>
        <v>0</v>
      </c>
      <c r="S408" s="170">
        <f ca="1">IFERROR(__xludf.DUMMYFUNCTION("""COMPUTED_VALUE"""),0)</f>
        <v>0</v>
      </c>
      <c r="T408" s="170">
        <f ca="1">IFERROR(__xludf.DUMMYFUNCTION("""COMPUTED_VALUE"""),0)</f>
        <v>0</v>
      </c>
      <c r="U408" s="170">
        <f ca="1"/>
        <v>11730.4</v>
      </c>
    </row>
    <row r="409" spans="1:21" ht="12.75">
      <c r="A409" s="162" t="str">
        <f ca="1">IFERROR(__xludf.DUMMYFUNCTION("""COMPUTED_VALUE"""),"Tocantinópolis")</f>
        <v>Tocantinópolis</v>
      </c>
      <c r="B409" s="162" t="str">
        <f ca="1">IFERROR(__xludf.DUMMYFUNCTION("""COMPUTED_VALUE"""),"Tocantinopolis")</f>
        <v>Tocantinopolis</v>
      </c>
      <c r="C409" s="163" t="str">
        <f ca="1">IFERROR(__xludf.DUMMYFUNCTION("""COMPUTED_VALUE"""),"ASSOC.PAIS E MESTRES COL. EST. DEP.DARCY MARINHO")</f>
        <v>ASSOC.PAIS E MESTRES COL. EST. DEP.DARCY MARINHO</v>
      </c>
      <c r="D409" s="164" t="str">
        <f ca="1">IFERROR(__xludf.DUMMYFUNCTION("""COMPUTED_VALUE"""),"01230236000187")</f>
        <v>01230236000187</v>
      </c>
      <c r="E409" s="165" t="str">
        <f ca="1">IFERROR(__xludf.DUMMYFUNCTION("""COMPUTED_VALUE"""),"001")</f>
        <v>001</v>
      </c>
      <c r="F409" s="165" t="str">
        <f ca="1">IFERROR(__xludf.DUMMYFUNCTION("""COMPUTED_VALUE"""),"0810")</f>
        <v>0810</v>
      </c>
      <c r="G409" s="165" t="str">
        <f ca="1">IFERROR(__xludf.DUMMYFUNCTION("""COMPUTED_VALUE"""),"297410")</f>
        <v>297410</v>
      </c>
      <c r="H409" s="165">
        <f ca="1">IFERROR(__xludf.DUMMYFUNCTION("""COMPUTED_VALUE"""),0)</f>
        <v>0</v>
      </c>
      <c r="I409" s="165">
        <f ca="1">IFERROR(__xludf.DUMMYFUNCTION("""COMPUTED_VALUE"""),0)</f>
        <v>0</v>
      </c>
      <c r="J409" s="165">
        <f ca="1">IFERROR(__xludf.DUMMYFUNCTION("""COMPUTED_VALUE"""),0)</f>
        <v>0</v>
      </c>
      <c r="K409" s="165">
        <f ca="1">IFERROR(__xludf.DUMMYFUNCTION("""COMPUTED_VALUE"""),0)</f>
        <v>0</v>
      </c>
      <c r="L409" s="165">
        <f ca="1">IFERROR(__xludf.DUMMYFUNCTION("""COMPUTED_VALUE"""),0)</f>
        <v>0</v>
      </c>
      <c r="M409" s="165">
        <f ca="1">IFERROR(__xludf.DUMMYFUNCTION("""COMPUTED_VALUE"""),0)</f>
        <v>0</v>
      </c>
      <c r="N409" s="165">
        <f ca="1">IFERROR(__xludf.DUMMYFUNCTION("""COMPUTED_VALUE"""),0)</f>
        <v>0</v>
      </c>
      <c r="O409" s="165">
        <f ca="1">IFERROR(__xludf.DUMMYFUNCTION("""COMPUTED_VALUE"""),0)</f>
        <v>0</v>
      </c>
      <c r="P409" s="165">
        <f ca="1">IFERROR(__xludf.DUMMYFUNCTION("""COMPUTED_VALUE"""),326.4)</f>
        <v>326.39999999999998</v>
      </c>
      <c r="Q409" s="165">
        <f ca="1">IFERROR(__xludf.DUMMYFUNCTION("""COMPUTED_VALUE"""),0)</f>
        <v>0</v>
      </c>
      <c r="R409" s="165">
        <f ca="1">IFERROR(__xludf.DUMMYFUNCTION("""COMPUTED_VALUE"""),0)</f>
        <v>0</v>
      </c>
      <c r="S409" s="165">
        <f ca="1">IFERROR(__xludf.DUMMYFUNCTION("""COMPUTED_VALUE"""),9113.6)</f>
        <v>9113.6</v>
      </c>
      <c r="T409" s="165">
        <f ca="1">IFERROR(__xludf.DUMMYFUNCTION("""COMPUTED_VALUE"""),0)</f>
        <v>0</v>
      </c>
      <c r="U409" s="165">
        <f ca="1"/>
        <v>9440</v>
      </c>
    </row>
    <row r="410" spans="1:21" ht="12.75">
      <c r="A410" s="167" t="str">
        <f ca="1">IFERROR(__xludf.DUMMYFUNCTION("""COMPUTED_VALUE"""),"Tocantinópolis")</f>
        <v>Tocantinópolis</v>
      </c>
      <c r="B410" s="167" t="str">
        <f ca="1">IFERROR(__xludf.DUMMYFUNCTION("""COMPUTED_VALUE"""),"Tocantinopolis")</f>
        <v>Tocantinopolis</v>
      </c>
      <c r="C410" s="168" t="str">
        <f ca="1">IFERROR(__xludf.DUMMYFUNCTION("""COMPUTED_VALUE"""),"ASSOC. APOIO AO COLÉGIODOM ORIONE")</f>
        <v>ASSOC. APOIO AO COLÉGIODOM ORIONE</v>
      </c>
      <c r="D410" s="169" t="str">
        <f ca="1">IFERROR(__xludf.DUMMYFUNCTION("""COMPUTED_VALUE"""),"13033002000129")</f>
        <v>13033002000129</v>
      </c>
      <c r="E410" s="170" t="str">
        <f ca="1">IFERROR(__xludf.DUMMYFUNCTION("""COMPUTED_VALUE"""),"001")</f>
        <v>001</v>
      </c>
      <c r="F410" s="170" t="str">
        <f ca="1">IFERROR(__xludf.DUMMYFUNCTION("""COMPUTED_VALUE"""),"0810")</f>
        <v>0810</v>
      </c>
      <c r="G410" s="170" t="str">
        <f ca="1">IFERROR(__xludf.DUMMYFUNCTION("""COMPUTED_VALUE"""),"254193")</f>
        <v>254193</v>
      </c>
      <c r="H410" s="170">
        <f ca="1">IFERROR(__xludf.DUMMYFUNCTION("""COMPUTED_VALUE"""),0)</f>
        <v>0</v>
      </c>
      <c r="I410" s="170">
        <f ca="1">IFERROR(__xludf.DUMMYFUNCTION("""COMPUTED_VALUE"""),0)</f>
        <v>0</v>
      </c>
      <c r="J410" s="170">
        <f ca="1">IFERROR(__xludf.DUMMYFUNCTION("""COMPUTED_VALUE"""),1850)</f>
        <v>1850</v>
      </c>
      <c r="K410" s="170">
        <f ca="1">IFERROR(__xludf.DUMMYFUNCTION("""COMPUTED_VALUE"""),0)</f>
        <v>0</v>
      </c>
      <c r="L410" s="170">
        <f ca="1">IFERROR(__xludf.DUMMYFUNCTION("""COMPUTED_VALUE"""),0)</f>
        <v>0</v>
      </c>
      <c r="M410" s="170">
        <f ca="1">IFERROR(__xludf.DUMMYFUNCTION("""COMPUTED_VALUE"""),0)</f>
        <v>0</v>
      </c>
      <c r="N410" s="170">
        <f ca="1">IFERROR(__xludf.DUMMYFUNCTION("""COMPUTED_VALUE"""),0)</f>
        <v>0</v>
      </c>
      <c r="O410" s="170">
        <f ca="1">IFERROR(__xludf.DUMMYFUNCTION("""COMPUTED_VALUE"""),0)</f>
        <v>0</v>
      </c>
      <c r="P410" s="170">
        <f ca="1">IFERROR(__xludf.DUMMYFUNCTION("""COMPUTED_VALUE"""),367.2)</f>
        <v>367.2</v>
      </c>
      <c r="Q410" s="170">
        <f ca="1">IFERROR(__xludf.DUMMYFUNCTION("""COMPUTED_VALUE"""),3770)</f>
        <v>3770</v>
      </c>
      <c r="R410" s="170">
        <f ca="1">IFERROR(__xludf.DUMMYFUNCTION("""COMPUTED_VALUE"""),0)</f>
        <v>0</v>
      </c>
      <c r="S410" s="170">
        <f ca="1">IFERROR(__xludf.DUMMYFUNCTION("""COMPUTED_VALUE"""),0)</f>
        <v>0</v>
      </c>
      <c r="T410" s="170">
        <f ca="1">IFERROR(__xludf.DUMMYFUNCTION("""COMPUTED_VALUE"""),0)</f>
        <v>0</v>
      </c>
      <c r="U410" s="170">
        <f ca="1"/>
        <v>5987.2</v>
      </c>
    </row>
    <row r="411" spans="1:21" ht="12.75">
      <c r="A411" s="162" t="str">
        <f ca="1">IFERROR(__xludf.DUMMYFUNCTION("""COMPUTED_VALUE"""),"Tocantinópolis")</f>
        <v>Tocantinópolis</v>
      </c>
      <c r="B411" s="162" t="str">
        <f ca="1">IFERROR(__xludf.DUMMYFUNCTION("""COMPUTED_VALUE"""),"Tocantinopolis")</f>
        <v>Tocantinopolis</v>
      </c>
      <c r="C411" s="163" t="str">
        <f ca="1">IFERROR(__xludf.DUMMYFUNCTION("""COMPUTED_VALUE"""),"A.A. DO COL.PADRAO/JOSÉ CARNEIRO DE BRITO")</f>
        <v>A.A. DO COL.PADRAO/JOSÉ CARNEIRO DE BRITO</v>
      </c>
      <c r="D411" s="164" t="str">
        <f ca="1">IFERROR(__xludf.DUMMYFUNCTION("""COMPUTED_VALUE"""),"03880040000163")</f>
        <v>03880040000163</v>
      </c>
      <c r="E411" s="165" t="str">
        <f ca="1">IFERROR(__xludf.DUMMYFUNCTION("""COMPUTED_VALUE"""),"001")</f>
        <v>001</v>
      </c>
      <c r="F411" s="165" t="str">
        <f ca="1">IFERROR(__xludf.DUMMYFUNCTION("""COMPUTED_VALUE"""),"0810")</f>
        <v>0810</v>
      </c>
      <c r="G411" s="165" t="str">
        <f ca="1">IFERROR(__xludf.DUMMYFUNCTION("""COMPUTED_VALUE"""),"81884")</f>
        <v>81884</v>
      </c>
      <c r="H411" s="165">
        <f ca="1">IFERROR(__xludf.DUMMYFUNCTION("""COMPUTED_VALUE"""),0)</f>
        <v>0</v>
      </c>
      <c r="I411" s="165">
        <f ca="1">IFERROR(__xludf.DUMMYFUNCTION("""COMPUTED_VALUE"""),0)</f>
        <v>0</v>
      </c>
      <c r="J411" s="165">
        <f ca="1">IFERROR(__xludf.DUMMYFUNCTION("""COMPUTED_VALUE"""),1750)</f>
        <v>1750</v>
      </c>
      <c r="K411" s="165">
        <f ca="1">IFERROR(__xludf.DUMMYFUNCTION("""COMPUTED_VALUE"""),0)</f>
        <v>0</v>
      </c>
      <c r="L411" s="165">
        <f ca="1">IFERROR(__xludf.DUMMYFUNCTION("""COMPUTED_VALUE"""),0)</f>
        <v>0</v>
      </c>
      <c r="M411" s="165">
        <f ca="1">IFERROR(__xludf.DUMMYFUNCTION("""COMPUTED_VALUE"""),0)</f>
        <v>0</v>
      </c>
      <c r="N411" s="165">
        <f ca="1">IFERROR(__xludf.DUMMYFUNCTION("""COMPUTED_VALUE"""),0)</f>
        <v>0</v>
      </c>
      <c r="O411" s="165">
        <f ca="1">IFERROR(__xludf.DUMMYFUNCTION("""COMPUTED_VALUE"""),0)</f>
        <v>0</v>
      </c>
      <c r="P411" s="165">
        <f ca="1">IFERROR(__xludf.DUMMYFUNCTION("""COMPUTED_VALUE"""),272)</f>
        <v>272</v>
      </c>
      <c r="Q411" s="165">
        <f ca="1">IFERROR(__xludf.DUMMYFUNCTION("""COMPUTED_VALUE"""),2460)</f>
        <v>2460</v>
      </c>
      <c r="R411" s="165">
        <f ca="1">IFERROR(__xludf.DUMMYFUNCTION("""COMPUTED_VALUE"""),0)</f>
        <v>0</v>
      </c>
      <c r="S411" s="165">
        <f ca="1">IFERROR(__xludf.DUMMYFUNCTION("""COMPUTED_VALUE"""),0)</f>
        <v>0</v>
      </c>
      <c r="T411" s="165">
        <f ca="1">IFERROR(__xludf.DUMMYFUNCTION("""COMPUTED_VALUE"""),500.199999999999)</f>
        <v>500.19999999999902</v>
      </c>
      <c r="U411" s="165">
        <f ca="1"/>
        <v>4982.1999999999989</v>
      </c>
    </row>
    <row r="412" spans="1:21" ht="12.75">
      <c r="A412" s="167" t="str">
        <f ca="1">IFERROR(__xludf.DUMMYFUNCTION("""COMPUTED_VALUE"""),"Tocantinópolis")</f>
        <v>Tocantinópolis</v>
      </c>
      <c r="B412" s="33" t="str">
        <f ca="1">IFERROR(__xludf.DUMMYFUNCTION("""COMPUTED_VALUE"""),"Tocantinopolis")</f>
        <v>Tocantinopolis</v>
      </c>
      <c r="C412" s="168" t="str">
        <f ca="1">IFERROR(__xludf.DUMMYFUNCTION("""COMPUTED_VALUE"""),"ASSOCIAÇÃO DE APOIO A ESCOLA ESPECIAL UM PASSO DIFERENTE -APAE")</f>
        <v>ASSOCIAÇÃO DE APOIO A ESCOLA ESPECIAL UM PASSO DIFERENTE -APAE</v>
      </c>
      <c r="D412" s="183" t="str">
        <f ca="1">IFERROR(__xludf.DUMMYFUNCTION("""COMPUTED_VALUE"""),"08012610000117")</f>
        <v>08012610000117</v>
      </c>
      <c r="E412" s="170" t="str">
        <f ca="1">IFERROR(__xludf.DUMMYFUNCTION("""COMPUTED_VALUE"""),"001")</f>
        <v>001</v>
      </c>
      <c r="F412" s="37" t="str">
        <f ca="1">IFERROR(__xludf.DUMMYFUNCTION("""COMPUTED_VALUE"""),"0810")</f>
        <v>0810</v>
      </c>
      <c r="G412" s="170" t="str">
        <f ca="1">IFERROR(__xludf.DUMMYFUNCTION("""COMPUTED_VALUE"""),"204250")</f>
        <v>204250</v>
      </c>
      <c r="H412" s="37">
        <f ca="1">IFERROR(__xludf.DUMMYFUNCTION("""COMPUTED_VALUE"""),0)</f>
        <v>0</v>
      </c>
      <c r="I412" s="170">
        <f ca="1">IFERROR(__xludf.DUMMYFUNCTION("""COMPUTED_VALUE"""),43.2)</f>
        <v>43.2</v>
      </c>
      <c r="J412" s="37">
        <f ca="1">IFERROR(__xludf.DUMMYFUNCTION("""COMPUTED_VALUE"""),80)</f>
        <v>80</v>
      </c>
      <c r="K412" s="170">
        <f ca="1">IFERROR(__xludf.DUMMYFUNCTION("""COMPUTED_VALUE"""),0)</f>
        <v>0</v>
      </c>
      <c r="L412" s="37">
        <f ca="1">IFERROR(__xludf.DUMMYFUNCTION("""COMPUTED_VALUE"""),0)</f>
        <v>0</v>
      </c>
      <c r="M412" s="170">
        <f ca="1">IFERROR(__xludf.DUMMYFUNCTION("""COMPUTED_VALUE"""),0)</f>
        <v>0</v>
      </c>
      <c r="N412" s="37">
        <f ca="1">IFERROR(__xludf.DUMMYFUNCTION("""COMPUTED_VALUE"""),0)</f>
        <v>0</v>
      </c>
      <c r="O412" s="170">
        <f ca="1">IFERROR(__xludf.DUMMYFUNCTION("""COMPUTED_VALUE"""),0)</f>
        <v>0</v>
      </c>
      <c r="P412" s="37">
        <f ca="1">IFERROR(__xludf.DUMMYFUNCTION("""COMPUTED_VALUE"""),0)</f>
        <v>0</v>
      </c>
      <c r="Q412" s="170">
        <f ca="1">IFERROR(__xludf.DUMMYFUNCTION("""COMPUTED_VALUE"""),0)</f>
        <v>0</v>
      </c>
      <c r="R412" s="37">
        <f ca="1">IFERROR(__xludf.DUMMYFUNCTION("""COMPUTED_VALUE"""),0)</f>
        <v>0</v>
      </c>
      <c r="S412" s="170">
        <f ca="1">IFERROR(__xludf.DUMMYFUNCTION("""COMPUTED_VALUE"""),0)</f>
        <v>0</v>
      </c>
      <c r="T412" s="37">
        <f ca="1">IFERROR(__xludf.DUMMYFUNCTION("""COMPUTED_VALUE"""),696.999999999999)</f>
        <v>696.99999999999898</v>
      </c>
      <c r="U412" s="170">
        <f ca="1"/>
        <v>820.19999999999902</v>
      </c>
    </row>
    <row r="413" spans="1:21" ht="12.75">
      <c r="A413" s="162" t="str">
        <f ca="1">IFERROR(__xludf.DUMMYFUNCTION("""COMPUTED_VALUE"""),"Tocantinópolis")</f>
        <v>Tocantinópolis</v>
      </c>
      <c r="B413" s="184" t="str">
        <f ca="1">IFERROR(__xludf.DUMMYFUNCTION("""COMPUTED_VALUE"""),"Tocantinopolis")</f>
        <v>Tocantinopolis</v>
      </c>
      <c r="C413" s="163" t="str">
        <f ca="1">IFERROR(__xludf.DUMMYFUNCTION("""COMPUTED_VALUE"""),"A.A. ESC. E. E.PROF.ALDENORA A.CORREIA")</f>
        <v>A.A. ESC. E. E.PROF.ALDENORA A.CORREIA</v>
      </c>
      <c r="D413" s="185" t="str">
        <f ca="1">IFERROR(__xludf.DUMMYFUNCTION("""COMPUTED_VALUE"""),"01213527000167")</f>
        <v>01213527000167</v>
      </c>
      <c r="E413" s="165" t="str">
        <f ca="1">IFERROR(__xludf.DUMMYFUNCTION("""COMPUTED_VALUE"""),"001")</f>
        <v>001</v>
      </c>
      <c r="F413" s="186" t="str">
        <f ca="1">IFERROR(__xludf.DUMMYFUNCTION("""COMPUTED_VALUE"""),"0810")</f>
        <v>0810</v>
      </c>
      <c r="G413" s="165" t="str">
        <f ca="1">IFERROR(__xludf.DUMMYFUNCTION("""COMPUTED_VALUE"""),"58319")</f>
        <v>58319</v>
      </c>
      <c r="H413" s="186">
        <f ca="1">IFERROR(__xludf.DUMMYFUNCTION("""COMPUTED_VALUE"""),0)</f>
        <v>0</v>
      </c>
      <c r="I413" s="165">
        <f ca="1">IFERROR(__xludf.DUMMYFUNCTION("""COMPUTED_VALUE"""),0)</f>
        <v>0</v>
      </c>
      <c r="J413" s="186">
        <f ca="1">IFERROR(__xludf.DUMMYFUNCTION("""COMPUTED_VALUE"""),0)</f>
        <v>0</v>
      </c>
      <c r="K413" s="165">
        <f ca="1">IFERROR(__xludf.DUMMYFUNCTION("""COMPUTED_VALUE"""),3151)</f>
        <v>3151</v>
      </c>
      <c r="L413" s="186">
        <f ca="1">IFERROR(__xludf.DUMMYFUNCTION("""COMPUTED_VALUE"""),0)</f>
        <v>0</v>
      </c>
      <c r="M413" s="165">
        <f ca="1">IFERROR(__xludf.DUMMYFUNCTION("""COMPUTED_VALUE"""),0)</f>
        <v>0</v>
      </c>
      <c r="N413" s="186">
        <f ca="1">IFERROR(__xludf.DUMMYFUNCTION("""COMPUTED_VALUE"""),0)</f>
        <v>0</v>
      </c>
      <c r="O413" s="165">
        <f ca="1">IFERROR(__xludf.DUMMYFUNCTION("""COMPUTED_VALUE"""),0)</f>
        <v>0</v>
      </c>
      <c r="P413" s="186">
        <f ca="1">IFERROR(__xludf.DUMMYFUNCTION("""COMPUTED_VALUE"""),108.8)</f>
        <v>108.8</v>
      </c>
      <c r="Q413" s="165">
        <f ca="1">IFERROR(__xludf.DUMMYFUNCTION("""COMPUTED_VALUE"""),0)</f>
        <v>0</v>
      </c>
      <c r="R413" s="186">
        <f ca="1">IFERROR(__xludf.DUMMYFUNCTION("""COMPUTED_VALUE"""),0)</f>
        <v>0</v>
      </c>
      <c r="S413" s="165">
        <f ca="1">IFERROR(__xludf.DUMMYFUNCTION("""COMPUTED_VALUE"""),0)</f>
        <v>0</v>
      </c>
      <c r="T413" s="186">
        <f ca="1">IFERROR(__xludf.DUMMYFUNCTION("""COMPUTED_VALUE"""),0)</f>
        <v>0</v>
      </c>
      <c r="U413" s="165">
        <f ca="1"/>
        <v>3259.8</v>
      </c>
    </row>
    <row r="414" spans="1:21" ht="12.75">
      <c r="A414" s="167" t="str">
        <f ca="1">IFERROR(__xludf.DUMMYFUNCTION("""COMPUTED_VALUE"""),"Tocantinópolis")</f>
        <v>Tocantinópolis</v>
      </c>
      <c r="B414" s="33" t="str">
        <f ca="1">IFERROR(__xludf.DUMMYFUNCTION("""COMPUTED_VALUE"""),"Tocantinopolis")</f>
        <v>Tocantinopolis</v>
      </c>
      <c r="C414" s="168" t="str">
        <f ca="1">IFERROR(__xludf.DUMMYFUNCTION("""COMPUTED_VALUE"""),"A. PAIS DA ESC. EST. XV DE NOVEMBRO")</f>
        <v>A. PAIS DA ESC. EST. XV DE NOVEMBRO</v>
      </c>
      <c r="D414" s="183" t="str">
        <f ca="1">IFERROR(__xludf.DUMMYFUNCTION("""COMPUTED_VALUE"""),"01213520000145")</f>
        <v>01213520000145</v>
      </c>
      <c r="E414" s="170" t="str">
        <f ca="1">IFERROR(__xludf.DUMMYFUNCTION("""COMPUTED_VALUE"""),"001")</f>
        <v>001</v>
      </c>
      <c r="F414" s="37" t="str">
        <f ca="1">IFERROR(__xludf.DUMMYFUNCTION("""COMPUTED_VALUE"""),"0810")</f>
        <v>0810</v>
      </c>
      <c r="G414" s="170" t="str">
        <f ca="1">IFERROR(__xludf.DUMMYFUNCTION("""COMPUTED_VALUE"""),"58238")</f>
        <v>58238</v>
      </c>
      <c r="H414" s="37">
        <f ca="1">IFERROR(__xludf.DUMMYFUNCTION("""COMPUTED_VALUE"""),0)</f>
        <v>0</v>
      </c>
      <c r="I414" s="170">
        <f ca="1">IFERROR(__xludf.DUMMYFUNCTION("""COMPUTED_VALUE"""),0)</f>
        <v>0</v>
      </c>
      <c r="J414" s="37">
        <f ca="1">IFERROR(__xludf.DUMMYFUNCTION("""COMPUTED_VALUE"""),0)</f>
        <v>0</v>
      </c>
      <c r="K414" s="170">
        <f ca="1">IFERROR(__xludf.DUMMYFUNCTION("""COMPUTED_VALUE"""),4438.8)</f>
        <v>4438.8</v>
      </c>
      <c r="L414" s="37">
        <f ca="1">IFERROR(__xludf.DUMMYFUNCTION("""COMPUTED_VALUE"""),0)</f>
        <v>0</v>
      </c>
      <c r="M414" s="170">
        <f ca="1">IFERROR(__xludf.DUMMYFUNCTION("""COMPUTED_VALUE"""),0)</f>
        <v>0</v>
      </c>
      <c r="N414" s="37">
        <f ca="1">IFERROR(__xludf.DUMMYFUNCTION("""COMPUTED_VALUE"""),0)</f>
        <v>0</v>
      </c>
      <c r="O414" s="170">
        <f ca="1">IFERROR(__xludf.DUMMYFUNCTION("""COMPUTED_VALUE"""),0)</f>
        <v>0</v>
      </c>
      <c r="P414" s="37">
        <f ca="1">IFERROR(__xludf.DUMMYFUNCTION("""COMPUTED_VALUE"""),258.4)</f>
        <v>258.39999999999998</v>
      </c>
      <c r="Q414" s="170">
        <f ca="1">IFERROR(__xludf.DUMMYFUNCTION("""COMPUTED_VALUE"""),0)</f>
        <v>0</v>
      </c>
      <c r="R414" s="37">
        <f ca="1">IFERROR(__xludf.DUMMYFUNCTION("""COMPUTED_VALUE"""),0)</f>
        <v>0</v>
      </c>
      <c r="S414" s="170">
        <f ca="1">IFERROR(__xludf.DUMMYFUNCTION("""COMPUTED_VALUE"""),0)</f>
        <v>0</v>
      </c>
      <c r="T414" s="37">
        <f ca="1">IFERROR(__xludf.DUMMYFUNCTION("""COMPUTED_VALUE"""),0)</f>
        <v>0</v>
      </c>
      <c r="U414" s="170">
        <f ca="1"/>
        <v>4697.2</v>
      </c>
    </row>
    <row r="415" spans="1:21" ht="12.75">
      <c r="A415" s="162" t="str">
        <f ca="1">IFERROR(__xludf.DUMMYFUNCTION("""COMPUTED_VALUE"""),"Tocantinópolis")</f>
        <v>Tocantinópolis</v>
      </c>
      <c r="B415" s="184" t="str">
        <f ca="1">IFERROR(__xludf.DUMMYFUNCTION("""COMPUTED_VALUE"""),"Tocantinopolis")</f>
        <v>Tocantinopolis</v>
      </c>
      <c r="C415" s="163" t="str">
        <f ca="1">IFERROR(__xludf.DUMMYFUNCTION("""COMPUTED_VALUE"""),"A. ESCOLAR COM. PE. GIULIANO MORETTI")</f>
        <v>A. ESCOLAR COM. PE. GIULIANO MORETTI</v>
      </c>
      <c r="D415" s="185" t="str">
        <f ca="1">IFERROR(__xludf.DUMMYFUNCTION("""COMPUTED_VALUE"""),"00900202000190")</f>
        <v>00900202000190</v>
      </c>
      <c r="E415" s="165" t="str">
        <f ca="1">IFERROR(__xludf.DUMMYFUNCTION("""COMPUTED_VALUE"""),"001")</f>
        <v>001</v>
      </c>
      <c r="F415" s="186" t="str">
        <f ca="1">IFERROR(__xludf.DUMMYFUNCTION("""COMPUTED_VALUE"""),"0810")</f>
        <v>0810</v>
      </c>
      <c r="G415" s="165" t="str">
        <f ca="1">IFERROR(__xludf.DUMMYFUNCTION("""COMPUTED_VALUE"""),"217484")</f>
        <v>217484</v>
      </c>
      <c r="H415" s="186">
        <f ca="1">IFERROR(__xludf.DUMMYFUNCTION("""COMPUTED_VALUE"""),0)</f>
        <v>0</v>
      </c>
      <c r="I415" s="165">
        <f ca="1">IFERROR(__xludf.DUMMYFUNCTION("""COMPUTED_VALUE"""),0)</f>
        <v>0</v>
      </c>
      <c r="J415" s="186">
        <f ca="1">IFERROR(__xludf.DUMMYFUNCTION("""COMPUTED_VALUE"""),2700)</f>
        <v>2700</v>
      </c>
      <c r="K415" s="165">
        <f ca="1">IFERROR(__xludf.DUMMYFUNCTION("""COMPUTED_VALUE"""),0)</f>
        <v>0</v>
      </c>
      <c r="L415" s="186">
        <f ca="1">IFERROR(__xludf.DUMMYFUNCTION("""COMPUTED_VALUE"""),0)</f>
        <v>0</v>
      </c>
      <c r="M415" s="165">
        <f ca="1">IFERROR(__xludf.DUMMYFUNCTION("""COMPUTED_VALUE"""),0)</f>
        <v>0</v>
      </c>
      <c r="N415" s="186">
        <f ca="1">IFERROR(__xludf.DUMMYFUNCTION("""COMPUTED_VALUE"""),0)</f>
        <v>0</v>
      </c>
      <c r="O415" s="165">
        <f ca="1">IFERROR(__xludf.DUMMYFUNCTION("""COMPUTED_VALUE"""),0)</f>
        <v>0</v>
      </c>
      <c r="P415" s="186">
        <f ca="1">IFERROR(__xludf.DUMMYFUNCTION("""COMPUTED_VALUE"""),816)</f>
        <v>816</v>
      </c>
      <c r="Q415" s="165">
        <f ca="1">IFERROR(__xludf.DUMMYFUNCTION("""COMPUTED_VALUE"""),0)</f>
        <v>0</v>
      </c>
      <c r="R415" s="186">
        <f ca="1">IFERROR(__xludf.DUMMYFUNCTION("""COMPUTED_VALUE"""),0)</f>
        <v>0</v>
      </c>
      <c r="S415" s="165">
        <f ca="1">IFERROR(__xludf.DUMMYFUNCTION("""COMPUTED_VALUE"""),0)</f>
        <v>0</v>
      </c>
      <c r="T415" s="186">
        <f ca="1">IFERROR(__xludf.DUMMYFUNCTION("""COMPUTED_VALUE"""),475.599999999999)</f>
        <v>475.599999999999</v>
      </c>
      <c r="U415" s="165">
        <f ca="1"/>
        <v>3991.599999999999</v>
      </c>
    </row>
    <row r="416" spans="1:21" ht="12.75">
      <c r="A416" s="187" t="str">
        <f ca="1">IFERROR(__xludf.DUMMYFUNCTION("""COMPUTED_VALUE"""),"Tocantinópolis")</f>
        <v>Tocantinópolis</v>
      </c>
      <c r="B416" s="187" t="str">
        <f ca="1">IFERROR(__xludf.DUMMYFUNCTION("""COMPUTED_VALUE"""),"Tocantinopolis")</f>
        <v>Tocantinopolis</v>
      </c>
      <c r="C416" s="188" t="str">
        <f ca="1">IFERROR(__xludf.DUMMYFUNCTION("""COMPUTED_VALUE"""),"A. DA ESCOLA PAROQUIAL CRISTO REI")</f>
        <v>A. DA ESCOLA PAROQUIAL CRISTO REI</v>
      </c>
      <c r="D416" s="189" t="str">
        <f ca="1">IFERROR(__xludf.DUMMYFUNCTION("""COMPUTED_VALUE"""),"02026329000157")</f>
        <v>02026329000157</v>
      </c>
      <c r="E416" s="190" t="str">
        <f ca="1">IFERROR(__xludf.DUMMYFUNCTION("""COMPUTED_VALUE"""),"001")</f>
        <v>001</v>
      </c>
      <c r="F416" s="190" t="str">
        <f ca="1">IFERROR(__xludf.DUMMYFUNCTION("""COMPUTED_VALUE"""),"0810")</f>
        <v>0810</v>
      </c>
      <c r="G416" s="190" t="str">
        <f ca="1">IFERROR(__xludf.DUMMYFUNCTION("""COMPUTED_VALUE"""),"58149")</f>
        <v>58149</v>
      </c>
      <c r="H416" s="190">
        <f ca="1">IFERROR(__xludf.DUMMYFUNCTION("""COMPUTED_VALUE"""),0)</f>
        <v>0</v>
      </c>
      <c r="I416" s="190">
        <f ca="1">IFERROR(__xludf.DUMMYFUNCTION("""COMPUTED_VALUE"""),0)</f>
        <v>0</v>
      </c>
      <c r="J416" s="190">
        <f ca="1">IFERROR(__xludf.DUMMYFUNCTION("""COMPUTED_VALUE"""),4510)</f>
        <v>4510</v>
      </c>
      <c r="K416" s="190">
        <f ca="1">IFERROR(__xludf.DUMMYFUNCTION("""COMPUTED_VALUE"""),0)</f>
        <v>0</v>
      </c>
      <c r="L416" s="190">
        <f ca="1">IFERROR(__xludf.DUMMYFUNCTION("""COMPUTED_VALUE"""),0)</f>
        <v>0</v>
      </c>
      <c r="M416" s="190">
        <f ca="1">IFERROR(__xludf.DUMMYFUNCTION("""COMPUTED_VALUE"""),0)</f>
        <v>0</v>
      </c>
      <c r="N416" s="190">
        <f ca="1">IFERROR(__xludf.DUMMYFUNCTION("""COMPUTED_VALUE"""),0)</f>
        <v>0</v>
      </c>
      <c r="O416" s="190">
        <f ca="1">IFERROR(__xludf.DUMMYFUNCTION("""COMPUTED_VALUE"""),0)</f>
        <v>0</v>
      </c>
      <c r="P416" s="190">
        <f ca="1">IFERROR(__xludf.DUMMYFUNCTION("""COMPUTED_VALUE"""),462.4)</f>
        <v>462.4</v>
      </c>
      <c r="Q416" s="190">
        <f ca="1">IFERROR(__xludf.DUMMYFUNCTION("""COMPUTED_VALUE"""),650)</f>
        <v>650</v>
      </c>
      <c r="R416" s="190">
        <f ca="1">IFERROR(__xludf.DUMMYFUNCTION("""COMPUTED_VALUE"""),0)</f>
        <v>0</v>
      </c>
      <c r="S416" s="190">
        <f ca="1">IFERROR(__xludf.DUMMYFUNCTION("""COMPUTED_VALUE"""),0)</f>
        <v>0</v>
      </c>
      <c r="T416" s="190">
        <f ca="1">IFERROR(__xludf.DUMMYFUNCTION("""COMPUTED_VALUE"""),0)</f>
        <v>0</v>
      </c>
      <c r="U416" s="190">
        <f ca="1"/>
        <v>5622.4</v>
      </c>
    </row>
    <row r="417" spans="1:21" ht="12.75">
      <c r="A417" s="184"/>
      <c r="B417" s="184"/>
      <c r="C417" s="191"/>
      <c r="D417" s="185"/>
      <c r="E417" s="186"/>
      <c r="F417" s="186"/>
      <c r="G417" s="186"/>
      <c r="H417" s="186"/>
      <c r="I417" s="186"/>
      <c r="J417" s="186"/>
      <c r="K417" s="186"/>
      <c r="L417" s="186"/>
      <c r="M417" s="186"/>
      <c r="N417" s="186"/>
      <c r="O417" s="186"/>
      <c r="P417" s="186"/>
      <c r="Q417" s="186"/>
      <c r="R417" s="186"/>
      <c r="S417" s="186"/>
      <c r="T417" s="186"/>
      <c r="U417" s="186">
        <v>0</v>
      </c>
    </row>
    <row r="418" spans="1:21" ht="12.75">
      <c r="A418" s="33"/>
      <c r="B418" s="33"/>
      <c r="C418" s="34"/>
      <c r="D418" s="183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>
        <v>0</v>
      </c>
    </row>
    <row r="419" spans="1:21" ht="12.75">
      <c r="A419" s="184"/>
      <c r="B419" s="184"/>
      <c r="C419" s="191"/>
      <c r="D419" s="185"/>
      <c r="E419" s="186"/>
      <c r="F419" s="186"/>
      <c r="G419" s="186"/>
      <c r="H419" s="186"/>
      <c r="I419" s="186"/>
      <c r="J419" s="186"/>
      <c r="K419" s="186"/>
      <c r="L419" s="186"/>
      <c r="M419" s="186"/>
      <c r="N419" s="186"/>
      <c r="O419" s="186"/>
      <c r="P419" s="186"/>
      <c r="Q419" s="186"/>
      <c r="R419" s="186"/>
      <c r="S419" s="186"/>
      <c r="T419" s="186"/>
      <c r="U419" s="186">
        <v>0</v>
      </c>
    </row>
    <row r="420" spans="1:21" ht="12.75">
      <c r="A420" s="33"/>
      <c r="B420" s="33"/>
      <c r="C420" s="34"/>
      <c r="D420" s="183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>
        <v>0</v>
      </c>
    </row>
    <row r="421" spans="1:21" ht="12.75">
      <c r="A421" s="184"/>
      <c r="B421" s="184"/>
      <c r="C421" s="191"/>
      <c r="D421" s="185"/>
      <c r="E421" s="186"/>
      <c r="F421" s="186"/>
      <c r="G421" s="186"/>
      <c r="H421" s="186"/>
      <c r="I421" s="186"/>
      <c r="J421" s="186"/>
      <c r="K421" s="186"/>
      <c r="L421" s="186"/>
      <c r="M421" s="186"/>
      <c r="N421" s="186"/>
      <c r="O421" s="186"/>
      <c r="P421" s="186"/>
      <c r="Q421" s="186"/>
      <c r="R421" s="186"/>
      <c r="S421" s="186"/>
      <c r="T421" s="186"/>
      <c r="U421" s="186">
        <v>0</v>
      </c>
    </row>
    <row r="422" spans="1:21" ht="12.75">
      <c r="A422" s="33"/>
      <c r="B422" s="33"/>
      <c r="C422" s="34"/>
      <c r="D422" s="183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>
        <v>0</v>
      </c>
    </row>
    <row r="423" spans="1:21" ht="12.75">
      <c r="A423" s="184"/>
      <c r="B423" s="184"/>
      <c r="C423" s="191"/>
      <c r="D423" s="185"/>
      <c r="E423" s="186"/>
      <c r="F423" s="186"/>
      <c r="G423" s="186"/>
      <c r="H423" s="186"/>
      <c r="I423" s="186"/>
      <c r="J423" s="186"/>
      <c r="K423" s="186"/>
      <c r="L423" s="186"/>
      <c r="M423" s="186"/>
      <c r="N423" s="186"/>
      <c r="O423" s="186"/>
      <c r="P423" s="186"/>
      <c r="Q423" s="186"/>
      <c r="R423" s="186"/>
      <c r="S423" s="186"/>
      <c r="T423" s="186"/>
      <c r="U423" s="186">
        <v>0</v>
      </c>
    </row>
    <row r="424" spans="1:21" ht="12.75">
      <c r="A424" s="33"/>
      <c r="B424" s="33"/>
      <c r="C424" s="34"/>
      <c r="D424" s="183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>
        <v>0</v>
      </c>
    </row>
    <row r="425" spans="1:21" ht="12.75">
      <c r="A425" s="184"/>
      <c r="B425" s="184"/>
      <c r="C425" s="191"/>
      <c r="D425" s="185"/>
      <c r="E425" s="186"/>
      <c r="F425" s="186"/>
      <c r="G425" s="186"/>
      <c r="H425" s="186"/>
      <c r="I425" s="186"/>
      <c r="J425" s="186"/>
      <c r="K425" s="186"/>
      <c r="L425" s="186"/>
      <c r="M425" s="186"/>
      <c r="N425" s="186"/>
      <c r="O425" s="186"/>
      <c r="P425" s="186"/>
      <c r="Q425" s="186"/>
      <c r="R425" s="186"/>
      <c r="S425" s="186"/>
      <c r="T425" s="186"/>
      <c r="U425" s="186">
        <v>0</v>
      </c>
    </row>
    <row r="426" spans="1:21" ht="12.75">
      <c r="A426" s="33"/>
      <c r="B426" s="33"/>
      <c r="C426" s="34"/>
      <c r="D426" s="183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>
        <v>0</v>
      </c>
    </row>
    <row r="427" spans="1:21" ht="12.75">
      <c r="A427" s="184"/>
      <c r="B427" s="184"/>
      <c r="C427" s="191"/>
      <c r="D427" s="185"/>
      <c r="E427" s="186"/>
      <c r="F427" s="186"/>
      <c r="G427" s="186"/>
      <c r="H427" s="186"/>
      <c r="I427" s="186"/>
      <c r="J427" s="186"/>
      <c r="K427" s="186"/>
      <c r="L427" s="186"/>
      <c r="M427" s="186"/>
      <c r="N427" s="186"/>
      <c r="O427" s="186"/>
      <c r="P427" s="186"/>
      <c r="Q427" s="186"/>
      <c r="R427" s="186"/>
      <c r="S427" s="186"/>
      <c r="T427" s="186"/>
      <c r="U427" s="186">
        <v>0</v>
      </c>
    </row>
    <row r="428" spans="1:21" ht="12.75">
      <c r="A428" s="33"/>
      <c r="B428" s="33"/>
      <c r="C428" s="34"/>
      <c r="D428" s="183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>
        <v>0</v>
      </c>
    </row>
    <row r="429" spans="1:21" ht="12.75">
      <c r="A429" s="184"/>
      <c r="B429" s="184"/>
      <c r="C429" s="191"/>
      <c r="D429" s="185"/>
      <c r="E429" s="186"/>
      <c r="F429" s="186"/>
      <c r="G429" s="186"/>
      <c r="H429" s="186"/>
      <c r="I429" s="186"/>
      <c r="J429" s="186"/>
      <c r="K429" s="186"/>
      <c r="L429" s="186"/>
      <c r="M429" s="186"/>
      <c r="N429" s="186"/>
      <c r="O429" s="186"/>
      <c r="P429" s="186"/>
      <c r="Q429" s="186"/>
      <c r="R429" s="186"/>
      <c r="S429" s="186"/>
      <c r="T429" s="186"/>
      <c r="U429" s="186">
        <v>0</v>
      </c>
    </row>
    <row r="430" spans="1:21" ht="12.75">
      <c r="A430" s="33"/>
      <c r="B430" s="33"/>
      <c r="C430" s="34"/>
      <c r="D430" s="183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>
        <v>0</v>
      </c>
    </row>
    <row r="431" spans="1:21" ht="12.75">
      <c r="A431" s="184"/>
      <c r="B431" s="184"/>
      <c r="C431" s="191"/>
      <c r="D431" s="185"/>
      <c r="E431" s="186"/>
      <c r="F431" s="186"/>
      <c r="G431" s="186"/>
      <c r="H431" s="186"/>
      <c r="I431" s="186"/>
      <c r="J431" s="186"/>
      <c r="K431" s="186"/>
      <c r="L431" s="186"/>
      <c r="M431" s="186"/>
      <c r="N431" s="186"/>
      <c r="O431" s="186"/>
      <c r="P431" s="186"/>
      <c r="Q431" s="186"/>
      <c r="R431" s="186"/>
      <c r="S431" s="186"/>
      <c r="T431" s="186"/>
      <c r="U431" s="186">
        <v>0</v>
      </c>
    </row>
    <row r="432" spans="1:21" ht="12.75">
      <c r="A432" s="33"/>
      <c r="B432" s="33"/>
      <c r="C432" s="34"/>
      <c r="D432" s="183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>
        <v>0</v>
      </c>
    </row>
    <row r="433" spans="1:21" ht="12.75">
      <c r="A433" s="184"/>
      <c r="B433" s="184"/>
      <c r="C433" s="191"/>
      <c r="D433" s="185"/>
      <c r="E433" s="186"/>
      <c r="F433" s="186"/>
      <c r="G433" s="186"/>
      <c r="H433" s="186"/>
      <c r="I433" s="186"/>
      <c r="J433" s="186"/>
      <c r="K433" s="186"/>
      <c r="L433" s="186"/>
      <c r="M433" s="186"/>
      <c r="N433" s="186"/>
      <c r="O433" s="186"/>
      <c r="P433" s="186"/>
      <c r="Q433" s="186"/>
      <c r="R433" s="186"/>
      <c r="S433" s="186"/>
      <c r="T433" s="186"/>
      <c r="U433" s="186">
        <v>0</v>
      </c>
    </row>
    <row r="434" spans="1:21" ht="12.75">
      <c r="A434" s="33"/>
      <c r="B434" s="33"/>
      <c r="C434" s="34"/>
      <c r="D434" s="183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>
        <v>0</v>
      </c>
    </row>
    <row r="435" spans="1:21" ht="12.75">
      <c r="A435" s="184"/>
      <c r="B435" s="184"/>
      <c r="C435" s="191"/>
      <c r="D435" s="185"/>
      <c r="E435" s="186"/>
      <c r="F435" s="186"/>
      <c r="G435" s="186"/>
      <c r="H435" s="186"/>
      <c r="I435" s="186"/>
      <c r="J435" s="186"/>
      <c r="K435" s="186"/>
      <c r="L435" s="186"/>
      <c r="M435" s="186"/>
      <c r="N435" s="186"/>
      <c r="O435" s="186"/>
      <c r="P435" s="186"/>
      <c r="Q435" s="186"/>
      <c r="R435" s="186"/>
      <c r="S435" s="186"/>
      <c r="T435" s="186"/>
      <c r="U435" s="186">
        <v>0</v>
      </c>
    </row>
    <row r="436" spans="1:21" ht="12.75">
      <c r="A436" s="33"/>
      <c r="B436" s="33"/>
      <c r="C436" s="34"/>
      <c r="D436" s="183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>
        <v>0</v>
      </c>
    </row>
    <row r="437" spans="1:21" ht="12.75">
      <c r="A437" s="184"/>
      <c r="B437" s="184"/>
      <c r="C437" s="191"/>
      <c r="D437" s="185"/>
      <c r="E437" s="186"/>
      <c r="F437" s="186"/>
      <c r="G437" s="186"/>
      <c r="H437" s="186"/>
      <c r="I437" s="186"/>
      <c r="J437" s="186"/>
      <c r="K437" s="186"/>
      <c r="L437" s="186"/>
      <c r="M437" s="186"/>
      <c r="N437" s="186"/>
      <c r="O437" s="186"/>
      <c r="P437" s="186"/>
      <c r="Q437" s="186"/>
      <c r="R437" s="186"/>
      <c r="S437" s="186"/>
      <c r="T437" s="186"/>
      <c r="U437" s="186">
        <v>0</v>
      </c>
    </row>
    <row r="438" spans="1:21" ht="12.75">
      <c r="A438" s="33"/>
      <c r="B438" s="33"/>
      <c r="C438" s="34"/>
      <c r="D438" s="183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>
        <v>0</v>
      </c>
    </row>
    <row r="439" spans="1:21" ht="12.75">
      <c r="A439" s="184"/>
      <c r="B439" s="184"/>
      <c r="C439" s="191"/>
      <c r="D439" s="185"/>
      <c r="E439" s="186"/>
      <c r="F439" s="186"/>
      <c r="G439" s="186"/>
      <c r="H439" s="186"/>
      <c r="I439" s="186"/>
      <c r="J439" s="186"/>
      <c r="K439" s="186"/>
      <c r="L439" s="186"/>
      <c r="M439" s="186"/>
      <c r="N439" s="186"/>
      <c r="O439" s="186"/>
      <c r="P439" s="186"/>
      <c r="Q439" s="186"/>
      <c r="R439" s="186"/>
      <c r="S439" s="186"/>
      <c r="T439" s="186"/>
      <c r="U439" s="186">
        <v>0</v>
      </c>
    </row>
    <row r="440" spans="1:21" ht="12.75">
      <c r="A440" s="33"/>
      <c r="B440" s="33"/>
      <c r="C440" s="34"/>
      <c r="D440" s="183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>
        <v>0</v>
      </c>
    </row>
    <row r="441" spans="1:21" ht="12.75">
      <c r="A441" s="184"/>
      <c r="B441" s="184"/>
      <c r="C441" s="191"/>
      <c r="D441" s="185"/>
      <c r="E441" s="186"/>
      <c r="F441" s="186"/>
      <c r="G441" s="186"/>
      <c r="H441" s="186"/>
      <c r="I441" s="186"/>
      <c r="J441" s="186"/>
      <c r="K441" s="186"/>
      <c r="L441" s="186"/>
      <c r="M441" s="186"/>
      <c r="N441" s="186"/>
      <c r="O441" s="186"/>
      <c r="P441" s="186"/>
      <c r="Q441" s="186"/>
      <c r="R441" s="186"/>
      <c r="S441" s="186"/>
      <c r="T441" s="186"/>
      <c r="U441" s="186">
        <v>0</v>
      </c>
    </row>
    <row r="442" spans="1:21" ht="12.75">
      <c r="A442" s="33"/>
      <c r="B442" s="33"/>
      <c r="C442" s="34"/>
      <c r="D442" s="183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>
        <v>0</v>
      </c>
    </row>
    <row r="443" spans="1:21" ht="12.75">
      <c r="A443" s="184"/>
      <c r="B443" s="184"/>
      <c r="C443" s="191"/>
      <c r="D443" s="185"/>
      <c r="E443" s="186"/>
      <c r="F443" s="186"/>
      <c r="G443" s="186"/>
      <c r="H443" s="186"/>
      <c r="I443" s="186"/>
      <c r="J443" s="186"/>
      <c r="K443" s="186"/>
      <c r="L443" s="186"/>
      <c r="M443" s="186"/>
      <c r="N443" s="186"/>
      <c r="O443" s="186"/>
      <c r="P443" s="186"/>
      <c r="Q443" s="186"/>
      <c r="R443" s="186"/>
      <c r="S443" s="186"/>
      <c r="T443" s="186"/>
      <c r="U443" s="186">
        <v>0</v>
      </c>
    </row>
    <row r="444" spans="1:21" ht="12.75">
      <c r="A444" s="33"/>
      <c r="B444" s="33"/>
      <c r="C444" s="34"/>
      <c r="D444" s="183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>
        <v>0</v>
      </c>
    </row>
    <row r="445" spans="1:21" ht="12.75">
      <c r="A445" s="184"/>
      <c r="B445" s="184"/>
      <c r="C445" s="191"/>
      <c r="D445" s="185"/>
      <c r="E445" s="186"/>
      <c r="F445" s="186"/>
      <c r="G445" s="186"/>
      <c r="H445" s="186"/>
      <c r="I445" s="186"/>
      <c r="J445" s="186"/>
      <c r="K445" s="186"/>
      <c r="L445" s="186"/>
      <c r="M445" s="186"/>
      <c r="N445" s="186"/>
      <c r="O445" s="186"/>
      <c r="P445" s="186"/>
      <c r="Q445" s="186"/>
      <c r="R445" s="186"/>
      <c r="S445" s="186"/>
      <c r="T445" s="186"/>
      <c r="U445" s="186">
        <v>0</v>
      </c>
    </row>
    <row r="446" spans="1:21" ht="12.75">
      <c r="A446" s="33"/>
      <c r="B446" s="33"/>
      <c r="C446" s="34"/>
      <c r="D446" s="183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>
        <v>0</v>
      </c>
    </row>
    <row r="447" spans="1:21" ht="12.75">
      <c r="A447" s="184"/>
      <c r="B447" s="184"/>
      <c r="C447" s="191"/>
      <c r="D447" s="185"/>
      <c r="E447" s="186"/>
      <c r="F447" s="186"/>
      <c r="G447" s="186"/>
      <c r="H447" s="186"/>
      <c r="I447" s="186"/>
      <c r="J447" s="186"/>
      <c r="K447" s="186"/>
      <c r="L447" s="186"/>
      <c r="M447" s="186"/>
      <c r="N447" s="186"/>
      <c r="O447" s="186"/>
      <c r="P447" s="186"/>
      <c r="Q447" s="186"/>
      <c r="R447" s="186"/>
      <c r="S447" s="186"/>
      <c r="T447" s="186"/>
      <c r="U447" s="186">
        <v>0</v>
      </c>
    </row>
    <row r="448" spans="1:21" ht="12.75">
      <c r="A448" s="33"/>
      <c r="B448" s="33"/>
      <c r="C448" s="34"/>
      <c r="D448" s="183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>
        <v>0</v>
      </c>
    </row>
    <row r="449" spans="1:21" ht="12.75">
      <c r="A449" s="184"/>
      <c r="B449" s="184"/>
      <c r="C449" s="191"/>
      <c r="D449" s="185"/>
      <c r="E449" s="186"/>
      <c r="F449" s="186"/>
      <c r="G449" s="186"/>
      <c r="H449" s="186"/>
      <c r="I449" s="186"/>
      <c r="J449" s="186"/>
      <c r="K449" s="186"/>
      <c r="L449" s="186"/>
      <c r="M449" s="186"/>
      <c r="N449" s="186"/>
      <c r="O449" s="186"/>
      <c r="P449" s="186"/>
      <c r="Q449" s="186"/>
      <c r="R449" s="186"/>
      <c r="S449" s="186"/>
      <c r="T449" s="186"/>
      <c r="U449" s="186">
        <v>0</v>
      </c>
    </row>
    <row r="450" spans="1:21" ht="12.75">
      <c r="A450" s="33"/>
      <c r="B450" s="33"/>
      <c r="C450" s="34"/>
      <c r="D450" s="183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>
        <v>0</v>
      </c>
    </row>
    <row r="451" spans="1:21" ht="12.75">
      <c r="A451" s="184"/>
      <c r="B451" s="184"/>
      <c r="C451" s="191"/>
      <c r="D451" s="185"/>
      <c r="E451" s="186"/>
      <c r="F451" s="186"/>
      <c r="G451" s="186"/>
      <c r="H451" s="186"/>
      <c r="I451" s="186"/>
      <c r="J451" s="186"/>
      <c r="K451" s="186"/>
      <c r="L451" s="186"/>
      <c r="M451" s="186"/>
      <c r="N451" s="186"/>
      <c r="O451" s="186"/>
      <c r="P451" s="186"/>
      <c r="Q451" s="186"/>
      <c r="R451" s="186"/>
      <c r="S451" s="186"/>
      <c r="T451" s="186"/>
      <c r="U451" s="186">
        <v>0</v>
      </c>
    </row>
    <row r="452" spans="1:21" ht="12.75">
      <c r="A452" s="33"/>
      <c r="B452" s="33"/>
      <c r="C452" s="34"/>
      <c r="D452" s="183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>
        <v>0</v>
      </c>
    </row>
    <row r="453" spans="1:21" ht="12.75">
      <c r="A453" s="184"/>
      <c r="B453" s="184"/>
      <c r="C453" s="191"/>
      <c r="D453" s="185"/>
      <c r="E453" s="186"/>
      <c r="F453" s="186"/>
      <c r="G453" s="186"/>
      <c r="H453" s="186"/>
      <c r="I453" s="186"/>
      <c r="J453" s="186"/>
      <c r="K453" s="186"/>
      <c r="L453" s="186"/>
      <c r="M453" s="186"/>
      <c r="N453" s="186"/>
      <c r="O453" s="186"/>
      <c r="P453" s="186"/>
      <c r="Q453" s="186"/>
      <c r="R453" s="186"/>
      <c r="S453" s="186"/>
      <c r="T453" s="186"/>
      <c r="U453" s="186">
        <v>0</v>
      </c>
    </row>
    <row r="454" spans="1:21" ht="12.75">
      <c r="A454" s="33"/>
      <c r="B454" s="33"/>
      <c r="C454" s="34"/>
      <c r="D454" s="183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>
        <v>0</v>
      </c>
    </row>
    <row r="455" spans="1:21" ht="12.75">
      <c r="A455" s="184"/>
      <c r="B455" s="184"/>
      <c r="C455" s="191"/>
      <c r="D455" s="185"/>
      <c r="E455" s="186"/>
      <c r="F455" s="186"/>
      <c r="G455" s="186"/>
      <c r="H455" s="186"/>
      <c r="I455" s="186"/>
      <c r="J455" s="186"/>
      <c r="K455" s="186"/>
      <c r="L455" s="186"/>
      <c r="M455" s="186"/>
      <c r="N455" s="186"/>
      <c r="O455" s="186"/>
      <c r="P455" s="186"/>
      <c r="Q455" s="186"/>
      <c r="R455" s="186"/>
      <c r="S455" s="186"/>
      <c r="T455" s="186"/>
      <c r="U455" s="186">
        <v>0</v>
      </c>
    </row>
    <row r="456" spans="1:21" ht="12.75">
      <c r="A456" s="33"/>
      <c r="B456" s="33"/>
      <c r="C456" s="34"/>
      <c r="D456" s="183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>
        <v>0</v>
      </c>
    </row>
    <row r="457" spans="1:21" ht="12.75">
      <c r="A457" s="184"/>
      <c r="B457" s="184"/>
      <c r="C457" s="191"/>
      <c r="D457" s="185"/>
      <c r="E457" s="186"/>
      <c r="F457" s="186"/>
      <c r="G457" s="186"/>
      <c r="H457" s="186"/>
      <c r="I457" s="186"/>
      <c r="J457" s="186"/>
      <c r="K457" s="186"/>
      <c r="L457" s="186"/>
      <c r="M457" s="186"/>
      <c r="N457" s="186"/>
      <c r="O457" s="186"/>
      <c r="P457" s="186"/>
      <c r="Q457" s="186"/>
      <c r="R457" s="186"/>
      <c r="S457" s="186"/>
      <c r="T457" s="186"/>
      <c r="U457" s="186">
        <v>0</v>
      </c>
    </row>
    <row r="458" spans="1:21" ht="12.75">
      <c r="A458" s="33"/>
      <c r="B458" s="33"/>
      <c r="C458" s="34"/>
      <c r="D458" s="183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>
        <v>0</v>
      </c>
    </row>
    <row r="459" spans="1:21" ht="12.75">
      <c r="A459" s="184"/>
      <c r="B459" s="184"/>
      <c r="C459" s="191"/>
      <c r="D459" s="185"/>
      <c r="E459" s="186"/>
      <c r="F459" s="186"/>
      <c r="G459" s="186"/>
      <c r="H459" s="186"/>
      <c r="I459" s="186"/>
      <c r="J459" s="186"/>
      <c r="K459" s="186"/>
      <c r="L459" s="186"/>
      <c r="M459" s="186"/>
      <c r="N459" s="186"/>
      <c r="O459" s="186"/>
      <c r="P459" s="186"/>
      <c r="Q459" s="186"/>
      <c r="R459" s="186"/>
      <c r="S459" s="186"/>
      <c r="T459" s="186"/>
      <c r="U459" s="186">
        <v>0</v>
      </c>
    </row>
    <row r="460" spans="1:21" ht="12.75">
      <c r="A460" s="33"/>
      <c r="B460" s="33"/>
      <c r="C460" s="34"/>
      <c r="D460" s="183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>
        <v>0</v>
      </c>
    </row>
    <row r="461" spans="1:21" ht="12.75">
      <c r="A461" s="184"/>
      <c r="B461" s="184"/>
      <c r="C461" s="191"/>
      <c r="D461" s="185"/>
      <c r="E461" s="186"/>
      <c r="F461" s="186"/>
      <c r="G461" s="186"/>
      <c r="H461" s="186"/>
      <c r="I461" s="186"/>
      <c r="J461" s="186"/>
      <c r="K461" s="186"/>
      <c r="L461" s="186"/>
      <c r="M461" s="186"/>
      <c r="N461" s="186"/>
      <c r="O461" s="186"/>
      <c r="P461" s="186"/>
      <c r="Q461" s="186"/>
      <c r="R461" s="186"/>
      <c r="S461" s="186"/>
      <c r="T461" s="186"/>
      <c r="U461" s="186">
        <v>0</v>
      </c>
    </row>
    <row r="462" spans="1:21" ht="12.75">
      <c r="A462" s="33"/>
      <c r="B462" s="33"/>
      <c r="C462" s="34"/>
      <c r="D462" s="183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>
        <v>0</v>
      </c>
    </row>
    <row r="463" spans="1:21" ht="12.75">
      <c r="A463" s="184"/>
      <c r="B463" s="184"/>
      <c r="C463" s="191"/>
      <c r="D463" s="185"/>
      <c r="E463" s="186"/>
      <c r="F463" s="186"/>
      <c r="G463" s="186"/>
      <c r="H463" s="186"/>
      <c r="I463" s="186"/>
      <c r="J463" s="186"/>
      <c r="K463" s="186"/>
      <c r="L463" s="186"/>
      <c r="M463" s="186"/>
      <c r="N463" s="186"/>
      <c r="O463" s="186"/>
      <c r="P463" s="186"/>
      <c r="Q463" s="186"/>
      <c r="R463" s="186"/>
      <c r="S463" s="186"/>
      <c r="T463" s="186"/>
      <c r="U463" s="186">
        <v>0</v>
      </c>
    </row>
    <row r="464" spans="1:21" ht="12.75">
      <c r="A464" s="33"/>
      <c r="B464" s="33"/>
      <c r="C464" s="34"/>
      <c r="D464" s="183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>
        <v>0</v>
      </c>
    </row>
    <row r="465" spans="1:21" ht="12.75">
      <c r="A465" s="184"/>
      <c r="B465" s="184"/>
      <c r="C465" s="191"/>
      <c r="D465" s="185"/>
      <c r="E465" s="186"/>
      <c r="F465" s="186"/>
      <c r="G465" s="186"/>
      <c r="H465" s="186"/>
      <c r="I465" s="186"/>
      <c r="J465" s="186"/>
      <c r="K465" s="186"/>
      <c r="L465" s="186"/>
      <c r="M465" s="186"/>
      <c r="N465" s="186"/>
      <c r="O465" s="186"/>
      <c r="P465" s="186"/>
      <c r="Q465" s="186"/>
      <c r="R465" s="186"/>
      <c r="S465" s="186"/>
      <c r="T465" s="186"/>
      <c r="U465" s="186">
        <v>0</v>
      </c>
    </row>
    <row r="466" spans="1:21" ht="12.75">
      <c r="A466" s="33"/>
      <c r="B466" s="33"/>
      <c r="C466" s="34"/>
      <c r="D466" s="183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>
        <v>0</v>
      </c>
    </row>
    <row r="467" spans="1:21" ht="12.75">
      <c r="A467" s="184"/>
      <c r="B467" s="184"/>
      <c r="C467" s="191"/>
      <c r="D467" s="185"/>
      <c r="E467" s="186"/>
      <c r="F467" s="186"/>
      <c r="G467" s="186"/>
      <c r="H467" s="186"/>
      <c r="I467" s="186"/>
      <c r="J467" s="186"/>
      <c r="K467" s="186"/>
      <c r="L467" s="186"/>
      <c r="M467" s="186"/>
      <c r="N467" s="186"/>
      <c r="O467" s="186"/>
      <c r="P467" s="186"/>
      <c r="Q467" s="186"/>
      <c r="R467" s="186"/>
      <c r="S467" s="186"/>
      <c r="T467" s="186"/>
      <c r="U467" s="186">
        <v>0</v>
      </c>
    </row>
    <row r="468" spans="1:21" ht="12.75">
      <c r="A468" s="33"/>
      <c r="B468" s="33"/>
      <c r="C468" s="34"/>
      <c r="D468" s="183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>
        <v>0</v>
      </c>
    </row>
    <row r="469" spans="1:21" ht="12.75">
      <c r="A469" s="184"/>
      <c r="B469" s="184"/>
      <c r="C469" s="191"/>
      <c r="D469" s="185"/>
      <c r="E469" s="186"/>
      <c r="F469" s="186"/>
      <c r="G469" s="186"/>
      <c r="H469" s="186"/>
      <c r="I469" s="186"/>
      <c r="J469" s="186"/>
      <c r="K469" s="186"/>
      <c r="L469" s="186"/>
      <c r="M469" s="186"/>
      <c r="N469" s="186"/>
      <c r="O469" s="186"/>
      <c r="P469" s="186"/>
      <c r="Q469" s="186"/>
      <c r="R469" s="186"/>
      <c r="S469" s="186"/>
      <c r="T469" s="186"/>
      <c r="U469" s="186">
        <v>0</v>
      </c>
    </row>
    <row r="470" spans="1:21" ht="12.75">
      <c r="A470" s="33"/>
      <c r="B470" s="33"/>
      <c r="C470" s="34"/>
      <c r="D470" s="183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>
        <v>0</v>
      </c>
    </row>
    <row r="471" spans="1:21" ht="12.75">
      <c r="A471" s="184"/>
      <c r="B471" s="184"/>
      <c r="C471" s="191"/>
      <c r="D471" s="185"/>
      <c r="E471" s="186"/>
      <c r="F471" s="186"/>
      <c r="G471" s="186"/>
      <c r="H471" s="186"/>
      <c r="I471" s="186"/>
      <c r="J471" s="186"/>
      <c r="K471" s="186"/>
      <c r="L471" s="186"/>
      <c r="M471" s="186"/>
      <c r="N471" s="186"/>
      <c r="O471" s="186"/>
      <c r="P471" s="186"/>
      <c r="Q471" s="186"/>
      <c r="R471" s="186"/>
      <c r="S471" s="186"/>
      <c r="T471" s="186"/>
      <c r="U471" s="186">
        <v>0</v>
      </c>
    </row>
    <row r="472" spans="1:21" ht="12.75">
      <c r="A472" s="33"/>
      <c r="B472" s="33"/>
      <c r="C472" s="34"/>
      <c r="D472" s="183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>
        <v>0</v>
      </c>
    </row>
    <row r="473" spans="1:21" ht="12.75">
      <c r="A473" s="184"/>
      <c r="B473" s="184"/>
      <c r="C473" s="191"/>
      <c r="D473" s="185"/>
      <c r="E473" s="186"/>
      <c r="F473" s="186"/>
      <c r="G473" s="186"/>
      <c r="H473" s="186"/>
      <c r="I473" s="186"/>
      <c r="J473" s="186"/>
      <c r="K473" s="186"/>
      <c r="L473" s="186"/>
      <c r="M473" s="186"/>
      <c r="N473" s="186"/>
      <c r="O473" s="186"/>
      <c r="P473" s="186"/>
      <c r="Q473" s="186"/>
      <c r="R473" s="186"/>
      <c r="S473" s="186"/>
      <c r="T473" s="186"/>
      <c r="U473" s="186">
        <v>0</v>
      </c>
    </row>
    <row r="474" spans="1:21" ht="12.75">
      <c r="A474" s="33"/>
      <c r="B474" s="33"/>
      <c r="C474" s="34"/>
      <c r="D474" s="183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>
        <v>0</v>
      </c>
    </row>
    <row r="475" spans="1:21" ht="12.75">
      <c r="A475" s="184"/>
      <c r="B475" s="184"/>
      <c r="C475" s="191"/>
      <c r="D475" s="185"/>
      <c r="E475" s="186"/>
      <c r="F475" s="186"/>
      <c r="G475" s="186"/>
      <c r="H475" s="186"/>
      <c r="I475" s="186"/>
      <c r="J475" s="186"/>
      <c r="K475" s="186"/>
      <c r="L475" s="186"/>
      <c r="M475" s="186"/>
      <c r="N475" s="186"/>
      <c r="O475" s="186"/>
      <c r="P475" s="186"/>
      <c r="Q475" s="186"/>
      <c r="R475" s="186"/>
      <c r="S475" s="186"/>
      <c r="T475" s="186"/>
      <c r="U475" s="186">
        <v>0</v>
      </c>
    </row>
    <row r="476" spans="1:21" ht="12.75">
      <c r="A476" s="33"/>
      <c r="B476" s="33"/>
      <c r="C476" s="34"/>
      <c r="D476" s="183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>
        <v>0</v>
      </c>
    </row>
    <row r="477" spans="1:21" ht="12.75">
      <c r="A477" s="184"/>
      <c r="B477" s="184"/>
      <c r="C477" s="191"/>
      <c r="D477" s="185"/>
      <c r="E477" s="186"/>
      <c r="F477" s="186"/>
      <c r="G477" s="186"/>
      <c r="H477" s="186"/>
      <c r="I477" s="186"/>
      <c r="J477" s="186"/>
      <c r="K477" s="186"/>
      <c r="L477" s="186"/>
      <c r="M477" s="186"/>
      <c r="N477" s="186"/>
      <c r="O477" s="186"/>
      <c r="P477" s="186"/>
      <c r="Q477" s="186"/>
      <c r="R477" s="186"/>
      <c r="S477" s="186"/>
      <c r="T477" s="186"/>
      <c r="U477" s="186">
        <v>0</v>
      </c>
    </row>
    <row r="478" spans="1:21" ht="12.75">
      <c r="A478" s="33"/>
      <c r="B478" s="33"/>
      <c r="C478" s="34"/>
      <c r="D478" s="183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>
        <v>0</v>
      </c>
    </row>
    <row r="479" spans="1:21" ht="12.75">
      <c r="A479" s="184"/>
      <c r="B479" s="184"/>
      <c r="C479" s="191"/>
      <c r="D479" s="185"/>
      <c r="E479" s="186"/>
      <c r="F479" s="186"/>
      <c r="G479" s="186"/>
      <c r="H479" s="186"/>
      <c r="I479" s="186"/>
      <c r="J479" s="186"/>
      <c r="K479" s="186"/>
      <c r="L479" s="186"/>
      <c r="M479" s="186"/>
      <c r="N479" s="186"/>
      <c r="O479" s="186"/>
      <c r="P479" s="186"/>
      <c r="Q479" s="186"/>
      <c r="R479" s="186"/>
      <c r="S479" s="186"/>
      <c r="T479" s="186"/>
      <c r="U479" s="186">
        <v>0</v>
      </c>
    </row>
    <row r="480" spans="1:21" ht="12.75">
      <c r="A480" s="33"/>
      <c r="B480" s="33"/>
      <c r="C480" s="34"/>
      <c r="D480" s="183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>
        <v>0</v>
      </c>
    </row>
    <row r="481" spans="1:21" ht="12.75">
      <c r="A481" s="184"/>
      <c r="B481" s="184"/>
      <c r="C481" s="191"/>
      <c r="D481" s="185"/>
      <c r="E481" s="186"/>
      <c r="F481" s="186"/>
      <c r="G481" s="186"/>
      <c r="H481" s="186"/>
      <c r="I481" s="186"/>
      <c r="J481" s="186"/>
      <c r="K481" s="186"/>
      <c r="L481" s="186"/>
      <c r="M481" s="186"/>
      <c r="N481" s="186"/>
      <c r="O481" s="186"/>
      <c r="P481" s="186"/>
      <c r="Q481" s="186"/>
      <c r="R481" s="186"/>
      <c r="S481" s="186"/>
      <c r="T481" s="186"/>
      <c r="U481" s="186">
        <v>0</v>
      </c>
    </row>
    <row r="482" spans="1:21" ht="12.75">
      <c r="A482" s="33"/>
      <c r="B482" s="33"/>
      <c r="C482" s="34"/>
      <c r="D482" s="183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>
        <v>0</v>
      </c>
    </row>
    <row r="483" spans="1:21" ht="12.75">
      <c r="A483" s="184"/>
      <c r="B483" s="184"/>
      <c r="C483" s="191"/>
      <c r="D483" s="185"/>
      <c r="E483" s="186"/>
      <c r="F483" s="186"/>
      <c r="G483" s="186"/>
      <c r="H483" s="186"/>
      <c r="I483" s="186"/>
      <c r="J483" s="186"/>
      <c r="K483" s="186"/>
      <c r="L483" s="186"/>
      <c r="M483" s="186"/>
      <c r="N483" s="186"/>
      <c r="O483" s="186"/>
      <c r="P483" s="186"/>
      <c r="Q483" s="186"/>
      <c r="R483" s="186"/>
      <c r="S483" s="186"/>
      <c r="T483" s="186"/>
      <c r="U483" s="186">
        <v>0</v>
      </c>
    </row>
    <row r="484" spans="1:21" ht="12.75">
      <c r="A484" s="33"/>
      <c r="B484" s="33"/>
      <c r="C484" s="34"/>
      <c r="D484" s="183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>
        <v>0</v>
      </c>
    </row>
    <row r="485" spans="1:21" ht="12.75">
      <c r="A485" s="184"/>
      <c r="B485" s="184"/>
      <c r="C485" s="191"/>
      <c r="D485" s="185"/>
      <c r="E485" s="186"/>
      <c r="F485" s="186"/>
      <c r="G485" s="186"/>
      <c r="H485" s="186"/>
      <c r="I485" s="186"/>
      <c r="J485" s="186"/>
      <c r="K485" s="186"/>
      <c r="L485" s="186"/>
      <c r="M485" s="186"/>
      <c r="N485" s="186"/>
      <c r="O485" s="186"/>
      <c r="P485" s="186"/>
      <c r="Q485" s="186"/>
      <c r="R485" s="186"/>
      <c r="S485" s="186"/>
      <c r="T485" s="186"/>
      <c r="U485" s="186">
        <v>0</v>
      </c>
    </row>
    <row r="486" spans="1:21" ht="12.75">
      <c r="A486" s="33"/>
      <c r="B486" s="33"/>
      <c r="C486" s="34"/>
      <c r="D486" s="183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>
        <v>0</v>
      </c>
    </row>
    <row r="487" spans="1:21" ht="12.75">
      <c r="A487" s="184"/>
      <c r="B487" s="184"/>
      <c r="C487" s="191"/>
      <c r="D487" s="185"/>
      <c r="E487" s="186"/>
      <c r="F487" s="186"/>
      <c r="G487" s="186"/>
      <c r="H487" s="186"/>
      <c r="I487" s="186"/>
      <c r="J487" s="186"/>
      <c r="K487" s="186"/>
      <c r="L487" s="186"/>
      <c r="M487" s="186"/>
      <c r="N487" s="186"/>
      <c r="O487" s="186"/>
      <c r="P487" s="186"/>
      <c r="Q487" s="186"/>
      <c r="R487" s="186"/>
      <c r="S487" s="186"/>
      <c r="T487" s="186"/>
      <c r="U487" s="186">
        <v>0</v>
      </c>
    </row>
    <row r="488" spans="1:21" ht="12.75">
      <c r="A488" s="33"/>
      <c r="B488" s="33"/>
      <c r="C488" s="34"/>
      <c r="D488" s="183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>
        <v>0</v>
      </c>
    </row>
    <row r="489" spans="1:21" ht="12.75">
      <c r="A489" s="184"/>
      <c r="B489" s="184"/>
      <c r="C489" s="191"/>
      <c r="D489" s="185"/>
      <c r="E489" s="186"/>
      <c r="F489" s="186"/>
      <c r="G489" s="186"/>
      <c r="H489" s="186"/>
      <c r="I489" s="186"/>
      <c r="J489" s="186"/>
      <c r="K489" s="186"/>
      <c r="L489" s="186"/>
      <c r="M489" s="186"/>
      <c r="N489" s="186"/>
      <c r="O489" s="186"/>
      <c r="P489" s="186"/>
      <c r="Q489" s="186"/>
      <c r="R489" s="186"/>
      <c r="S489" s="186"/>
      <c r="T489" s="186"/>
      <c r="U489" s="186">
        <v>0</v>
      </c>
    </row>
    <row r="490" spans="1:21" ht="12.75">
      <c r="A490" s="33"/>
      <c r="B490" s="33"/>
      <c r="C490" s="34"/>
      <c r="D490" s="183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>
        <v>0</v>
      </c>
    </row>
    <row r="491" spans="1:21" ht="12.75">
      <c r="A491" s="184"/>
      <c r="B491" s="184"/>
      <c r="C491" s="191"/>
      <c r="D491" s="185"/>
      <c r="E491" s="186"/>
      <c r="F491" s="186"/>
      <c r="G491" s="186"/>
      <c r="H491" s="186"/>
      <c r="I491" s="186"/>
      <c r="J491" s="186"/>
      <c r="K491" s="186"/>
      <c r="L491" s="186"/>
      <c r="M491" s="186"/>
      <c r="N491" s="186"/>
      <c r="O491" s="186"/>
      <c r="P491" s="186"/>
      <c r="Q491" s="186"/>
      <c r="R491" s="186"/>
      <c r="S491" s="186"/>
      <c r="T491" s="186"/>
      <c r="U491" s="186">
        <v>0</v>
      </c>
    </row>
    <row r="492" spans="1:21" ht="12.75">
      <c r="A492" s="33"/>
      <c r="B492" s="33"/>
      <c r="C492" s="34"/>
      <c r="D492" s="183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>
        <v>0</v>
      </c>
    </row>
    <row r="493" spans="1:21" ht="12.75">
      <c r="A493" s="184"/>
      <c r="B493" s="184"/>
      <c r="C493" s="191"/>
      <c r="D493" s="185"/>
      <c r="E493" s="186"/>
      <c r="F493" s="186"/>
      <c r="G493" s="186"/>
      <c r="H493" s="186"/>
      <c r="I493" s="186"/>
      <c r="J493" s="186"/>
      <c r="K493" s="186"/>
      <c r="L493" s="186"/>
      <c r="M493" s="186"/>
      <c r="N493" s="186"/>
      <c r="O493" s="186"/>
      <c r="P493" s="186"/>
      <c r="Q493" s="186"/>
      <c r="R493" s="186"/>
      <c r="S493" s="186"/>
      <c r="T493" s="186"/>
      <c r="U493" s="186">
        <v>0</v>
      </c>
    </row>
    <row r="494" spans="1:21" ht="12.75">
      <c r="A494" s="33"/>
      <c r="B494" s="33"/>
      <c r="C494" s="34"/>
      <c r="D494" s="183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>
        <v>0</v>
      </c>
    </row>
    <row r="495" spans="1:21" ht="12.75">
      <c r="A495" s="184"/>
      <c r="B495" s="184"/>
      <c r="C495" s="191"/>
      <c r="D495" s="185"/>
      <c r="E495" s="186"/>
      <c r="F495" s="186"/>
      <c r="G495" s="186"/>
      <c r="H495" s="186"/>
      <c r="I495" s="186"/>
      <c r="J495" s="186"/>
      <c r="K495" s="186"/>
      <c r="L495" s="186"/>
      <c r="M495" s="186"/>
      <c r="N495" s="186"/>
      <c r="O495" s="186"/>
      <c r="P495" s="186"/>
      <c r="Q495" s="186"/>
      <c r="R495" s="186"/>
      <c r="S495" s="186"/>
      <c r="T495" s="186"/>
      <c r="U495" s="186">
        <v>0</v>
      </c>
    </row>
    <row r="496" spans="1:21" ht="12.75">
      <c r="A496" s="33"/>
      <c r="B496" s="33"/>
      <c r="C496" s="34"/>
      <c r="D496" s="183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>
        <v>0</v>
      </c>
    </row>
    <row r="497" spans="1:21" ht="12.75">
      <c r="A497" s="184"/>
      <c r="B497" s="184"/>
      <c r="C497" s="191"/>
      <c r="D497" s="185"/>
      <c r="E497" s="186"/>
      <c r="F497" s="186"/>
      <c r="G497" s="186"/>
      <c r="H497" s="186"/>
      <c r="I497" s="186"/>
      <c r="J497" s="186"/>
      <c r="K497" s="186"/>
      <c r="L497" s="186"/>
      <c r="M497" s="186"/>
      <c r="N497" s="186"/>
      <c r="O497" s="186"/>
      <c r="P497" s="186"/>
      <c r="Q497" s="186"/>
      <c r="R497" s="186"/>
      <c r="S497" s="186"/>
      <c r="T497" s="186"/>
      <c r="U497" s="186">
        <v>0</v>
      </c>
    </row>
    <row r="498" spans="1:21" ht="12.75">
      <c r="A498" s="33"/>
      <c r="B498" s="33"/>
      <c r="C498" s="34"/>
      <c r="D498" s="183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>
        <v>0</v>
      </c>
    </row>
    <row r="499" spans="1:21" ht="12.75">
      <c r="A499" s="184"/>
      <c r="B499" s="184"/>
      <c r="C499" s="191"/>
      <c r="D499" s="185"/>
      <c r="E499" s="186"/>
      <c r="F499" s="186"/>
      <c r="G499" s="186"/>
      <c r="H499" s="186"/>
      <c r="I499" s="186"/>
      <c r="J499" s="186"/>
      <c r="K499" s="186"/>
      <c r="L499" s="186"/>
      <c r="M499" s="186"/>
      <c r="N499" s="186"/>
      <c r="O499" s="186"/>
      <c r="P499" s="186"/>
      <c r="Q499" s="186"/>
      <c r="R499" s="186"/>
      <c r="S499" s="186"/>
      <c r="T499" s="186"/>
      <c r="U499" s="186">
        <v>0</v>
      </c>
    </row>
    <row r="500" spans="1:21" ht="12.75">
      <c r="A500" s="33"/>
      <c r="B500" s="33"/>
      <c r="C500" s="34"/>
      <c r="D500" s="183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>
        <v>0</v>
      </c>
    </row>
    <row r="501" spans="1:21" ht="12.75">
      <c r="A501" s="184"/>
      <c r="B501" s="184"/>
      <c r="C501" s="191"/>
      <c r="D501" s="185"/>
      <c r="E501" s="186"/>
      <c r="F501" s="186"/>
      <c r="G501" s="186"/>
      <c r="H501" s="186"/>
      <c r="I501" s="186"/>
      <c r="J501" s="186"/>
      <c r="K501" s="186"/>
      <c r="L501" s="186"/>
      <c r="M501" s="186"/>
      <c r="N501" s="186"/>
      <c r="O501" s="186"/>
      <c r="P501" s="186"/>
      <c r="Q501" s="186"/>
      <c r="R501" s="186"/>
      <c r="S501" s="186"/>
      <c r="T501" s="186"/>
      <c r="U501" s="186">
        <v>0</v>
      </c>
    </row>
    <row r="502" spans="1:21" ht="12.75">
      <c r="A502" s="33"/>
      <c r="B502" s="33"/>
      <c r="C502" s="34"/>
      <c r="D502" s="183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>
        <v>0</v>
      </c>
    </row>
    <row r="503" spans="1:21" ht="12.75">
      <c r="A503" s="184"/>
      <c r="B503" s="184"/>
      <c r="C503" s="191"/>
      <c r="D503" s="185"/>
      <c r="E503" s="186"/>
      <c r="F503" s="186"/>
      <c r="G503" s="186"/>
      <c r="H503" s="186"/>
      <c r="I503" s="186"/>
      <c r="J503" s="186"/>
      <c r="K503" s="186"/>
      <c r="L503" s="186"/>
      <c r="M503" s="186"/>
      <c r="N503" s="186"/>
      <c r="O503" s="186"/>
      <c r="P503" s="186"/>
      <c r="Q503" s="186"/>
      <c r="R503" s="186"/>
      <c r="S503" s="186"/>
      <c r="T503" s="186"/>
      <c r="U503" s="186">
        <v>0</v>
      </c>
    </row>
    <row r="504" spans="1:21" ht="12.75">
      <c r="A504" s="33"/>
      <c r="B504" s="33"/>
      <c r="C504" s="34"/>
      <c r="D504" s="183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>
        <v>0</v>
      </c>
    </row>
    <row r="505" spans="1:21" ht="12.75">
      <c r="A505" s="184"/>
      <c r="B505" s="184"/>
      <c r="C505" s="191"/>
      <c r="D505" s="185"/>
      <c r="E505" s="186"/>
      <c r="F505" s="186"/>
      <c r="G505" s="186"/>
      <c r="H505" s="186"/>
      <c r="I505" s="186"/>
      <c r="J505" s="186"/>
      <c r="K505" s="186"/>
      <c r="L505" s="186"/>
      <c r="M505" s="186"/>
      <c r="N505" s="186"/>
      <c r="O505" s="186"/>
      <c r="P505" s="186"/>
      <c r="Q505" s="186"/>
      <c r="R505" s="186"/>
      <c r="S505" s="186"/>
      <c r="T505" s="186"/>
      <c r="U505" s="186">
        <v>0</v>
      </c>
    </row>
    <row r="506" spans="1:21" ht="12.75">
      <c r="A506" s="33"/>
      <c r="B506" s="33"/>
      <c r="C506" s="34"/>
      <c r="D506" s="183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>
        <v>0</v>
      </c>
    </row>
    <row r="507" spans="1:21" ht="12.75">
      <c r="A507" s="184"/>
      <c r="B507" s="184"/>
      <c r="C507" s="191"/>
      <c r="D507" s="185"/>
      <c r="E507" s="186"/>
      <c r="F507" s="186"/>
      <c r="G507" s="186"/>
      <c r="H507" s="186"/>
      <c r="I507" s="186"/>
      <c r="J507" s="186"/>
      <c r="K507" s="186"/>
      <c r="L507" s="186"/>
      <c r="M507" s="186"/>
      <c r="N507" s="186"/>
      <c r="O507" s="186"/>
      <c r="P507" s="186"/>
      <c r="Q507" s="186"/>
      <c r="R507" s="186"/>
      <c r="S507" s="186"/>
      <c r="T507" s="186"/>
      <c r="U507" s="186">
        <v>0</v>
      </c>
    </row>
    <row r="508" spans="1:21" ht="12.75">
      <c r="A508" s="33"/>
      <c r="B508" s="33"/>
      <c r="C508" s="34"/>
      <c r="D508" s="183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>
        <v>0</v>
      </c>
    </row>
    <row r="509" spans="1:21" ht="12.75">
      <c r="A509" s="184"/>
      <c r="B509" s="184"/>
      <c r="C509" s="191"/>
      <c r="D509" s="185"/>
      <c r="E509" s="186"/>
      <c r="F509" s="186"/>
      <c r="G509" s="186"/>
      <c r="H509" s="186"/>
      <c r="I509" s="186"/>
      <c r="J509" s="186"/>
      <c r="K509" s="186"/>
      <c r="L509" s="186"/>
      <c r="M509" s="186"/>
      <c r="N509" s="186"/>
      <c r="O509" s="186"/>
      <c r="P509" s="186"/>
      <c r="Q509" s="186"/>
      <c r="R509" s="186"/>
      <c r="S509" s="186"/>
      <c r="T509" s="186"/>
      <c r="U509" s="186">
        <v>0</v>
      </c>
    </row>
    <row r="510" spans="1:21" ht="12.75">
      <c r="A510" s="33"/>
      <c r="B510" s="33"/>
      <c r="C510" s="34"/>
      <c r="D510" s="183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>
        <v>0</v>
      </c>
    </row>
    <row r="511" spans="1:21" ht="12.75">
      <c r="A511" s="184"/>
      <c r="B511" s="184"/>
      <c r="C511" s="191"/>
      <c r="D511" s="185"/>
      <c r="E511" s="186"/>
      <c r="F511" s="186"/>
      <c r="G511" s="186"/>
      <c r="H511" s="186"/>
      <c r="I511" s="186"/>
      <c r="J511" s="186"/>
      <c r="K511" s="186"/>
      <c r="L511" s="186"/>
      <c r="M511" s="186"/>
      <c r="N511" s="186"/>
      <c r="O511" s="186"/>
      <c r="P511" s="186"/>
      <c r="Q511" s="186"/>
      <c r="R511" s="186"/>
      <c r="S511" s="186"/>
      <c r="T511" s="186"/>
      <c r="U511" s="186">
        <v>0</v>
      </c>
    </row>
    <row r="512" spans="1:21" ht="12.75">
      <c r="A512" s="33"/>
      <c r="B512" s="33"/>
      <c r="C512" s="34"/>
      <c r="D512" s="183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>
        <v>0</v>
      </c>
    </row>
    <row r="513" spans="1:21" ht="12.75">
      <c r="A513" s="184"/>
      <c r="B513" s="184"/>
      <c r="C513" s="191"/>
      <c r="D513" s="185"/>
      <c r="E513" s="186"/>
      <c r="F513" s="186"/>
      <c r="G513" s="186"/>
      <c r="H513" s="186"/>
      <c r="I513" s="186"/>
      <c r="J513" s="186"/>
      <c r="K513" s="186"/>
      <c r="L513" s="186"/>
      <c r="M513" s="186"/>
      <c r="N513" s="186"/>
      <c r="O513" s="186"/>
      <c r="P513" s="186"/>
      <c r="Q513" s="186"/>
      <c r="R513" s="186"/>
      <c r="S513" s="186"/>
      <c r="T513" s="186"/>
      <c r="U513" s="186">
        <v>0</v>
      </c>
    </row>
    <row r="514" spans="1:21" ht="12.75">
      <c r="A514" s="33"/>
      <c r="B514" s="33"/>
      <c r="C514" s="34"/>
      <c r="D514" s="183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>
        <v>0</v>
      </c>
    </row>
    <row r="515" spans="1:21" ht="12.75">
      <c r="A515" s="184"/>
      <c r="B515" s="184"/>
      <c r="C515" s="191"/>
      <c r="D515" s="185"/>
      <c r="E515" s="186"/>
      <c r="F515" s="186"/>
      <c r="G515" s="186"/>
      <c r="H515" s="186"/>
      <c r="I515" s="186"/>
      <c r="J515" s="186"/>
      <c r="K515" s="186"/>
      <c r="L515" s="186"/>
      <c r="M515" s="186"/>
      <c r="N515" s="186"/>
      <c r="O515" s="186"/>
      <c r="P515" s="186"/>
      <c r="Q515" s="186"/>
      <c r="R515" s="186"/>
      <c r="S515" s="186"/>
      <c r="T515" s="186"/>
      <c r="U515" s="186">
        <v>0</v>
      </c>
    </row>
    <row r="516" spans="1:21" ht="12.75">
      <c r="A516" s="33"/>
      <c r="B516" s="33"/>
      <c r="C516" s="34"/>
      <c r="D516" s="183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>
        <v>0</v>
      </c>
    </row>
    <row r="517" spans="1:21" ht="12.75">
      <c r="A517" s="184"/>
      <c r="B517" s="184"/>
      <c r="C517" s="191"/>
      <c r="D517" s="185"/>
      <c r="E517" s="186"/>
      <c r="F517" s="186"/>
      <c r="G517" s="186"/>
      <c r="H517" s="186"/>
      <c r="I517" s="186"/>
      <c r="J517" s="186"/>
      <c r="K517" s="186"/>
      <c r="L517" s="186"/>
      <c r="M517" s="186"/>
      <c r="N517" s="186"/>
      <c r="O517" s="186"/>
      <c r="P517" s="186"/>
      <c r="Q517" s="186"/>
      <c r="R517" s="186"/>
      <c r="S517" s="186"/>
      <c r="T517" s="186"/>
      <c r="U517" s="186">
        <v>0</v>
      </c>
    </row>
    <row r="518" spans="1:21" ht="12.75">
      <c r="A518" s="33"/>
      <c r="B518" s="33"/>
      <c r="C518" s="34"/>
      <c r="D518" s="183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>
        <v>0</v>
      </c>
    </row>
    <row r="519" spans="1:21" ht="12.75">
      <c r="A519" s="184"/>
      <c r="B519" s="184"/>
      <c r="C519" s="191"/>
      <c r="D519" s="185"/>
      <c r="E519" s="186"/>
      <c r="F519" s="186"/>
      <c r="G519" s="186"/>
      <c r="H519" s="186"/>
      <c r="I519" s="186"/>
      <c r="J519" s="186"/>
      <c r="K519" s="186"/>
      <c r="L519" s="186"/>
      <c r="M519" s="186"/>
      <c r="N519" s="186"/>
      <c r="O519" s="186"/>
      <c r="P519" s="186"/>
      <c r="Q519" s="186"/>
      <c r="R519" s="186"/>
      <c r="S519" s="186"/>
      <c r="T519" s="186"/>
      <c r="U519" s="186">
        <v>0</v>
      </c>
    </row>
    <row r="520" spans="1:21" ht="12.75">
      <c r="A520" s="33"/>
      <c r="B520" s="33"/>
      <c r="C520" s="34"/>
      <c r="D520" s="183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>
        <v>0</v>
      </c>
    </row>
    <row r="521" spans="1:21" ht="12.75">
      <c r="A521" s="184"/>
      <c r="B521" s="184"/>
      <c r="C521" s="191"/>
      <c r="D521" s="185"/>
      <c r="E521" s="186"/>
      <c r="F521" s="186"/>
      <c r="G521" s="186"/>
      <c r="H521" s="186"/>
      <c r="I521" s="186"/>
      <c r="J521" s="186"/>
      <c r="K521" s="186"/>
      <c r="L521" s="186"/>
      <c r="M521" s="186"/>
      <c r="N521" s="186"/>
      <c r="O521" s="186"/>
      <c r="P521" s="186"/>
      <c r="Q521" s="186"/>
      <c r="R521" s="186"/>
      <c r="S521" s="186"/>
      <c r="T521" s="186"/>
      <c r="U521" s="186">
        <v>0</v>
      </c>
    </row>
    <row r="522" spans="1:21" ht="12.75">
      <c r="A522" s="33"/>
      <c r="B522" s="33"/>
      <c r="C522" s="34"/>
      <c r="D522" s="183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>
        <v>0</v>
      </c>
    </row>
    <row r="523" spans="1:21" ht="12.75">
      <c r="A523" s="184"/>
      <c r="B523" s="184"/>
      <c r="C523" s="191"/>
      <c r="D523" s="185"/>
      <c r="E523" s="186"/>
      <c r="F523" s="186"/>
      <c r="G523" s="186"/>
      <c r="H523" s="186"/>
      <c r="I523" s="186"/>
      <c r="J523" s="186"/>
      <c r="K523" s="186"/>
      <c r="L523" s="186"/>
      <c r="M523" s="186"/>
      <c r="N523" s="186"/>
      <c r="O523" s="186"/>
      <c r="P523" s="186"/>
      <c r="Q523" s="186"/>
      <c r="R523" s="186"/>
      <c r="S523" s="186"/>
      <c r="T523" s="186"/>
      <c r="U523" s="186">
        <v>0</v>
      </c>
    </row>
    <row r="524" spans="1:21" ht="12.75">
      <c r="A524" s="33"/>
      <c r="B524" s="33"/>
      <c r="C524" s="34"/>
      <c r="D524" s="183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>
        <v>0</v>
      </c>
    </row>
    <row r="525" spans="1:21" ht="12.75">
      <c r="A525" s="184"/>
      <c r="B525" s="184"/>
      <c r="C525" s="191"/>
      <c r="D525" s="185"/>
      <c r="E525" s="186"/>
      <c r="F525" s="186"/>
      <c r="G525" s="186"/>
      <c r="H525" s="186"/>
      <c r="I525" s="186"/>
      <c r="J525" s="186"/>
      <c r="K525" s="186"/>
      <c r="L525" s="186"/>
      <c r="M525" s="186"/>
      <c r="N525" s="186"/>
      <c r="O525" s="186"/>
      <c r="P525" s="186"/>
      <c r="Q525" s="186"/>
      <c r="R525" s="186"/>
      <c r="S525" s="186"/>
      <c r="T525" s="186"/>
      <c r="U525" s="186">
        <v>0</v>
      </c>
    </row>
    <row r="526" spans="1:21" ht="12.75">
      <c r="A526" s="33"/>
      <c r="B526" s="33"/>
      <c r="C526" s="34"/>
      <c r="D526" s="183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>
        <v>0</v>
      </c>
    </row>
    <row r="527" spans="1:21" ht="12.75">
      <c r="A527" s="184"/>
      <c r="B527" s="184"/>
      <c r="C527" s="191"/>
      <c r="D527" s="185"/>
      <c r="E527" s="186"/>
      <c r="F527" s="186"/>
      <c r="G527" s="186"/>
      <c r="H527" s="186"/>
      <c r="I527" s="186"/>
      <c r="J527" s="186"/>
      <c r="K527" s="186"/>
      <c r="L527" s="186"/>
      <c r="M527" s="186"/>
      <c r="N527" s="186"/>
      <c r="O527" s="186"/>
      <c r="P527" s="186"/>
      <c r="Q527" s="186"/>
      <c r="R527" s="186"/>
      <c r="S527" s="186"/>
      <c r="T527" s="186"/>
      <c r="U527" s="186">
        <v>0</v>
      </c>
    </row>
    <row r="528" spans="1:21" ht="12.75">
      <c r="A528" s="33"/>
      <c r="B528" s="33"/>
      <c r="C528" s="34"/>
      <c r="D528" s="183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>
        <v>0</v>
      </c>
    </row>
    <row r="529" spans="1:21" ht="12.75">
      <c r="A529" s="184"/>
      <c r="B529" s="184"/>
      <c r="C529" s="191"/>
      <c r="D529" s="185"/>
      <c r="E529" s="186"/>
      <c r="F529" s="186"/>
      <c r="G529" s="186"/>
      <c r="H529" s="186"/>
      <c r="I529" s="186"/>
      <c r="J529" s="186"/>
      <c r="K529" s="186"/>
      <c r="L529" s="186"/>
      <c r="M529" s="186"/>
      <c r="N529" s="186"/>
      <c r="O529" s="186"/>
      <c r="P529" s="186"/>
      <c r="Q529" s="186"/>
      <c r="R529" s="186"/>
      <c r="S529" s="186"/>
      <c r="T529" s="186"/>
      <c r="U529" s="186">
        <v>0</v>
      </c>
    </row>
    <row r="530" spans="1:21" ht="12.75">
      <c r="A530" s="33"/>
      <c r="B530" s="33"/>
      <c r="C530" s="34"/>
      <c r="D530" s="183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>
        <v>0</v>
      </c>
    </row>
    <row r="531" spans="1:21" ht="12.75">
      <c r="A531" s="184"/>
      <c r="B531" s="184"/>
      <c r="C531" s="191"/>
      <c r="D531" s="185"/>
      <c r="E531" s="186"/>
      <c r="F531" s="186"/>
      <c r="G531" s="186"/>
      <c r="H531" s="186"/>
      <c r="I531" s="186"/>
      <c r="J531" s="186"/>
      <c r="K531" s="186"/>
      <c r="L531" s="186"/>
      <c r="M531" s="186"/>
      <c r="N531" s="186"/>
      <c r="O531" s="186"/>
      <c r="P531" s="186"/>
      <c r="Q531" s="186"/>
      <c r="R531" s="186"/>
      <c r="S531" s="186"/>
      <c r="T531" s="186"/>
      <c r="U531" s="186">
        <v>0</v>
      </c>
    </row>
    <row r="532" spans="1:21" ht="12.75">
      <c r="A532" s="33"/>
      <c r="B532" s="33"/>
      <c r="C532" s="34"/>
      <c r="D532" s="183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>
        <v>0</v>
      </c>
    </row>
    <row r="533" spans="1:21" ht="12.75">
      <c r="A533" s="184"/>
      <c r="B533" s="184"/>
      <c r="C533" s="191"/>
      <c r="D533" s="185"/>
      <c r="E533" s="186"/>
      <c r="F533" s="186"/>
      <c r="G533" s="186"/>
      <c r="H533" s="186"/>
      <c r="I533" s="186"/>
      <c r="J533" s="186"/>
      <c r="K533" s="186"/>
      <c r="L533" s="186"/>
      <c r="M533" s="186"/>
      <c r="N533" s="186"/>
      <c r="O533" s="186"/>
      <c r="P533" s="186"/>
      <c r="Q533" s="186"/>
      <c r="R533" s="186"/>
      <c r="S533" s="186"/>
      <c r="T533" s="186"/>
      <c r="U533" s="186">
        <v>0</v>
      </c>
    </row>
    <row r="534" spans="1:21" ht="12.75">
      <c r="A534" s="33"/>
      <c r="B534" s="33"/>
      <c r="C534" s="34"/>
      <c r="D534" s="183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>
        <v>0</v>
      </c>
    </row>
    <row r="535" spans="1:21" ht="12.75">
      <c r="A535" s="184"/>
      <c r="B535" s="184"/>
      <c r="C535" s="191"/>
      <c r="D535" s="185"/>
      <c r="E535" s="186"/>
      <c r="F535" s="186"/>
      <c r="G535" s="186"/>
      <c r="H535" s="186"/>
      <c r="I535" s="186"/>
      <c r="J535" s="186"/>
      <c r="K535" s="186"/>
      <c r="L535" s="186"/>
      <c r="M535" s="186"/>
      <c r="N535" s="186"/>
      <c r="O535" s="186"/>
      <c r="P535" s="186"/>
      <c r="Q535" s="186"/>
      <c r="R535" s="186"/>
      <c r="S535" s="186"/>
      <c r="T535" s="186"/>
      <c r="U535" s="186">
        <v>0</v>
      </c>
    </row>
    <row r="536" spans="1:21" ht="12.75">
      <c r="A536" s="33"/>
      <c r="B536" s="33"/>
      <c r="C536" s="34"/>
      <c r="D536" s="183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>
        <v>0</v>
      </c>
    </row>
    <row r="537" spans="1:21" ht="12.75">
      <c r="A537" s="184"/>
      <c r="B537" s="184"/>
      <c r="C537" s="191"/>
      <c r="D537" s="185"/>
      <c r="E537" s="186"/>
      <c r="F537" s="186"/>
      <c r="G537" s="186"/>
      <c r="H537" s="186"/>
      <c r="I537" s="186"/>
      <c r="J537" s="186"/>
      <c r="K537" s="186"/>
      <c r="L537" s="186"/>
      <c r="M537" s="186"/>
      <c r="N537" s="186"/>
      <c r="O537" s="186"/>
      <c r="P537" s="186"/>
      <c r="Q537" s="186"/>
      <c r="R537" s="186"/>
      <c r="S537" s="186"/>
      <c r="T537" s="186"/>
      <c r="U537" s="186">
        <v>0</v>
      </c>
    </row>
    <row r="538" spans="1:21" ht="12.75">
      <c r="A538" s="33"/>
      <c r="B538" s="33"/>
      <c r="C538" s="34"/>
      <c r="D538" s="183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>
        <v>0</v>
      </c>
    </row>
    <row r="539" spans="1:21" ht="12.75">
      <c r="A539" s="184"/>
      <c r="B539" s="184"/>
      <c r="C539" s="191"/>
      <c r="D539" s="185"/>
      <c r="E539" s="186"/>
      <c r="F539" s="186"/>
      <c r="G539" s="186"/>
      <c r="H539" s="186"/>
      <c r="I539" s="186"/>
      <c r="J539" s="186"/>
      <c r="K539" s="186"/>
      <c r="L539" s="186"/>
      <c r="M539" s="186"/>
      <c r="N539" s="186"/>
      <c r="O539" s="186"/>
      <c r="P539" s="186"/>
      <c r="Q539" s="186"/>
      <c r="R539" s="186"/>
      <c r="S539" s="186"/>
      <c r="T539" s="186"/>
      <c r="U539" s="186">
        <v>0</v>
      </c>
    </row>
    <row r="540" spans="1:21" ht="12.75">
      <c r="A540" s="33"/>
      <c r="B540" s="33"/>
      <c r="C540" s="34"/>
      <c r="D540" s="183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>
        <v>0</v>
      </c>
    </row>
    <row r="541" spans="1:21" ht="12.75">
      <c r="A541" s="184"/>
      <c r="B541" s="184"/>
      <c r="C541" s="191"/>
      <c r="D541" s="185"/>
      <c r="E541" s="186"/>
      <c r="F541" s="186"/>
      <c r="G541" s="186"/>
      <c r="H541" s="186"/>
      <c r="I541" s="186"/>
      <c r="J541" s="186"/>
      <c r="K541" s="186"/>
      <c r="L541" s="186"/>
      <c r="M541" s="186"/>
      <c r="N541" s="186"/>
      <c r="O541" s="186"/>
      <c r="P541" s="186"/>
      <c r="Q541" s="186"/>
      <c r="R541" s="186"/>
      <c r="S541" s="186"/>
      <c r="T541" s="186"/>
      <c r="U541" s="186">
        <v>0</v>
      </c>
    </row>
    <row r="542" spans="1:21" ht="12.75">
      <c r="A542" s="33"/>
      <c r="B542" s="33"/>
      <c r="C542" s="34"/>
      <c r="D542" s="183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>
        <v>0</v>
      </c>
    </row>
    <row r="543" spans="1:21" ht="12.75">
      <c r="A543" s="184"/>
      <c r="B543" s="184"/>
      <c r="C543" s="191"/>
      <c r="D543" s="185"/>
      <c r="E543" s="186"/>
      <c r="F543" s="186"/>
      <c r="G543" s="186"/>
      <c r="H543" s="186"/>
      <c r="I543" s="186"/>
      <c r="J543" s="186"/>
      <c r="K543" s="186"/>
      <c r="L543" s="186"/>
      <c r="M543" s="186"/>
      <c r="N543" s="186"/>
      <c r="O543" s="186"/>
      <c r="P543" s="186"/>
      <c r="Q543" s="186"/>
      <c r="R543" s="186"/>
      <c r="S543" s="186"/>
      <c r="T543" s="186"/>
      <c r="U543" s="186">
        <v>0</v>
      </c>
    </row>
    <row r="544" spans="1:21" ht="12.75">
      <c r="A544" s="33"/>
      <c r="B544" s="33"/>
      <c r="C544" s="34"/>
      <c r="D544" s="183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>
        <v>0</v>
      </c>
    </row>
    <row r="545" spans="1:21" ht="12.75">
      <c r="A545" s="184"/>
      <c r="B545" s="184"/>
      <c r="C545" s="191"/>
      <c r="D545" s="185"/>
      <c r="E545" s="186"/>
      <c r="F545" s="186"/>
      <c r="G545" s="186"/>
      <c r="H545" s="186"/>
      <c r="I545" s="186"/>
      <c r="J545" s="186"/>
      <c r="K545" s="186"/>
      <c r="L545" s="186"/>
      <c r="M545" s="186"/>
      <c r="N545" s="186"/>
      <c r="O545" s="186"/>
      <c r="P545" s="186"/>
      <c r="Q545" s="186"/>
      <c r="R545" s="186"/>
      <c r="S545" s="186"/>
      <c r="T545" s="186"/>
      <c r="U545" s="186">
        <v>0</v>
      </c>
    </row>
    <row r="546" spans="1:21" ht="12.75">
      <c r="A546" s="33"/>
      <c r="B546" s="33"/>
      <c r="C546" s="34"/>
      <c r="D546" s="183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>
        <v>0</v>
      </c>
    </row>
    <row r="547" spans="1:21" ht="12.75">
      <c r="A547" s="184"/>
      <c r="B547" s="184"/>
      <c r="C547" s="191"/>
      <c r="D547" s="185"/>
      <c r="E547" s="186"/>
      <c r="F547" s="186"/>
      <c r="G547" s="186"/>
      <c r="H547" s="186"/>
      <c r="I547" s="186"/>
      <c r="J547" s="186"/>
      <c r="K547" s="186"/>
      <c r="L547" s="186"/>
      <c r="M547" s="186"/>
      <c r="N547" s="186"/>
      <c r="O547" s="186"/>
      <c r="P547" s="186"/>
      <c r="Q547" s="186"/>
      <c r="R547" s="186"/>
      <c r="S547" s="186"/>
      <c r="T547" s="186"/>
      <c r="U547" s="186">
        <v>0</v>
      </c>
    </row>
    <row r="548" spans="1:21" ht="12.75">
      <c r="A548" s="33"/>
      <c r="B548" s="33"/>
      <c r="C548" s="34"/>
      <c r="D548" s="183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>
        <v>0</v>
      </c>
    </row>
    <row r="549" spans="1:21" ht="12.75">
      <c r="A549" s="184"/>
      <c r="B549" s="184"/>
      <c r="C549" s="191"/>
      <c r="D549" s="185"/>
      <c r="E549" s="186"/>
      <c r="F549" s="186"/>
      <c r="G549" s="186"/>
      <c r="H549" s="186"/>
      <c r="I549" s="186"/>
      <c r="J549" s="186"/>
      <c r="K549" s="186"/>
      <c r="L549" s="186"/>
      <c r="M549" s="186"/>
      <c r="N549" s="186"/>
      <c r="O549" s="186"/>
      <c r="P549" s="186"/>
      <c r="Q549" s="186"/>
      <c r="R549" s="186"/>
      <c r="S549" s="186"/>
      <c r="T549" s="186"/>
      <c r="U549" s="186">
        <v>0</v>
      </c>
    </row>
    <row r="550" spans="1:21" ht="12.75">
      <c r="A550" s="33"/>
      <c r="B550" s="33"/>
      <c r="C550" s="34"/>
      <c r="D550" s="183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>
        <v>0</v>
      </c>
    </row>
    <row r="551" spans="1:21" ht="12.75">
      <c r="A551" s="184"/>
      <c r="B551" s="184"/>
      <c r="C551" s="191"/>
      <c r="D551" s="185"/>
      <c r="E551" s="186"/>
      <c r="F551" s="186"/>
      <c r="G551" s="186"/>
      <c r="H551" s="186"/>
      <c r="I551" s="186"/>
      <c r="J551" s="186"/>
      <c r="K551" s="186"/>
      <c r="L551" s="186"/>
      <c r="M551" s="186"/>
      <c r="N551" s="186"/>
      <c r="O551" s="186"/>
      <c r="P551" s="186"/>
      <c r="Q551" s="186"/>
      <c r="R551" s="186"/>
      <c r="S551" s="186"/>
      <c r="T551" s="186"/>
      <c r="U551" s="186">
        <v>0</v>
      </c>
    </row>
    <row r="552" spans="1:21" ht="12.75">
      <c r="A552" s="33"/>
      <c r="B552" s="33"/>
      <c r="C552" s="34"/>
      <c r="D552" s="183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>
        <v>0</v>
      </c>
    </row>
    <row r="553" spans="1:21" ht="12.75">
      <c r="A553" s="184"/>
      <c r="B553" s="184"/>
      <c r="C553" s="191"/>
      <c r="D553" s="185"/>
      <c r="E553" s="186"/>
      <c r="F553" s="186"/>
      <c r="G553" s="186"/>
      <c r="H553" s="186"/>
      <c r="I553" s="186"/>
      <c r="J553" s="186"/>
      <c r="K553" s="186"/>
      <c r="L553" s="186"/>
      <c r="M553" s="186"/>
      <c r="N553" s="186"/>
      <c r="O553" s="186"/>
      <c r="P553" s="186"/>
      <c r="Q553" s="186"/>
      <c r="R553" s="186"/>
      <c r="S553" s="186"/>
      <c r="T553" s="186"/>
      <c r="U553" s="186">
        <v>0</v>
      </c>
    </row>
    <row r="554" spans="1:21" ht="12.75">
      <c r="A554" s="33"/>
      <c r="B554" s="33"/>
      <c r="C554" s="34"/>
      <c r="D554" s="183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>
        <v>0</v>
      </c>
    </row>
    <row r="555" spans="1:21" ht="12.75">
      <c r="A555" s="184"/>
      <c r="B555" s="184"/>
      <c r="C555" s="191"/>
      <c r="D555" s="185"/>
      <c r="E555" s="186"/>
      <c r="F555" s="186"/>
      <c r="G555" s="186"/>
      <c r="H555" s="186"/>
      <c r="I555" s="186"/>
      <c r="J555" s="186"/>
      <c r="K555" s="186"/>
      <c r="L555" s="186"/>
      <c r="M555" s="186"/>
      <c r="N555" s="186"/>
      <c r="O555" s="186"/>
      <c r="P555" s="186"/>
      <c r="Q555" s="186"/>
      <c r="R555" s="186"/>
      <c r="S555" s="186"/>
      <c r="T555" s="186"/>
      <c r="U555" s="186">
        <v>0</v>
      </c>
    </row>
    <row r="556" spans="1:21" ht="12.75">
      <c r="A556" s="33"/>
      <c r="B556" s="33"/>
      <c r="C556" s="34"/>
      <c r="D556" s="183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>
        <v>0</v>
      </c>
    </row>
    <row r="557" spans="1:21" ht="12.75">
      <c r="A557" s="184"/>
      <c r="B557" s="184"/>
      <c r="C557" s="191"/>
      <c r="D557" s="185"/>
      <c r="E557" s="186"/>
      <c r="F557" s="186"/>
      <c r="G557" s="186"/>
      <c r="H557" s="186"/>
      <c r="I557" s="186"/>
      <c r="J557" s="186"/>
      <c r="K557" s="186"/>
      <c r="L557" s="186"/>
      <c r="M557" s="186"/>
      <c r="N557" s="186"/>
      <c r="O557" s="186"/>
      <c r="P557" s="186"/>
      <c r="Q557" s="186"/>
      <c r="R557" s="186"/>
      <c r="S557" s="186"/>
      <c r="T557" s="186"/>
      <c r="U557" s="186">
        <v>0</v>
      </c>
    </row>
    <row r="558" spans="1:21" ht="12.75">
      <c r="A558" s="33"/>
      <c r="B558" s="33"/>
      <c r="C558" s="34"/>
      <c r="D558" s="183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>
        <v>0</v>
      </c>
    </row>
    <row r="559" spans="1:21" ht="12.75">
      <c r="A559" s="184"/>
      <c r="B559" s="184"/>
      <c r="C559" s="191"/>
      <c r="D559" s="185"/>
      <c r="E559" s="186"/>
      <c r="F559" s="186"/>
      <c r="G559" s="186"/>
      <c r="H559" s="186"/>
      <c r="I559" s="186"/>
      <c r="J559" s="186"/>
      <c r="K559" s="186"/>
      <c r="L559" s="186"/>
      <c r="M559" s="186"/>
      <c r="N559" s="186"/>
      <c r="O559" s="186"/>
      <c r="P559" s="186"/>
      <c r="Q559" s="186"/>
      <c r="R559" s="186"/>
      <c r="S559" s="186"/>
      <c r="T559" s="186"/>
      <c r="U559" s="186">
        <v>0</v>
      </c>
    </row>
    <row r="560" spans="1:21" ht="12.75">
      <c r="A560" s="33"/>
      <c r="B560" s="33"/>
      <c r="C560" s="34"/>
      <c r="D560" s="183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>
        <v>0</v>
      </c>
    </row>
    <row r="561" spans="1:21" ht="12.75">
      <c r="A561" s="184"/>
      <c r="B561" s="184"/>
      <c r="C561" s="191"/>
      <c r="D561" s="185"/>
      <c r="E561" s="186"/>
      <c r="F561" s="186"/>
      <c r="G561" s="186"/>
      <c r="H561" s="186"/>
      <c r="I561" s="186"/>
      <c r="J561" s="186"/>
      <c r="K561" s="186"/>
      <c r="L561" s="186"/>
      <c r="M561" s="186"/>
      <c r="N561" s="186"/>
      <c r="O561" s="186"/>
      <c r="P561" s="186"/>
      <c r="Q561" s="186"/>
      <c r="R561" s="186"/>
      <c r="S561" s="186"/>
      <c r="T561" s="186"/>
      <c r="U561" s="186">
        <v>0</v>
      </c>
    </row>
    <row r="562" spans="1:21" ht="12.75">
      <c r="A562" s="33"/>
      <c r="B562" s="33"/>
      <c r="C562" s="34"/>
      <c r="D562" s="183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>
        <v>0</v>
      </c>
    </row>
    <row r="563" spans="1:21" ht="12.75">
      <c r="A563" s="184"/>
      <c r="B563" s="184"/>
      <c r="C563" s="191"/>
      <c r="D563" s="185"/>
      <c r="E563" s="186"/>
      <c r="F563" s="186"/>
      <c r="G563" s="186"/>
      <c r="H563" s="186"/>
      <c r="I563" s="186"/>
      <c r="J563" s="186"/>
      <c r="K563" s="186"/>
      <c r="L563" s="186"/>
      <c r="M563" s="186"/>
      <c r="N563" s="186"/>
      <c r="O563" s="186"/>
      <c r="P563" s="186"/>
      <c r="Q563" s="186"/>
      <c r="R563" s="186"/>
      <c r="S563" s="186"/>
      <c r="T563" s="186"/>
      <c r="U563" s="186">
        <v>0</v>
      </c>
    </row>
    <row r="564" spans="1:21" ht="12.75">
      <c r="A564" s="33"/>
      <c r="B564" s="33"/>
      <c r="C564" s="34"/>
      <c r="D564" s="183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>
        <v>0</v>
      </c>
    </row>
    <row r="565" spans="1:21" ht="12.75">
      <c r="A565" s="184"/>
      <c r="B565" s="184"/>
      <c r="C565" s="191"/>
      <c r="D565" s="185"/>
      <c r="E565" s="186"/>
      <c r="F565" s="186"/>
      <c r="G565" s="186"/>
      <c r="H565" s="186"/>
      <c r="I565" s="186"/>
      <c r="J565" s="186"/>
      <c r="K565" s="186"/>
      <c r="L565" s="186"/>
      <c r="M565" s="186"/>
      <c r="N565" s="186"/>
      <c r="O565" s="186"/>
      <c r="P565" s="186"/>
      <c r="Q565" s="186"/>
      <c r="R565" s="186"/>
      <c r="S565" s="186"/>
      <c r="T565" s="186"/>
      <c r="U565" s="186">
        <v>0</v>
      </c>
    </row>
    <row r="566" spans="1:21" ht="12.75">
      <c r="A566" s="33"/>
      <c r="B566" s="33"/>
      <c r="C566" s="34"/>
      <c r="D566" s="183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>
        <v>0</v>
      </c>
    </row>
    <row r="567" spans="1:21" ht="12.75">
      <c r="A567" s="184"/>
      <c r="B567" s="184"/>
      <c r="C567" s="191"/>
      <c r="D567" s="185"/>
      <c r="E567" s="186"/>
      <c r="F567" s="186"/>
      <c r="G567" s="186"/>
      <c r="H567" s="186"/>
      <c r="I567" s="186"/>
      <c r="J567" s="186"/>
      <c r="K567" s="186"/>
      <c r="L567" s="186"/>
      <c r="M567" s="186"/>
      <c r="N567" s="186"/>
      <c r="O567" s="186"/>
      <c r="P567" s="186"/>
      <c r="Q567" s="186"/>
      <c r="R567" s="186"/>
      <c r="S567" s="186"/>
      <c r="T567" s="186"/>
      <c r="U567" s="186">
        <v>0</v>
      </c>
    </row>
    <row r="568" spans="1:21" ht="12.75">
      <c r="A568" s="33"/>
      <c r="B568" s="33"/>
      <c r="C568" s="34"/>
      <c r="D568" s="183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>
        <v>0</v>
      </c>
    </row>
    <row r="569" spans="1:21" ht="12.75">
      <c r="A569" s="184"/>
      <c r="B569" s="184"/>
      <c r="C569" s="191"/>
      <c r="D569" s="185"/>
      <c r="E569" s="186"/>
      <c r="F569" s="186"/>
      <c r="G569" s="186"/>
      <c r="H569" s="186"/>
      <c r="I569" s="186"/>
      <c r="J569" s="186"/>
      <c r="K569" s="186"/>
      <c r="L569" s="186"/>
      <c r="M569" s="186"/>
      <c r="N569" s="186"/>
      <c r="O569" s="186"/>
      <c r="P569" s="186"/>
      <c r="Q569" s="186"/>
      <c r="R569" s="186"/>
      <c r="S569" s="186"/>
      <c r="T569" s="186"/>
      <c r="U569" s="186">
        <v>0</v>
      </c>
    </row>
    <row r="570" spans="1:21" ht="12.75">
      <c r="A570" s="33"/>
      <c r="B570" s="33"/>
      <c r="C570" s="34"/>
      <c r="D570" s="183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>
        <v>0</v>
      </c>
    </row>
    <row r="571" spans="1:21" ht="12.75">
      <c r="A571" s="184"/>
      <c r="B571" s="184"/>
      <c r="C571" s="191"/>
      <c r="D571" s="185"/>
      <c r="E571" s="186"/>
      <c r="F571" s="186"/>
      <c r="G571" s="186"/>
      <c r="H571" s="186"/>
      <c r="I571" s="186"/>
      <c r="J571" s="186"/>
      <c r="K571" s="186"/>
      <c r="L571" s="186"/>
      <c r="M571" s="186"/>
      <c r="N571" s="186"/>
      <c r="O571" s="186"/>
      <c r="P571" s="186"/>
      <c r="Q571" s="186"/>
      <c r="R571" s="186"/>
      <c r="S571" s="186"/>
      <c r="T571" s="186"/>
      <c r="U571" s="186">
        <v>0</v>
      </c>
    </row>
    <row r="572" spans="1:21" ht="12.75">
      <c r="A572" s="33"/>
      <c r="B572" s="33"/>
      <c r="C572" s="34"/>
      <c r="D572" s="183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>
        <v>0</v>
      </c>
    </row>
    <row r="573" spans="1:21" ht="12.75">
      <c r="A573" s="184"/>
      <c r="B573" s="184"/>
      <c r="C573" s="191"/>
      <c r="D573" s="185"/>
      <c r="E573" s="186"/>
      <c r="F573" s="186"/>
      <c r="G573" s="186"/>
      <c r="H573" s="186"/>
      <c r="I573" s="186"/>
      <c r="J573" s="186"/>
      <c r="K573" s="186"/>
      <c r="L573" s="186"/>
      <c r="M573" s="186"/>
      <c r="N573" s="186"/>
      <c r="O573" s="186"/>
      <c r="P573" s="186"/>
      <c r="Q573" s="186"/>
      <c r="R573" s="186"/>
      <c r="S573" s="186"/>
      <c r="T573" s="186"/>
      <c r="U573" s="186">
        <v>0</v>
      </c>
    </row>
    <row r="574" spans="1:21" ht="12.75">
      <c r="A574" s="33"/>
      <c r="B574" s="33"/>
      <c r="C574" s="34"/>
      <c r="D574" s="183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>
        <v>0</v>
      </c>
    </row>
    <row r="575" spans="1:21" ht="12.75">
      <c r="A575" s="184"/>
      <c r="B575" s="184"/>
      <c r="C575" s="191"/>
      <c r="D575" s="185"/>
      <c r="E575" s="186"/>
      <c r="F575" s="186"/>
      <c r="G575" s="186"/>
      <c r="H575" s="186"/>
      <c r="I575" s="186"/>
      <c r="J575" s="186"/>
      <c r="K575" s="186"/>
      <c r="L575" s="186"/>
      <c r="M575" s="186"/>
      <c r="N575" s="186"/>
      <c r="O575" s="186"/>
      <c r="P575" s="186"/>
      <c r="Q575" s="186"/>
      <c r="R575" s="186"/>
      <c r="S575" s="186"/>
      <c r="T575" s="186"/>
      <c r="U575" s="186">
        <v>0</v>
      </c>
    </row>
    <row r="576" spans="1:21" ht="12.75">
      <c r="A576" s="33"/>
      <c r="B576" s="33"/>
      <c r="C576" s="34"/>
      <c r="D576" s="183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>
        <v>0</v>
      </c>
    </row>
    <row r="577" spans="1:21" ht="12.75">
      <c r="A577" s="184"/>
      <c r="B577" s="184"/>
      <c r="C577" s="191"/>
      <c r="D577" s="185"/>
      <c r="E577" s="186"/>
      <c r="F577" s="186"/>
      <c r="G577" s="186"/>
      <c r="H577" s="186"/>
      <c r="I577" s="186"/>
      <c r="J577" s="186"/>
      <c r="K577" s="186"/>
      <c r="L577" s="186"/>
      <c r="M577" s="186"/>
      <c r="N577" s="186"/>
      <c r="O577" s="186"/>
      <c r="P577" s="186"/>
      <c r="Q577" s="186"/>
      <c r="R577" s="186"/>
      <c r="S577" s="186"/>
      <c r="T577" s="186"/>
      <c r="U577" s="186">
        <v>0</v>
      </c>
    </row>
    <row r="578" spans="1:21" ht="12.75">
      <c r="A578" s="33"/>
      <c r="B578" s="33"/>
      <c r="C578" s="34"/>
      <c r="D578" s="183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>
        <v>0</v>
      </c>
    </row>
    <row r="579" spans="1:21" ht="12.75">
      <c r="A579" s="184"/>
      <c r="B579" s="184"/>
      <c r="C579" s="191"/>
      <c r="D579" s="185"/>
      <c r="E579" s="186"/>
      <c r="F579" s="186"/>
      <c r="G579" s="186"/>
      <c r="H579" s="186"/>
      <c r="I579" s="186"/>
      <c r="J579" s="186"/>
      <c r="K579" s="186"/>
      <c r="L579" s="186"/>
      <c r="M579" s="186"/>
      <c r="N579" s="186"/>
      <c r="O579" s="186"/>
      <c r="P579" s="186"/>
      <c r="Q579" s="186"/>
      <c r="R579" s="186"/>
      <c r="S579" s="186"/>
      <c r="T579" s="186"/>
      <c r="U579" s="186">
        <v>0</v>
      </c>
    </row>
    <row r="580" spans="1:21" ht="12.75">
      <c r="A580" s="33"/>
      <c r="B580" s="33"/>
      <c r="C580" s="34"/>
      <c r="D580" s="183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>
        <v>0</v>
      </c>
    </row>
    <row r="581" spans="1:21" ht="12.75">
      <c r="A581" s="184"/>
      <c r="B581" s="184"/>
      <c r="C581" s="191"/>
      <c r="D581" s="185"/>
      <c r="E581" s="186"/>
      <c r="F581" s="186"/>
      <c r="G581" s="186"/>
      <c r="H581" s="186"/>
      <c r="I581" s="186"/>
      <c r="J581" s="186"/>
      <c r="K581" s="186"/>
      <c r="L581" s="186"/>
      <c r="M581" s="186"/>
      <c r="N581" s="186"/>
      <c r="O581" s="186"/>
      <c r="P581" s="186"/>
      <c r="Q581" s="186"/>
      <c r="R581" s="186"/>
      <c r="S581" s="186"/>
      <c r="T581" s="186"/>
      <c r="U581" s="186">
        <v>0</v>
      </c>
    </row>
    <row r="582" spans="1:21" ht="12.75">
      <c r="A582" s="33"/>
      <c r="B582" s="33"/>
      <c r="C582" s="34"/>
      <c r="D582" s="183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>
        <v>0</v>
      </c>
    </row>
    <row r="583" spans="1:21" ht="12.75">
      <c r="A583" s="184"/>
      <c r="B583" s="184"/>
      <c r="C583" s="191"/>
      <c r="D583" s="185"/>
      <c r="E583" s="186"/>
      <c r="F583" s="186"/>
      <c r="G583" s="186"/>
      <c r="H583" s="186"/>
      <c r="I583" s="186"/>
      <c r="J583" s="186"/>
      <c r="K583" s="186"/>
      <c r="L583" s="186"/>
      <c r="M583" s="186"/>
      <c r="N583" s="186"/>
      <c r="O583" s="186"/>
      <c r="P583" s="186"/>
      <c r="Q583" s="186"/>
      <c r="R583" s="186"/>
      <c r="S583" s="186"/>
      <c r="T583" s="186"/>
      <c r="U583" s="186">
        <v>0</v>
      </c>
    </row>
    <row r="584" spans="1:21" ht="12.75">
      <c r="A584" s="33"/>
      <c r="B584" s="33"/>
      <c r="C584" s="34"/>
      <c r="D584" s="183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>
        <v>0</v>
      </c>
    </row>
    <row r="585" spans="1:21" ht="12.75">
      <c r="A585" s="184"/>
      <c r="B585" s="184"/>
      <c r="C585" s="191"/>
      <c r="D585" s="185"/>
      <c r="E585" s="186"/>
      <c r="F585" s="186"/>
      <c r="G585" s="186"/>
      <c r="H585" s="186"/>
      <c r="I585" s="186"/>
      <c r="J585" s="186"/>
      <c r="K585" s="186"/>
      <c r="L585" s="186"/>
      <c r="M585" s="186"/>
      <c r="N585" s="186"/>
      <c r="O585" s="186"/>
      <c r="P585" s="186"/>
      <c r="Q585" s="186"/>
      <c r="R585" s="186"/>
      <c r="S585" s="186"/>
      <c r="T585" s="186"/>
      <c r="U585" s="186">
        <v>0</v>
      </c>
    </row>
    <row r="586" spans="1:21" ht="12.75">
      <c r="A586" s="33"/>
      <c r="B586" s="33"/>
      <c r="C586" s="34"/>
      <c r="D586" s="183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>
        <v>0</v>
      </c>
    </row>
    <row r="587" spans="1:21" ht="12.75">
      <c r="A587" s="184"/>
      <c r="B587" s="184"/>
      <c r="C587" s="191"/>
      <c r="D587" s="185"/>
      <c r="E587" s="186"/>
      <c r="F587" s="186"/>
      <c r="G587" s="186"/>
      <c r="H587" s="186"/>
      <c r="I587" s="186"/>
      <c r="J587" s="186"/>
      <c r="K587" s="186"/>
      <c r="L587" s="186"/>
      <c r="M587" s="186"/>
      <c r="N587" s="186"/>
      <c r="O587" s="186"/>
      <c r="P587" s="186"/>
      <c r="Q587" s="186"/>
      <c r="R587" s="186"/>
      <c r="S587" s="186"/>
      <c r="T587" s="186"/>
      <c r="U587" s="186">
        <v>0</v>
      </c>
    </row>
    <row r="588" spans="1:21" ht="12.75">
      <c r="A588" s="33"/>
      <c r="B588" s="33"/>
      <c r="C588" s="34"/>
      <c r="D588" s="183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>
        <v>0</v>
      </c>
    </row>
    <row r="589" spans="1:21" ht="12.75">
      <c r="A589" s="184"/>
      <c r="B589" s="184"/>
      <c r="C589" s="191"/>
      <c r="D589" s="185"/>
      <c r="E589" s="186"/>
      <c r="F589" s="186"/>
      <c r="G589" s="186"/>
      <c r="H589" s="186"/>
      <c r="I589" s="186"/>
      <c r="J589" s="186"/>
      <c r="K589" s="186"/>
      <c r="L589" s="186"/>
      <c r="M589" s="186"/>
      <c r="N589" s="186"/>
      <c r="O589" s="186"/>
      <c r="P589" s="186"/>
      <c r="Q589" s="186"/>
      <c r="R589" s="186"/>
      <c r="S589" s="186"/>
      <c r="T589" s="186"/>
      <c r="U589" s="186">
        <v>0</v>
      </c>
    </row>
    <row r="590" spans="1:21" ht="12.75">
      <c r="A590" s="33"/>
      <c r="B590" s="33"/>
      <c r="C590" s="34"/>
      <c r="D590" s="183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>
        <v>0</v>
      </c>
    </row>
    <row r="591" spans="1:21" ht="12.75">
      <c r="A591" s="184"/>
      <c r="B591" s="184"/>
      <c r="C591" s="191"/>
      <c r="D591" s="185"/>
      <c r="E591" s="186"/>
      <c r="F591" s="186"/>
      <c r="G591" s="186"/>
      <c r="H591" s="186"/>
      <c r="I591" s="186"/>
      <c r="J591" s="186"/>
      <c r="K591" s="186"/>
      <c r="L591" s="186"/>
      <c r="M591" s="186"/>
      <c r="N591" s="186"/>
      <c r="O591" s="186"/>
      <c r="P591" s="186"/>
      <c r="Q591" s="186"/>
      <c r="R591" s="186"/>
      <c r="S591" s="186"/>
      <c r="T591" s="186"/>
      <c r="U591" s="186">
        <v>0</v>
      </c>
    </row>
    <row r="592" spans="1:21" ht="12.75">
      <c r="A592" s="33"/>
      <c r="B592" s="33"/>
      <c r="C592" s="34"/>
      <c r="D592" s="183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>
        <v>0</v>
      </c>
    </row>
    <row r="593" spans="1:21" ht="12.75">
      <c r="A593" s="184"/>
      <c r="B593" s="184"/>
      <c r="C593" s="191"/>
      <c r="D593" s="185"/>
      <c r="E593" s="186"/>
      <c r="F593" s="186"/>
      <c r="G593" s="186"/>
      <c r="H593" s="186"/>
      <c r="I593" s="186"/>
      <c r="J593" s="186"/>
      <c r="K593" s="186"/>
      <c r="L593" s="186"/>
      <c r="M593" s="186"/>
      <c r="N593" s="186"/>
      <c r="O593" s="186"/>
      <c r="P593" s="186"/>
      <c r="Q593" s="186"/>
      <c r="R593" s="186"/>
      <c r="S593" s="186"/>
      <c r="T593" s="186"/>
      <c r="U593" s="186">
        <v>0</v>
      </c>
    </row>
    <row r="594" spans="1:21" ht="12.75">
      <c r="A594" s="33"/>
      <c r="B594" s="33"/>
      <c r="C594" s="34"/>
      <c r="D594" s="183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>
        <v>0</v>
      </c>
    </row>
    <row r="595" spans="1:21" ht="12.75">
      <c r="A595" s="184"/>
      <c r="B595" s="184"/>
      <c r="C595" s="191"/>
      <c r="D595" s="185"/>
      <c r="E595" s="186"/>
      <c r="F595" s="186"/>
      <c r="G595" s="186"/>
      <c r="H595" s="186"/>
      <c r="I595" s="186"/>
      <c r="J595" s="186"/>
      <c r="K595" s="186"/>
      <c r="L595" s="186"/>
      <c r="M595" s="186"/>
      <c r="N595" s="186"/>
      <c r="O595" s="186"/>
      <c r="P595" s="186"/>
      <c r="Q595" s="186"/>
      <c r="R595" s="186"/>
      <c r="S595" s="186"/>
      <c r="T595" s="186"/>
      <c r="U595" s="186">
        <v>0</v>
      </c>
    </row>
    <row r="596" spans="1:21" ht="12.75">
      <c r="A596" s="33"/>
      <c r="B596" s="33"/>
      <c r="C596" s="34"/>
      <c r="D596" s="183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>
        <v>0</v>
      </c>
    </row>
    <row r="597" spans="1:21" ht="12.75">
      <c r="A597" s="184"/>
      <c r="B597" s="184"/>
      <c r="C597" s="191"/>
      <c r="D597" s="185"/>
      <c r="E597" s="186"/>
      <c r="F597" s="186"/>
      <c r="G597" s="186"/>
      <c r="H597" s="186"/>
      <c r="I597" s="186"/>
      <c r="J597" s="186"/>
      <c r="K597" s="186"/>
      <c r="L597" s="186"/>
      <c r="M597" s="186"/>
      <c r="N597" s="186"/>
      <c r="O597" s="186"/>
      <c r="P597" s="186"/>
      <c r="Q597" s="186"/>
      <c r="R597" s="186"/>
      <c r="S597" s="186"/>
      <c r="T597" s="186"/>
      <c r="U597" s="186">
        <v>0</v>
      </c>
    </row>
    <row r="598" spans="1:21" ht="12.75">
      <c r="A598" s="33"/>
      <c r="B598" s="33"/>
      <c r="C598" s="34"/>
      <c r="D598" s="183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>
        <v>0</v>
      </c>
    </row>
    <row r="599" spans="1:21" ht="12.75">
      <c r="A599" s="184"/>
      <c r="B599" s="184"/>
      <c r="C599" s="191"/>
      <c r="D599" s="185"/>
      <c r="E599" s="186"/>
      <c r="F599" s="186"/>
      <c r="G599" s="186"/>
      <c r="H599" s="186"/>
      <c r="I599" s="186"/>
      <c r="J599" s="186"/>
      <c r="K599" s="186"/>
      <c r="L599" s="186"/>
      <c r="M599" s="186"/>
      <c r="N599" s="186"/>
      <c r="O599" s="186"/>
      <c r="P599" s="186"/>
      <c r="Q599" s="186"/>
      <c r="R599" s="186"/>
      <c r="S599" s="186"/>
      <c r="T599" s="186"/>
      <c r="U599" s="186">
        <v>0</v>
      </c>
    </row>
    <row r="600" spans="1:21" ht="12.75">
      <c r="A600" s="33"/>
      <c r="B600" s="33"/>
      <c r="C600" s="34"/>
      <c r="D600" s="183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>
        <v>0</v>
      </c>
    </row>
    <row r="601" spans="1:21" ht="12.75">
      <c r="A601" s="184"/>
      <c r="B601" s="184"/>
      <c r="C601" s="191"/>
      <c r="D601" s="185"/>
      <c r="E601" s="186"/>
      <c r="F601" s="186"/>
      <c r="G601" s="186"/>
      <c r="H601" s="186"/>
      <c r="I601" s="186"/>
      <c r="J601" s="186"/>
      <c r="K601" s="186"/>
      <c r="L601" s="186"/>
      <c r="M601" s="186"/>
      <c r="N601" s="186"/>
      <c r="O601" s="186"/>
      <c r="P601" s="186"/>
      <c r="Q601" s="186"/>
      <c r="R601" s="186"/>
      <c r="S601" s="186"/>
      <c r="T601" s="186"/>
      <c r="U601" s="186">
        <v>0</v>
      </c>
    </row>
    <row r="602" spans="1:21" ht="12.75">
      <c r="A602" s="33"/>
      <c r="B602" s="33"/>
      <c r="C602" s="34"/>
      <c r="D602" s="183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>
        <v>0</v>
      </c>
    </row>
    <row r="603" spans="1:21" ht="12.75">
      <c r="A603" s="184"/>
      <c r="B603" s="184"/>
      <c r="C603" s="191"/>
      <c r="D603" s="185"/>
      <c r="E603" s="186"/>
      <c r="F603" s="186"/>
      <c r="G603" s="186"/>
      <c r="H603" s="186"/>
      <c r="I603" s="186"/>
      <c r="J603" s="186"/>
      <c r="K603" s="186"/>
      <c r="L603" s="186"/>
      <c r="M603" s="186"/>
      <c r="N603" s="186"/>
      <c r="O603" s="186"/>
      <c r="P603" s="186"/>
      <c r="Q603" s="186"/>
      <c r="R603" s="186"/>
      <c r="S603" s="186"/>
      <c r="T603" s="186"/>
      <c r="U603" s="186">
        <v>0</v>
      </c>
    </row>
    <row r="604" spans="1:21" ht="12.75">
      <c r="A604" s="33"/>
      <c r="B604" s="33"/>
      <c r="C604" s="34"/>
      <c r="D604" s="183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>
        <v>0</v>
      </c>
    </row>
    <row r="605" spans="1:21" ht="12.75">
      <c r="A605" s="184"/>
      <c r="B605" s="184"/>
      <c r="C605" s="191"/>
      <c r="D605" s="185"/>
      <c r="E605" s="186"/>
      <c r="F605" s="186"/>
      <c r="G605" s="186"/>
      <c r="H605" s="186"/>
      <c r="I605" s="186"/>
      <c r="J605" s="186"/>
      <c r="K605" s="186"/>
      <c r="L605" s="186"/>
      <c r="M605" s="186"/>
      <c r="N605" s="186"/>
      <c r="O605" s="186"/>
      <c r="P605" s="186"/>
      <c r="Q605" s="186"/>
      <c r="R605" s="186"/>
      <c r="S605" s="186"/>
      <c r="T605" s="186"/>
      <c r="U605" s="186">
        <v>0</v>
      </c>
    </row>
    <row r="606" spans="1:21" ht="12.75">
      <c r="A606" s="33"/>
      <c r="B606" s="33"/>
      <c r="C606" s="34"/>
      <c r="D606" s="183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>
        <v>0</v>
      </c>
    </row>
    <row r="607" spans="1:21" ht="12.75">
      <c r="A607" s="184"/>
      <c r="B607" s="184"/>
      <c r="C607" s="191"/>
      <c r="D607" s="185"/>
      <c r="E607" s="186"/>
      <c r="F607" s="186"/>
      <c r="G607" s="186"/>
      <c r="H607" s="186"/>
      <c r="I607" s="186"/>
      <c r="J607" s="186"/>
      <c r="K607" s="186"/>
      <c r="L607" s="186"/>
      <c r="M607" s="186"/>
      <c r="N607" s="186"/>
      <c r="O607" s="186"/>
      <c r="P607" s="186"/>
      <c r="Q607" s="186"/>
      <c r="R607" s="186"/>
      <c r="S607" s="186"/>
      <c r="T607" s="186"/>
      <c r="U607" s="186">
        <v>0</v>
      </c>
    </row>
    <row r="608" spans="1:21" ht="12.75">
      <c r="A608" s="33"/>
      <c r="B608" s="33"/>
      <c r="C608" s="34"/>
      <c r="D608" s="183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>
        <v>0</v>
      </c>
    </row>
    <row r="609" spans="1:21" ht="12.75">
      <c r="A609" s="184"/>
      <c r="B609" s="184"/>
      <c r="C609" s="191"/>
      <c r="D609" s="185"/>
      <c r="E609" s="186"/>
      <c r="F609" s="186"/>
      <c r="G609" s="186"/>
      <c r="H609" s="186"/>
      <c r="I609" s="186"/>
      <c r="J609" s="186"/>
      <c r="K609" s="186"/>
      <c r="L609" s="186"/>
      <c r="M609" s="186"/>
      <c r="N609" s="186"/>
      <c r="O609" s="186"/>
      <c r="P609" s="186"/>
      <c r="Q609" s="186"/>
      <c r="R609" s="186"/>
      <c r="S609" s="186"/>
      <c r="T609" s="186"/>
      <c r="U609" s="186">
        <v>0</v>
      </c>
    </row>
    <row r="610" spans="1:21" ht="12.75">
      <c r="A610" s="33"/>
      <c r="B610" s="33"/>
      <c r="C610" s="34"/>
      <c r="D610" s="183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>
        <v>0</v>
      </c>
    </row>
    <row r="611" spans="1:21" ht="12.75">
      <c r="A611" s="184"/>
      <c r="B611" s="184"/>
      <c r="C611" s="191"/>
      <c r="D611" s="185"/>
      <c r="E611" s="186"/>
      <c r="F611" s="186"/>
      <c r="G611" s="186"/>
      <c r="H611" s="186"/>
      <c r="I611" s="186"/>
      <c r="J611" s="186"/>
      <c r="K611" s="186"/>
      <c r="L611" s="186"/>
      <c r="M611" s="186"/>
      <c r="N611" s="186"/>
      <c r="O611" s="186"/>
      <c r="P611" s="186"/>
      <c r="Q611" s="186"/>
      <c r="R611" s="186"/>
      <c r="S611" s="186"/>
      <c r="T611" s="186"/>
      <c r="U611" s="186">
        <v>0</v>
      </c>
    </row>
    <row r="612" spans="1:21" ht="12.75">
      <c r="A612" s="33"/>
      <c r="B612" s="33"/>
      <c r="C612" s="34"/>
      <c r="D612" s="183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>
        <v>0</v>
      </c>
    </row>
    <row r="613" spans="1:21" ht="12.75">
      <c r="A613" s="184"/>
      <c r="B613" s="184"/>
      <c r="C613" s="191"/>
      <c r="D613" s="185"/>
      <c r="E613" s="186"/>
      <c r="F613" s="186"/>
      <c r="G613" s="186"/>
      <c r="H613" s="186"/>
      <c r="I613" s="186"/>
      <c r="J613" s="186"/>
      <c r="K613" s="186"/>
      <c r="L613" s="186"/>
      <c r="M613" s="186"/>
      <c r="N613" s="186"/>
      <c r="O613" s="186"/>
      <c r="P613" s="186"/>
      <c r="Q613" s="186"/>
      <c r="R613" s="186"/>
      <c r="S613" s="186"/>
      <c r="T613" s="186"/>
      <c r="U613" s="186">
        <v>0</v>
      </c>
    </row>
    <row r="614" spans="1:21" ht="12.75">
      <c r="A614" s="33"/>
      <c r="B614" s="33"/>
      <c r="C614" s="34"/>
      <c r="D614" s="183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>
        <v>0</v>
      </c>
    </row>
    <row r="615" spans="1:21" ht="12.75">
      <c r="A615" s="184"/>
      <c r="B615" s="184"/>
      <c r="C615" s="191"/>
      <c r="D615" s="185"/>
      <c r="E615" s="186"/>
      <c r="F615" s="186"/>
      <c r="G615" s="186"/>
      <c r="H615" s="186"/>
      <c r="I615" s="186"/>
      <c r="J615" s="186"/>
      <c r="K615" s="186"/>
      <c r="L615" s="186"/>
      <c r="M615" s="186"/>
      <c r="N615" s="186"/>
      <c r="O615" s="186"/>
      <c r="P615" s="186"/>
      <c r="Q615" s="186"/>
      <c r="R615" s="186"/>
      <c r="S615" s="186"/>
      <c r="T615" s="186"/>
      <c r="U615" s="186">
        <v>0</v>
      </c>
    </row>
    <row r="616" spans="1:21" ht="12.75">
      <c r="A616" s="33"/>
      <c r="B616" s="33"/>
      <c r="C616" s="34"/>
      <c r="D616" s="183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>
        <v>0</v>
      </c>
    </row>
    <row r="617" spans="1:21" ht="12.75">
      <c r="A617" s="184"/>
      <c r="B617" s="184"/>
      <c r="C617" s="191"/>
      <c r="D617" s="185"/>
      <c r="E617" s="186"/>
      <c r="F617" s="186"/>
      <c r="G617" s="186"/>
      <c r="H617" s="186"/>
      <c r="I617" s="186"/>
      <c r="J617" s="186"/>
      <c r="K617" s="186"/>
      <c r="L617" s="186"/>
      <c r="M617" s="186"/>
      <c r="N617" s="186"/>
      <c r="O617" s="186"/>
      <c r="P617" s="186"/>
      <c r="Q617" s="186"/>
      <c r="R617" s="186"/>
      <c r="S617" s="186"/>
      <c r="T617" s="186"/>
      <c r="U617" s="186">
        <v>0</v>
      </c>
    </row>
    <row r="618" spans="1:21" ht="12.75">
      <c r="A618" s="33"/>
      <c r="B618" s="33"/>
      <c r="C618" s="34"/>
      <c r="D618" s="183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>
        <v>0</v>
      </c>
    </row>
    <row r="619" spans="1:21" ht="12.75">
      <c r="A619" s="184"/>
      <c r="B619" s="184"/>
      <c r="C619" s="191"/>
      <c r="D619" s="185"/>
      <c r="E619" s="186"/>
      <c r="F619" s="186"/>
      <c r="G619" s="186"/>
      <c r="H619" s="186"/>
      <c r="I619" s="186"/>
      <c r="J619" s="186"/>
      <c r="K619" s="186"/>
      <c r="L619" s="186"/>
      <c r="M619" s="186"/>
      <c r="N619" s="186"/>
      <c r="O619" s="186"/>
      <c r="P619" s="186"/>
      <c r="Q619" s="186"/>
      <c r="R619" s="186"/>
      <c r="S619" s="186"/>
      <c r="T619" s="186"/>
      <c r="U619" s="186">
        <v>0</v>
      </c>
    </row>
    <row r="620" spans="1:21" ht="12.75">
      <c r="A620" s="33"/>
      <c r="B620" s="33"/>
      <c r="C620" s="34"/>
      <c r="D620" s="183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>
        <v>0</v>
      </c>
    </row>
    <row r="621" spans="1:21" ht="12.75">
      <c r="A621" s="184"/>
      <c r="B621" s="184"/>
      <c r="C621" s="191"/>
      <c r="D621" s="185"/>
      <c r="E621" s="186"/>
      <c r="F621" s="186"/>
      <c r="G621" s="186"/>
      <c r="H621" s="186"/>
      <c r="I621" s="186"/>
      <c r="J621" s="186"/>
      <c r="K621" s="186"/>
      <c r="L621" s="186"/>
      <c r="M621" s="186"/>
      <c r="N621" s="186"/>
      <c r="O621" s="186"/>
      <c r="P621" s="186"/>
      <c r="Q621" s="186"/>
      <c r="R621" s="186"/>
      <c r="S621" s="186"/>
      <c r="T621" s="186"/>
      <c r="U621" s="186">
        <v>0</v>
      </c>
    </row>
    <row r="622" spans="1:21" ht="12.75">
      <c r="A622" s="33"/>
      <c r="B622" s="33"/>
      <c r="C622" s="34"/>
      <c r="D622" s="183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>
        <v>0</v>
      </c>
    </row>
    <row r="623" spans="1:21" ht="12.75">
      <c r="A623" s="184"/>
      <c r="B623" s="184"/>
      <c r="C623" s="191"/>
      <c r="D623" s="185"/>
      <c r="E623" s="186"/>
      <c r="F623" s="186"/>
      <c r="G623" s="186"/>
      <c r="H623" s="186"/>
      <c r="I623" s="186"/>
      <c r="J623" s="186"/>
      <c r="K623" s="186"/>
      <c r="L623" s="186"/>
      <c r="M623" s="186"/>
      <c r="N623" s="186"/>
      <c r="O623" s="186"/>
      <c r="P623" s="186"/>
      <c r="Q623" s="186"/>
      <c r="R623" s="186"/>
      <c r="S623" s="186"/>
      <c r="T623" s="186"/>
      <c r="U623" s="186">
        <v>0</v>
      </c>
    </row>
    <row r="624" spans="1:21" ht="12.75">
      <c r="A624" s="33"/>
      <c r="B624" s="33"/>
      <c r="C624" s="34"/>
      <c r="D624" s="183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>
        <v>0</v>
      </c>
    </row>
    <row r="625" spans="1:21" ht="12.75">
      <c r="A625" s="184"/>
      <c r="B625" s="184"/>
      <c r="C625" s="191"/>
      <c r="D625" s="185"/>
      <c r="E625" s="186"/>
      <c r="F625" s="186"/>
      <c r="G625" s="186"/>
      <c r="H625" s="186"/>
      <c r="I625" s="186"/>
      <c r="J625" s="186"/>
      <c r="K625" s="186"/>
      <c r="L625" s="186"/>
      <c r="M625" s="186"/>
      <c r="N625" s="186"/>
      <c r="O625" s="186"/>
      <c r="P625" s="186"/>
      <c r="Q625" s="186"/>
      <c r="R625" s="186"/>
      <c r="S625" s="186"/>
      <c r="T625" s="186"/>
      <c r="U625" s="186">
        <v>0</v>
      </c>
    </row>
    <row r="626" spans="1:21" ht="12.75">
      <c r="A626" s="33"/>
      <c r="B626" s="33"/>
      <c r="C626" s="34"/>
      <c r="D626" s="183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>
        <v>0</v>
      </c>
    </row>
    <row r="627" spans="1:21" ht="12.75">
      <c r="A627" s="184"/>
      <c r="B627" s="184"/>
      <c r="C627" s="191"/>
      <c r="D627" s="185"/>
      <c r="E627" s="186"/>
      <c r="F627" s="186"/>
      <c r="G627" s="186"/>
      <c r="H627" s="186"/>
      <c r="I627" s="186"/>
      <c r="J627" s="186"/>
      <c r="K627" s="186"/>
      <c r="L627" s="186"/>
      <c r="M627" s="186"/>
      <c r="N627" s="186"/>
      <c r="O627" s="186"/>
      <c r="P627" s="186"/>
      <c r="Q627" s="186"/>
      <c r="R627" s="186"/>
      <c r="S627" s="186"/>
      <c r="T627" s="186"/>
      <c r="U627" s="186">
        <v>0</v>
      </c>
    </row>
    <row r="628" spans="1:21" ht="12.75">
      <c r="A628" s="33"/>
      <c r="B628" s="33"/>
      <c r="C628" s="34"/>
      <c r="D628" s="183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>
        <v>0</v>
      </c>
    </row>
    <row r="629" spans="1:21" ht="12.75">
      <c r="A629" s="184"/>
      <c r="B629" s="184"/>
      <c r="C629" s="191"/>
      <c r="D629" s="185"/>
      <c r="E629" s="186"/>
      <c r="F629" s="186"/>
      <c r="G629" s="186"/>
      <c r="H629" s="186"/>
      <c r="I629" s="186"/>
      <c r="J629" s="186"/>
      <c r="K629" s="186"/>
      <c r="L629" s="186"/>
      <c r="M629" s="186"/>
      <c r="N629" s="186"/>
      <c r="O629" s="186"/>
      <c r="P629" s="186"/>
      <c r="Q629" s="186"/>
      <c r="R629" s="186"/>
      <c r="S629" s="186"/>
      <c r="T629" s="186"/>
      <c r="U629" s="186">
        <v>0</v>
      </c>
    </row>
    <row r="630" spans="1:21" ht="12.75">
      <c r="A630" s="33"/>
      <c r="B630" s="33"/>
      <c r="C630" s="34"/>
      <c r="D630" s="183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>
        <v>0</v>
      </c>
    </row>
    <row r="631" spans="1:21" ht="12.75">
      <c r="A631" s="184"/>
      <c r="B631" s="184"/>
      <c r="C631" s="191"/>
      <c r="D631" s="185"/>
      <c r="E631" s="186"/>
      <c r="F631" s="186"/>
      <c r="G631" s="186"/>
      <c r="H631" s="186"/>
      <c r="I631" s="186"/>
      <c r="J631" s="186"/>
      <c r="K631" s="186"/>
      <c r="L631" s="186"/>
      <c r="M631" s="186"/>
      <c r="N631" s="186"/>
      <c r="O631" s="186"/>
      <c r="P631" s="186"/>
      <c r="Q631" s="186"/>
      <c r="R631" s="186"/>
      <c r="S631" s="186"/>
      <c r="T631" s="186"/>
      <c r="U631" s="186">
        <v>0</v>
      </c>
    </row>
    <row r="632" spans="1:21" ht="12.75">
      <c r="A632" s="33"/>
      <c r="B632" s="33"/>
      <c r="C632" s="34"/>
      <c r="D632" s="183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>
        <v>0</v>
      </c>
    </row>
    <row r="633" spans="1:21" ht="12.75">
      <c r="A633" s="184"/>
      <c r="B633" s="184"/>
      <c r="C633" s="191"/>
      <c r="D633" s="185"/>
      <c r="E633" s="186"/>
      <c r="F633" s="186"/>
      <c r="G633" s="186"/>
      <c r="H633" s="186"/>
      <c r="I633" s="186"/>
      <c r="J633" s="186"/>
      <c r="K633" s="186"/>
      <c r="L633" s="186"/>
      <c r="M633" s="186"/>
      <c r="N633" s="186"/>
      <c r="O633" s="186"/>
      <c r="P633" s="186"/>
      <c r="Q633" s="186"/>
      <c r="R633" s="186"/>
      <c r="S633" s="186"/>
      <c r="T633" s="186"/>
      <c r="U633" s="186">
        <v>0</v>
      </c>
    </row>
    <row r="634" spans="1:21" ht="12.75">
      <c r="A634" s="33"/>
      <c r="B634" s="33"/>
      <c r="C634" s="34"/>
      <c r="D634" s="183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>
        <v>0</v>
      </c>
    </row>
    <row r="635" spans="1:21" ht="12.75">
      <c r="A635" s="184"/>
      <c r="B635" s="184"/>
      <c r="C635" s="191"/>
      <c r="D635" s="185"/>
      <c r="E635" s="186"/>
      <c r="F635" s="186"/>
      <c r="G635" s="186"/>
      <c r="H635" s="186"/>
      <c r="I635" s="186"/>
      <c r="J635" s="186"/>
      <c r="K635" s="186"/>
      <c r="L635" s="186"/>
      <c r="M635" s="186"/>
      <c r="N635" s="186"/>
      <c r="O635" s="186"/>
      <c r="P635" s="186"/>
      <c r="Q635" s="186"/>
      <c r="R635" s="186"/>
      <c r="S635" s="186"/>
      <c r="T635" s="186"/>
      <c r="U635" s="186">
        <v>0</v>
      </c>
    </row>
    <row r="636" spans="1:21" ht="12.75">
      <c r="A636" s="33"/>
      <c r="B636" s="33"/>
      <c r="C636" s="34"/>
      <c r="D636" s="183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>
        <v>0</v>
      </c>
    </row>
    <row r="637" spans="1:21" ht="12.75">
      <c r="A637" s="184"/>
      <c r="B637" s="184"/>
      <c r="C637" s="191"/>
      <c r="D637" s="185"/>
      <c r="E637" s="186"/>
      <c r="F637" s="186"/>
      <c r="G637" s="186"/>
      <c r="H637" s="186"/>
      <c r="I637" s="186"/>
      <c r="J637" s="186"/>
      <c r="K637" s="186"/>
      <c r="L637" s="186"/>
      <c r="M637" s="186"/>
      <c r="N637" s="186"/>
      <c r="O637" s="186"/>
      <c r="P637" s="186"/>
      <c r="Q637" s="186"/>
      <c r="R637" s="186"/>
      <c r="S637" s="186"/>
      <c r="T637" s="186"/>
      <c r="U637" s="186">
        <v>0</v>
      </c>
    </row>
    <row r="638" spans="1:21" ht="12.75">
      <c r="A638" s="33"/>
      <c r="B638" s="33"/>
      <c r="C638" s="34"/>
      <c r="D638" s="183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>
        <v>0</v>
      </c>
    </row>
    <row r="639" spans="1:21" ht="12.75">
      <c r="A639" s="184"/>
      <c r="B639" s="184"/>
      <c r="C639" s="191"/>
      <c r="D639" s="185"/>
      <c r="E639" s="186"/>
      <c r="F639" s="186"/>
      <c r="G639" s="186"/>
      <c r="H639" s="186"/>
      <c r="I639" s="186"/>
      <c r="J639" s="186"/>
      <c r="K639" s="186"/>
      <c r="L639" s="186"/>
      <c r="M639" s="186"/>
      <c r="N639" s="186"/>
      <c r="O639" s="186"/>
      <c r="P639" s="186"/>
      <c r="Q639" s="186"/>
      <c r="R639" s="186"/>
      <c r="S639" s="186"/>
      <c r="T639" s="186"/>
      <c r="U639" s="186">
        <v>0</v>
      </c>
    </row>
    <row r="640" spans="1:21" ht="12.75">
      <c r="A640" s="33"/>
      <c r="B640" s="33"/>
      <c r="C640" s="34"/>
      <c r="D640" s="183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>
        <v>0</v>
      </c>
    </row>
    <row r="641" spans="1:21" ht="12.75">
      <c r="A641" s="184"/>
      <c r="B641" s="184"/>
      <c r="C641" s="191"/>
      <c r="D641" s="185"/>
      <c r="E641" s="186"/>
      <c r="F641" s="186"/>
      <c r="G641" s="186"/>
      <c r="H641" s="186"/>
      <c r="I641" s="186"/>
      <c r="J641" s="186"/>
      <c r="K641" s="186"/>
      <c r="L641" s="186"/>
      <c r="M641" s="186"/>
      <c r="N641" s="186"/>
      <c r="O641" s="186"/>
      <c r="P641" s="186"/>
      <c r="Q641" s="186"/>
      <c r="R641" s="186"/>
      <c r="S641" s="186"/>
      <c r="T641" s="186"/>
      <c r="U641" s="186">
        <v>0</v>
      </c>
    </row>
    <row r="642" spans="1:21" ht="12.75">
      <c r="A642" s="33"/>
      <c r="B642" s="33"/>
      <c r="C642" s="34"/>
      <c r="D642" s="183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>
        <v>0</v>
      </c>
    </row>
    <row r="643" spans="1:21" ht="12.75">
      <c r="A643" s="184"/>
      <c r="B643" s="184"/>
      <c r="C643" s="191"/>
      <c r="D643" s="185"/>
      <c r="E643" s="186"/>
      <c r="F643" s="186"/>
      <c r="G643" s="186"/>
      <c r="H643" s="186"/>
      <c r="I643" s="186"/>
      <c r="J643" s="186"/>
      <c r="K643" s="186"/>
      <c r="L643" s="186"/>
      <c r="M643" s="186"/>
      <c r="N643" s="186"/>
      <c r="O643" s="186"/>
      <c r="P643" s="186"/>
      <c r="Q643" s="186"/>
      <c r="R643" s="186"/>
      <c r="S643" s="186"/>
      <c r="T643" s="186"/>
      <c r="U643" s="186">
        <v>0</v>
      </c>
    </row>
    <row r="644" spans="1:21" ht="12.75">
      <c r="A644" s="33"/>
      <c r="B644" s="33"/>
      <c r="C644" s="34"/>
      <c r="D644" s="183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>
        <v>0</v>
      </c>
    </row>
    <row r="645" spans="1:21" ht="12.75">
      <c r="A645" s="184"/>
      <c r="B645" s="184"/>
      <c r="C645" s="191"/>
      <c r="D645" s="185"/>
      <c r="E645" s="186"/>
      <c r="F645" s="186"/>
      <c r="G645" s="186"/>
      <c r="H645" s="186"/>
      <c r="I645" s="186"/>
      <c r="J645" s="186"/>
      <c r="K645" s="186"/>
      <c r="L645" s="186"/>
      <c r="M645" s="186"/>
      <c r="N645" s="186"/>
      <c r="O645" s="186"/>
      <c r="P645" s="186"/>
      <c r="Q645" s="186"/>
      <c r="R645" s="186"/>
      <c r="S645" s="186"/>
      <c r="T645" s="186"/>
      <c r="U645" s="186">
        <v>0</v>
      </c>
    </row>
    <row r="646" spans="1:21" ht="12.75">
      <c r="A646" s="33"/>
      <c r="B646" s="33"/>
      <c r="C646" s="34"/>
      <c r="D646" s="183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>
        <v>0</v>
      </c>
    </row>
    <row r="647" spans="1:21" ht="12.75">
      <c r="A647" s="184"/>
      <c r="B647" s="184"/>
      <c r="C647" s="191"/>
      <c r="D647" s="185"/>
      <c r="E647" s="186"/>
      <c r="F647" s="186"/>
      <c r="G647" s="186"/>
      <c r="H647" s="186"/>
      <c r="I647" s="186"/>
      <c r="J647" s="186"/>
      <c r="K647" s="186"/>
      <c r="L647" s="186"/>
      <c r="M647" s="186"/>
      <c r="N647" s="186"/>
      <c r="O647" s="186"/>
      <c r="P647" s="186"/>
      <c r="Q647" s="186"/>
      <c r="R647" s="186"/>
      <c r="S647" s="186"/>
      <c r="T647" s="186"/>
      <c r="U647" s="186">
        <v>0</v>
      </c>
    </row>
    <row r="648" spans="1:21" ht="12.75">
      <c r="A648" s="33"/>
      <c r="B648" s="33"/>
      <c r="C648" s="34"/>
      <c r="D648" s="183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>
        <v>0</v>
      </c>
    </row>
    <row r="649" spans="1:21" ht="12.75">
      <c r="A649" s="184"/>
      <c r="B649" s="184"/>
      <c r="C649" s="191"/>
      <c r="D649" s="185"/>
      <c r="E649" s="186"/>
      <c r="F649" s="186"/>
      <c r="G649" s="186"/>
      <c r="H649" s="186"/>
      <c r="I649" s="186"/>
      <c r="J649" s="186"/>
      <c r="K649" s="186"/>
      <c r="L649" s="186"/>
      <c r="M649" s="186"/>
      <c r="N649" s="186"/>
      <c r="O649" s="186"/>
      <c r="P649" s="186"/>
      <c r="Q649" s="186"/>
      <c r="R649" s="186"/>
      <c r="S649" s="186"/>
      <c r="T649" s="186"/>
      <c r="U649" s="186">
        <v>0</v>
      </c>
    </row>
    <row r="650" spans="1:21" ht="12.75">
      <c r="A650" s="33"/>
      <c r="B650" s="33"/>
      <c r="C650" s="34"/>
      <c r="D650" s="183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>
        <v>0</v>
      </c>
    </row>
    <row r="651" spans="1:21" ht="12.75">
      <c r="A651" s="184"/>
      <c r="B651" s="184"/>
      <c r="C651" s="191"/>
      <c r="D651" s="185"/>
      <c r="E651" s="186"/>
      <c r="F651" s="186"/>
      <c r="G651" s="186"/>
      <c r="H651" s="186"/>
      <c r="I651" s="186"/>
      <c r="J651" s="186"/>
      <c r="K651" s="186"/>
      <c r="L651" s="186"/>
      <c r="M651" s="186"/>
      <c r="N651" s="186"/>
      <c r="O651" s="186"/>
      <c r="P651" s="186"/>
      <c r="Q651" s="186"/>
      <c r="R651" s="186"/>
      <c r="S651" s="186"/>
      <c r="T651" s="186"/>
      <c r="U651" s="186">
        <v>0</v>
      </c>
    </row>
    <row r="652" spans="1:21" ht="12.75">
      <c r="A652" s="33"/>
      <c r="B652" s="33"/>
      <c r="C652" s="34"/>
      <c r="D652" s="183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>
        <v>0</v>
      </c>
    </row>
    <row r="653" spans="1:21" ht="12.75">
      <c r="A653" s="184"/>
      <c r="B653" s="184"/>
      <c r="C653" s="191"/>
      <c r="D653" s="185"/>
      <c r="E653" s="186"/>
      <c r="F653" s="186"/>
      <c r="G653" s="186"/>
      <c r="H653" s="186"/>
      <c r="I653" s="186"/>
      <c r="J653" s="186"/>
      <c r="K653" s="186"/>
      <c r="L653" s="186"/>
      <c r="M653" s="186"/>
      <c r="N653" s="186"/>
      <c r="O653" s="186"/>
      <c r="P653" s="186"/>
      <c r="Q653" s="186"/>
      <c r="R653" s="186"/>
      <c r="S653" s="186"/>
      <c r="T653" s="186"/>
      <c r="U653" s="186">
        <v>0</v>
      </c>
    </row>
    <row r="654" spans="1:21" ht="12.75">
      <c r="A654" s="33"/>
      <c r="B654" s="33"/>
      <c r="C654" s="34"/>
      <c r="D654" s="183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>
        <v>0</v>
      </c>
    </row>
    <row r="655" spans="1:21" ht="12.75">
      <c r="A655" s="184"/>
      <c r="B655" s="184"/>
      <c r="C655" s="191"/>
      <c r="D655" s="185"/>
      <c r="E655" s="186"/>
      <c r="F655" s="186"/>
      <c r="G655" s="186"/>
      <c r="H655" s="186"/>
      <c r="I655" s="186"/>
      <c r="J655" s="186"/>
      <c r="K655" s="186"/>
      <c r="L655" s="186"/>
      <c r="M655" s="186"/>
      <c r="N655" s="186"/>
      <c r="O655" s="186"/>
      <c r="P655" s="186"/>
      <c r="Q655" s="186"/>
      <c r="R655" s="186"/>
      <c r="S655" s="186"/>
      <c r="T655" s="186"/>
      <c r="U655" s="186">
        <v>0</v>
      </c>
    </row>
    <row r="656" spans="1:21" ht="12.75">
      <c r="A656" s="33"/>
      <c r="B656" s="33"/>
      <c r="C656" s="34"/>
      <c r="D656" s="183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>
        <v>0</v>
      </c>
    </row>
    <row r="657" spans="1:21" ht="12.75">
      <c r="A657" s="184"/>
      <c r="B657" s="184"/>
      <c r="C657" s="191"/>
      <c r="D657" s="185"/>
      <c r="E657" s="186"/>
      <c r="F657" s="186"/>
      <c r="G657" s="186"/>
      <c r="H657" s="186"/>
      <c r="I657" s="186"/>
      <c r="J657" s="186"/>
      <c r="K657" s="186"/>
      <c r="L657" s="186"/>
      <c r="M657" s="186"/>
      <c r="N657" s="186"/>
      <c r="O657" s="186"/>
      <c r="P657" s="186"/>
      <c r="Q657" s="186"/>
      <c r="R657" s="186"/>
      <c r="S657" s="186"/>
      <c r="T657" s="186"/>
      <c r="U657" s="186">
        <v>0</v>
      </c>
    </row>
    <row r="658" spans="1:21" ht="12.75">
      <c r="A658" s="33"/>
      <c r="B658" s="33"/>
      <c r="C658" s="34"/>
      <c r="D658" s="183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>
        <v>0</v>
      </c>
    </row>
    <row r="659" spans="1:21" ht="12.75">
      <c r="A659" s="184"/>
      <c r="B659" s="184"/>
      <c r="C659" s="191"/>
      <c r="D659" s="185"/>
      <c r="E659" s="186"/>
      <c r="F659" s="186"/>
      <c r="G659" s="186"/>
      <c r="H659" s="186"/>
      <c r="I659" s="186"/>
      <c r="J659" s="186"/>
      <c r="K659" s="186"/>
      <c r="L659" s="186"/>
      <c r="M659" s="186"/>
      <c r="N659" s="186"/>
      <c r="O659" s="186"/>
      <c r="P659" s="186"/>
      <c r="Q659" s="186"/>
      <c r="R659" s="186"/>
      <c r="S659" s="186"/>
      <c r="T659" s="186"/>
      <c r="U659" s="186">
        <v>0</v>
      </c>
    </row>
    <row r="660" spans="1:21" ht="12.75">
      <c r="A660" s="33"/>
      <c r="B660" s="33"/>
      <c r="C660" s="34"/>
      <c r="D660" s="183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>
        <v>0</v>
      </c>
    </row>
    <row r="661" spans="1:21" ht="12.75">
      <c r="A661" s="184"/>
      <c r="B661" s="184"/>
      <c r="C661" s="191"/>
      <c r="D661" s="185"/>
      <c r="E661" s="186"/>
      <c r="F661" s="186"/>
      <c r="G661" s="186"/>
      <c r="H661" s="186"/>
      <c r="I661" s="186"/>
      <c r="J661" s="186"/>
      <c r="K661" s="186"/>
      <c r="L661" s="186"/>
      <c r="M661" s="186"/>
      <c r="N661" s="186"/>
      <c r="O661" s="186"/>
      <c r="P661" s="186"/>
      <c r="Q661" s="186"/>
      <c r="R661" s="186"/>
      <c r="S661" s="186"/>
      <c r="T661" s="186"/>
      <c r="U661" s="186">
        <v>0</v>
      </c>
    </row>
    <row r="662" spans="1:21" ht="12.75">
      <c r="A662" s="33"/>
      <c r="B662" s="33"/>
      <c r="C662" s="34"/>
      <c r="D662" s="183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>
        <v>0</v>
      </c>
    </row>
    <row r="663" spans="1:21" ht="12.75">
      <c r="A663" s="184"/>
      <c r="B663" s="184"/>
      <c r="C663" s="191"/>
      <c r="D663" s="185"/>
      <c r="E663" s="186"/>
      <c r="F663" s="186"/>
      <c r="G663" s="186"/>
      <c r="H663" s="186"/>
      <c r="I663" s="186"/>
      <c r="J663" s="186"/>
      <c r="K663" s="186"/>
      <c r="L663" s="186"/>
      <c r="M663" s="186"/>
      <c r="N663" s="186"/>
      <c r="O663" s="186"/>
      <c r="P663" s="186"/>
      <c r="Q663" s="186"/>
      <c r="R663" s="186"/>
      <c r="S663" s="186"/>
      <c r="T663" s="186"/>
      <c r="U663" s="186">
        <v>0</v>
      </c>
    </row>
    <row r="664" spans="1:21" ht="12.75">
      <c r="A664" s="33"/>
      <c r="B664" s="33"/>
      <c r="C664" s="34"/>
      <c r="D664" s="183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>
        <v>0</v>
      </c>
    </row>
    <row r="665" spans="1:21" ht="12.75">
      <c r="A665" s="184"/>
      <c r="B665" s="184"/>
      <c r="C665" s="191"/>
      <c r="D665" s="185"/>
      <c r="E665" s="186"/>
      <c r="F665" s="186"/>
      <c r="G665" s="186"/>
      <c r="H665" s="186"/>
      <c r="I665" s="186"/>
      <c r="J665" s="186"/>
      <c r="K665" s="186"/>
      <c r="L665" s="186"/>
      <c r="M665" s="186"/>
      <c r="N665" s="186"/>
      <c r="O665" s="186"/>
      <c r="P665" s="186"/>
      <c r="Q665" s="186"/>
      <c r="R665" s="186"/>
      <c r="S665" s="186"/>
      <c r="T665" s="186"/>
      <c r="U665" s="186">
        <v>0</v>
      </c>
    </row>
    <row r="666" spans="1:21" ht="12.75">
      <c r="A666" s="33"/>
      <c r="B666" s="33"/>
      <c r="C666" s="34"/>
      <c r="D666" s="183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>
        <v>0</v>
      </c>
    </row>
    <row r="667" spans="1:21" ht="12.75">
      <c r="A667" s="184"/>
      <c r="B667" s="184"/>
      <c r="C667" s="191"/>
      <c r="D667" s="185"/>
      <c r="E667" s="186"/>
      <c r="F667" s="186"/>
      <c r="G667" s="186"/>
      <c r="H667" s="186"/>
      <c r="I667" s="186"/>
      <c r="J667" s="186"/>
      <c r="K667" s="186"/>
      <c r="L667" s="186"/>
      <c r="M667" s="186"/>
      <c r="N667" s="186"/>
      <c r="O667" s="186"/>
      <c r="P667" s="186"/>
      <c r="Q667" s="186"/>
      <c r="R667" s="186"/>
      <c r="S667" s="186"/>
      <c r="T667" s="186"/>
      <c r="U667" s="186">
        <v>0</v>
      </c>
    </row>
    <row r="668" spans="1:21" ht="12.75">
      <c r="A668" s="33"/>
      <c r="B668" s="33"/>
      <c r="C668" s="34"/>
      <c r="D668" s="183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>
        <v>0</v>
      </c>
    </row>
    <row r="669" spans="1:21" ht="12.75">
      <c r="A669" s="184"/>
      <c r="B669" s="184"/>
      <c r="C669" s="191"/>
      <c r="D669" s="185"/>
      <c r="E669" s="186"/>
      <c r="F669" s="186"/>
      <c r="G669" s="186"/>
      <c r="H669" s="186"/>
      <c r="I669" s="186"/>
      <c r="J669" s="186"/>
      <c r="K669" s="186"/>
      <c r="L669" s="186"/>
      <c r="M669" s="186"/>
      <c r="N669" s="186"/>
      <c r="O669" s="186"/>
      <c r="P669" s="186"/>
      <c r="Q669" s="186"/>
      <c r="R669" s="186"/>
      <c r="S669" s="186"/>
      <c r="T669" s="186"/>
      <c r="U669" s="186">
        <v>0</v>
      </c>
    </row>
    <row r="670" spans="1:21" ht="12.75">
      <c r="A670" s="33"/>
      <c r="B670" s="33"/>
      <c r="C670" s="34"/>
      <c r="D670" s="183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>
        <v>0</v>
      </c>
    </row>
    <row r="671" spans="1:21" ht="12.75">
      <c r="A671" s="184"/>
      <c r="B671" s="184"/>
      <c r="C671" s="191"/>
      <c r="D671" s="185"/>
      <c r="E671" s="186"/>
      <c r="F671" s="186"/>
      <c r="G671" s="186"/>
      <c r="H671" s="186"/>
      <c r="I671" s="186"/>
      <c r="J671" s="186"/>
      <c r="K671" s="186"/>
      <c r="L671" s="186"/>
      <c r="M671" s="186"/>
      <c r="N671" s="186"/>
      <c r="O671" s="186"/>
      <c r="P671" s="186"/>
      <c r="Q671" s="186"/>
      <c r="R671" s="186"/>
      <c r="S671" s="186"/>
      <c r="T671" s="186"/>
      <c r="U671" s="186">
        <v>0</v>
      </c>
    </row>
    <row r="672" spans="1:21" ht="12.75">
      <c r="A672" s="33"/>
      <c r="B672" s="33"/>
      <c r="C672" s="34"/>
      <c r="D672" s="183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>
        <v>0</v>
      </c>
    </row>
    <row r="673" spans="1:21" ht="12.75">
      <c r="A673" s="184"/>
      <c r="B673" s="184"/>
      <c r="C673" s="191"/>
      <c r="D673" s="185"/>
      <c r="E673" s="186"/>
      <c r="F673" s="186"/>
      <c r="G673" s="186"/>
      <c r="H673" s="186"/>
      <c r="I673" s="186"/>
      <c r="J673" s="186"/>
      <c r="K673" s="186"/>
      <c r="L673" s="186"/>
      <c r="M673" s="186"/>
      <c r="N673" s="186"/>
      <c r="O673" s="186"/>
      <c r="P673" s="186"/>
      <c r="Q673" s="186"/>
      <c r="R673" s="186"/>
      <c r="S673" s="186"/>
      <c r="T673" s="186"/>
      <c r="U673" s="186">
        <v>0</v>
      </c>
    </row>
    <row r="674" spans="1:21" ht="12.75">
      <c r="A674" s="33"/>
      <c r="B674" s="33"/>
      <c r="C674" s="34"/>
      <c r="D674" s="183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>
        <v>0</v>
      </c>
    </row>
    <row r="675" spans="1:21" ht="12.75">
      <c r="A675" s="184"/>
      <c r="B675" s="184"/>
      <c r="C675" s="191"/>
      <c r="D675" s="185"/>
      <c r="E675" s="186"/>
      <c r="F675" s="186"/>
      <c r="G675" s="186"/>
      <c r="H675" s="186"/>
      <c r="I675" s="186"/>
      <c r="J675" s="186"/>
      <c r="K675" s="186"/>
      <c r="L675" s="186"/>
      <c r="M675" s="186"/>
      <c r="N675" s="186"/>
      <c r="O675" s="186"/>
      <c r="P675" s="186"/>
      <c r="Q675" s="186"/>
      <c r="R675" s="186"/>
      <c r="S675" s="186"/>
      <c r="T675" s="186"/>
      <c r="U675" s="186">
        <v>0</v>
      </c>
    </row>
    <row r="676" spans="1:21" ht="12.75">
      <c r="A676" s="33"/>
      <c r="B676" s="33"/>
      <c r="C676" s="34"/>
      <c r="D676" s="183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>
        <v>0</v>
      </c>
    </row>
    <row r="677" spans="1:21" ht="12.75">
      <c r="A677" s="184"/>
      <c r="B677" s="184"/>
      <c r="C677" s="191"/>
      <c r="D677" s="185"/>
      <c r="E677" s="186"/>
      <c r="F677" s="186"/>
      <c r="G677" s="186"/>
      <c r="H677" s="186"/>
      <c r="I677" s="186"/>
      <c r="J677" s="186"/>
      <c r="K677" s="186"/>
      <c r="L677" s="186"/>
      <c r="M677" s="186"/>
      <c r="N677" s="186"/>
      <c r="O677" s="186"/>
      <c r="P677" s="186"/>
      <c r="Q677" s="186"/>
      <c r="R677" s="186"/>
      <c r="S677" s="186"/>
      <c r="T677" s="186"/>
      <c r="U677" s="186">
        <v>0</v>
      </c>
    </row>
    <row r="678" spans="1:21" ht="12.75">
      <c r="A678" s="33"/>
      <c r="B678" s="33"/>
      <c r="C678" s="34"/>
      <c r="D678" s="183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>
        <v>0</v>
      </c>
    </row>
    <row r="679" spans="1:21" ht="12.75">
      <c r="A679" s="184"/>
      <c r="B679" s="184"/>
      <c r="C679" s="191"/>
      <c r="D679" s="185"/>
      <c r="E679" s="186"/>
      <c r="F679" s="186"/>
      <c r="G679" s="186"/>
      <c r="H679" s="186"/>
      <c r="I679" s="186"/>
      <c r="J679" s="186"/>
      <c r="K679" s="186"/>
      <c r="L679" s="186"/>
      <c r="M679" s="186"/>
      <c r="N679" s="186"/>
      <c r="O679" s="186"/>
      <c r="P679" s="186"/>
      <c r="Q679" s="186"/>
      <c r="R679" s="186"/>
      <c r="S679" s="186"/>
      <c r="T679" s="186"/>
      <c r="U679" s="186">
        <v>0</v>
      </c>
    </row>
    <row r="680" spans="1:21" ht="12.75">
      <c r="A680" s="33"/>
      <c r="B680" s="33"/>
      <c r="C680" s="34"/>
      <c r="D680" s="183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>
        <v>0</v>
      </c>
    </row>
    <row r="681" spans="1:21" ht="12.75">
      <c r="A681" s="184"/>
      <c r="B681" s="184"/>
      <c r="C681" s="191"/>
      <c r="D681" s="185"/>
      <c r="E681" s="186"/>
      <c r="F681" s="186"/>
      <c r="G681" s="186"/>
      <c r="H681" s="186"/>
      <c r="I681" s="186"/>
      <c r="J681" s="186"/>
      <c r="K681" s="186"/>
      <c r="L681" s="186"/>
      <c r="M681" s="186"/>
      <c r="N681" s="186"/>
      <c r="O681" s="186"/>
      <c r="P681" s="186"/>
      <c r="Q681" s="186"/>
      <c r="R681" s="186"/>
      <c r="S681" s="186"/>
      <c r="T681" s="186"/>
      <c r="U681" s="186">
        <v>0</v>
      </c>
    </row>
    <row r="682" spans="1:21" ht="12.75">
      <c r="A682" s="33"/>
      <c r="B682" s="33"/>
      <c r="C682" s="34"/>
      <c r="D682" s="183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>
        <v>0</v>
      </c>
    </row>
    <row r="683" spans="1:21" ht="12.75">
      <c r="A683" s="184"/>
      <c r="B683" s="184"/>
      <c r="C683" s="191"/>
      <c r="D683" s="185"/>
      <c r="E683" s="186"/>
      <c r="F683" s="186"/>
      <c r="G683" s="186"/>
      <c r="H683" s="186"/>
      <c r="I683" s="186"/>
      <c r="J683" s="186"/>
      <c r="K683" s="186"/>
      <c r="L683" s="186"/>
      <c r="M683" s="186"/>
      <c r="N683" s="186"/>
      <c r="O683" s="186"/>
      <c r="P683" s="186"/>
      <c r="Q683" s="186"/>
      <c r="R683" s="186"/>
      <c r="S683" s="186"/>
      <c r="T683" s="186"/>
      <c r="U683" s="186">
        <v>0</v>
      </c>
    </row>
    <row r="684" spans="1:21" ht="12.75">
      <c r="A684" s="33"/>
      <c r="B684" s="33"/>
      <c r="C684" s="34"/>
      <c r="D684" s="183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>
        <v>0</v>
      </c>
    </row>
    <row r="685" spans="1:21" ht="12.75">
      <c r="A685" s="184"/>
      <c r="B685" s="184"/>
      <c r="C685" s="191"/>
      <c r="D685" s="185"/>
      <c r="E685" s="186"/>
      <c r="F685" s="186"/>
      <c r="G685" s="186"/>
      <c r="H685" s="186"/>
      <c r="I685" s="186"/>
      <c r="J685" s="186"/>
      <c r="K685" s="186"/>
      <c r="L685" s="186"/>
      <c r="M685" s="186"/>
      <c r="N685" s="186"/>
      <c r="O685" s="186"/>
      <c r="P685" s="186"/>
      <c r="Q685" s="186"/>
      <c r="R685" s="186"/>
      <c r="S685" s="186"/>
      <c r="T685" s="186"/>
      <c r="U685" s="186">
        <v>0</v>
      </c>
    </row>
    <row r="686" spans="1:21" ht="12.75">
      <c r="A686" s="33"/>
      <c r="B686" s="33"/>
      <c r="C686" s="34"/>
      <c r="D686" s="183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>
        <v>0</v>
      </c>
    </row>
    <row r="687" spans="1:21" ht="12.75">
      <c r="A687" s="184"/>
      <c r="B687" s="184"/>
      <c r="C687" s="191"/>
      <c r="D687" s="185"/>
      <c r="E687" s="186"/>
      <c r="F687" s="186"/>
      <c r="G687" s="186"/>
      <c r="H687" s="186"/>
      <c r="I687" s="186"/>
      <c r="J687" s="186"/>
      <c r="K687" s="186"/>
      <c r="L687" s="186"/>
      <c r="M687" s="186"/>
      <c r="N687" s="186"/>
      <c r="O687" s="186"/>
      <c r="P687" s="186"/>
      <c r="Q687" s="186"/>
      <c r="R687" s="186"/>
      <c r="S687" s="186"/>
      <c r="T687" s="186"/>
      <c r="U687" s="186">
        <v>0</v>
      </c>
    </row>
    <row r="688" spans="1:21" ht="12.75">
      <c r="A688" s="33"/>
      <c r="B688" s="33"/>
      <c r="C688" s="34"/>
      <c r="D688" s="183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>
        <v>0</v>
      </c>
    </row>
    <row r="689" spans="1:21" ht="12.75">
      <c r="A689" s="184"/>
      <c r="B689" s="184"/>
      <c r="C689" s="191"/>
      <c r="D689" s="185"/>
      <c r="E689" s="186"/>
      <c r="F689" s="186"/>
      <c r="G689" s="186"/>
      <c r="H689" s="186"/>
      <c r="I689" s="186"/>
      <c r="J689" s="186"/>
      <c r="K689" s="186"/>
      <c r="L689" s="186"/>
      <c r="M689" s="186"/>
      <c r="N689" s="186"/>
      <c r="O689" s="186"/>
      <c r="P689" s="186"/>
      <c r="Q689" s="186"/>
      <c r="R689" s="186"/>
      <c r="S689" s="186"/>
      <c r="T689" s="186"/>
      <c r="U689" s="186">
        <v>0</v>
      </c>
    </row>
    <row r="690" spans="1:21" ht="12.75">
      <c r="A690" s="33"/>
      <c r="B690" s="33"/>
      <c r="C690" s="34"/>
      <c r="D690" s="183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>
        <v>0</v>
      </c>
    </row>
    <row r="691" spans="1:21" ht="12.75">
      <c r="A691" s="184"/>
      <c r="B691" s="184"/>
      <c r="C691" s="191"/>
      <c r="D691" s="185"/>
      <c r="E691" s="186"/>
      <c r="F691" s="186"/>
      <c r="G691" s="186"/>
      <c r="H691" s="186"/>
      <c r="I691" s="186"/>
      <c r="J691" s="186"/>
      <c r="K691" s="186"/>
      <c r="L691" s="186"/>
      <c r="M691" s="186"/>
      <c r="N691" s="186"/>
      <c r="O691" s="186"/>
      <c r="P691" s="186"/>
      <c r="Q691" s="186"/>
      <c r="R691" s="186"/>
      <c r="S691" s="186"/>
      <c r="T691" s="186"/>
      <c r="U691" s="186">
        <v>0</v>
      </c>
    </row>
    <row r="692" spans="1:21" ht="12.75">
      <c r="A692" s="33"/>
      <c r="B692" s="33"/>
      <c r="C692" s="34"/>
      <c r="D692" s="183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>
        <v>0</v>
      </c>
    </row>
    <row r="693" spans="1:21" ht="12.75">
      <c r="A693" s="184"/>
      <c r="B693" s="184"/>
      <c r="C693" s="191"/>
      <c r="D693" s="185"/>
      <c r="E693" s="186"/>
      <c r="F693" s="186"/>
      <c r="G693" s="186"/>
      <c r="H693" s="186"/>
      <c r="I693" s="186"/>
      <c r="J693" s="186"/>
      <c r="K693" s="186"/>
      <c r="L693" s="186"/>
      <c r="M693" s="186"/>
      <c r="N693" s="186"/>
      <c r="O693" s="186"/>
      <c r="P693" s="186"/>
      <c r="Q693" s="186"/>
      <c r="R693" s="186"/>
      <c r="S693" s="186"/>
      <c r="T693" s="186"/>
      <c r="U693" s="186">
        <v>0</v>
      </c>
    </row>
    <row r="694" spans="1:21" ht="12.75">
      <c r="A694" s="33"/>
      <c r="B694" s="33"/>
      <c r="C694" s="34"/>
      <c r="D694" s="183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>
        <v>0</v>
      </c>
    </row>
    <row r="695" spans="1:21" ht="12.75">
      <c r="A695" s="184"/>
      <c r="B695" s="184"/>
      <c r="C695" s="191"/>
      <c r="D695" s="185"/>
      <c r="E695" s="186"/>
      <c r="F695" s="186"/>
      <c r="G695" s="186"/>
      <c r="H695" s="186"/>
      <c r="I695" s="186"/>
      <c r="J695" s="186"/>
      <c r="K695" s="186"/>
      <c r="L695" s="186"/>
      <c r="M695" s="186"/>
      <c r="N695" s="186"/>
      <c r="O695" s="186"/>
      <c r="P695" s="186"/>
      <c r="Q695" s="186"/>
      <c r="R695" s="186"/>
      <c r="S695" s="186"/>
      <c r="T695" s="186"/>
      <c r="U695" s="186">
        <v>0</v>
      </c>
    </row>
    <row r="696" spans="1:21" ht="12.75">
      <c r="A696" s="33"/>
      <c r="B696" s="33"/>
      <c r="C696" s="34"/>
      <c r="D696" s="183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>
        <v>0</v>
      </c>
    </row>
    <row r="697" spans="1:21" ht="12.75">
      <c r="A697" s="184"/>
      <c r="B697" s="184"/>
      <c r="C697" s="191"/>
      <c r="D697" s="185"/>
      <c r="E697" s="186"/>
      <c r="F697" s="186"/>
      <c r="G697" s="186"/>
      <c r="H697" s="186"/>
      <c r="I697" s="186"/>
      <c r="J697" s="186"/>
      <c r="K697" s="186"/>
      <c r="L697" s="186"/>
      <c r="M697" s="186"/>
      <c r="N697" s="186"/>
      <c r="O697" s="186"/>
      <c r="P697" s="186"/>
      <c r="Q697" s="186"/>
      <c r="R697" s="186"/>
      <c r="S697" s="186"/>
      <c r="T697" s="186"/>
      <c r="U697" s="186">
        <v>0</v>
      </c>
    </row>
    <row r="698" spans="1:21" ht="12.75">
      <c r="A698" s="33"/>
      <c r="B698" s="33"/>
      <c r="C698" s="34"/>
      <c r="D698" s="183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>
        <v>0</v>
      </c>
    </row>
    <row r="699" spans="1:21" ht="12.75">
      <c r="A699" s="184"/>
      <c r="B699" s="184"/>
      <c r="C699" s="191"/>
      <c r="D699" s="185"/>
      <c r="E699" s="186"/>
      <c r="F699" s="186"/>
      <c r="G699" s="186"/>
      <c r="H699" s="186"/>
      <c r="I699" s="186"/>
      <c r="J699" s="186"/>
      <c r="K699" s="186"/>
      <c r="L699" s="186"/>
      <c r="M699" s="186"/>
      <c r="N699" s="186"/>
      <c r="O699" s="186"/>
      <c r="P699" s="186"/>
      <c r="Q699" s="186"/>
      <c r="R699" s="186"/>
      <c r="S699" s="186"/>
      <c r="T699" s="186"/>
      <c r="U699" s="186">
        <v>0</v>
      </c>
    </row>
    <row r="700" spans="1:21" ht="12.75">
      <c r="A700" s="33"/>
      <c r="B700" s="33"/>
      <c r="C700" s="34"/>
      <c r="D700" s="183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>
        <v>0</v>
      </c>
    </row>
    <row r="701" spans="1:21" ht="12.75">
      <c r="A701" s="184"/>
      <c r="B701" s="184"/>
      <c r="C701" s="191"/>
      <c r="D701" s="185"/>
      <c r="E701" s="186"/>
      <c r="F701" s="186"/>
      <c r="G701" s="186"/>
      <c r="H701" s="186"/>
      <c r="I701" s="186"/>
      <c r="J701" s="186"/>
      <c r="K701" s="186"/>
      <c r="L701" s="186"/>
      <c r="M701" s="186"/>
      <c r="N701" s="186"/>
      <c r="O701" s="186"/>
      <c r="P701" s="186"/>
      <c r="Q701" s="186"/>
      <c r="R701" s="186"/>
      <c r="S701" s="186"/>
      <c r="T701" s="186"/>
      <c r="U701" s="186">
        <v>0</v>
      </c>
    </row>
    <row r="702" spans="1:21" ht="12.75">
      <c r="A702" s="33"/>
      <c r="B702" s="33"/>
      <c r="C702" s="34"/>
      <c r="D702" s="183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>
        <v>0</v>
      </c>
    </row>
    <row r="703" spans="1:21" ht="12.75">
      <c r="A703" s="184"/>
      <c r="B703" s="184"/>
      <c r="C703" s="191"/>
      <c r="D703" s="185"/>
      <c r="E703" s="186"/>
      <c r="F703" s="186"/>
      <c r="G703" s="186"/>
      <c r="H703" s="186"/>
      <c r="I703" s="186"/>
      <c r="J703" s="186"/>
      <c r="K703" s="186"/>
      <c r="L703" s="186"/>
      <c r="M703" s="186"/>
      <c r="N703" s="186"/>
      <c r="O703" s="186"/>
      <c r="P703" s="186"/>
      <c r="Q703" s="186"/>
      <c r="R703" s="186"/>
      <c r="S703" s="186"/>
      <c r="T703" s="186"/>
      <c r="U703" s="186">
        <v>0</v>
      </c>
    </row>
    <row r="704" spans="1:21" ht="12.75">
      <c r="A704" s="33"/>
      <c r="B704" s="33"/>
      <c r="C704" s="34"/>
      <c r="D704" s="183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>
        <v>0</v>
      </c>
    </row>
    <row r="705" spans="1:21" ht="12.75">
      <c r="A705" s="184"/>
      <c r="B705" s="184"/>
      <c r="C705" s="191"/>
      <c r="D705" s="185"/>
      <c r="E705" s="186"/>
      <c r="F705" s="186"/>
      <c r="G705" s="186"/>
      <c r="H705" s="186"/>
      <c r="I705" s="186"/>
      <c r="J705" s="186"/>
      <c r="K705" s="186"/>
      <c r="L705" s="186"/>
      <c r="M705" s="186"/>
      <c r="N705" s="186"/>
      <c r="O705" s="186"/>
      <c r="P705" s="186"/>
      <c r="Q705" s="186"/>
      <c r="R705" s="186"/>
      <c r="S705" s="186"/>
      <c r="T705" s="186"/>
      <c r="U705" s="186">
        <v>0</v>
      </c>
    </row>
    <row r="706" spans="1:21" ht="12.75">
      <c r="A706" s="33"/>
      <c r="B706" s="33"/>
      <c r="C706" s="34"/>
      <c r="D706" s="183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>
        <v>0</v>
      </c>
    </row>
    <row r="707" spans="1:21" ht="12.75">
      <c r="A707" s="184"/>
      <c r="B707" s="184"/>
      <c r="C707" s="191"/>
      <c r="D707" s="185"/>
      <c r="E707" s="186"/>
      <c r="F707" s="186"/>
      <c r="G707" s="186"/>
      <c r="H707" s="186"/>
      <c r="I707" s="186"/>
      <c r="J707" s="186"/>
      <c r="K707" s="186"/>
      <c r="L707" s="186"/>
      <c r="M707" s="186"/>
      <c r="N707" s="186"/>
      <c r="O707" s="186"/>
      <c r="P707" s="186"/>
      <c r="Q707" s="186"/>
      <c r="R707" s="186"/>
      <c r="S707" s="186"/>
      <c r="T707" s="186"/>
      <c r="U707" s="186">
        <v>0</v>
      </c>
    </row>
    <row r="708" spans="1:21" ht="12.75">
      <c r="A708" s="33"/>
      <c r="B708" s="33"/>
      <c r="C708" s="34"/>
      <c r="D708" s="183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>
        <v>0</v>
      </c>
    </row>
    <row r="709" spans="1:21" ht="12.75">
      <c r="A709" s="184"/>
      <c r="B709" s="184"/>
      <c r="C709" s="191"/>
      <c r="D709" s="185"/>
      <c r="E709" s="186"/>
      <c r="F709" s="186"/>
      <c r="G709" s="186"/>
      <c r="H709" s="186"/>
      <c r="I709" s="186"/>
      <c r="J709" s="186"/>
      <c r="K709" s="186"/>
      <c r="L709" s="186"/>
      <c r="M709" s="186"/>
      <c r="N709" s="186"/>
      <c r="O709" s="186"/>
      <c r="P709" s="186"/>
      <c r="Q709" s="186"/>
      <c r="R709" s="186"/>
      <c r="S709" s="186"/>
      <c r="T709" s="186"/>
      <c r="U709" s="186">
        <v>0</v>
      </c>
    </row>
    <row r="710" spans="1:21" ht="12.75">
      <c r="A710" s="33"/>
      <c r="B710" s="33"/>
      <c r="C710" s="34"/>
      <c r="D710" s="183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>
        <v>0</v>
      </c>
    </row>
    <row r="711" spans="1:21" ht="12.75">
      <c r="A711" s="184"/>
      <c r="B711" s="184"/>
      <c r="C711" s="191"/>
      <c r="D711" s="185"/>
      <c r="E711" s="186"/>
      <c r="F711" s="186"/>
      <c r="G711" s="186"/>
      <c r="H711" s="186"/>
      <c r="I711" s="186"/>
      <c r="J711" s="186"/>
      <c r="K711" s="186"/>
      <c r="L711" s="186"/>
      <c r="M711" s="186"/>
      <c r="N711" s="186"/>
      <c r="O711" s="186"/>
      <c r="P711" s="186"/>
      <c r="Q711" s="186"/>
      <c r="R711" s="186"/>
      <c r="S711" s="186"/>
      <c r="T711" s="186"/>
      <c r="U711" s="186">
        <v>0</v>
      </c>
    </row>
    <row r="712" spans="1:21" ht="12.75">
      <c r="A712" s="33"/>
      <c r="B712" s="33"/>
      <c r="C712" s="34"/>
      <c r="D712" s="183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>
        <v>0</v>
      </c>
    </row>
    <row r="713" spans="1:21" ht="12.75">
      <c r="A713" s="184"/>
      <c r="B713" s="184"/>
      <c r="C713" s="191"/>
      <c r="D713" s="185"/>
      <c r="E713" s="186"/>
      <c r="F713" s="186"/>
      <c r="G713" s="186"/>
      <c r="H713" s="186"/>
      <c r="I713" s="186"/>
      <c r="J713" s="186"/>
      <c r="K713" s="186"/>
      <c r="L713" s="186"/>
      <c r="M713" s="186"/>
      <c r="N713" s="186"/>
      <c r="O713" s="186"/>
      <c r="P713" s="186"/>
      <c r="Q713" s="186"/>
      <c r="R713" s="186"/>
      <c r="S713" s="186"/>
      <c r="T713" s="186"/>
      <c r="U713" s="186">
        <v>0</v>
      </c>
    </row>
    <row r="714" spans="1:21" ht="12.75">
      <c r="A714" s="33"/>
      <c r="B714" s="33"/>
      <c r="C714" s="34"/>
      <c r="D714" s="183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>
        <v>0</v>
      </c>
    </row>
    <row r="715" spans="1:21" ht="12.75">
      <c r="A715" s="184"/>
      <c r="B715" s="184"/>
      <c r="C715" s="191"/>
      <c r="D715" s="185"/>
      <c r="E715" s="186"/>
      <c r="F715" s="186"/>
      <c r="G715" s="186"/>
      <c r="H715" s="186"/>
      <c r="I715" s="186"/>
      <c r="J715" s="186"/>
      <c r="K715" s="186"/>
      <c r="L715" s="186"/>
      <c r="M715" s="186"/>
      <c r="N715" s="186"/>
      <c r="O715" s="186"/>
      <c r="P715" s="186"/>
      <c r="Q715" s="186"/>
      <c r="R715" s="186"/>
      <c r="S715" s="186"/>
      <c r="T715" s="186"/>
      <c r="U715" s="186">
        <v>0</v>
      </c>
    </row>
    <row r="716" spans="1:21" ht="12.75">
      <c r="A716" s="33"/>
      <c r="B716" s="33"/>
      <c r="C716" s="34"/>
      <c r="D716" s="183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>
        <v>0</v>
      </c>
    </row>
    <row r="717" spans="1:21" ht="12.75">
      <c r="A717" s="184"/>
      <c r="B717" s="184"/>
      <c r="C717" s="191"/>
      <c r="D717" s="185"/>
      <c r="E717" s="186"/>
      <c r="F717" s="186"/>
      <c r="G717" s="186"/>
      <c r="H717" s="186"/>
      <c r="I717" s="186"/>
      <c r="J717" s="186"/>
      <c r="K717" s="186"/>
      <c r="L717" s="186"/>
      <c r="M717" s="186"/>
      <c r="N717" s="186"/>
      <c r="O717" s="186"/>
      <c r="P717" s="186"/>
      <c r="Q717" s="186"/>
      <c r="R717" s="186"/>
      <c r="S717" s="186"/>
      <c r="T717" s="186"/>
      <c r="U717" s="186">
        <v>0</v>
      </c>
    </row>
    <row r="718" spans="1:21" ht="12.75">
      <c r="A718" s="33"/>
      <c r="B718" s="33"/>
      <c r="C718" s="34"/>
      <c r="D718" s="183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>
        <v>0</v>
      </c>
    </row>
    <row r="719" spans="1:21" ht="12.75">
      <c r="A719" s="184"/>
      <c r="B719" s="184"/>
      <c r="C719" s="191"/>
      <c r="D719" s="185"/>
      <c r="E719" s="186"/>
      <c r="F719" s="186"/>
      <c r="G719" s="186"/>
      <c r="H719" s="186"/>
      <c r="I719" s="186"/>
      <c r="J719" s="186"/>
      <c r="K719" s="186"/>
      <c r="L719" s="186"/>
      <c r="M719" s="186"/>
      <c r="N719" s="186"/>
      <c r="O719" s="186"/>
      <c r="P719" s="186"/>
      <c r="Q719" s="186"/>
      <c r="R719" s="186"/>
      <c r="S719" s="186"/>
      <c r="T719" s="186"/>
      <c r="U719" s="186">
        <v>0</v>
      </c>
    </row>
    <row r="720" spans="1:21" ht="12.75">
      <c r="A720" s="33"/>
      <c r="B720" s="33"/>
      <c r="C720" s="34"/>
      <c r="D720" s="183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>
        <v>0</v>
      </c>
    </row>
    <row r="721" spans="1:21" ht="12.75">
      <c r="A721" s="184"/>
      <c r="B721" s="184"/>
      <c r="C721" s="191"/>
      <c r="D721" s="185"/>
      <c r="E721" s="186"/>
      <c r="F721" s="186"/>
      <c r="G721" s="186"/>
      <c r="H721" s="186"/>
      <c r="I721" s="186"/>
      <c r="J721" s="186"/>
      <c r="K721" s="186"/>
      <c r="L721" s="186"/>
      <c r="M721" s="186"/>
      <c r="N721" s="186"/>
      <c r="O721" s="186"/>
      <c r="P721" s="186"/>
      <c r="Q721" s="186"/>
      <c r="R721" s="186"/>
      <c r="S721" s="186"/>
      <c r="T721" s="186"/>
      <c r="U721" s="186">
        <v>0</v>
      </c>
    </row>
    <row r="722" spans="1:21" ht="12.75">
      <c r="A722" s="33"/>
      <c r="B722" s="33"/>
      <c r="C722" s="34"/>
      <c r="D722" s="183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>
        <v>0</v>
      </c>
    </row>
    <row r="723" spans="1:21" ht="12.75">
      <c r="A723" s="184"/>
      <c r="B723" s="184"/>
      <c r="C723" s="191"/>
      <c r="D723" s="185"/>
      <c r="E723" s="186"/>
      <c r="F723" s="186"/>
      <c r="G723" s="186"/>
      <c r="H723" s="186"/>
      <c r="I723" s="186"/>
      <c r="J723" s="186"/>
      <c r="K723" s="186"/>
      <c r="L723" s="186"/>
      <c r="M723" s="186"/>
      <c r="N723" s="186"/>
      <c r="O723" s="186"/>
      <c r="P723" s="186"/>
      <c r="Q723" s="186"/>
      <c r="R723" s="186"/>
      <c r="S723" s="186"/>
      <c r="T723" s="186"/>
      <c r="U723" s="186">
        <v>0</v>
      </c>
    </row>
    <row r="724" spans="1:21" ht="12.75">
      <c r="A724" s="33"/>
      <c r="B724" s="33"/>
      <c r="C724" s="34"/>
      <c r="D724" s="183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>
        <v>0</v>
      </c>
    </row>
    <row r="725" spans="1:21" ht="12.75">
      <c r="A725" s="184"/>
      <c r="B725" s="184"/>
      <c r="C725" s="191"/>
      <c r="D725" s="185"/>
      <c r="E725" s="186"/>
      <c r="F725" s="186"/>
      <c r="G725" s="186"/>
      <c r="H725" s="186"/>
      <c r="I725" s="186"/>
      <c r="J725" s="186"/>
      <c r="K725" s="186"/>
      <c r="L725" s="186"/>
      <c r="M725" s="186"/>
      <c r="N725" s="186"/>
      <c r="O725" s="186"/>
      <c r="P725" s="186"/>
      <c r="Q725" s="186"/>
      <c r="R725" s="186"/>
      <c r="S725" s="186"/>
      <c r="T725" s="186"/>
      <c r="U725" s="186">
        <v>0</v>
      </c>
    </row>
    <row r="726" spans="1:21" ht="12.75">
      <c r="A726" s="33"/>
      <c r="B726" s="33"/>
      <c r="C726" s="34"/>
      <c r="D726" s="183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>
        <v>0</v>
      </c>
    </row>
    <row r="727" spans="1:21" ht="12.75">
      <c r="A727" s="184"/>
      <c r="B727" s="184"/>
      <c r="C727" s="191"/>
      <c r="D727" s="185"/>
      <c r="E727" s="186"/>
      <c r="F727" s="186"/>
      <c r="G727" s="186"/>
      <c r="H727" s="186"/>
      <c r="I727" s="186"/>
      <c r="J727" s="186"/>
      <c r="K727" s="186"/>
      <c r="L727" s="186"/>
      <c r="M727" s="186"/>
      <c r="N727" s="186"/>
      <c r="O727" s="186"/>
      <c r="P727" s="186"/>
      <c r="Q727" s="186"/>
      <c r="R727" s="186"/>
      <c r="S727" s="186"/>
      <c r="T727" s="186"/>
      <c r="U727" s="186">
        <v>0</v>
      </c>
    </row>
    <row r="728" spans="1:21" ht="12.75">
      <c r="A728" s="33"/>
      <c r="B728" s="33"/>
      <c r="C728" s="34"/>
      <c r="D728" s="183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>
        <v>0</v>
      </c>
    </row>
    <row r="729" spans="1:21" ht="12.75">
      <c r="A729" s="184"/>
      <c r="B729" s="184"/>
      <c r="C729" s="191"/>
      <c r="D729" s="185"/>
      <c r="E729" s="186"/>
      <c r="F729" s="186"/>
      <c r="G729" s="186"/>
      <c r="H729" s="186"/>
      <c r="I729" s="186"/>
      <c r="J729" s="186"/>
      <c r="K729" s="186"/>
      <c r="L729" s="186"/>
      <c r="M729" s="186"/>
      <c r="N729" s="186"/>
      <c r="O729" s="186"/>
      <c r="P729" s="186"/>
      <c r="Q729" s="186"/>
      <c r="R729" s="186"/>
      <c r="S729" s="186"/>
      <c r="T729" s="186"/>
      <c r="U729" s="186">
        <v>0</v>
      </c>
    </row>
    <row r="730" spans="1:21" ht="12.75">
      <c r="A730" s="33"/>
      <c r="B730" s="33"/>
      <c r="C730" s="34"/>
      <c r="D730" s="183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>
        <v>0</v>
      </c>
    </row>
    <row r="731" spans="1:21" ht="12.75">
      <c r="A731" s="184"/>
      <c r="B731" s="184"/>
      <c r="C731" s="191"/>
      <c r="D731" s="185"/>
      <c r="E731" s="186"/>
      <c r="F731" s="186"/>
      <c r="G731" s="186"/>
      <c r="H731" s="186"/>
      <c r="I731" s="186"/>
      <c r="J731" s="186"/>
      <c r="K731" s="186"/>
      <c r="L731" s="186"/>
      <c r="M731" s="186"/>
      <c r="N731" s="186"/>
      <c r="O731" s="186"/>
      <c r="P731" s="186"/>
      <c r="Q731" s="186"/>
      <c r="R731" s="186"/>
      <c r="S731" s="186"/>
      <c r="T731" s="186"/>
      <c r="U731" s="186">
        <v>0</v>
      </c>
    </row>
    <row r="732" spans="1:21" ht="12.75">
      <c r="A732" s="33"/>
      <c r="B732" s="33"/>
      <c r="C732" s="34"/>
      <c r="D732" s="183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>
        <v>0</v>
      </c>
    </row>
    <row r="733" spans="1:21" ht="12.75">
      <c r="A733" s="184"/>
      <c r="B733" s="184"/>
      <c r="C733" s="191"/>
      <c r="D733" s="185"/>
      <c r="E733" s="186"/>
      <c r="F733" s="186"/>
      <c r="G733" s="186"/>
      <c r="H733" s="186"/>
      <c r="I733" s="186"/>
      <c r="J733" s="186"/>
      <c r="K733" s="186"/>
      <c r="L733" s="186"/>
      <c r="M733" s="186"/>
      <c r="N733" s="186"/>
      <c r="O733" s="186"/>
      <c r="P733" s="186"/>
      <c r="Q733" s="186"/>
      <c r="R733" s="186"/>
      <c r="S733" s="186"/>
      <c r="T733" s="186"/>
      <c r="U733" s="186">
        <v>0</v>
      </c>
    </row>
    <row r="734" spans="1:21" ht="12.75">
      <c r="A734" s="33"/>
      <c r="B734" s="33"/>
      <c r="C734" s="34"/>
      <c r="D734" s="183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>
        <v>0</v>
      </c>
    </row>
    <row r="735" spans="1:21" ht="12.75">
      <c r="A735" s="184"/>
      <c r="B735" s="184"/>
      <c r="C735" s="191"/>
      <c r="D735" s="185"/>
      <c r="E735" s="186"/>
      <c r="F735" s="186"/>
      <c r="G735" s="186"/>
      <c r="H735" s="186"/>
      <c r="I735" s="186"/>
      <c r="J735" s="186"/>
      <c r="K735" s="186"/>
      <c r="L735" s="186"/>
      <c r="M735" s="186"/>
      <c r="N735" s="186"/>
      <c r="O735" s="186"/>
      <c r="P735" s="186"/>
      <c r="Q735" s="186"/>
      <c r="R735" s="186"/>
      <c r="S735" s="186"/>
      <c r="T735" s="186"/>
      <c r="U735" s="186">
        <v>0</v>
      </c>
    </row>
    <row r="736" spans="1:21" ht="12.75">
      <c r="A736" s="33"/>
      <c r="B736" s="33"/>
      <c r="C736" s="34"/>
      <c r="D736" s="183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>
        <v>0</v>
      </c>
    </row>
    <row r="737" spans="1:21" ht="12.75">
      <c r="A737" s="184"/>
      <c r="B737" s="184"/>
      <c r="C737" s="191"/>
      <c r="D737" s="185"/>
      <c r="E737" s="186"/>
      <c r="F737" s="186"/>
      <c r="G737" s="186"/>
      <c r="H737" s="186"/>
      <c r="I737" s="186"/>
      <c r="J737" s="186"/>
      <c r="K737" s="186"/>
      <c r="L737" s="186"/>
      <c r="M737" s="186"/>
      <c r="N737" s="186"/>
      <c r="O737" s="186"/>
      <c r="P737" s="186"/>
      <c r="Q737" s="186"/>
      <c r="R737" s="186"/>
      <c r="S737" s="186"/>
      <c r="T737" s="186"/>
      <c r="U737" s="186">
        <v>0</v>
      </c>
    </row>
    <row r="738" spans="1:21" ht="12.75">
      <c r="A738" s="33"/>
      <c r="B738" s="33"/>
      <c r="C738" s="34"/>
      <c r="D738" s="183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>
        <v>0</v>
      </c>
    </row>
    <row r="739" spans="1:21" ht="12.75">
      <c r="A739" s="184"/>
      <c r="B739" s="184"/>
      <c r="C739" s="191"/>
      <c r="D739" s="185"/>
      <c r="E739" s="186"/>
      <c r="F739" s="186"/>
      <c r="G739" s="186"/>
      <c r="H739" s="186"/>
      <c r="I739" s="186"/>
      <c r="J739" s="186"/>
      <c r="K739" s="186"/>
      <c r="L739" s="186"/>
      <c r="M739" s="186"/>
      <c r="N739" s="186"/>
      <c r="O739" s="186"/>
      <c r="P739" s="186"/>
      <c r="Q739" s="186"/>
      <c r="R739" s="186"/>
      <c r="S739" s="186"/>
      <c r="T739" s="186"/>
      <c r="U739" s="186">
        <v>0</v>
      </c>
    </row>
    <row r="740" spans="1:21" ht="12.75">
      <c r="A740" s="33"/>
      <c r="B740" s="33"/>
      <c r="C740" s="34"/>
      <c r="D740" s="183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>
        <v>0</v>
      </c>
    </row>
    <row r="741" spans="1:21" ht="12.75">
      <c r="A741" s="184"/>
      <c r="B741" s="184"/>
      <c r="C741" s="191"/>
      <c r="D741" s="185"/>
      <c r="E741" s="186"/>
      <c r="F741" s="186"/>
      <c r="G741" s="186"/>
      <c r="H741" s="186"/>
      <c r="I741" s="186"/>
      <c r="J741" s="186"/>
      <c r="K741" s="186"/>
      <c r="L741" s="186"/>
      <c r="M741" s="186"/>
      <c r="N741" s="186"/>
      <c r="O741" s="186"/>
      <c r="P741" s="186"/>
      <c r="Q741" s="186"/>
      <c r="R741" s="186"/>
      <c r="S741" s="186"/>
      <c r="T741" s="186"/>
      <c r="U741" s="186">
        <v>0</v>
      </c>
    </row>
    <row r="742" spans="1:21" ht="12.75">
      <c r="A742" s="33"/>
      <c r="B742" s="33"/>
      <c r="C742" s="34"/>
      <c r="D742" s="183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>
        <v>0</v>
      </c>
    </row>
    <row r="743" spans="1:21" ht="12.75">
      <c r="A743" s="184"/>
      <c r="B743" s="184"/>
      <c r="C743" s="191"/>
      <c r="D743" s="185"/>
      <c r="E743" s="186"/>
      <c r="F743" s="186"/>
      <c r="G743" s="186"/>
      <c r="H743" s="186"/>
      <c r="I743" s="186"/>
      <c r="J743" s="186"/>
      <c r="K743" s="186"/>
      <c r="L743" s="186"/>
      <c r="M743" s="186"/>
      <c r="N743" s="186"/>
      <c r="O743" s="186"/>
      <c r="P743" s="186"/>
      <c r="Q743" s="186"/>
      <c r="R743" s="186"/>
      <c r="S743" s="186"/>
      <c r="T743" s="186"/>
      <c r="U743" s="186">
        <v>0</v>
      </c>
    </row>
    <row r="744" spans="1:21" ht="12.75">
      <c r="A744" s="33"/>
      <c r="B744" s="33"/>
      <c r="C744" s="34"/>
      <c r="D744" s="183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>
        <v>0</v>
      </c>
    </row>
    <row r="745" spans="1:21" ht="12.75">
      <c r="A745" s="184"/>
      <c r="B745" s="184"/>
      <c r="C745" s="191"/>
      <c r="D745" s="185"/>
      <c r="E745" s="186"/>
      <c r="F745" s="186"/>
      <c r="G745" s="186"/>
      <c r="H745" s="186"/>
      <c r="I745" s="186"/>
      <c r="J745" s="186"/>
      <c r="K745" s="186"/>
      <c r="L745" s="186"/>
      <c r="M745" s="186"/>
      <c r="N745" s="186"/>
      <c r="O745" s="186"/>
      <c r="P745" s="186"/>
      <c r="Q745" s="186"/>
      <c r="R745" s="186"/>
      <c r="S745" s="186"/>
      <c r="T745" s="186"/>
      <c r="U745" s="186">
        <v>0</v>
      </c>
    </row>
    <row r="746" spans="1:21" ht="12.75">
      <c r="A746" s="33"/>
      <c r="B746" s="33"/>
      <c r="C746" s="34"/>
      <c r="D746" s="183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>
        <v>0</v>
      </c>
    </row>
    <row r="747" spans="1:21" ht="12.75">
      <c r="A747" s="184"/>
      <c r="B747" s="184"/>
      <c r="C747" s="191"/>
      <c r="D747" s="185"/>
      <c r="E747" s="186"/>
      <c r="F747" s="186"/>
      <c r="G747" s="186"/>
      <c r="H747" s="186"/>
      <c r="I747" s="186"/>
      <c r="J747" s="186"/>
      <c r="K747" s="186"/>
      <c r="L747" s="186"/>
      <c r="M747" s="186"/>
      <c r="N747" s="186"/>
      <c r="O747" s="186"/>
      <c r="P747" s="186"/>
      <c r="Q747" s="186"/>
      <c r="R747" s="186"/>
      <c r="S747" s="186"/>
      <c r="T747" s="186"/>
      <c r="U747" s="186">
        <v>0</v>
      </c>
    </row>
    <row r="748" spans="1:21" ht="12.75">
      <c r="A748" s="33"/>
      <c r="B748" s="33"/>
      <c r="C748" s="34"/>
      <c r="D748" s="183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>
        <v>0</v>
      </c>
    </row>
    <row r="749" spans="1:21" ht="12.75">
      <c r="A749" s="184"/>
      <c r="B749" s="184"/>
      <c r="C749" s="191"/>
      <c r="D749" s="185"/>
      <c r="E749" s="186"/>
      <c r="F749" s="186"/>
      <c r="G749" s="186"/>
      <c r="H749" s="186"/>
      <c r="I749" s="186"/>
      <c r="J749" s="186"/>
      <c r="K749" s="186"/>
      <c r="L749" s="186"/>
      <c r="M749" s="186"/>
      <c r="N749" s="186"/>
      <c r="O749" s="186"/>
      <c r="P749" s="186"/>
      <c r="Q749" s="186"/>
      <c r="R749" s="186"/>
      <c r="S749" s="186"/>
      <c r="T749" s="186"/>
      <c r="U749" s="186">
        <v>0</v>
      </c>
    </row>
    <row r="750" spans="1:21" ht="12.75">
      <c r="A750" s="33"/>
      <c r="B750" s="33"/>
      <c r="C750" s="34"/>
      <c r="D750" s="183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>
        <v>0</v>
      </c>
    </row>
    <row r="751" spans="1:21" ht="12.75">
      <c r="A751" s="184"/>
      <c r="B751" s="184"/>
      <c r="C751" s="191"/>
      <c r="D751" s="185"/>
      <c r="E751" s="186"/>
      <c r="F751" s="186"/>
      <c r="G751" s="186"/>
      <c r="H751" s="186"/>
      <c r="I751" s="186"/>
      <c r="J751" s="186"/>
      <c r="K751" s="186"/>
      <c r="L751" s="186"/>
      <c r="M751" s="186"/>
      <c r="N751" s="186"/>
      <c r="O751" s="186"/>
      <c r="P751" s="186"/>
      <c r="Q751" s="186"/>
      <c r="R751" s="186"/>
      <c r="S751" s="186"/>
      <c r="T751" s="186"/>
      <c r="U751" s="186">
        <v>0</v>
      </c>
    </row>
    <row r="752" spans="1:21" ht="12.75">
      <c r="A752" s="33"/>
      <c r="B752" s="33"/>
      <c r="C752" s="34"/>
      <c r="D752" s="183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>
        <v>0</v>
      </c>
    </row>
    <row r="753" spans="1:21" ht="12.75">
      <c r="A753" s="184"/>
      <c r="B753" s="184"/>
      <c r="C753" s="191"/>
      <c r="D753" s="185"/>
      <c r="E753" s="186"/>
      <c r="F753" s="186"/>
      <c r="G753" s="186"/>
      <c r="H753" s="186"/>
      <c r="I753" s="186"/>
      <c r="J753" s="186"/>
      <c r="K753" s="186"/>
      <c r="L753" s="186"/>
      <c r="M753" s="186"/>
      <c r="N753" s="186"/>
      <c r="O753" s="186"/>
      <c r="P753" s="186"/>
      <c r="Q753" s="186"/>
      <c r="R753" s="186"/>
      <c r="S753" s="186"/>
      <c r="T753" s="186"/>
      <c r="U753" s="186">
        <v>0</v>
      </c>
    </row>
    <row r="754" spans="1:21" ht="12.75">
      <c r="A754" s="33"/>
      <c r="B754" s="33"/>
      <c r="C754" s="34"/>
      <c r="D754" s="183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>
        <v>0</v>
      </c>
    </row>
    <row r="755" spans="1:21" ht="12.75">
      <c r="A755" s="184"/>
      <c r="B755" s="184"/>
      <c r="C755" s="191"/>
      <c r="D755" s="185"/>
      <c r="E755" s="186"/>
      <c r="F755" s="186"/>
      <c r="G755" s="186"/>
      <c r="H755" s="186"/>
      <c r="I755" s="186"/>
      <c r="J755" s="186"/>
      <c r="K755" s="186"/>
      <c r="L755" s="186"/>
      <c r="M755" s="186"/>
      <c r="N755" s="186"/>
      <c r="O755" s="186"/>
      <c r="P755" s="186"/>
      <c r="Q755" s="186"/>
      <c r="R755" s="186"/>
      <c r="S755" s="186"/>
      <c r="T755" s="186"/>
      <c r="U755" s="186">
        <v>0</v>
      </c>
    </row>
    <row r="756" spans="1:21" ht="12.75">
      <c r="A756" s="33"/>
      <c r="B756" s="33"/>
      <c r="C756" s="34"/>
      <c r="D756" s="183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>
        <v>0</v>
      </c>
    </row>
    <row r="757" spans="1:21" ht="12.75">
      <c r="A757" s="184"/>
      <c r="B757" s="184"/>
      <c r="C757" s="191"/>
      <c r="D757" s="185"/>
      <c r="E757" s="186"/>
      <c r="F757" s="186"/>
      <c r="G757" s="186"/>
      <c r="H757" s="186"/>
      <c r="I757" s="186"/>
      <c r="J757" s="186"/>
      <c r="K757" s="186"/>
      <c r="L757" s="186"/>
      <c r="M757" s="186"/>
      <c r="N757" s="186"/>
      <c r="O757" s="186"/>
      <c r="P757" s="186"/>
      <c r="Q757" s="186"/>
      <c r="R757" s="186"/>
      <c r="S757" s="186"/>
      <c r="T757" s="186"/>
      <c r="U757" s="186">
        <v>0</v>
      </c>
    </row>
    <row r="758" spans="1:21" ht="12.75">
      <c r="A758" s="33"/>
      <c r="B758" s="33"/>
      <c r="C758" s="34"/>
      <c r="D758" s="183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>
        <v>0</v>
      </c>
    </row>
    <row r="759" spans="1:21" ht="12.75">
      <c r="A759" s="184"/>
      <c r="B759" s="184"/>
      <c r="C759" s="191"/>
      <c r="D759" s="185"/>
      <c r="E759" s="186"/>
      <c r="F759" s="186"/>
      <c r="G759" s="186"/>
      <c r="H759" s="186"/>
      <c r="I759" s="186"/>
      <c r="J759" s="186"/>
      <c r="K759" s="186"/>
      <c r="L759" s="186"/>
      <c r="M759" s="186"/>
      <c r="N759" s="186"/>
      <c r="O759" s="186"/>
      <c r="P759" s="186"/>
      <c r="Q759" s="186"/>
      <c r="R759" s="186"/>
      <c r="S759" s="186"/>
      <c r="T759" s="186"/>
      <c r="U759" s="186">
        <v>0</v>
      </c>
    </row>
    <row r="760" spans="1:21" ht="12.75">
      <c r="A760" s="33"/>
      <c r="B760" s="33"/>
      <c r="C760" s="34"/>
      <c r="D760" s="183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>
        <v>0</v>
      </c>
    </row>
    <row r="761" spans="1:21" ht="12.75">
      <c r="A761" s="184"/>
      <c r="B761" s="184"/>
      <c r="C761" s="191"/>
      <c r="D761" s="185"/>
      <c r="E761" s="186"/>
      <c r="F761" s="186"/>
      <c r="G761" s="186"/>
      <c r="H761" s="186"/>
      <c r="I761" s="186"/>
      <c r="J761" s="186"/>
      <c r="K761" s="186"/>
      <c r="L761" s="186"/>
      <c r="M761" s="186"/>
      <c r="N761" s="186"/>
      <c r="O761" s="186"/>
      <c r="P761" s="186"/>
      <c r="Q761" s="186"/>
      <c r="R761" s="186"/>
      <c r="S761" s="186"/>
      <c r="T761" s="186"/>
      <c r="U761" s="186">
        <v>0</v>
      </c>
    </row>
    <row r="762" spans="1:21" ht="12.75">
      <c r="A762" s="33"/>
      <c r="B762" s="33"/>
      <c r="C762" s="34"/>
      <c r="D762" s="183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>
        <v>0</v>
      </c>
    </row>
    <row r="763" spans="1:21" ht="12.75">
      <c r="A763" s="184"/>
      <c r="B763" s="184"/>
      <c r="C763" s="191"/>
      <c r="D763" s="185"/>
      <c r="E763" s="186"/>
      <c r="F763" s="186"/>
      <c r="G763" s="186"/>
      <c r="H763" s="186"/>
      <c r="I763" s="186"/>
      <c r="J763" s="186"/>
      <c r="K763" s="186"/>
      <c r="L763" s="186"/>
      <c r="M763" s="186"/>
      <c r="N763" s="186"/>
      <c r="O763" s="186"/>
      <c r="P763" s="186"/>
      <c r="Q763" s="186"/>
      <c r="R763" s="186"/>
      <c r="S763" s="186"/>
      <c r="T763" s="186"/>
      <c r="U763" s="186">
        <v>0</v>
      </c>
    </row>
    <row r="764" spans="1:21" ht="12.75">
      <c r="A764" s="33"/>
      <c r="B764" s="33"/>
      <c r="C764" s="34"/>
      <c r="D764" s="183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>
        <v>0</v>
      </c>
    </row>
    <row r="765" spans="1:21" ht="12.75">
      <c r="A765" s="184"/>
      <c r="B765" s="184"/>
      <c r="C765" s="191"/>
      <c r="D765" s="185"/>
      <c r="E765" s="186"/>
      <c r="F765" s="186"/>
      <c r="G765" s="186"/>
      <c r="H765" s="186"/>
      <c r="I765" s="186"/>
      <c r="J765" s="186"/>
      <c r="K765" s="186"/>
      <c r="L765" s="186"/>
      <c r="M765" s="186"/>
      <c r="N765" s="186"/>
      <c r="O765" s="186"/>
      <c r="P765" s="186"/>
      <c r="Q765" s="186"/>
      <c r="R765" s="186"/>
      <c r="S765" s="186"/>
      <c r="T765" s="186"/>
      <c r="U765" s="186">
        <v>0</v>
      </c>
    </row>
    <row r="766" spans="1:21" ht="12.75">
      <c r="A766" s="33"/>
      <c r="B766" s="33"/>
      <c r="C766" s="34"/>
      <c r="D766" s="183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>
        <v>0</v>
      </c>
    </row>
    <row r="767" spans="1:21" ht="12.75">
      <c r="A767" s="184"/>
      <c r="B767" s="184"/>
      <c r="C767" s="191"/>
      <c r="D767" s="185"/>
      <c r="E767" s="186"/>
      <c r="F767" s="186"/>
      <c r="G767" s="186"/>
      <c r="H767" s="186"/>
      <c r="I767" s="186"/>
      <c r="J767" s="186"/>
      <c r="K767" s="186"/>
      <c r="L767" s="186"/>
      <c r="M767" s="186"/>
      <c r="N767" s="186"/>
      <c r="O767" s="186"/>
      <c r="P767" s="186"/>
      <c r="Q767" s="186"/>
      <c r="R767" s="186"/>
      <c r="S767" s="186"/>
      <c r="T767" s="186"/>
      <c r="U767" s="186">
        <v>0</v>
      </c>
    </row>
    <row r="768" spans="1:21" ht="12.75">
      <c r="A768" s="33"/>
      <c r="B768" s="33"/>
      <c r="C768" s="34"/>
      <c r="D768" s="183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>
        <v>0</v>
      </c>
    </row>
    <row r="769" spans="1:21" ht="12.75">
      <c r="A769" s="184"/>
      <c r="B769" s="184"/>
      <c r="C769" s="191"/>
      <c r="D769" s="185"/>
      <c r="E769" s="186"/>
      <c r="F769" s="186"/>
      <c r="G769" s="186"/>
      <c r="H769" s="186"/>
      <c r="I769" s="186"/>
      <c r="J769" s="186"/>
      <c r="K769" s="186"/>
      <c r="L769" s="186"/>
      <c r="M769" s="186"/>
      <c r="N769" s="186"/>
      <c r="O769" s="186"/>
      <c r="P769" s="186"/>
      <c r="Q769" s="186"/>
      <c r="R769" s="186"/>
      <c r="S769" s="186"/>
      <c r="T769" s="186"/>
      <c r="U769" s="186">
        <v>0</v>
      </c>
    </row>
    <row r="770" spans="1:21" ht="12.75">
      <c r="A770" s="33"/>
      <c r="B770" s="33"/>
      <c r="C770" s="34"/>
      <c r="D770" s="183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>
        <v>0</v>
      </c>
    </row>
    <row r="771" spans="1:21" ht="12.75">
      <c r="A771" s="184"/>
      <c r="B771" s="184"/>
      <c r="C771" s="191"/>
      <c r="D771" s="185"/>
      <c r="E771" s="186"/>
      <c r="F771" s="186"/>
      <c r="G771" s="186"/>
      <c r="H771" s="186"/>
      <c r="I771" s="186"/>
      <c r="J771" s="186"/>
      <c r="K771" s="186"/>
      <c r="L771" s="186"/>
      <c r="M771" s="186"/>
      <c r="N771" s="186"/>
      <c r="O771" s="186"/>
      <c r="P771" s="186"/>
      <c r="Q771" s="186"/>
      <c r="R771" s="186"/>
      <c r="S771" s="186"/>
      <c r="T771" s="186"/>
      <c r="U771" s="186">
        <v>0</v>
      </c>
    </row>
    <row r="772" spans="1:21" ht="12.75">
      <c r="A772" s="33"/>
      <c r="B772" s="33"/>
      <c r="C772" s="34"/>
      <c r="D772" s="183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>
        <v>0</v>
      </c>
    </row>
    <row r="773" spans="1:21" ht="12.75">
      <c r="A773" s="184"/>
      <c r="B773" s="184"/>
      <c r="C773" s="191"/>
      <c r="D773" s="185"/>
      <c r="E773" s="186"/>
      <c r="F773" s="186"/>
      <c r="G773" s="186"/>
      <c r="H773" s="186"/>
      <c r="I773" s="186"/>
      <c r="J773" s="186"/>
      <c r="K773" s="186"/>
      <c r="L773" s="186"/>
      <c r="M773" s="186"/>
      <c r="N773" s="186"/>
      <c r="O773" s="186"/>
      <c r="P773" s="186"/>
      <c r="Q773" s="186"/>
      <c r="R773" s="186"/>
      <c r="S773" s="186"/>
      <c r="T773" s="186"/>
      <c r="U773" s="186">
        <v>0</v>
      </c>
    </row>
    <row r="774" spans="1:21" ht="12.75">
      <c r="A774" s="33"/>
      <c r="B774" s="33"/>
      <c r="C774" s="34"/>
      <c r="D774" s="183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>
        <v>0</v>
      </c>
    </row>
    <row r="775" spans="1:21" ht="12.75">
      <c r="A775" s="184"/>
      <c r="B775" s="184"/>
      <c r="C775" s="191"/>
      <c r="D775" s="185"/>
      <c r="E775" s="186"/>
      <c r="F775" s="186"/>
      <c r="G775" s="186"/>
      <c r="H775" s="186"/>
      <c r="I775" s="186"/>
      <c r="J775" s="186"/>
      <c r="K775" s="186"/>
      <c r="L775" s="186"/>
      <c r="M775" s="186"/>
      <c r="N775" s="186"/>
      <c r="O775" s="186"/>
      <c r="P775" s="186"/>
      <c r="Q775" s="186"/>
      <c r="R775" s="186"/>
      <c r="S775" s="186"/>
      <c r="T775" s="186"/>
      <c r="U775" s="186">
        <v>0</v>
      </c>
    </row>
    <row r="776" spans="1:21" ht="12.75">
      <c r="A776" s="33"/>
      <c r="B776" s="33"/>
      <c r="C776" s="34"/>
      <c r="D776" s="183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>
        <v>0</v>
      </c>
    </row>
    <row r="777" spans="1:21" ht="12.75">
      <c r="A777" s="184"/>
      <c r="B777" s="184"/>
      <c r="C777" s="191"/>
      <c r="D777" s="185"/>
      <c r="E777" s="186"/>
      <c r="F777" s="186"/>
      <c r="G777" s="186"/>
      <c r="H777" s="186"/>
      <c r="I777" s="186"/>
      <c r="J777" s="186"/>
      <c r="K777" s="186"/>
      <c r="L777" s="186"/>
      <c r="M777" s="186"/>
      <c r="N777" s="186"/>
      <c r="O777" s="186"/>
      <c r="P777" s="186"/>
      <c r="Q777" s="186"/>
      <c r="R777" s="186"/>
      <c r="S777" s="186"/>
      <c r="T777" s="186"/>
      <c r="U777" s="186">
        <v>0</v>
      </c>
    </row>
    <row r="778" spans="1:21" ht="12.75">
      <c r="A778" s="33"/>
      <c r="B778" s="33"/>
      <c r="C778" s="34"/>
      <c r="D778" s="183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>
        <v>0</v>
      </c>
    </row>
    <row r="779" spans="1:21" ht="12.75">
      <c r="A779" s="184"/>
      <c r="B779" s="184"/>
      <c r="C779" s="191"/>
      <c r="D779" s="185"/>
      <c r="E779" s="186"/>
      <c r="F779" s="186"/>
      <c r="G779" s="186"/>
      <c r="H779" s="186"/>
      <c r="I779" s="186"/>
      <c r="J779" s="186"/>
      <c r="K779" s="186"/>
      <c r="L779" s="186"/>
      <c r="M779" s="186"/>
      <c r="N779" s="186"/>
      <c r="O779" s="186"/>
      <c r="P779" s="186"/>
      <c r="Q779" s="186"/>
      <c r="R779" s="186"/>
      <c r="S779" s="186"/>
      <c r="T779" s="186"/>
      <c r="U779" s="186">
        <v>0</v>
      </c>
    </row>
    <row r="780" spans="1:21" ht="12.75">
      <c r="A780" s="33"/>
      <c r="B780" s="33"/>
      <c r="C780" s="34"/>
      <c r="D780" s="183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>
        <v>0</v>
      </c>
    </row>
    <row r="781" spans="1:21" ht="12.75">
      <c r="A781" s="184"/>
      <c r="B781" s="184"/>
      <c r="C781" s="191"/>
      <c r="D781" s="185"/>
      <c r="E781" s="186"/>
      <c r="F781" s="186"/>
      <c r="G781" s="186"/>
      <c r="H781" s="186"/>
      <c r="I781" s="186"/>
      <c r="J781" s="186"/>
      <c r="K781" s="186"/>
      <c r="L781" s="186"/>
      <c r="M781" s="186"/>
      <c r="N781" s="186"/>
      <c r="O781" s="186"/>
      <c r="P781" s="186"/>
      <c r="Q781" s="186"/>
      <c r="R781" s="186"/>
      <c r="S781" s="186"/>
      <c r="T781" s="186"/>
      <c r="U781" s="186">
        <v>0</v>
      </c>
    </row>
    <row r="782" spans="1:21" ht="12.75">
      <c r="A782" s="33"/>
      <c r="B782" s="33"/>
      <c r="C782" s="34"/>
      <c r="D782" s="183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>
        <v>0</v>
      </c>
    </row>
    <row r="783" spans="1:21" ht="12.75">
      <c r="A783" s="184"/>
      <c r="B783" s="184"/>
      <c r="C783" s="191"/>
      <c r="D783" s="185"/>
      <c r="E783" s="186"/>
      <c r="F783" s="186"/>
      <c r="G783" s="186"/>
      <c r="H783" s="186"/>
      <c r="I783" s="186"/>
      <c r="J783" s="186"/>
      <c r="K783" s="186"/>
      <c r="L783" s="186"/>
      <c r="M783" s="186"/>
      <c r="N783" s="186"/>
      <c r="O783" s="186"/>
      <c r="P783" s="186"/>
      <c r="Q783" s="186"/>
      <c r="R783" s="186"/>
      <c r="S783" s="186"/>
      <c r="T783" s="186"/>
      <c r="U783" s="186">
        <v>0</v>
      </c>
    </row>
    <row r="784" spans="1:21" ht="12.75">
      <c r="A784" s="33"/>
      <c r="B784" s="33"/>
      <c r="C784" s="34"/>
      <c r="D784" s="183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>
        <v>0</v>
      </c>
    </row>
    <row r="785" spans="1:21" ht="12.75">
      <c r="A785" s="184"/>
      <c r="B785" s="184"/>
      <c r="C785" s="191"/>
      <c r="D785" s="185"/>
      <c r="E785" s="186"/>
      <c r="F785" s="186"/>
      <c r="G785" s="186"/>
      <c r="H785" s="186"/>
      <c r="I785" s="186"/>
      <c r="J785" s="186"/>
      <c r="K785" s="186"/>
      <c r="L785" s="186"/>
      <c r="M785" s="186"/>
      <c r="N785" s="186"/>
      <c r="O785" s="186"/>
      <c r="P785" s="186"/>
      <c r="Q785" s="186"/>
      <c r="R785" s="186"/>
      <c r="S785" s="186"/>
      <c r="T785" s="186"/>
      <c r="U785" s="186">
        <v>0</v>
      </c>
    </row>
    <row r="786" spans="1:21" ht="12.75">
      <c r="A786" s="33"/>
      <c r="B786" s="33"/>
      <c r="C786" s="34"/>
      <c r="D786" s="183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>
        <v>0</v>
      </c>
    </row>
    <row r="787" spans="1:21" ht="12.75">
      <c r="A787" s="184"/>
      <c r="B787" s="184"/>
      <c r="C787" s="191"/>
      <c r="D787" s="185"/>
      <c r="E787" s="186"/>
      <c r="F787" s="186"/>
      <c r="G787" s="186"/>
      <c r="H787" s="186"/>
      <c r="I787" s="186"/>
      <c r="J787" s="186"/>
      <c r="K787" s="186"/>
      <c r="L787" s="186"/>
      <c r="M787" s="186"/>
      <c r="N787" s="186"/>
      <c r="O787" s="186"/>
      <c r="P787" s="186"/>
      <c r="Q787" s="186"/>
      <c r="R787" s="186"/>
      <c r="S787" s="186"/>
      <c r="T787" s="186"/>
      <c r="U787" s="186">
        <v>0</v>
      </c>
    </row>
    <row r="788" spans="1:21" ht="12.75">
      <c r="A788" s="33"/>
      <c r="B788" s="33"/>
      <c r="C788" s="34"/>
      <c r="D788" s="183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>
        <v>0</v>
      </c>
    </row>
    <row r="789" spans="1:21" ht="12.75">
      <c r="A789" s="184"/>
      <c r="B789" s="184"/>
      <c r="C789" s="191"/>
      <c r="D789" s="185"/>
      <c r="E789" s="186"/>
      <c r="F789" s="186"/>
      <c r="G789" s="186"/>
      <c r="H789" s="186"/>
      <c r="I789" s="186"/>
      <c r="J789" s="186"/>
      <c r="K789" s="186"/>
      <c r="L789" s="186"/>
      <c r="M789" s="186"/>
      <c r="N789" s="186"/>
      <c r="O789" s="186"/>
      <c r="P789" s="186"/>
      <c r="Q789" s="186"/>
      <c r="R789" s="186"/>
      <c r="S789" s="186"/>
      <c r="T789" s="186"/>
      <c r="U789" s="186">
        <v>0</v>
      </c>
    </row>
    <row r="790" spans="1:21" ht="12.75">
      <c r="A790" s="33"/>
      <c r="B790" s="33"/>
      <c r="C790" s="34"/>
      <c r="D790" s="183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>
        <v>0</v>
      </c>
    </row>
    <row r="791" spans="1:21" ht="12.75">
      <c r="A791" s="184"/>
      <c r="B791" s="184"/>
      <c r="C791" s="191"/>
      <c r="D791" s="185"/>
      <c r="E791" s="186"/>
      <c r="F791" s="186"/>
      <c r="G791" s="186"/>
      <c r="H791" s="186"/>
      <c r="I791" s="186"/>
      <c r="J791" s="186"/>
      <c r="K791" s="186"/>
      <c r="L791" s="186"/>
      <c r="M791" s="186"/>
      <c r="N791" s="186"/>
      <c r="O791" s="186"/>
      <c r="P791" s="186"/>
      <c r="Q791" s="186"/>
      <c r="R791" s="186"/>
      <c r="S791" s="186"/>
      <c r="T791" s="186"/>
      <c r="U791" s="186">
        <v>0</v>
      </c>
    </row>
    <row r="792" spans="1:21" ht="12.75">
      <c r="A792" s="33"/>
      <c r="B792" s="33"/>
      <c r="C792" s="34"/>
      <c r="D792" s="183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>
        <v>0</v>
      </c>
    </row>
    <row r="793" spans="1:21" ht="12.75">
      <c r="A793" s="184"/>
      <c r="B793" s="184"/>
      <c r="C793" s="191"/>
      <c r="D793" s="185"/>
      <c r="E793" s="186"/>
      <c r="F793" s="186"/>
      <c r="G793" s="186"/>
      <c r="H793" s="186"/>
      <c r="I793" s="186"/>
      <c r="J793" s="186"/>
      <c r="K793" s="186"/>
      <c r="L793" s="186"/>
      <c r="M793" s="186"/>
      <c r="N793" s="186"/>
      <c r="O793" s="186"/>
      <c r="P793" s="186"/>
      <c r="Q793" s="186"/>
      <c r="R793" s="186"/>
      <c r="S793" s="186"/>
      <c r="T793" s="186"/>
      <c r="U793" s="186">
        <v>0</v>
      </c>
    </row>
    <row r="794" spans="1:21" ht="12.75">
      <c r="A794" s="33"/>
      <c r="B794" s="33"/>
      <c r="C794" s="34"/>
      <c r="D794" s="183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>
        <v>0</v>
      </c>
    </row>
    <row r="795" spans="1:21" ht="12.75">
      <c r="A795" s="184"/>
      <c r="B795" s="184"/>
      <c r="C795" s="191"/>
      <c r="D795" s="185"/>
      <c r="E795" s="186"/>
      <c r="F795" s="186"/>
      <c r="G795" s="186"/>
      <c r="H795" s="186"/>
      <c r="I795" s="186"/>
      <c r="J795" s="186"/>
      <c r="K795" s="186"/>
      <c r="L795" s="186"/>
      <c r="M795" s="186"/>
      <c r="N795" s="186"/>
      <c r="O795" s="186"/>
      <c r="P795" s="186"/>
      <c r="Q795" s="186"/>
      <c r="R795" s="186"/>
      <c r="S795" s="186"/>
      <c r="T795" s="186"/>
      <c r="U795" s="186">
        <v>0</v>
      </c>
    </row>
    <row r="796" spans="1:21" ht="12.75">
      <c r="A796" s="33"/>
      <c r="B796" s="33"/>
      <c r="C796" s="34"/>
      <c r="D796" s="183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>
        <v>0</v>
      </c>
    </row>
    <row r="797" spans="1:21" ht="12.75">
      <c r="A797" s="184"/>
      <c r="B797" s="184"/>
      <c r="C797" s="191"/>
      <c r="D797" s="185"/>
      <c r="E797" s="186"/>
      <c r="F797" s="186"/>
      <c r="G797" s="186"/>
      <c r="H797" s="186"/>
      <c r="I797" s="186"/>
      <c r="J797" s="186"/>
      <c r="K797" s="186"/>
      <c r="L797" s="186"/>
      <c r="M797" s="186"/>
      <c r="N797" s="186"/>
      <c r="O797" s="186"/>
      <c r="P797" s="186"/>
      <c r="Q797" s="186"/>
      <c r="R797" s="186"/>
      <c r="S797" s="186"/>
      <c r="T797" s="186"/>
      <c r="U797" s="186">
        <v>0</v>
      </c>
    </row>
    <row r="798" spans="1:21" ht="12.75">
      <c r="A798" s="33"/>
      <c r="B798" s="33"/>
      <c r="C798" s="34"/>
      <c r="D798" s="183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>
        <v>0</v>
      </c>
    </row>
    <row r="799" spans="1:21" ht="12.75">
      <c r="A799" s="184"/>
      <c r="B799" s="184"/>
      <c r="C799" s="191"/>
      <c r="D799" s="185"/>
      <c r="E799" s="186"/>
      <c r="F799" s="186"/>
      <c r="G799" s="186"/>
      <c r="H799" s="186"/>
      <c r="I799" s="186"/>
      <c r="J799" s="186"/>
      <c r="K799" s="186"/>
      <c r="L799" s="186"/>
      <c r="M799" s="186"/>
      <c r="N799" s="186"/>
      <c r="O799" s="186"/>
      <c r="P799" s="186"/>
      <c r="Q799" s="186"/>
      <c r="R799" s="186"/>
      <c r="S799" s="186"/>
      <c r="T799" s="186"/>
      <c r="U799" s="186">
        <v>0</v>
      </c>
    </row>
    <row r="800" spans="1:21" ht="12.75">
      <c r="A800" s="33"/>
      <c r="B800" s="33"/>
      <c r="C800" s="34"/>
      <c r="D800" s="183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>
        <v>0</v>
      </c>
    </row>
    <row r="801" spans="1:21" ht="12.75">
      <c r="A801" s="184"/>
      <c r="B801" s="184"/>
      <c r="C801" s="191"/>
      <c r="D801" s="185"/>
      <c r="E801" s="186"/>
      <c r="F801" s="186"/>
      <c r="G801" s="186"/>
      <c r="H801" s="186"/>
      <c r="I801" s="186"/>
      <c r="J801" s="186"/>
      <c r="K801" s="186"/>
      <c r="L801" s="186"/>
      <c r="M801" s="186"/>
      <c r="N801" s="186"/>
      <c r="O801" s="186"/>
      <c r="P801" s="186"/>
      <c r="Q801" s="186"/>
      <c r="R801" s="186"/>
      <c r="S801" s="186"/>
      <c r="T801" s="186"/>
      <c r="U801" s="186">
        <v>0</v>
      </c>
    </row>
    <row r="802" spans="1:21" ht="12.75">
      <c r="A802" s="33"/>
      <c r="B802" s="33"/>
      <c r="C802" s="34"/>
      <c r="D802" s="183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>
        <v>0</v>
      </c>
    </row>
    <row r="803" spans="1:21" ht="12.75">
      <c r="A803" s="184"/>
      <c r="B803" s="184"/>
      <c r="C803" s="191"/>
      <c r="D803" s="185"/>
      <c r="E803" s="186"/>
      <c r="F803" s="186"/>
      <c r="G803" s="186"/>
      <c r="H803" s="186"/>
      <c r="I803" s="186"/>
      <c r="J803" s="186"/>
      <c r="K803" s="186"/>
      <c r="L803" s="186"/>
      <c r="M803" s="186"/>
      <c r="N803" s="186"/>
      <c r="O803" s="186"/>
      <c r="P803" s="186"/>
      <c r="Q803" s="186"/>
      <c r="R803" s="186"/>
      <c r="S803" s="186"/>
      <c r="T803" s="186"/>
      <c r="U803" s="186">
        <v>0</v>
      </c>
    </row>
    <row r="804" spans="1:21" ht="12.75">
      <c r="A804" s="33"/>
      <c r="B804" s="33"/>
      <c r="C804" s="34"/>
      <c r="D804" s="183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>
        <v>0</v>
      </c>
    </row>
    <row r="805" spans="1:21" ht="12.75">
      <c r="A805" s="184"/>
      <c r="B805" s="184"/>
      <c r="C805" s="191"/>
      <c r="D805" s="185"/>
      <c r="E805" s="186"/>
      <c r="F805" s="186"/>
      <c r="G805" s="186"/>
      <c r="H805" s="186"/>
      <c r="I805" s="186"/>
      <c r="J805" s="186"/>
      <c r="K805" s="186"/>
      <c r="L805" s="186"/>
      <c r="M805" s="186"/>
      <c r="N805" s="186"/>
      <c r="O805" s="186"/>
      <c r="P805" s="186"/>
      <c r="Q805" s="186"/>
      <c r="R805" s="186"/>
      <c r="S805" s="186"/>
      <c r="T805" s="186"/>
      <c r="U805" s="186">
        <v>0</v>
      </c>
    </row>
    <row r="806" spans="1:21" ht="12.75">
      <c r="A806" s="33"/>
      <c r="B806" s="33"/>
      <c r="C806" s="34"/>
      <c r="D806" s="183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>
        <v>0</v>
      </c>
    </row>
    <row r="807" spans="1:21" ht="12.75">
      <c r="A807" s="184"/>
      <c r="B807" s="184"/>
      <c r="C807" s="191"/>
      <c r="D807" s="185"/>
      <c r="E807" s="186"/>
      <c r="F807" s="186"/>
      <c r="G807" s="186"/>
      <c r="H807" s="186"/>
      <c r="I807" s="186"/>
      <c r="J807" s="186"/>
      <c r="K807" s="186"/>
      <c r="L807" s="186"/>
      <c r="M807" s="186"/>
      <c r="N807" s="186"/>
      <c r="O807" s="186"/>
      <c r="P807" s="186"/>
      <c r="Q807" s="186"/>
      <c r="R807" s="186"/>
      <c r="S807" s="186"/>
      <c r="T807" s="186"/>
      <c r="U807" s="186">
        <v>0</v>
      </c>
    </row>
    <row r="808" spans="1:21" ht="12.75">
      <c r="A808" s="33"/>
      <c r="B808" s="33"/>
      <c r="C808" s="34"/>
      <c r="D808" s="183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>
        <v>0</v>
      </c>
    </row>
    <row r="809" spans="1:21" ht="12.75">
      <c r="A809" s="184"/>
      <c r="B809" s="184"/>
      <c r="C809" s="191"/>
      <c r="D809" s="185"/>
      <c r="E809" s="186"/>
      <c r="F809" s="186"/>
      <c r="G809" s="186"/>
      <c r="H809" s="186"/>
      <c r="I809" s="186"/>
      <c r="J809" s="186"/>
      <c r="K809" s="186"/>
      <c r="L809" s="186"/>
      <c r="M809" s="186"/>
      <c r="N809" s="186"/>
      <c r="O809" s="186"/>
      <c r="P809" s="186"/>
      <c r="Q809" s="186"/>
      <c r="R809" s="186"/>
      <c r="S809" s="186"/>
      <c r="T809" s="186"/>
      <c r="U809" s="186">
        <v>0</v>
      </c>
    </row>
    <row r="810" spans="1:21" ht="12.75">
      <c r="A810" s="33"/>
      <c r="B810" s="33"/>
      <c r="C810" s="34"/>
      <c r="D810" s="183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>
        <v>0</v>
      </c>
    </row>
    <row r="811" spans="1:21" ht="12.75">
      <c r="A811" s="184"/>
      <c r="B811" s="184"/>
      <c r="C811" s="191"/>
      <c r="D811" s="185"/>
      <c r="E811" s="186"/>
      <c r="F811" s="186"/>
      <c r="G811" s="186"/>
      <c r="H811" s="186"/>
      <c r="I811" s="186"/>
      <c r="J811" s="186"/>
      <c r="K811" s="186"/>
      <c r="L811" s="186"/>
      <c r="M811" s="186"/>
      <c r="N811" s="186"/>
      <c r="O811" s="186"/>
      <c r="P811" s="186"/>
      <c r="Q811" s="186"/>
      <c r="R811" s="186"/>
      <c r="S811" s="186"/>
      <c r="T811" s="186"/>
      <c r="U811" s="186">
        <v>0</v>
      </c>
    </row>
    <row r="812" spans="1:21" ht="12.75">
      <c r="A812" s="33"/>
      <c r="B812" s="33"/>
      <c r="C812" s="34"/>
      <c r="D812" s="183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>
        <v>0</v>
      </c>
    </row>
    <row r="813" spans="1:21" ht="12.75">
      <c r="A813" s="184"/>
      <c r="B813" s="184"/>
      <c r="C813" s="191"/>
      <c r="D813" s="185"/>
      <c r="E813" s="186"/>
      <c r="F813" s="186"/>
      <c r="G813" s="186"/>
      <c r="H813" s="186"/>
      <c r="I813" s="186"/>
      <c r="J813" s="186"/>
      <c r="K813" s="186"/>
      <c r="L813" s="186"/>
      <c r="M813" s="186"/>
      <c r="N813" s="186"/>
      <c r="O813" s="186"/>
      <c r="P813" s="186"/>
      <c r="Q813" s="186"/>
      <c r="R813" s="186"/>
      <c r="S813" s="186"/>
      <c r="T813" s="186"/>
      <c r="U813" s="186">
        <v>0</v>
      </c>
    </row>
    <row r="814" spans="1:21" ht="12.75">
      <c r="A814" s="33"/>
      <c r="B814" s="33"/>
      <c r="C814" s="34"/>
      <c r="D814" s="183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>
        <v>0</v>
      </c>
    </row>
    <row r="815" spans="1:21" ht="12.75">
      <c r="A815" s="184"/>
      <c r="B815" s="184"/>
      <c r="C815" s="191"/>
      <c r="D815" s="185"/>
      <c r="E815" s="186"/>
      <c r="F815" s="186"/>
      <c r="G815" s="186"/>
      <c r="H815" s="186"/>
      <c r="I815" s="186"/>
      <c r="J815" s="186"/>
      <c r="K815" s="186"/>
      <c r="L815" s="186"/>
      <c r="M815" s="186"/>
      <c r="N815" s="186"/>
      <c r="O815" s="186"/>
      <c r="P815" s="186"/>
      <c r="Q815" s="186"/>
      <c r="R815" s="186"/>
      <c r="S815" s="186"/>
      <c r="T815" s="186"/>
      <c r="U815" s="186">
        <v>0</v>
      </c>
    </row>
    <row r="816" spans="1:21" ht="12.75">
      <c r="A816" s="33"/>
      <c r="B816" s="33"/>
      <c r="C816" s="34"/>
      <c r="D816" s="183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>
        <v>0</v>
      </c>
    </row>
    <row r="817" spans="1:21" ht="12.75">
      <c r="A817" s="184"/>
      <c r="B817" s="184"/>
      <c r="C817" s="191"/>
      <c r="D817" s="185"/>
      <c r="E817" s="186"/>
      <c r="F817" s="186"/>
      <c r="G817" s="186"/>
      <c r="H817" s="186"/>
      <c r="I817" s="186"/>
      <c r="J817" s="186"/>
      <c r="K817" s="186"/>
      <c r="L817" s="186"/>
      <c r="M817" s="186"/>
      <c r="N817" s="186"/>
      <c r="O817" s="186"/>
      <c r="P817" s="186"/>
      <c r="Q817" s="186"/>
      <c r="R817" s="186"/>
      <c r="S817" s="186"/>
      <c r="T817" s="186"/>
      <c r="U817" s="186">
        <v>0</v>
      </c>
    </row>
    <row r="818" spans="1:21" ht="12.75">
      <c r="A818" s="33"/>
      <c r="B818" s="33"/>
      <c r="C818" s="34"/>
      <c r="D818" s="183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>
        <v>0</v>
      </c>
    </row>
    <row r="819" spans="1:21" ht="12.75">
      <c r="A819" s="184"/>
      <c r="B819" s="184"/>
      <c r="C819" s="191"/>
      <c r="D819" s="185"/>
      <c r="E819" s="186"/>
      <c r="F819" s="186"/>
      <c r="G819" s="186"/>
      <c r="H819" s="186"/>
      <c r="I819" s="186"/>
      <c r="J819" s="186"/>
      <c r="K819" s="186"/>
      <c r="L819" s="186"/>
      <c r="M819" s="186"/>
      <c r="N819" s="186"/>
      <c r="O819" s="186"/>
      <c r="P819" s="186"/>
      <c r="Q819" s="186"/>
      <c r="R819" s="186"/>
      <c r="S819" s="186"/>
      <c r="T819" s="186"/>
      <c r="U819" s="186">
        <v>0</v>
      </c>
    </row>
    <row r="820" spans="1:21" ht="12.75">
      <c r="A820" s="33"/>
      <c r="B820" s="33"/>
      <c r="C820" s="34"/>
      <c r="D820" s="183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>
        <v>0</v>
      </c>
    </row>
    <row r="821" spans="1:21" ht="12.75">
      <c r="A821" s="184"/>
      <c r="B821" s="184"/>
      <c r="C821" s="191"/>
      <c r="D821" s="185"/>
      <c r="E821" s="186"/>
      <c r="F821" s="186"/>
      <c r="G821" s="186"/>
      <c r="H821" s="186"/>
      <c r="I821" s="186"/>
      <c r="J821" s="186"/>
      <c r="K821" s="186"/>
      <c r="L821" s="186"/>
      <c r="M821" s="186"/>
      <c r="N821" s="186"/>
      <c r="O821" s="186"/>
      <c r="P821" s="186"/>
      <c r="Q821" s="186"/>
      <c r="R821" s="186"/>
      <c r="S821" s="186"/>
      <c r="T821" s="186"/>
      <c r="U821" s="186">
        <v>0</v>
      </c>
    </row>
    <row r="822" spans="1:21" ht="12.75">
      <c r="A822" s="33"/>
      <c r="B822" s="33"/>
      <c r="C822" s="34"/>
      <c r="D822" s="183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>
        <v>0</v>
      </c>
    </row>
    <row r="823" spans="1:21" ht="12.75">
      <c r="A823" s="184"/>
      <c r="B823" s="184"/>
      <c r="C823" s="191"/>
      <c r="D823" s="185"/>
      <c r="E823" s="186"/>
      <c r="F823" s="186"/>
      <c r="G823" s="186"/>
      <c r="H823" s="186"/>
      <c r="I823" s="186"/>
      <c r="J823" s="186"/>
      <c r="K823" s="186"/>
      <c r="L823" s="186"/>
      <c r="M823" s="186"/>
      <c r="N823" s="186"/>
      <c r="O823" s="186"/>
      <c r="P823" s="186"/>
      <c r="Q823" s="186"/>
      <c r="R823" s="186"/>
      <c r="S823" s="186"/>
      <c r="T823" s="186"/>
      <c r="U823" s="186">
        <v>0</v>
      </c>
    </row>
    <row r="824" spans="1:21" ht="12.75">
      <c r="A824" s="33"/>
      <c r="B824" s="33"/>
      <c r="C824" s="34"/>
      <c r="D824" s="183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>
        <v>0</v>
      </c>
    </row>
    <row r="825" spans="1:21" ht="12.75">
      <c r="A825" s="184"/>
      <c r="B825" s="184"/>
      <c r="C825" s="191"/>
      <c r="D825" s="185"/>
      <c r="E825" s="186"/>
      <c r="F825" s="186"/>
      <c r="G825" s="186"/>
      <c r="H825" s="186"/>
      <c r="I825" s="186"/>
      <c r="J825" s="186"/>
      <c r="K825" s="186"/>
      <c r="L825" s="186"/>
      <c r="M825" s="186"/>
      <c r="N825" s="186"/>
      <c r="O825" s="186"/>
      <c r="P825" s="186"/>
      <c r="Q825" s="186"/>
      <c r="R825" s="186"/>
      <c r="S825" s="186"/>
      <c r="T825" s="186"/>
      <c r="U825" s="186">
        <v>0</v>
      </c>
    </row>
    <row r="826" spans="1:21" ht="12.75">
      <c r="A826" s="33"/>
      <c r="B826" s="33"/>
      <c r="C826" s="34"/>
      <c r="D826" s="183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>
        <v>0</v>
      </c>
    </row>
    <row r="827" spans="1:21" ht="12.75">
      <c r="A827" s="184"/>
      <c r="B827" s="184"/>
      <c r="C827" s="191"/>
      <c r="D827" s="185"/>
      <c r="E827" s="186"/>
      <c r="F827" s="186"/>
      <c r="G827" s="186"/>
      <c r="H827" s="186"/>
      <c r="I827" s="186"/>
      <c r="J827" s="186"/>
      <c r="K827" s="186"/>
      <c r="L827" s="186"/>
      <c r="M827" s="186"/>
      <c r="N827" s="186"/>
      <c r="O827" s="186"/>
      <c r="P827" s="186"/>
      <c r="Q827" s="186"/>
      <c r="R827" s="186"/>
      <c r="S827" s="186"/>
      <c r="T827" s="186"/>
      <c r="U827" s="186">
        <v>0</v>
      </c>
    </row>
    <row r="828" spans="1:21" ht="12.75">
      <c r="A828" s="33"/>
      <c r="B828" s="33"/>
      <c r="C828" s="34"/>
      <c r="D828" s="183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>
        <v>0</v>
      </c>
    </row>
    <row r="829" spans="1:21" ht="12.75">
      <c r="A829" s="184"/>
      <c r="B829" s="184"/>
      <c r="C829" s="191"/>
      <c r="D829" s="185"/>
      <c r="E829" s="186"/>
      <c r="F829" s="186"/>
      <c r="G829" s="186"/>
      <c r="H829" s="186"/>
      <c r="I829" s="186"/>
      <c r="J829" s="186"/>
      <c r="K829" s="186"/>
      <c r="L829" s="186"/>
      <c r="M829" s="186"/>
      <c r="N829" s="186"/>
      <c r="O829" s="186"/>
      <c r="P829" s="186"/>
      <c r="Q829" s="186"/>
      <c r="R829" s="186"/>
      <c r="S829" s="186"/>
      <c r="T829" s="186"/>
      <c r="U829" s="186">
        <v>0</v>
      </c>
    </row>
    <row r="830" spans="1:21" ht="12.75">
      <c r="A830" s="33"/>
      <c r="B830" s="33"/>
      <c r="C830" s="34"/>
      <c r="D830" s="183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>
        <v>0</v>
      </c>
    </row>
    <row r="831" spans="1:21" ht="12.75">
      <c r="A831" s="184"/>
      <c r="B831" s="184"/>
      <c r="C831" s="191"/>
      <c r="D831" s="185"/>
      <c r="E831" s="186"/>
      <c r="F831" s="186"/>
      <c r="G831" s="186"/>
      <c r="H831" s="186"/>
      <c r="I831" s="186"/>
      <c r="J831" s="186"/>
      <c r="K831" s="186"/>
      <c r="L831" s="186"/>
      <c r="M831" s="186"/>
      <c r="N831" s="186"/>
      <c r="O831" s="186"/>
      <c r="P831" s="186"/>
      <c r="Q831" s="186"/>
      <c r="R831" s="186"/>
      <c r="S831" s="186"/>
      <c r="T831" s="186"/>
      <c r="U831" s="186">
        <v>0</v>
      </c>
    </row>
    <row r="832" spans="1:21" ht="12.75">
      <c r="A832" s="33"/>
      <c r="B832" s="33"/>
      <c r="C832" s="34"/>
      <c r="D832" s="183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>
        <v>0</v>
      </c>
    </row>
    <row r="833" spans="1:21" ht="12.75">
      <c r="A833" s="184"/>
      <c r="B833" s="184"/>
      <c r="C833" s="191"/>
      <c r="D833" s="185"/>
      <c r="E833" s="186"/>
      <c r="F833" s="186"/>
      <c r="G833" s="186"/>
      <c r="H833" s="186"/>
      <c r="I833" s="186"/>
      <c r="J833" s="186"/>
      <c r="K833" s="186"/>
      <c r="L833" s="186"/>
      <c r="M833" s="186"/>
      <c r="N833" s="186"/>
      <c r="O833" s="186"/>
      <c r="P833" s="186"/>
      <c r="Q833" s="186"/>
      <c r="R833" s="186"/>
      <c r="S833" s="186"/>
      <c r="T833" s="186"/>
      <c r="U833" s="186">
        <v>0</v>
      </c>
    </row>
    <row r="834" spans="1:21" ht="12.75">
      <c r="A834" s="33"/>
      <c r="B834" s="33"/>
      <c r="C834" s="34"/>
      <c r="D834" s="183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>
        <v>0</v>
      </c>
    </row>
    <row r="835" spans="1:21" ht="12.75">
      <c r="A835" s="184"/>
      <c r="B835" s="184"/>
      <c r="C835" s="191"/>
      <c r="D835" s="185"/>
      <c r="E835" s="186"/>
      <c r="F835" s="186"/>
      <c r="G835" s="186"/>
      <c r="H835" s="186"/>
      <c r="I835" s="186"/>
      <c r="J835" s="186"/>
      <c r="K835" s="186"/>
      <c r="L835" s="186"/>
      <c r="M835" s="186"/>
      <c r="N835" s="186"/>
      <c r="O835" s="186"/>
      <c r="P835" s="186"/>
      <c r="Q835" s="186"/>
      <c r="R835" s="186"/>
      <c r="S835" s="186"/>
      <c r="T835" s="186"/>
      <c r="U835" s="186">
        <v>0</v>
      </c>
    </row>
    <row r="836" spans="1:21" ht="12.75">
      <c r="A836" s="33"/>
      <c r="B836" s="33"/>
      <c r="C836" s="34"/>
      <c r="D836" s="183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>
        <v>0</v>
      </c>
    </row>
    <row r="837" spans="1:21" ht="12.75">
      <c r="A837" s="184"/>
      <c r="B837" s="184"/>
      <c r="C837" s="191"/>
      <c r="D837" s="185"/>
      <c r="E837" s="186"/>
      <c r="F837" s="186"/>
      <c r="G837" s="186"/>
      <c r="H837" s="186"/>
      <c r="I837" s="186"/>
      <c r="J837" s="186"/>
      <c r="K837" s="186"/>
      <c r="L837" s="186"/>
      <c r="M837" s="186"/>
      <c r="N837" s="186"/>
      <c r="O837" s="186"/>
      <c r="P837" s="186"/>
      <c r="Q837" s="186"/>
      <c r="R837" s="186"/>
      <c r="S837" s="186"/>
      <c r="T837" s="186"/>
      <c r="U837" s="186">
        <v>0</v>
      </c>
    </row>
    <row r="838" spans="1:21" ht="12.75">
      <c r="A838" s="33"/>
      <c r="B838" s="33"/>
      <c r="C838" s="34"/>
      <c r="D838" s="183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>
        <v>0</v>
      </c>
    </row>
    <row r="839" spans="1:21" ht="12.75">
      <c r="A839" s="184"/>
      <c r="B839" s="184"/>
      <c r="C839" s="191"/>
      <c r="D839" s="185"/>
      <c r="E839" s="186"/>
      <c r="F839" s="186"/>
      <c r="G839" s="186"/>
      <c r="H839" s="186"/>
      <c r="I839" s="186"/>
      <c r="J839" s="186"/>
      <c r="K839" s="186"/>
      <c r="L839" s="186"/>
      <c r="M839" s="186"/>
      <c r="N839" s="186"/>
      <c r="O839" s="186"/>
      <c r="P839" s="186"/>
      <c r="Q839" s="186"/>
      <c r="R839" s="186"/>
      <c r="S839" s="186"/>
      <c r="T839" s="186"/>
      <c r="U839" s="186">
        <v>0</v>
      </c>
    </row>
    <row r="840" spans="1:21" ht="12.75">
      <c r="A840" s="33"/>
      <c r="B840" s="33"/>
      <c r="C840" s="34"/>
      <c r="D840" s="183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>
        <v>0</v>
      </c>
    </row>
    <row r="841" spans="1:21" ht="12.75">
      <c r="A841" s="184"/>
      <c r="B841" s="184"/>
      <c r="C841" s="191"/>
      <c r="D841" s="185"/>
      <c r="E841" s="186"/>
      <c r="F841" s="186"/>
      <c r="G841" s="186"/>
      <c r="H841" s="186"/>
      <c r="I841" s="186"/>
      <c r="J841" s="186"/>
      <c r="K841" s="186"/>
      <c r="L841" s="186"/>
      <c r="M841" s="186"/>
      <c r="N841" s="186"/>
      <c r="O841" s="186"/>
      <c r="P841" s="186"/>
      <c r="Q841" s="186"/>
      <c r="R841" s="186"/>
      <c r="S841" s="186"/>
      <c r="T841" s="186"/>
      <c r="U841" s="186">
        <v>0</v>
      </c>
    </row>
    <row r="842" spans="1:21" ht="12.75">
      <c r="A842" s="33"/>
      <c r="B842" s="33"/>
      <c r="C842" s="34"/>
      <c r="D842" s="183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>
        <v>0</v>
      </c>
    </row>
    <row r="843" spans="1:21" ht="12.75">
      <c r="A843" s="184"/>
      <c r="B843" s="184"/>
      <c r="C843" s="191"/>
      <c r="D843" s="185"/>
      <c r="E843" s="186"/>
      <c r="F843" s="186"/>
      <c r="G843" s="186"/>
      <c r="H843" s="186"/>
      <c r="I843" s="186"/>
      <c r="J843" s="186"/>
      <c r="K843" s="186"/>
      <c r="L843" s="186"/>
      <c r="M843" s="186"/>
      <c r="N843" s="186"/>
      <c r="O843" s="186"/>
      <c r="P843" s="186"/>
      <c r="Q843" s="186"/>
      <c r="R843" s="186"/>
      <c r="S843" s="186"/>
      <c r="T843" s="186"/>
      <c r="U843" s="186">
        <v>0</v>
      </c>
    </row>
    <row r="844" spans="1:21" ht="12.75">
      <c r="A844" s="33"/>
      <c r="B844" s="33"/>
      <c r="C844" s="34"/>
      <c r="D844" s="183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>
        <v>0</v>
      </c>
    </row>
    <row r="845" spans="1:21" ht="12.75">
      <c r="A845" s="184"/>
      <c r="B845" s="184"/>
      <c r="C845" s="191"/>
      <c r="D845" s="185"/>
      <c r="E845" s="186"/>
      <c r="F845" s="186"/>
      <c r="G845" s="186"/>
      <c r="H845" s="186"/>
      <c r="I845" s="186"/>
      <c r="J845" s="186"/>
      <c r="K845" s="186"/>
      <c r="L845" s="186"/>
      <c r="M845" s="186"/>
      <c r="N845" s="186"/>
      <c r="O845" s="186"/>
      <c r="P845" s="186"/>
      <c r="Q845" s="186"/>
      <c r="R845" s="186"/>
      <c r="S845" s="186"/>
      <c r="T845" s="186"/>
      <c r="U845" s="186">
        <v>0</v>
      </c>
    </row>
    <row r="846" spans="1:21" ht="12.75">
      <c r="A846" s="33"/>
      <c r="B846" s="33"/>
      <c r="C846" s="34"/>
      <c r="D846" s="183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>
        <v>0</v>
      </c>
    </row>
    <row r="847" spans="1:21" ht="12.75">
      <c r="A847" s="184"/>
      <c r="B847" s="184"/>
      <c r="C847" s="191"/>
      <c r="D847" s="185"/>
      <c r="E847" s="186"/>
      <c r="F847" s="186"/>
      <c r="G847" s="186"/>
      <c r="H847" s="186"/>
      <c r="I847" s="186"/>
      <c r="J847" s="186"/>
      <c r="K847" s="186"/>
      <c r="L847" s="186"/>
      <c r="M847" s="186"/>
      <c r="N847" s="186"/>
      <c r="O847" s="186"/>
      <c r="P847" s="186"/>
      <c r="Q847" s="186"/>
      <c r="R847" s="186"/>
      <c r="S847" s="186"/>
      <c r="T847" s="186"/>
      <c r="U847" s="186">
        <v>0</v>
      </c>
    </row>
    <row r="848" spans="1:21" ht="12.75">
      <c r="A848" s="33"/>
      <c r="B848" s="33"/>
      <c r="C848" s="34"/>
      <c r="D848" s="183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>
        <v>0</v>
      </c>
    </row>
    <row r="849" spans="1:21" ht="12.75">
      <c r="A849" s="184"/>
      <c r="B849" s="184"/>
      <c r="C849" s="191"/>
      <c r="D849" s="185"/>
      <c r="E849" s="186"/>
      <c r="F849" s="186"/>
      <c r="G849" s="186"/>
      <c r="H849" s="186"/>
      <c r="I849" s="186"/>
      <c r="J849" s="186"/>
      <c r="K849" s="186"/>
      <c r="L849" s="186"/>
      <c r="M849" s="186"/>
      <c r="N849" s="186"/>
      <c r="O849" s="186"/>
      <c r="P849" s="186"/>
      <c r="Q849" s="186"/>
      <c r="R849" s="186"/>
      <c r="S849" s="186"/>
      <c r="T849" s="186"/>
      <c r="U849" s="186">
        <v>0</v>
      </c>
    </row>
    <row r="850" spans="1:21" ht="12.75">
      <c r="A850" s="33"/>
      <c r="B850" s="33"/>
      <c r="C850" s="34"/>
      <c r="D850" s="183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>
        <v>0</v>
      </c>
    </row>
    <row r="851" spans="1:21" ht="12.75">
      <c r="A851" s="184"/>
      <c r="B851" s="184"/>
      <c r="C851" s="191"/>
      <c r="D851" s="185"/>
      <c r="E851" s="186"/>
      <c r="F851" s="186"/>
      <c r="G851" s="186"/>
      <c r="H851" s="186"/>
      <c r="I851" s="186"/>
      <c r="J851" s="186"/>
      <c r="K851" s="186"/>
      <c r="L851" s="186"/>
      <c r="M851" s="186"/>
      <c r="N851" s="186"/>
      <c r="O851" s="186"/>
      <c r="P851" s="186"/>
      <c r="Q851" s="186"/>
      <c r="R851" s="186"/>
      <c r="S851" s="186"/>
      <c r="T851" s="186"/>
      <c r="U851" s="186">
        <v>0</v>
      </c>
    </row>
    <row r="852" spans="1:21" ht="12.75">
      <c r="A852" s="33"/>
      <c r="B852" s="33"/>
      <c r="C852" s="34"/>
      <c r="D852" s="183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>
        <v>0</v>
      </c>
    </row>
    <row r="853" spans="1:21" ht="12.75">
      <c r="A853" s="184"/>
      <c r="B853" s="184"/>
      <c r="C853" s="191"/>
      <c r="D853" s="185"/>
      <c r="E853" s="186"/>
      <c r="F853" s="186"/>
      <c r="G853" s="186"/>
      <c r="H853" s="186"/>
      <c r="I853" s="186"/>
      <c r="J853" s="186"/>
      <c r="K853" s="186"/>
      <c r="L853" s="186"/>
      <c r="M853" s="186"/>
      <c r="N853" s="186"/>
      <c r="O853" s="186"/>
      <c r="P853" s="186"/>
      <c r="Q853" s="186"/>
      <c r="R853" s="186"/>
      <c r="S853" s="186"/>
      <c r="T853" s="186"/>
      <c r="U853" s="186">
        <v>0</v>
      </c>
    </row>
    <row r="854" spans="1:21" ht="12.75">
      <c r="A854" s="33"/>
      <c r="B854" s="33"/>
      <c r="C854" s="34"/>
      <c r="D854" s="183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>
        <v>0</v>
      </c>
    </row>
    <row r="855" spans="1:21" ht="12.75">
      <c r="A855" s="184"/>
      <c r="B855" s="184"/>
      <c r="C855" s="191"/>
      <c r="D855" s="185"/>
      <c r="E855" s="186"/>
      <c r="F855" s="186"/>
      <c r="G855" s="186"/>
      <c r="H855" s="186"/>
      <c r="I855" s="186"/>
      <c r="J855" s="186"/>
      <c r="K855" s="186"/>
      <c r="L855" s="186"/>
      <c r="M855" s="186"/>
      <c r="N855" s="186"/>
      <c r="O855" s="186"/>
      <c r="P855" s="186"/>
      <c r="Q855" s="186"/>
      <c r="R855" s="186"/>
      <c r="S855" s="186"/>
      <c r="T855" s="186"/>
      <c r="U855" s="186">
        <v>0</v>
      </c>
    </row>
    <row r="856" spans="1:21" ht="12.75">
      <c r="A856" s="33"/>
      <c r="B856" s="33"/>
      <c r="C856" s="34"/>
      <c r="D856" s="183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>
        <v>0</v>
      </c>
    </row>
    <row r="857" spans="1:21" ht="12.75">
      <c r="A857" s="184"/>
      <c r="B857" s="184"/>
      <c r="C857" s="191"/>
      <c r="D857" s="185"/>
      <c r="E857" s="186"/>
      <c r="F857" s="186"/>
      <c r="G857" s="186"/>
      <c r="H857" s="186"/>
      <c r="I857" s="186"/>
      <c r="J857" s="186"/>
      <c r="K857" s="186"/>
      <c r="L857" s="186"/>
      <c r="M857" s="186"/>
      <c r="N857" s="186"/>
      <c r="O857" s="186"/>
      <c r="P857" s="186"/>
      <c r="Q857" s="186"/>
      <c r="R857" s="186"/>
      <c r="S857" s="186"/>
      <c r="T857" s="186"/>
      <c r="U857" s="186">
        <v>0</v>
      </c>
    </row>
    <row r="858" spans="1:21" ht="12.75">
      <c r="A858" s="33"/>
      <c r="B858" s="33"/>
      <c r="C858" s="34"/>
      <c r="D858" s="183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>
        <v>0</v>
      </c>
    </row>
    <row r="859" spans="1:21" ht="12.75">
      <c r="A859" s="184"/>
      <c r="B859" s="184"/>
      <c r="C859" s="191"/>
      <c r="D859" s="185"/>
      <c r="E859" s="186"/>
      <c r="F859" s="186"/>
      <c r="G859" s="186"/>
      <c r="H859" s="186"/>
      <c r="I859" s="186"/>
      <c r="J859" s="186"/>
      <c r="K859" s="186"/>
      <c r="L859" s="186"/>
      <c r="M859" s="186"/>
      <c r="N859" s="186"/>
      <c r="O859" s="186"/>
      <c r="P859" s="186"/>
      <c r="Q859" s="186"/>
      <c r="R859" s="186"/>
      <c r="S859" s="186"/>
      <c r="T859" s="186"/>
      <c r="U859" s="186">
        <v>0</v>
      </c>
    </row>
    <row r="860" spans="1:21" ht="12.75">
      <c r="A860" s="33"/>
      <c r="B860" s="33"/>
      <c r="C860" s="34"/>
      <c r="D860" s="183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>
        <v>0</v>
      </c>
    </row>
    <row r="861" spans="1:21" ht="12.75">
      <c r="A861" s="184"/>
      <c r="B861" s="184"/>
      <c r="C861" s="191"/>
      <c r="D861" s="185"/>
      <c r="E861" s="186"/>
      <c r="F861" s="186"/>
      <c r="G861" s="186"/>
      <c r="H861" s="186"/>
      <c r="I861" s="186"/>
      <c r="J861" s="186"/>
      <c r="K861" s="186"/>
      <c r="L861" s="186"/>
      <c r="M861" s="186"/>
      <c r="N861" s="186"/>
      <c r="O861" s="186"/>
      <c r="P861" s="186"/>
      <c r="Q861" s="186"/>
      <c r="R861" s="186"/>
      <c r="S861" s="186"/>
      <c r="T861" s="186"/>
      <c r="U861" s="186">
        <v>0</v>
      </c>
    </row>
    <row r="862" spans="1:21" ht="12.75">
      <c r="A862" s="33"/>
      <c r="B862" s="33"/>
      <c r="C862" s="34"/>
      <c r="D862" s="183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>
        <v>0</v>
      </c>
    </row>
    <row r="863" spans="1:21" ht="12.75">
      <c r="A863" s="184"/>
      <c r="B863" s="184"/>
      <c r="C863" s="191"/>
      <c r="D863" s="185"/>
      <c r="E863" s="186"/>
      <c r="F863" s="186"/>
      <c r="G863" s="186"/>
      <c r="H863" s="186"/>
      <c r="I863" s="186"/>
      <c r="J863" s="186"/>
      <c r="K863" s="186"/>
      <c r="L863" s="186"/>
      <c r="M863" s="186"/>
      <c r="N863" s="186"/>
      <c r="O863" s="186"/>
      <c r="P863" s="186"/>
      <c r="Q863" s="186"/>
      <c r="R863" s="186"/>
      <c r="S863" s="186"/>
      <c r="T863" s="186"/>
      <c r="U863" s="186">
        <v>0</v>
      </c>
    </row>
    <row r="864" spans="1:21" ht="12.75">
      <c r="A864" s="33"/>
      <c r="B864" s="33"/>
      <c r="C864" s="34"/>
      <c r="D864" s="183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>
        <v>0</v>
      </c>
    </row>
    <row r="865" spans="1:21" ht="12.75">
      <c r="A865" s="184"/>
      <c r="B865" s="184"/>
      <c r="C865" s="191"/>
      <c r="D865" s="185"/>
      <c r="E865" s="186"/>
      <c r="F865" s="186"/>
      <c r="G865" s="186"/>
      <c r="H865" s="186"/>
      <c r="I865" s="186"/>
      <c r="J865" s="186"/>
      <c r="K865" s="186"/>
      <c r="L865" s="186"/>
      <c r="M865" s="186"/>
      <c r="N865" s="186"/>
      <c r="O865" s="186"/>
      <c r="P865" s="186"/>
      <c r="Q865" s="186"/>
      <c r="R865" s="186"/>
      <c r="S865" s="186"/>
      <c r="T865" s="186"/>
      <c r="U865" s="186">
        <v>0</v>
      </c>
    </row>
    <row r="866" spans="1:21" ht="12.75">
      <c r="A866" s="33"/>
      <c r="B866" s="33"/>
      <c r="C866" s="34"/>
      <c r="D866" s="183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>
        <v>0</v>
      </c>
    </row>
    <row r="867" spans="1:21" ht="12.75">
      <c r="A867" s="184"/>
      <c r="B867" s="184"/>
      <c r="C867" s="191"/>
      <c r="D867" s="185"/>
      <c r="E867" s="186"/>
      <c r="F867" s="186"/>
      <c r="G867" s="186"/>
      <c r="H867" s="186"/>
      <c r="I867" s="186"/>
      <c r="J867" s="186"/>
      <c r="K867" s="186"/>
      <c r="L867" s="186"/>
      <c r="M867" s="186"/>
      <c r="N867" s="186"/>
      <c r="O867" s="186"/>
      <c r="P867" s="186"/>
      <c r="Q867" s="186"/>
      <c r="R867" s="186"/>
      <c r="S867" s="186"/>
      <c r="T867" s="186"/>
      <c r="U867" s="186">
        <v>0</v>
      </c>
    </row>
    <row r="868" spans="1:21" ht="12.75">
      <c r="A868" s="33"/>
      <c r="B868" s="33"/>
      <c r="C868" s="34"/>
      <c r="D868" s="183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>
        <v>0</v>
      </c>
    </row>
    <row r="869" spans="1:21" ht="12.75">
      <c r="A869" s="184"/>
      <c r="B869" s="184"/>
      <c r="C869" s="191"/>
      <c r="D869" s="185"/>
      <c r="E869" s="186"/>
      <c r="F869" s="186"/>
      <c r="G869" s="186"/>
      <c r="H869" s="186"/>
      <c r="I869" s="186"/>
      <c r="J869" s="186"/>
      <c r="K869" s="186"/>
      <c r="L869" s="186"/>
      <c r="M869" s="186"/>
      <c r="N869" s="186"/>
      <c r="O869" s="186"/>
      <c r="P869" s="186"/>
      <c r="Q869" s="186"/>
      <c r="R869" s="186"/>
      <c r="S869" s="186"/>
      <c r="T869" s="186"/>
      <c r="U869" s="186">
        <v>0</v>
      </c>
    </row>
    <row r="870" spans="1:21" ht="12.75">
      <c r="A870" s="33"/>
      <c r="B870" s="33"/>
      <c r="C870" s="34"/>
      <c r="D870" s="183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>
        <v>0</v>
      </c>
    </row>
    <row r="871" spans="1:21" ht="12.75">
      <c r="A871" s="184"/>
      <c r="B871" s="184"/>
      <c r="C871" s="191"/>
      <c r="D871" s="185"/>
      <c r="E871" s="186"/>
      <c r="F871" s="186"/>
      <c r="G871" s="186"/>
      <c r="H871" s="186"/>
      <c r="I871" s="186"/>
      <c r="J871" s="186"/>
      <c r="K871" s="186"/>
      <c r="L871" s="186"/>
      <c r="M871" s="186"/>
      <c r="N871" s="186"/>
      <c r="O871" s="186"/>
      <c r="P871" s="186"/>
      <c r="Q871" s="186"/>
      <c r="R871" s="186"/>
      <c r="S871" s="186"/>
      <c r="T871" s="186"/>
      <c r="U871" s="186">
        <v>0</v>
      </c>
    </row>
    <row r="872" spans="1:21" ht="12.75">
      <c r="A872" s="33"/>
      <c r="B872" s="33"/>
      <c r="C872" s="34"/>
      <c r="D872" s="183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>
        <v>0</v>
      </c>
    </row>
    <row r="873" spans="1:21" ht="12.75">
      <c r="A873" s="184"/>
      <c r="B873" s="184"/>
      <c r="C873" s="191"/>
      <c r="D873" s="185"/>
      <c r="E873" s="186"/>
      <c r="F873" s="186"/>
      <c r="G873" s="186"/>
      <c r="H873" s="186"/>
      <c r="I873" s="186"/>
      <c r="J873" s="186"/>
      <c r="K873" s="186"/>
      <c r="L873" s="186"/>
      <c r="M873" s="186"/>
      <c r="N873" s="186"/>
      <c r="O873" s="186"/>
      <c r="P873" s="186"/>
      <c r="Q873" s="186"/>
      <c r="R873" s="186"/>
      <c r="S873" s="186"/>
      <c r="T873" s="186"/>
      <c r="U873" s="186">
        <v>0</v>
      </c>
    </row>
    <row r="874" spans="1:21" ht="12.75">
      <c r="A874" s="33"/>
      <c r="B874" s="33"/>
      <c r="C874" s="34"/>
      <c r="D874" s="183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>
        <v>0</v>
      </c>
    </row>
    <row r="875" spans="1:21" ht="12.75">
      <c r="A875" s="184"/>
      <c r="B875" s="184"/>
      <c r="C875" s="191"/>
      <c r="D875" s="185"/>
      <c r="E875" s="186"/>
      <c r="F875" s="186"/>
      <c r="G875" s="186"/>
      <c r="H875" s="186"/>
      <c r="I875" s="186"/>
      <c r="J875" s="186"/>
      <c r="K875" s="186"/>
      <c r="L875" s="186"/>
      <c r="M875" s="186"/>
      <c r="N875" s="186"/>
      <c r="O875" s="186"/>
      <c r="P875" s="186"/>
      <c r="Q875" s="186"/>
      <c r="R875" s="186"/>
      <c r="S875" s="186"/>
      <c r="T875" s="186"/>
      <c r="U875" s="186">
        <v>0</v>
      </c>
    </row>
    <row r="876" spans="1:21" ht="12.75">
      <c r="A876" s="33"/>
      <c r="B876" s="33"/>
      <c r="C876" s="34"/>
      <c r="D876" s="183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>
        <v>0</v>
      </c>
    </row>
    <row r="877" spans="1:21" ht="12.75">
      <c r="A877" s="184"/>
      <c r="B877" s="184"/>
      <c r="C877" s="191"/>
      <c r="D877" s="185"/>
      <c r="E877" s="186"/>
      <c r="F877" s="186"/>
      <c r="G877" s="186"/>
      <c r="H877" s="186"/>
      <c r="I877" s="186"/>
      <c r="J877" s="186"/>
      <c r="K877" s="186"/>
      <c r="L877" s="186"/>
      <c r="M877" s="186"/>
      <c r="N877" s="186"/>
      <c r="O877" s="186"/>
      <c r="P877" s="186"/>
      <c r="Q877" s="186"/>
      <c r="R877" s="186"/>
      <c r="S877" s="186"/>
      <c r="T877" s="186"/>
      <c r="U877" s="186">
        <v>0</v>
      </c>
    </row>
    <row r="878" spans="1:21" ht="12.75">
      <c r="A878" s="33"/>
      <c r="B878" s="33"/>
      <c r="C878" s="34"/>
      <c r="D878" s="183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>
        <v>0</v>
      </c>
    </row>
    <row r="879" spans="1:21" ht="12.75">
      <c r="A879" s="184"/>
      <c r="B879" s="184"/>
      <c r="C879" s="191"/>
      <c r="D879" s="185"/>
      <c r="E879" s="186"/>
      <c r="F879" s="186"/>
      <c r="G879" s="186"/>
      <c r="H879" s="186"/>
      <c r="I879" s="186"/>
      <c r="J879" s="186"/>
      <c r="K879" s="186"/>
      <c r="L879" s="186"/>
      <c r="M879" s="186"/>
      <c r="N879" s="186"/>
      <c r="O879" s="186"/>
      <c r="P879" s="186"/>
      <c r="Q879" s="186"/>
      <c r="R879" s="186"/>
      <c r="S879" s="186"/>
      <c r="T879" s="186"/>
      <c r="U879" s="186">
        <v>0</v>
      </c>
    </row>
    <row r="880" spans="1:21" ht="12.75">
      <c r="A880" s="33"/>
      <c r="B880" s="33"/>
      <c r="C880" s="34"/>
      <c r="D880" s="183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>
        <v>0</v>
      </c>
    </row>
    <row r="881" spans="1:21" ht="12.75">
      <c r="A881" s="184"/>
      <c r="B881" s="184"/>
      <c r="C881" s="191"/>
      <c r="D881" s="185"/>
      <c r="E881" s="186"/>
      <c r="F881" s="186"/>
      <c r="G881" s="186"/>
      <c r="H881" s="186"/>
      <c r="I881" s="186"/>
      <c r="J881" s="186"/>
      <c r="K881" s="186"/>
      <c r="L881" s="186"/>
      <c r="M881" s="186"/>
      <c r="N881" s="186"/>
      <c r="O881" s="186"/>
      <c r="P881" s="186"/>
      <c r="Q881" s="186"/>
      <c r="R881" s="186"/>
      <c r="S881" s="186"/>
      <c r="T881" s="186"/>
      <c r="U881" s="186">
        <v>0</v>
      </c>
    </row>
    <row r="882" spans="1:21" ht="12.75">
      <c r="A882" s="33"/>
      <c r="B882" s="33"/>
      <c r="C882" s="34"/>
      <c r="D882" s="183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>
        <v>0</v>
      </c>
    </row>
    <row r="883" spans="1:21" ht="12.75">
      <c r="A883" s="184"/>
      <c r="B883" s="184"/>
      <c r="C883" s="191"/>
      <c r="D883" s="185"/>
      <c r="E883" s="186"/>
      <c r="F883" s="186"/>
      <c r="G883" s="186"/>
      <c r="H883" s="186"/>
      <c r="I883" s="186"/>
      <c r="J883" s="186"/>
      <c r="K883" s="186"/>
      <c r="L883" s="186"/>
      <c r="M883" s="186"/>
      <c r="N883" s="186"/>
      <c r="O883" s="186"/>
      <c r="P883" s="186"/>
      <c r="Q883" s="186"/>
      <c r="R883" s="186"/>
      <c r="S883" s="186"/>
      <c r="T883" s="186"/>
      <c r="U883" s="186">
        <v>0</v>
      </c>
    </row>
    <row r="884" spans="1:21" ht="12.75">
      <c r="A884" s="33"/>
      <c r="B884" s="33"/>
      <c r="C884" s="34"/>
      <c r="D884" s="183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>
        <v>0</v>
      </c>
    </row>
    <row r="885" spans="1:21" ht="12.75">
      <c r="A885" s="184"/>
      <c r="B885" s="184"/>
      <c r="C885" s="191"/>
      <c r="D885" s="185"/>
      <c r="E885" s="186"/>
      <c r="F885" s="186"/>
      <c r="G885" s="186"/>
      <c r="H885" s="186"/>
      <c r="I885" s="186"/>
      <c r="J885" s="186"/>
      <c r="K885" s="186"/>
      <c r="L885" s="186"/>
      <c r="M885" s="186"/>
      <c r="N885" s="186"/>
      <c r="O885" s="186"/>
      <c r="P885" s="186"/>
      <c r="Q885" s="186"/>
      <c r="R885" s="186"/>
      <c r="S885" s="186"/>
      <c r="T885" s="186"/>
      <c r="U885" s="186">
        <v>0</v>
      </c>
    </row>
    <row r="886" spans="1:21" ht="12.75">
      <c r="A886" s="33"/>
      <c r="B886" s="33"/>
      <c r="C886" s="34"/>
      <c r="D886" s="183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>
        <v>0</v>
      </c>
    </row>
    <row r="887" spans="1:21" ht="12.75">
      <c r="A887" s="184"/>
      <c r="B887" s="184"/>
      <c r="C887" s="191"/>
      <c r="D887" s="185"/>
      <c r="E887" s="186"/>
      <c r="F887" s="186"/>
      <c r="G887" s="186"/>
      <c r="H887" s="186"/>
      <c r="I887" s="186"/>
      <c r="J887" s="186"/>
      <c r="K887" s="186"/>
      <c r="L887" s="186"/>
      <c r="M887" s="186"/>
      <c r="N887" s="186"/>
      <c r="O887" s="186"/>
      <c r="P887" s="186"/>
      <c r="Q887" s="186"/>
      <c r="R887" s="186"/>
      <c r="S887" s="186"/>
      <c r="T887" s="186"/>
      <c r="U887" s="186">
        <v>0</v>
      </c>
    </row>
    <row r="888" spans="1:21" ht="12.75">
      <c r="A888" s="33"/>
      <c r="B888" s="33"/>
      <c r="C888" s="34"/>
      <c r="D888" s="183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>
        <v>0</v>
      </c>
    </row>
    <row r="889" spans="1:21" ht="12.75">
      <c r="A889" s="184"/>
      <c r="B889" s="184"/>
      <c r="C889" s="191"/>
      <c r="D889" s="185"/>
      <c r="E889" s="186"/>
      <c r="F889" s="186"/>
      <c r="G889" s="186"/>
      <c r="H889" s="186"/>
      <c r="I889" s="186"/>
      <c r="J889" s="186"/>
      <c r="K889" s="186"/>
      <c r="L889" s="186"/>
      <c r="M889" s="186"/>
      <c r="N889" s="186"/>
      <c r="O889" s="186"/>
      <c r="P889" s="186"/>
      <c r="Q889" s="186"/>
      <c r="R889" s="186"/>
      <c r="S889" s="186"/>
      <c r="T889" s="186"/>
      <c r="U889" s="186">
        <v>0</v>
      </c>
    </row>
    <row r="890" spans="1:21" ht="12.75">
      <c r="A890" s="33"/>
      <c r="B890" s="33"/>
      <c r="C890" s="34"/>
      <c r="D890" s="183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>
        <v>0</v>
      </c>
    </row>
    <row r="891" spans="1:21" ht="12.75">
      <c r="A891" s="184"/>
      <c r="B891" s="184"/>
      <c r="C891" s="191"/>
      <c r="D891" s="185"/>
      <c r="E891" s="186"/>
      <c r="F891" s="186"/>
      <c r="G891" s="186"/>
      <c r="H891" s="186"/>
      <c r="I891" s="186"/>
      <c r="J891" s="186"/>
      <c r="K891" s="186"/>
      <c r="L891" s="186"/>
      <c r="M891" s="186"/>
      <c r="N891" s="186"/>
      <c r="O891" s="186"/>
      <c r="P891" s="186"/>
      <c r="Q891" s="186"/>
      <c r="R891" s="186"/>
      <c r="S891" s="186"/>
      <c r="T891" s="186"/>
      <c r="U891" s="186">
        <v>0</v>
      </c>
    </row>
    <row r="892" spans="1:21" ht="12.75">
      <c r="A892" s="33"/>
      <c r="B892" s="33"/>
      <c r="C892" s="34"/>
      <c r="D892" s="183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>
        <v>0</v>
      </c>
    </row>
    <row r="893" spans="1:21" ht="12.75">
      <c r="A893" s="184"/>
      <c r="B893" s="184"/>
      <c r="C893" s="191"/>
      <c r="D893" s="185"/>
      <c r="E893" s="186"/>
      <c r="F893" s="186"/>
      <c r="G893" s="186"/>
      <c r="H893" s="186"/>
      <c r="I893" s="186"/>
      <c r="J893" s="186"/>
      <c r="K893" s="186"/>
      <c r="L893" s="186"/>
      <c r="M893" s="186"/>
      <c r="N893" s="186"/>
      <c r="O893" s="186"/>
      <c r="P893" s="186"/>
      <c r="Q893" s="186"/>
      <c r="R893" s="186"/>
      <c r="S893" s="186"/>
      <c r="T893" s="186"/>
      <c r="U893" s="186">
        <v>0</v>
      </c>
    </row>
    <row r="894" spans="1:21" ht="12.75">
      <c r="A894" s="33"/>
      <c r="B894" s="33"/>
      <c r="C894" s="34"/>
      <c r="D894" s="183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>
        <v>0</v>
      </c>
    </row>
    <row r="895" spans="1:21" ht="12.75">
      <c r="A895" s="184"/>
      <c r="B895" s="184"/>
      <c r="C895" s="191"/>
      <c r="D895" s="185"/>
      <c r="E895" s="186"/>
      <c r="F895" s="186"/>
      <c r="G895" s="186"/>
      <c r="H895" s="186"/>
      <c r="I895" s="186"/>
      <c r="J895" s="186"/>
      <c r="K895" s="186"/>
      <c r="L895" s="186"/>
      <c r="M895" s="186"/>
      <c r="N895" s="186"/>
      <c r="O895" s="186"/>
      <c r="P895" s="186"/>
      <c r="Q895" s="186"/>
      <c r="R895" s="186"/>
      <c r="S895" s="186"/>
      <c r="T895" s="186"/>
      <c r="U895" s="186">
        <v>0</v>
      </c>
    </row>
    <row r="896" spans="1:21" ht="12.75">
      <c r="A896" s="33"/>
      <c r="B896" s="33"/>
      <c r="C896" s="34"/>
      <c r="D896" s="183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>
        <v>0</v>
      </c>
    </row>
    <row r="897" spans="1:21" ht="12.75">
      <c r="A897" s="184"/>
      <c r="B897" s="184"/>
      <c r="C897" s="191"/>
      <c r="D897" s="185"/>
      <c r="E897" s="186"/>
      <c r="F897" s="186"/>
      <c r="G897" s="186"/>
      <c r="H897" s="186"/>
      <c r="I897" s="186"/>
      <c r="J897" s="186"/>
      <c r="K897" s="186"/>
      <c r="L897" s="186"/>
      <c r="M897" s="186"/>
      <c r="N897" s="186"/>
      <c r="O897" s="186"/>
      <c r="P897" s="186"/>
      <c r="Q897" s="186"/>
      <c r="R897" s="186"/>
      <c r="S897" s="186"/>
      <c r="T897" s="186"/>
      <c r="U897" s="186">
        <v>0</v>
      </c>
    </row>
    <row r="898" spans="1:21" ht="12.75">
      <c r="A898" s="33"/>
      <c r="B898" s="33"/>
      <c r="C898" s="34"/>
      <c r="D898" s="183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>
        <v>0</v>
      </c>
    </row>
    <row r="899" spans="1:21" ht="12.75">
      <c r="A899" s="184"/>
      <c r="B899" s="184"/>
      <c r="C899" s="191"/>
      <c r="D899" s="185"/>
      <c r="E899" s="186"/>
      <c r="F899" s="186"/>
      <c r="G899" s="186"/>
      <c r="H899" s="186"/>
      <c r="I899" s="186"/>
      <c r="J899" s="186"/>
      <c r="K899" s="186"/>
      <c r="L899" s="186"/>
      <c r="M899" s="186"/>
      <c r="N899" s="186"/>
      <c r="O899" s="186"/>
      <c r="P899" s="186"/>
      <c r="Q899" s="186"/>
      <c r="R899" s="186"/>
      <c r="S899" s="186"/>
      <c r="T899" s="186"/>
      <c r="U899" s="186">
        <v>0</v>
      </c>
    </row>
    <row r="900" spans="1:21" ht="12.75">
      <c r="A900" s="33"/>
      <c r="B900" s="33"/>
      <c r="C900" s="34"/>
      <c r="D900" s="183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>
        <v>0</v>
      </c>
    </row>
    <row r="901" spans="1:21" ht="12.75">
      <c r="A901" s="184"/>
      <c r="B901" s="184"/>
      <c r="C901" s="191"/>
      <c r="D901" s="185"/>
      <c r="E901" s="186"/>
      <c r="F901" s="186"/>
      <c r="G901" s="186"/>
      <c r="H901" s="186"/>
      <c r="I901" s="186"/>
      <c r="J901" s="186"/>
      <c r="K901" s="186"/>
      <c r="L901" s="186"/>
      <c r="M901" s="186"/>
      <c r="N901" s="186"/>
      <c r="O901" s="186"/>
      <c r="P901" s="186"/>
      <c r="Q901" s="186"/>
      <c r="R901" s="186"/>
      <c r="S901" s="186"/>
      <c r="T901" s="186"/>
      <c r="U901" s="186">
        <v>0</v>
      </c>
    </row>
    <row r="902" spans="1:21" ht="12.75">
      <c r="A902" s="33"/>
      <c r="B902" s="33"/>
      <c r="C902" s="34"/>
      <c r="D902" s="183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>
        <v>0</v>
      </c>
    </row>
    <row r="903" spans="1:21" ht="12.75">
      <c r="A903" s="184"/>
      <c r="B903" s="184"/>
      <c r="C903" s="191"/>
      <c r="D903" s="185"/>
      <c r="E903" s="186"/>
      <c r="F903" s="186"/>
      <c r="G903" s="186"/>
      <c r="H903" s="186"/>
      <c r="I903" s="186"/>
      <c r="J903" s="186"/>
      <c r="K903" s="186"/>
      <c r="L903" s="186"/>
      <c r="M903" s="186"/>
      <c r="N903" s="186"/>
      <c r="O903" s="186"/>
      <c r="P903" s="186"/>
      <c r="Q903" s="186"/>
      <c r="R903" s="186"/>
      <c r="S903" s="186"/>
      <c r="T903" s="186"/>
      <c r="U903" s="186">
        <v>0</v>
      </c>
    </row>
    <row r="904" spans="1:21" ht="12.75">
      <c r="A904" s="33"/>
      <c r="B904" s="33"/>
      <c r="C904" s="34"/>
      <c r="D904" s="183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>
        <v>0</v>
      </c>
    </row>
    <row r="905" spans="1:21" ht="12.75">
      <c r="A905" s="184"/>
      <c r="B905" s="184"/>
      <c r="C905" s="191"/>
      <c r="D905" s="185"/>
      <c r="E905" s="186"/>
      <c r="F905" s="186"/>
      <c r="G905" s="186"/>
      <c r="H905" s="186"/>
      <c r="I905" s="186"/>
      <c r="J905" s="186"/>
      <c r="K905" s="186"/>
      <c r="L905" s="186"/>
      <c r="M905" s="186"/>
      <c r="N905" s="186"/>
      <c r="O905" s="186"/>
      <c r="P905" s="186"/>
      <c r="Q905" s="186"/>
      <c r="R905" s="186"/>
      <c r="S905" s="186"/>
      <c r="T905" s="186"/>
      <c r="U905" s="186">
        <v>0</v>
      </c>
    </row>
    <row r="906" spans="1:21" ht="12.75">
      <c r="A906" s="33"/>
      <c r="B906" s="33"/>
      <c r="C906" s="34"/>
      <c r="D906" s="183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>
        <v>0</v>
      </c>
    </row>
    <row r="907" spans="1:21" ht="12.75">
      <c r="A907" s="184"/>
      <c r="B907" s="184"/>
      <c r="C907" s="191"/>
      <c r="D907" s="185"/>
      <c r="E907" s="186"/>
      <c r="F907" s="186"/>
      <c r="G907" s="186"/>
      <c r="H907" s="186"/>
      <c r="I907" s="186"/>
      <c r="J907" s="186"/>
      <c r="K907" s="186"/>
      <c r="L907" s="186"/>
      <c r="M907" s="186"/>
      <c r="N907" s="186"/>
      <c r="O907" s="186"/>
      <c r="P907" s="186"/>
      <c r="Q907" s="186"/>
      <c r="R907" s="186"/>
      <c r="S907" s="186"/>
      <c r="T907" s="186"/>
      <c r="U907" s="186">
        <v>0</v>
      </c>
    </row>
    <row r="908" spans="1:21" ht="12.75">
      <c r="A908" s="33"/>
      <c r="B908" s="33"/>
      <c r="C908" s="34"/>
      <c r="D908" s="183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>
        <v>0</v>
      </c>
    </row>
    <row r="909" spans="1:21" ht="12.75">
      <c r="A909" s="184"/>
      <c r="B909" s="184"/>
      <c r="C909" s="191"/>
      <c r="D909" s="185"/>
      <c r="E909" s="186"/>
      <c r="F909" s="186"/>
      <c r="G909" s="186"/>
      <c r="H909" s="186"/>
      <c r="I909" s="186"/>
      <c r="J909" s="186"/>
      <c r="K909" s="186"/>
      <c r="L909" s="186"/>
      <c r="M909" s="186"/>
      <c r="N909" s="186"/>
      <c r="O909" s="186"/>
      <c r="P909" s="186"/>
      <c r="Q909" s="186"/>
      <c r="R909" s="186"/>
      <c r="S909" s="186"/>
      <c r="T909" s="186"/>
      <c r="U909" s="186">
        <v>0</v>
      </c>
    </row>
    <row r="910" spans="1:21" ht="12.75">
      <c r="A910" s="33"/>
      <c r="B910" s="33"/>
      <c r="C910" s="34"/>
      <c r="D910" s="183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>
        <v>0</v>
      </c>
    </row>
    <row r="911" spans="1:21" ht="12.75">
      <c r="A911" s="184"/>
      <c r="B911" s="184"/>
      <c r="C911" s="191"/>
      <c r="D911" s="185"/>
      <c r="E911" s="186"/>
      <c r="F911" s="186"/>
      <c r="G911" s="186"/>
      <c r="H911" s="186"/>
      <c r="I911" s="186"/>
      <c r="J911" s="186"/>
      <c r="K911" s="186"/>
      <c r="L911" s="186"/>
      <c r="M911" s="186"/>
      <c r="N911" s="186"/>
      <c r="O911" s="186"/>
      <c r="P911" s="186"/>
      <c r="Q911" s="186"/>
      <c r="R911" s="186"/>
      <c r="S911" s="186"/>
      <c r="T911" s="186"/>
      <c r="U911" s="186">
        <v>0</v>
      </c>
    </row>
    <row r="912" spans="1:21" ht="12.75">
      <c r="A912" s="33"/>
      <c r="B912" s="33"/>
      <c r="C912" s="34"/>
      <c r="D912" s="183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>
        <v>0</v>
      </c>
    </row>
    <row r="913" spans="1:21" ht="12.75">
      <c r="A913" s="184"/>
      <c r="B913" s="184"/>
      <c r="C913" s="191"/>
      <c r="D913" s="185"/>
      <c r="E913" s="186"/>
      <c r="F913" s="186"/>
      <c r="G913" s="186"/>
      <c r="H913" s="186"/>
      <c r="I913" s="186"/>
      <c r="J913" s="186"/>
      <c r="K913" s="186"/>
      <c r="L913" s="186"/>
      <c r="M913" s="186"/>
      <c r="N913" s="186"/>
      <c r="O913" s="186"/>
      <c r="P913" s="186"/>
      <c r="Q913" s="186"/>
      <c r="R913" s="186"/>
      <c r="S913" s="186"/>
      <c r="T913" s="186"/>
      <c r="U913" s="186">
        <v>0</v>
      </c>
    </row>
    <row r="914" spans="1:21" ht="12.75">
      <c r="A914" s="33"/>
      <c r="B914" s="33"/>
      <c r="C914" s="34"/>
      <c r="D914" s="183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>
        <v>0</v>
      </c>
    </row>
    <row r="915" spans="1:21" ht="12.75">
      <c r="A915" s="184"/>
      <c r="B915" s="184"/>
      <c r="C915" s="191"/>
      <c r="D915" s="185"/>
      <c r="E915" s="186"/>
      <c r="F915" s="186"/>
      <c r="G915" s="186"/>
      <c r="H915" s="186"/>
      <c r="I915" s="186"/>
      <c r="J915" s="186"/>
      <c r="K915" s="186"/>
      <c r="L915" s="186"/>
      <c r="M915" s="186"/>
      <c r="N915" s="186"/>
      <c r="O915" s="186"/>
      <c r="P915" s="186"/>
      <c r="Q915" s="186"/>
      <c r="R915" s="186"/>
      <c r="S915" s="186"/>
      <c r="T915" s="186"/>
      <c r="U915" s="186">
        <v>0</v>
      </c>
    </row>
    <row r="916" spans="1:21" ht="12.75">
      <c r="A916" s="33"/>
      <c r="B916" s="33"/>
      <c r="C916" s="34"/>
      <c r="D916" s="183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>
        <v>0</v>
      </c>
    </row>
    <row r="917" spans="1:21" ht="12.75">
      <c r="A917" s="184"/>
      <c r="B917" s="184"/>
      <c r="C917" s="191"/>
      <c r="D917" s="185"/>
      <c r="E917" s="186"/>
      <c r="F917" s="186"/>
      <c r="G917" s="186"/>
      <c r="H917" s="186"/>
      <c r="I917" s="186"/>
      <c r="J917" s="186"/>
      <c r="K917" s="186"/>
      <c r="L917" s="186"/>
      <c r="M917" s="186"/>
      <c r="N917" s="186"/>
      <c r="O917" s="186"/>
      <c r="P917" s="186"/>
      <c r="Q917" s="186"/>
      <c r="R917" s="186"/>
      <c r="S917" s="186"/>
      <c r="T917" s="186"/>
      <c r="U917" s="186">
        <v>0</v>
      </c>
    </row>
  </sheetData>
  <autoFilter ref="A5:U415"/>
  <customSheetViews>
    <customSheetView guid="{CDEB8851-9ACA-4F4F-A6C6-C0C729B8AD4C}" filter="1" showAutoFilter="1">
      <pageMargins left="0.511811024" right="0.511811024" top="0.78740157499999996" bottom="0.78740157499999996" header="0.31496062000000002" footer="0.31496062000000002"/>
      <autoFilter ref="C5:U370"/>
    </customSheetView>
  </customSheetViews>
  <mergeCells count="3">
    <mergeCell ref="A1:C3"/>
    <mergeCell ref="D1:T2"/>
    <mergeCell ref="D3:G3"/>
  </mergeCells>
  <conditionalFormatting sqref="D6:D917">
    <cfRule type="cellIs" dxfId="0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A,B,C,D,E,F,G,J WHERE J&gt;0 label J 'ENS FUND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PARCIAL")</f>
        <v>ENS FUND PARCIAL</v>
      </c>
      <c r="I1" s="192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IFERROR(__xludf.DUMMYFUNCTION("""COMPUTED_VALUE"""),3060)</f>
        <v>3060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IFERROR(__xludf.DUMMYFUNCTION("""COMPUTED_VALUE"""),470)</f>
        <v>470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IFERROR(__xludf.DUMMYFUNCTION("""COMPUTED_VALUE"""),3320)</f>
        <v>3320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IFERROR(__xludf.DUMMYFUNCTION("""COMPUTED_VALUE"""),1590)</f>
        <v>1590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IFERROR(__xludf.DUMMYFUNCTION("""COMPUTED_VALUE"""),5240)</f>
        <v>5240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IFERROR(__xludf.DUMMYFUNCTION("""COMPUTED_VALUE"""),4120)</f>
        <v>4120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IFERROR(__xludf.DUMMYFUNCTION("""COMPUTED_VALUE"""),5510)</f>
        <v>5510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IFERROR(__xludf.DUMMYFUNCTION("""COMPUTED_VALUE"""),5590)</f>
        <v>5590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IFERROR(__xludf.DUMMYFUNCTION("""COMPUTED_VALUE"""),4350)</f>
        <v>4350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IFERROR(__xludf.DUMMYFUNCTION("""COMPUTED_VALUE"""),2250)</f>
        <v>2250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IFERROR(__xludf.DUMMYFUNCTION("""COMPUTED_VALUE"""),5980)</f>
        <v>5980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IFERROR(__xludf.DUMMYFUNCTION("""COMPUTED_VALUE"""),1780)</f>
        <v>1780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IFERROR(__xludf.DUMMYFUNCTION("""COMPUTED_VALUE"""),220)</f>
        <v>220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IFERROR(__xludf.DUMMYFUNCTION("""COMPUTED_VALUE"""),3300)</f>
        <v>3300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IFERROR(__xludf.DUMMYFUNCTION("""COMPUTED_VALUE"""),3080)</f>
        <v>3080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IFERROR(__xludf.DUMMYFUNCTION("""COMPUTED_VALUE"""),3170)</f>
        <v>3170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IFERROR(__xludf.DUMMYFUNCTION("""COMPUTED_VALUE"""),1890)</f>
        <v>1890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IFERROR(__xludf.DUMMYFUNCTION("""COMPUTED_VALUE"""),4860)</f>
        <v>4860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IFERROR(__xludf.DUMMYFUNCTION("""COMPUTED_VALUE"""),9800)</f>
        <v>9800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IFERROR(__xludf.DUMMYFUNCTION("""COMPUTED_VALUE"""),2630)</f>
        <v>2630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IFERROR(__xludf.DUMMYFUNCTION("""COMPUTED_VALUE"""),7310)</f>
        <v>7310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IFERROR(__xludf.DUMMYFUNCTION("""COMPUTED_VALUE"""),2960)</f>
        <v>2960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IFERROR(__xludf.DUMMYFUNCTION("""COMPUTED_VALUE"""),5210)</f>
        <v>5210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IFERROR(__xludf.DUMMYFUNCTION("""COMPUTED_VALUE"""),16340)</f>
        <v>16340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IFERROR(__xludf.DUMMYFUNCTION("""COMPUTED_VALUE"""),2160)</f>
        <v>2160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IFERROR(__xludf.DUMMYFUNCTION("""COMPUTED_VALUE"""),620)</f>
        <v>620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IFERROR(__xludf.DUMMYFUNCTION("""COMPUTED_VALUE"""),2640)</f>
        <v>2640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IFERROR(__xludf.DUMMYFUNCTION("""COMPUTED_VALUE"""),1550)</f>
        <v>1550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IFERROR(__xludf.DUMMYFUNCTION("""COMPUTED_VALUE"""),1290)</f>
        <v>1290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IFERROR(__xludf.DUMMYFUNCTION("""COMPUTED_VALUE"""),2550)</f>
        <v>2550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IFERROR(__xludf.DUMMYFUNCTION("""COMPUTED_VALUE"""),1710)</f>
        <v>1710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IFERROR(__xludf.DUMMYFUNCTION("""COMPUTED_VALUE"""),290)</f>
        <v>290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IFERROR(__xludf.DUMMYFUNCTION("""COMPUTED_VALUE"""),2800)</f>
        <v>2800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IFERROR(__xludf.DUMMYFUNCTION("""COMPUTED_VALUE"""),530)</f>
        <v>530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IFERROR(__xludf.DUMMYFUNCTION("""COMPUTED_VALUE"""),2110)</f>
        <v>2110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IFERROR(__xludf.DUMMYFUNCTION("""COMPUTED_VALUE"""),6220)</f>
        <v>6220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IFERROR(__xludf.DUMMYFUNCTION("""COMPUTED_VALUE"""),100)</f>
        <v>100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IFERROR(__xludf.DUMMYFUNCTION("""COMPUTED_VALUE"""),4100)</f>
        <v>4100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IFERROR(__xludf.DUMMYFUNCTION("""COMPUTED_VALUE"""),1280)</f>
        <v>1280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IFERROR(__xludf.DUMMYFUNCTION("""COMPUTED_VALUE"""),3760)</f>
        <v>3760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IFERROR(__xludf.DUMMYFUNCTION("""COMPUTED_VALUE"""),1230)</f>
        <v>1230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IFERROR(__xludf.DUMMYFUNCTION("""COMPUTED_VALUE"""),40)</f>
        <v>40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IFERROR(__xludf.DUMMYFUNCTION("""COMPUTED_VALUE"""),2540)</f>
        <v>2540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IFERROR(__xludf.DUMMYFUNCTION("""COMPUTED_VALUE"""),1300)</f>
        <v>1300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IFERROR(__xludf.DUMMYFUNCTION("""COMPUTED_VALUE"""),2780)</f>
        <v>2780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IFERROR(__xludf.DUMMYFUNCTION("""COMPUTED_VALUE"""),2030)</f>
        <v>2030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IFERROR(__xludf.DUMMYFUNCTION("""COMPUTED_VALUE"""),4480)</f>
        <v>4480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IFERROR(__xludf.DUMMYFUNCTION("""COMPUTED_VALUE"""),3530)</f>
        <v>3530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IFERROR(__xludf.DUMMYFUNCTION("""COMPUTED_VALUE"""),530)</f>
        <v>530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IFERROR(__xludf.DUMMYFUNCTION("""COMPUTED_VALUE"""),950)</f>
        <v>950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IFERROR(__xludf.DUMMYFUNCTION("""COMPUTED_VALUE"""),570)</f>
        <v>570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IFERROR(__xludf.DUMMYFUNCTION("""COMPUTED_VALUE"""),4930)</f>
        <v>4930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IFERROR(__xludf.DUMMYFUNCTION("""COMPUTED_VALUE"""),1040)</f>
        <v>1040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IFERROR(__xludf.DUMMYFUNCTION("""COMPUTED_VALUE"""),5340)</f>
        <v>5340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IFERROR(__xludf.DUMMYFUNCTION("""COMPUTED_VALUE"""),2160)</f>
        <v>2160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IFERROR(__xludf.DUMMYFUNCTION("""COMPUTED_VALUE"""),1000)</f>
        <v>1000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IFERROR(__xludf.DUMMYFUNCTION("""COMPUTED_VALUE"""),1720)</f>
        <v>1720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IFERROR(__xludf.DUMMYFUNCTION("""COMPUTED_VALUE"""),3770)</f>
        <v>3770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IFERROR(__xludf.DUMMYFUNCTION("""COMPUTED_VALUE"""),640)</f>
        <v>640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IFERROR(__xludf.DUMMYFUNCTION("""COMPUTED_VALUE"""),730)</f>
        <v>730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IFERROR(__xludf.DUMMYFUNCTION("""COMPUTED_VALUE"""),1580)</f>
        <v>1580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IFERROR(__xludf.DUMMYFUNCTION("""COMPUTED_VALUE"""),1170)</f>
        <v>1170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IFERROR(__xludf.DUMMYFUNCTION("""COMPUTED_VALUE"""),2160)</f>
        <v>2160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IFERROR(__xludf.DUMMYFUNCTION("""COMPUTED_VALUE"""),3790)</f>
        <v>3790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IFERROR(__xludf.DUMMYFUNCTION("""COMPUTED_VALUE"""),1840)</f>
        <v>1840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IFERROR(__xludf.DUMMYFUNCTION("""COMPUTED_VALUE"""),700)</f>
        <v>700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IFERROR(__xludf.DUMMYFUNCTION("""COMPUTED_VALUE"""),2670)</f>
        <v>2670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IFERROR(__xludf.DUMMYFUNCTION("""COMPUTED_VALUE"""),2060)</f>
        <v>2060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IFERROR(__xludf.DUMMYFUNCTION("""COMPUTED_VALUE"""),1170)</f>
        <v>1170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IFERROR(__xludf.DUMMYFUNCTION("""COMPUTED_VALUE"""),1320)</f>
        <v>1320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IFERROR(__xludf.DUMMYFUNCTION("""COMPUTED_VALUE"""),450)</f>
        <v>450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IFERROR(__xludf.DUMMYFUNCTION("""COMPUTED_VALUE"""),1090)</f>
        <v>1090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IFERROR(__xludf.DUMMYFUNCTION("""COMPUTED_VALUE"""),470)</f>
        <v>470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IFERROR(__xludf.DUMMYFUNCTION("""COMPUTED_VALUE"""),1950)</f>
        <v>1950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IFERROR(__xludf.DUMMYFUNCTION("""COMPUTED_VALUE"""),1060)</f>
        <v>1060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IFERROR(__xludf.DUMMYFUNCTION("""COMPUTED_VALUE"""),1820)</f>
        <v>1820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IFERROR(__xludf.DUMMYFUNCTION("""COMPUTED_VALUE"""),310)</f>
        <v>310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IFERROR(__xludf.DUMMYFUNCTION("""COMPUTED_VALUE"""),1150)</f>
        <v>1150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IFERROR(__xludf.DUMMYFUNCTION("""COMPUTED_VALUE"""),1430)</f>
        <v>1430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IFERROR(__xludf.DUMMYFUNCTION("""COMPUTED_VALUE"""),1080)</f>
        <v>1080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IFERROR(__xludf.DUMMYFUNCTION("""COMPUTED_VALUE"""),1990)</f>
        <v>1990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IFERROR(__xludf.DUMMYFUNCTION("""COMPUTED_VALUE"""),4240)</f>
        <v>4240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IFERROR(__xludf.DUMMYFUNCTION("""COMPUTED_VALUE"""),530)</f>
        <v>530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IFERROR(__xludf.DUMMYFUNCTION("""COMPUTED_VALUE"""),650)</f>
        <v>650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IFERROR(__xludf.DUMMYFUNCTION("""COMPUTED_VALUE"""),3270)</f>
        <v>3270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IFERROR(__xludf.DUMMYFUNCTION("""COMPUTED_VALUE"""),780)</f>
        <v>780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IFERROR(__xludf.DUMMYFUNCTION("""COMPUTED_VALUE"""),630)</f>
        <v>630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IFERROR(__xludf.DUMMYFUNCTION("""COMPUTED_VALUE"""),1380)</f>
        <v>1380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IFERROR(__xludf.DUMMYFUNCTION("""COMPUTED_VALUE"""),4280)</f>
        <v>4280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IFERROR(__xludf.DUMMYFUNCTION("""COMPUTED_VALUE"""),300)</f>
        <v>300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IFERROR(__xludf.DUMMYFUNCTION("""COMPUTED_VALUE"""),2720)</f>
        <v>2720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IFERROR(__xludf.DUMMYFUNCTION("""COMPUTED_VALUE"""),5250)</f>
        <v>5250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IFERROR(__xludf.DUMMYFUNCTION("""COMPUTED_VALUE"""),1010)</f>
        <v>1010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IFERROR(__xludf.DUMMYFUNCTION("""COMPUTED_VALUE"""),2750)</f>
        <v>2750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IFERROR(__xludf.DUMMYFUNCTION("""COMPUTED_VALUE"""),860)</f>
        <v>860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IFERROR(__xludf.DUMMYFUNCTION("""COMPUTED_VALUE"""),1700)</f>
        <v>1700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IFERROR(__xludf.DUMMYFUNCTION("""COMPUTED_VALUE"""),2790)</f>
        <v>2790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IFERROR(__xludf.DUMMYFUNCTION("""COMPUTED_VALUE"""),1430)</f>
        <v>1430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IFERROR(__xludf.DUMMYFUNCTION("""COMPUTED_VALUE"""),3870)</f>
        <v>3870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IFERROR(__xludf.DUMMYFUNCTION("""COMPUTED_VALUE"""),2490)</f>
        <v>2490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IFERROR(__xludf.DUMMYFUNCTION("""COMPUTED_VALUE"""),340)</f>
        <v>340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IFERROR(__xludf.DUMMYFUNCTION("""COMPUTED_VALUE"""),6050)</f>
        <v>6050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IFERROR(__xludf.DUMMYFUNCTION("""COMPUTED_VALUE"""),1340)</f>
        <v>1340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IFERROR(__xludf.DUMMYFUNCTION("""COMPUTED_VALUE"""),250)</f>
        <v>250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IFERROR(__xludf.DUMMYFUNCTION("""COMPUTED_VALUE"""),4420)</f>
        <v>4420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IFERROR(__xludf.DUMMYFUNCTION("""COMPUTED_VALUE"""),3650)</f>
        <v>3650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IFERROR(__xludf.DUMMYFUNCTION("""COMPUTED_VALUE"""),2070)</f>
        <v>2070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IFERROR(__xludf.DUMMYFUNCTION("""COMPUTED_VALUE"""),2020)</f>
        <v>2020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IFERROR(__xludf.DUMMYFUNCTION("""COMPUTED_VALUE"""),910)</f>
        <v>910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IFERROR(__xludf.DUMMYFUNCTION("""COMPUTED_VALUE"""),2400)</f>
        <v>2400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IFERROR(__xludf.DUMMYFUNCTION("""COMPUTED_VALUE"""),1390)</f>
        <v>1390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IFERROR(__xludf.DUMMYFUNCTION("""COMPUTED_VALUE"""),2420)</f>
        <v>2420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IFERROR(__xludf.DUMMYFUNCTION("""COMPUTED_VALUE"""),3180)</f>
        <v>3180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IFERROR(__xludf.DUMMYFUNCTION("""COMPUTED_VALUE"""),1670)</f>
        <v>1670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IFERROR(__xludf.DUMMYFUNCTION("""COMPUTED_VALUE"""),3560)</f>
        <v>3560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IFERROR(__xludf.DUMMYFUNCTION("""COMPUTED_VALUE"""),1850)</f>
        <v>1850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IFERROR(__xludf.DUMMYFUNCTION("""COMPUTED_VALUE"""),260)</f>
        <v>260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IFERROR(__xludf.DUMMYFUNCTION("""COMPUTED_VALUE"""),130)</f>
        <v>130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IFERROR(__xludf.DUMMYFUNCTION("""COMPUTED_VALUE"""),1580)</f>
        <v>1580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IFERROR(__xludf.DUMMYFUNCTION("""COMPUTED_VALUE"""),460)</f>
        <v>460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IFERROR(__xludf.DUMMYFUNCTION("""COMPUTED_VALUE"""),1200)</f>
        <v>1200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IFERROR(__xludf.DUMMYFUNCTION("""COMPUTED_VALUE"""),2050)</f>
        <v>2050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IFERROR(__xludf.DUMMYFUNCTION("""COMPUTED_VALUE"""),3860)</f>
        <v>3860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IFERROR(__xludf.DUMMYFUNCTION("""COMPUTED_VALUE"""),3290)</f>
        <v>3290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IFERROR(__xludf.DUMMYFUNCTION("""COMPUTED_VALUE"""),1690)</f>
        <v>1690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IFERROR(__xludf.DUMMYFUNCTION("""COMPUTED_VALUE"""),4360)</f>
        <v>4360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IFERROR(__xludf.DUMMYFUNCTION("""COMPUTED_VALUE"""),1490)</f>
        <v>1490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IFERROR(__xludf.DUMMYFUNCTION("""COMPUTED_VALUE"""),1090)</f>
        <v>1090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IFERROR(__xludf.DUMMYFUNCTION("""COMPUTED_VALUE"""),1530)</f>
        <v>1530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IFERROR(__xludf.DUMMYFUNCTION("""COMPUTED_VALUE"""),1410)</f>
        <v>1410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IFERROR(__xludf.DUMMYFUNCTION("""COMPUTED_VALUE"""),1050)</f>
        <v>1050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IFERROR(__xludf.DUMMYFUNCTION("""COMPUTED_VALUE"""),1030)</f>
        <v>1030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IFERROR(__xludf.DUMMYFUNCTION("""COMPUTED_VALUE"""),2080)</f>
        <v>2080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IFERROR(__xludf.DUMMYFUNCTION("""COMPUTED_VALUE"""),700)</f>
        <v>700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IFERROR(__xludf.DUMMYFUNCTION("""COMPUTED_VALUE"""),2300)</f>
        <v>2300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IFERROR(__xludf.DUMMYFUNCTION("""COMPUTED_VALUE"""),900)</f>
        <v>900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IFERROR(__xludf.DUMMYFUNCTION("""COMPUTED_VALUE"""),610)</f>
        <v>610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IFERROR(__xludf.DUMMYFUNCTION("""COMPUTED_VALUE"""),2860)</f>
        <v>2860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IFERROR(__xludf.DUMMYFUNCTION("""COMPUTED_VALUE"""),3280)</f>
        <v>3280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IFERROR(__xludf.DUMMYFUNCTION("""COMPUTED_VALUE"""),7740)</f>
        <v>7740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IFERROR(__xludf.DUMMYFUNCTION("""COMPUTED_VALUE"""),5310)</f>
        <v>5310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IFERROR(__xludf.DUMMYFUNCTION("""COMPUTED_VALUE"""),4510)</f>
        <v>4510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IFERROR(__xludf.DUMMYFUNCTION("""COMPUTED_VALUE"""),2250)</f>
        <v>2250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IFERROR(__xludf.DUMMYFUNCTION("""COMPUTED_VALUE"""),40)</f>
        <v>40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IFERROR(__xludf.DUMMYFUNCTION("""COMPUTED_VALUE"""),3180)</f>
        <v>3180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IFERROR(__xludf.DUMMYFUNCTION("""COMPUTED_VALUE"""),1760)</f>
        <v>1760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IFERROR(__xludf.DUMMYFUNCTION("""COMPUTED_VALUE"""),4200)</f>
        <v>4200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IFERROR(__xludf.DUMMYFUNCTION("""COMPUTED_VALUE"""),6360)</f>
        <v>6360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IFERROR(__xludf.DUMMYFUNCTION("""COMPUTED_VALUE"""),2600)</f>
        <v>2600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IFERROR(__xludf.DUMMYFUNCTION("""COMPUTED_VALUE"""),2320)</f>
        <v>2320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IFERROR(__xludf.DUMMYFUNCTION("""COMPUTED_VALUE"""),2220)</f>
        <v>2220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IFERROR(__xludf.DUMMYFUNCTION("""COMPUTED_VALUE"""),3560)</f>
        <v>3560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IFERROR(__xludf.DUMMYFUNCTION("""COMPUTED_VALUE"""),2110)</f>
        <v>2110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IFERROR(__xludf.DUMMYFUNCTION("""COMPUTED_VALUE"""),430)</f>
        <v>430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IFERROR(__xludf.DUMMYFUNCTION("""COMPUTED_VALUE"""),1200)</f>
        <v>1200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Valerio da Natividade")</f>
        <v>Sao Valerio da Natividade</v>
      </c>
      <c r="C169" t="str">
        <f ca="1">IFERROR(__xludf.DUMMYFUNCTION("""COMPUTED_VALUE"""),"A.P.M.E ALUNOS COL. EST. REGINA S. CAMPOS")</f>
        <v>A.P.M.E ALUNOS COL. EST. REGINA S. CAMPOS</v>
      </c>
      <c r="D169" t="str">
        <f ca="1">IFERROR(__xludf.DUMMYFUNCTION("""COMPUTED_VALUE"""),"01431377000168")</f>
        <v>01431377000168</v>
      </c>
      <c r="E169" t="str">
        <f ca="1">IFERROR(__xludf.DUMMYFUNCTION("""COMPUTED_VALUE"""),"001")</f>
        <v>001</v>
      </c>
      <c r="F169" t="str">
        <f ca="1">IFERROR(__xludf.DUMMYFUNCTION("""COMPUTED_VALUE"""),"0794")</f>
        <v>0794</v>
      </c>
      <c r="G169" t="str">
        <f ca="1">IFERROR(__xludf.DUMMYFUNCTION("""COMPUTED_VALUE"""),"52477")</f>
        <v>52477</v>
      </c>
      <c r="H169" s="7">
        <f ca="1">IFERROR(__xludf.DUMMYFUNCTION("""COMPUTED_VALUE"""),2960)</f>
        <v>2960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IFERROR(__xludf.DUMMYFUNCTION("""COMPUTED_VALUE"""),"Sucupira")</f>
        <v>Sucupira</v>
      </c>
      <c r="C170" t="str">
        <f ca="1">IFERROR(__xludf.DUMMYFUNCTION("""COMPUTED_VALUE"""),"AS. APOIO ESCOLA ESTADUAL OLAVO BILAC")</f>
        <v>AS. APOIO ESCOLA ESTADUAL OLAVO BILAC</v>
      </c>
      <c r="D170" t="str">
        <f ca="1">IFERROR(__xludf.DUMMYFUNCTION("""COMPUTED_VALUE"""),"01268287000106")</f>
        <v>01268287000106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IFERROR(__xludf.DUMMYFUNCTION("""COMPUTED_VALUE"""),"245852")</f>
        <v>245852</v>
      </c>
      <c r="H170" s="7">
        <f ca="1">IFERROR(__xludf.DUMMYFUNCTION("""COMPUTED_VALUE"""),1380)</f>
        <v>1380</v>
      </c>
      <c r="I170" t="str">
        <v>ENS FUND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IFERROR(__xludf.DUMMYFUNCTION("""COMPUTED_VALUE"""),"dois Irmaos do Tocantins")</f>
        <v>dois Irmaos do Tocantins</v>
      </c>
      <c r="C171" t="str">
        <f ca="1">IFERROR(__xludf.DUMMYFUNCTION("""COMPUTED_VALUE"""),"A.C.E. COL PRES. CASTELO BRANCO")</f>
        <v>A.C.E. COL PRES. CASTELO BRANCO</v>
      </c>
      <c r="D171" t="str">
        <f ca="1">IFERROR(__xludf.DUMMYFUNCTION("""COMPUTED_VALUE"""),"01034882000179")</f>
        <v>01034882000179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IFERROR(__xludf.DUMMYFUNCTION("""COMPUTED_VALUE"""),"68950")</f>
        <v>68950</v>
      </c>
      <c r="H171" s="7">
        <f ca="1">IFERROR(__xludf.DUMMYFUNCTION("""COMPUTED_VALUE"""),3710)</f>
        <v>3710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IFERROR(__xludf.DUMMYFUNCTION("""COMPUTED_VALUE"""),"ASSOC. DE APOIO A ESCOLA ESPECIAL CLOVIS DE ASSIS")</f>
        <v>ASSOC. DE APOIO A ESCOLA ESPECIAL CLOVIS DE ASSIS</v>
      </c>
      <c r="D172" t="str">
        <f ca="1">IFERROR(__xludf.DUMMYFUNCTION("""COMPUTED_VALUE"""),"09327390000183")</f>
        <v>09327390000183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IFERROR(__xludf.DUMMYFUNCTION("""COMPUTED_VALUE"""),"211087")</f>
        <v>211087</v>
      </c>
      <c r="H172" s="7">
        <f ca="1">IFERROR(__xludf.DUMMYFUNCTION("""COMPUTED_VALUE"""),110)</f>
        <v>110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IFERROR(__xludf.DUMMYFUNCTION("""COMPUTED_VALUE"""),"Lizarda")</f>
        <v>Lizarda</v>
      </c>
      <c r="C173" t="str">
        <f ca="1">IFERROR(__xludf.DUMMYFUNCTION("""COMPUTED_VALUE"""),"A. ESC. COMUN. DO COL. EST. 31 DE MARCO")</f>
        <v>A. ESC. COMUN. DO COL. EST. 31 DE MARCO</v>
      </c>
      <c r="D173" t="str">
        <f ca="1">IFERROR(__xludf.DUMMYFUNCTION("""COMPUTED_VALUE"""),"01232873000192")</f>
        <v>01232873000192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IFERROR(__xludf.DUMMYFUNCTION("""COMPUTED_VALUE"""),"68969")</f>
        <v>68969</v>
      </c>
      <c r="H173" s="7">
        <f ca="1">IFERROR(__xludf.DUMMYFUNCTION("""COMPUTED_VALUE"""),1780)</f>
        <v>1780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IFERROR(__xludf.DUMMYFUNCTION("""COMPUTED_VALUE"""),"ESCOLA ESTADUAL AYRTON SENNA")</f>
        <v>ESCOLA ESTADUAL AYRTON SENNA</v>
      </c>
      <c r="D174" t="str">
        <f ca="1">IFERROR(__xludf.DUMMYFUNCTION("""COMPUTED_VALUE"""),"11406586000105")</f>
        <v>11406586000105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IFERROR(__xludf.DUMMYFUNCTION("""COMPUTED_VALUE"""),"270393")</f>
        <v>270393</v>
      </c>
      <c r="H174" s="7">
        <f ca="1">IFERROR(__xludf.DUMMYFUNCTION("""COMPUTED_VALUE"""),680)</f>
        <v>680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IFERROR(__xludf.DUMMYFUNCTION("""COMPUTED_VALUE"""),"ASS. DE APOIO AO CEM SANTA TEREZINHA")</f>
        <v>ASS. DE APOIO AO CEM SANTA TEREZINHA</v>
      </c>
      <c r="D175" t="str">
        <f ca="1">IFERROR(__xludf.DUMMYFUNCTION("""COMPUTED_VALUE"""),"01085211000137")</f>
        <v>01085211000137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IFERROR(__xludf.DUMMYFUNCTION("""COMPUTED_VALUE"""),"244589")</f>
        <v>244589</v>
      </c>
      <c r="H175" s="7">
        <f ca="1">IFERROR(__xludf.DUMMYFUNCTION("""COMPUTED_VALUE"""),2810)</f>
        <v>2810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IFERROR(__xludf.DUMMYFUNCTION("""COMPUTED_VALUE"""),"SOCIEDADE EDUCADORA FEMININA/COLÉGIO TOCANTINS")</f>
        <v>SOCIEDADE EDUCADORA FEMININA/COLÉGIO TOCANTINS</v>
      </c>
      <c r="D176" t="str">
        <f ca="1">IFERROR(__xludf.DUMMYFUNCTION("""COMPUTED_VALUE"""),"61373585000694")</f>
        <v>61373585000694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IFERROR(__xludf.DUMMYFUNCTION("""COMPUTED_VALUE"""),"69086")</f>
        <v>69086</v>
      </c>
      <c r="H176" s="7">
        <f ca="1">IFERROR(__xludf.DUMMYFUNCTION("""COMPUTED_VALUE"""),2380)</f>
        <v>2380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IFERROR(__xludf.DUMMYFUNCTION("""COMPUTED_VALUE"""),"A.P.A.DOS EXECEPCIONAIS DE MIRACEMA - APAE")</f>
        <v>A.P.A.DOS EXECEPCIONAIS DE MIRACEMA - APAE</v>
      </c>
      <c r="D177" t="str">
        <f ca="1">IFERROR(__xludf.DUMMYFUNCTION("""COMPUTED_VALUE"""),"38146965000160")</f>
        <v>38146965000160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IFERROR(__xludf.DUMMYFUNCTION("""COMPUTED_VALUE"""),"93734")</f>
        <v>93734</v>
      </c>
      <c r="H177" s="7">
        <f ca="1">IFERROR(__xludf.DUMMYFUNCTION("""COMPUTED_VALUE"""),240)</f>
        <v>240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IFERROR(__xludf.DUMMYFUNCTION("""COMPUTED_VALUE"""),"A.COM.DA ESC. EST. JOSE D. VASCONCELOS")</f>
        <v>A.COM.DA ESC. EST. JOSE D. VASCONCELOS</v>
      </c>
      <c r="D178" t="str">
        <f ca="1">IFERROR(__xludf.DUMMYFUNCTION("""COMPUTED_VALUE"""),"01068379000134")</f>
        <v>01068379000134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IFERROR(__xludf.DUMMYFUNCTION("""COMPUTED_VALUE"""),"69035")</f>
        <v>69035</v>
      </c>
      <c r="H178" s="7">
        <f ca="1">IFERROR(__xludf.DUMMYFUNCTION("""COMPUTED_VALUE"""),1570)</f>
        <v>1570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IFERROR(__xludf.DUMMYFUNCTION("""COMPUTED_VALUE"""),"A.P.M.A. ESC. CONV. ONESINA BANDEIRA")</f>
        <v>A.P.M.A. ESC. CONV. ONESINA BANDEIRA</v>
      </c>
      <c r="D179" t="str">
        <f ca="1">IFERROR(__xludf.DUMMYFUNCTION("""COMPUTED_VALUE"""),"01133700000117")</f>
        <v>01133700000117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IFERROR(__xludf.DUMMYFUNCTION("""COMPUTED_VALUE"""),"69051")</f>
        <v>69051</v>
      </c>
      <c r="H179" s="7">
        <f ca="1">IFERROR(__xludf.DUMMYFUNCTION("""COMPUTED_VALUE"""),7760)</f>
        <v>7760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IFERROR(__xludf.DUMMYFUNCTION("""COMPUTED_VALUE"""),"A.A.  DA ESCOLA ESTADUAL OSCAR SARDINHA")</f>
        <v>A.A.  DA ESCOLA ESTADUAL OSCAR SARDINHA</v>
      </c>
      <c r="D180" t="str">
        <f ca="1">IFERROR(__xludf.DUMMYFUNCTION("""COMPUTED_VALUE"""),"01197158000166")</f>
        <v>01197158000166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IFERROR(__xludf.DUMMYFUNCTION("""COMPUTED_VALUE"""),"6906X")</f>
        <v>6906X</v>
      </c>
      <c r="H180" s="7">
        <f ca="1">IFERROR(__xludf.DUMMYFUNCTION("""COMPUTED_VALUE"""),940)</f>
        <v>940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IFERROR(__xludf.DUMMYFUNCTION("""COMPUTED_VALUE"""),"Miranorte")</f>
        <v>Miranorte</v>
      </c>
      <c r="C181" t="str">
        <f ca="1">IFERROR(__xludf.DUMMYFUNCTION("""COMPUTED_VALUE"""),"A.A. C.E.NOSSA SENHORA DA PROVIDENCIA")</f>
        <v>A.A. C.E.NOSSA SENHORA DA PROVIDENCIA</v>
      </c>
      <c r="D181" t="str">
        <f ca="1">IFERROR(__xludf.DUMMYFUNCTION("""COMPUTED_VALUE"""),"01190186000151")</f>
        <v>01190186000151</v>
      </c>
      <c r="E181" t="str">
        <f ca="1">IFERROR(__xludf.DUMMYFUNCTION("""COMPUTED_VALUE"""),"001")</f>
        <v>001</v>
      </c>
      <c r="F181" t="str">
        <f ca="1">IFERROR(__xludf.DUMMYFUNCTION("""COMPUTED_VALUE"""),"4560")</f>
        <v>4560</v>
      </c>
      <c r="G181" t="str">
        <f ca="1">IFERROR(__xludf.DUMMYFUNCTION("""COMPUTED_VALUE"""),"7778X")</f>
        <v>7778X</v>
      </c>
      <c r="H181" s="7">
        <f ca="1">IFERROR(__xludf.DUMMYFUNCTION("""COMPUTED_VALUE"""),15340)</f>
        <v>15340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 ESC. ESPECIAL CORAÇÃO DE MARIA")</f>
        <v>A.A ESC. ESPECIAL CORAÇÃO DE MARIA</v>
      </c>
      <c r="D182" t="str">
        <f ca="1">IFERROR(__xludf.DUMMYFUNCTION("""COMPUTED_VALUE"""),"07968866000130")</f>
        <v>07968866000130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IFERROR(__xludf.DUMMYFUNCTION("""COMPUTED_VALUE"""),"265217")</f>
        <v>265217</v>
      </c>
      <c r="H182" s="7">
        <f ca="1">IFERROR(__xludf.DUMMYFUNCTION("""COMPUTED_VALUE"""),90)</f>
        <v>90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IFERROR(__xludf.DUMMYFUNCTION("""COMPUTED_VALUE"""),"Rio dos Bois")</f>
        <v>Rio dos Bois</v>
      </c>
      <c r="C183" t="str">
        <f ca="1">IFERROR(__xludf.DUMMYFUNCTION("""COMPUTED_VALUE"""),"A.A. ESC EST DR. VALDECY PINHEIRO")</f>
        <v>A.A. ESC EST DR. VALDECY PINHEIRO</v>
      </c>
      <c r="D183" t="str">
        <f ca="1">IFERROR(__xludf.DUMMYFUNCTION("""COMPUTED_VALUE"""),"01079937000167")</f>
        <v>01079937000167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IFERROR(__xludf.DUMMYFUNCTION("""COMPUTED_VALUE"""),"69116")</f>
        <v>69116</v>
      </c>
      <c r="H183" s="7">
        <f ca="1">IFERROR(__xludf.DUMMYFUNCTION("""COMPUTED_VALUE"""),2040)</f>
        <v>2040</v>
      </c>
      <c r="I183" t="str">
        <v>ENS FUND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IFERROR(__xludf.DUMMYFUNCTION("""COMPUTED_VALUE"""),"Aparecida do Rio Negro")</f>
        <v>Aparecida do Rio Negro</v>
      </c>
      <c r="C184" t="str">
        <f ca="1">IFERROR(__xludf.DUMMYFUNCTION("""COMPUTED_VALUE"""),"ASS. DE AP. DO COL. EST. MEIRA MATOS")</f>
        <v>ASS. DE AP. DO COL. EST. MEIRA MATOS</v>
      </c>
      <c r="D184" t="str">
        <f ca="1">IFERROR(__xludf.DUMMYFUNCTION("""COMPUTED_VALUE"""),"01186452000172")</f>
        <v>01186452000172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IFERROR(__xludf.DUMMYFUNCTION("""COMPUTED_VALUE"""),"327972")</f>
        <v>327972</v>
      </c>
      <c r="H184" s="7">
        <f ca="1">IFERROR(__xludf.DUMMYFUNCTION("""COMPUTED_VALUE"""),1480)</f>
        <v>1480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IFERROR(__xludf.DUMMYFUNCTION("""COMPUTED_VALUE"""),"Lagoa do Tocantins")</f>
        <v>Lagoa do Tocantins</v>
      </c>
      <c r="C185" t="str">
        <f ca="1">IFERROR(__xludf.DUMMYFUNCTION("""COMPUTED_VALUE"""),"ASS. DE AP. DA ESC. EST. SALMON DO A.BRITO")</f>
        <v>ASS. DE AP. DA ESC. EST. SALMON DO A.BRITO</v>
      </c>
      <c r="D185" t="str">
        <f ca="1">IFERROR(__xludf.DUMMYFUNCTION("""COMPUTED_VALUE"""),"01440941000109")</f>
        <v>01440941000109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IFERROR(__xludf.DUMMYFUNCTION("""COMPUTED_VALUE"""),"465410")</f>
        <v>465410</v>
      </c>
      <c r="H185" s="7">
        <f ca="1">IFERROR(__xludf.DUMMYFUNCTION("""COMPUTED_VALUE"""),2390)</f>
        <v>2390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IFERROR(__xludf.DUMMYFUNCTION("""COMPUTED_VALUE"""),"Lajeado")</f>
        <v>Lajeado</v>
      </c>
      <c r="C186" t="str">
        <f ca="1">IFERROR(__xludf.DUMMYFUNCTION("""COMPUTED_VALUE"""),"A.A. COM. E. E.N.SRA.DA PROVIDENCIA")</f>
        <v>A.A. COM. E. E.N.SRA.DA PROVIDENCIA</v>
      </c>
      <c r="D186" t="str">
        <f ca="1">IFERROR(__xludf.DUMMYFUNCTION("""COMPUTED_VALUE"""),"01138324000153")</f>
        <v>01138324000153</v>
      </c>
      <c r="E186" t="str">
        <f ca="1">IFERROR(__xludf.DUMMYFUNCTION("""COMPUTED_VALUE"""),"001")</f>
        <v>001</v>
      </c>
      <c r="F186" t="str">
        <f ca="1">IFERROR(__xludf.DUMMYFUNCTION("""COMPUTED_VALUE"""),"0862")</f>
        <v>0862</v>
      </c>
      <c r="G186" t="str">
        <f ca="1">IFERROR(__xludf.DUMMYFUNCTION("""COMPUTED_VALUE"""),"69132")</f>
        <v>69132</v>
      </c>
      <c r="H186" s="7">
        <f ca="1">IFERROR(__xludf.DUMMYFUNCTION("""COMPUTED_VALUE"""),280)</f>
        <v>280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IFERROR(__xludf.DUMMYFUNCTION("""COMPUTED_VALUE"""),"Mateiros")</f>
        <v>Mateiros</v>
      </c>
      <c r="C187" t="str">
        <f ca="1">IFERROR(__xludf.DUMMYFUNCTION("""COMPUTED_VALUE"""),"ASS. A. ESC. EST.ESTEFANIO TELES DAS CHAGAS")</f>
        <v>ASS. A. ESC. EST.ESTEFANIO TELES DAS CHAGAS</v>
      </c>
      <c r="D187" t="str">
        <f ca="1">IFERROR(__xludf.DUMMYFUNCTION("""COMPUTED_VALUE"""),"01206219000104")</f>
        <v>01206219000104</v>
      </c>
      <c r="E187" t="str">
        <f ca="1">IFERROR(__xludf.DUMMYFUNCTION("""COMPUTED_VALUE"""),"001")</f>
        <v>001</v>
      </c>
      <c r="F187" t="str">
        <f ca="1">IFERROR(__xludf.DUMMYFUNCTION("""COMPUTED_VALUE"""),"3962")</f>
        <v>3962</v>
      </c>
      <c r="G187" t="str">
        <f ca="1">IFERROR(__xludf.DUMMYFUNCTION("""COMPUTED_VALUE"""),"127795")</f>
        <v>127795</v>
      </c>
      <c r="H187" s="7">
        <f ca="1">IFERROR(__xludf.DUMMYFUNCTION("""COMPUTED_VALUE"""),1860)</f>
        <v>1860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IFERROR(__xludf.DUMMYFUNCTION("""COMPUTED_VALUE"""),"Novo Acordo")</f>
        <v>Novo Acordo</v>
      </c>
      <c r="C188" t="str">
        <f ca="1">IFERROR(__xludf.DUMMYFUNCTION("""COMPUTED_VALUE"""),"ASS. A. AO COL. EST. D. PEDRO I/N.ACORDO")</f>
        <v>ASS. A. AO COL. EST. D. PEDRO I/N.ACORDO</v>
      </c>
      <c r="D188" t="str">
        <f ca="1">IFERROR(__xludf.DUMMYFUNCTION("""COMPUTED_VALUE"""),"01133690000110")</f>
        <v>01133690000110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IFERROR(__xludf.DUMMYFUNCTION("""COMPUTED_VALUE"""),"157856")</f>
        <v>157856</v>
      </c>
      <c r="H188" s="7">
        <f ca="1">IFERROR(__xludf.DUMMYFUNCTION("""COMPUTED_VALUE"""),4740)</f>
        <v>4740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IFERROR(__xludf.DUMMYFUNCTION("""COMPUTED_VALUE"""),"A.A. DA ESC. EST.PEDRO MACEDO / N.ACORDO")</f>
        <v>A.A. DA ESC. EST.PEDRO MACEDO / N.ACORDO</v>
      </c>
      <c r="D189" t="str">
        <f ca="1">IFERROR(__xludf.DUMMYFUNCTION("""COMPUTED_VALUE"""),"01136004000164")</f>
        <v>01136004000164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IFERROR(__xludf.DUMMYFUNCTION("""COMPUTED_VALUE"""),"171166")</f>
        <v>171166</v>
      </c>
      <c r="H189" s="7">
        <f ca="1">IFERROR(__xludf.DUMMYFUNCTION("""COMPUTED_VALUE"""),790)</f>
        <v>790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 COM. E-E. E. DOM ALANO MARIE DU NODAY")</f>
        <v>A. COM. E-E. E. DOM ALANO MARIE DU NODAY</v>
      </c>
      <c r="D190" t="str">
        <f ca="1">IFERROR(__xludf.DUMMYFUNCTION("""COMPUTED_VALUE"""),"01343125000187")</f>
        <v>01343125000187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IFERROR(__xludf.DUMMYFUNCTION("""COMPUTED_VALUE"""),"265810")</f>
        <v>265810</v>
      </c>
      <c r="H190" s="7">
        <f ca="1">IFERROR(__xludf.DUMMYFUNCTION("""COMPUTED_VALUE"""),1820)</f>
        <v>1820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IFERROR(__xludf.DUMMYFUNCTION("""COMPUTED_VALUE"""),"ACE COL. EST. DUQUE DE CAXIAS")</f>
        <v>ACE COL. EST. DUQUE DE CAXIAS</v>
      </c>
      <c r="D191" t="str">
        <f ca="1">IFERROR(__xludf.DUMMYFUNCTION("""COMPUTED_VALUE"""),"01588669000109")</f>
        <v>01588669000109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IFERROR(__xludf.DUMMYFUNCTION("""COMPUTED_VALUE"""),"254002")</f>
        <v>254002</v>
      </c>
      <c r="H191" s="7">
        <f ca="1">IFERROR(__xludf.DUMMYFUNCTION("""COMPUTED_VALUE"""),1870)</f>
        <v>1870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7">
        <f ca="1">IFERROR(__xludf.DUMMYFUNCTION("""COMPUTED_VALUE"""),590)</f>
        <v>590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7">
        <f ca="1">IFERROR(__xludf.DUMMYFUNCTION("""COMPUTED_VALUE"""),15520)</f>
        <v>15520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IFERROR(__xludf.DUMMYFUNCTION("""COMPUTED_VALUE"""),"A.CONS.ESCOLAR E. EST.I GRAU LIBERDADE")</f>
        <v>A.CONS.ESCOLAR E. EST.I GRAU LIBERDADE</v>
      </c>
      <c r="D194" t="str">
        <f ca="1">IFERROR(__xludf.DUMMYFUNCTION("""COMPUTED_VALUE"""),"01936355000150")</f>
        <v>01936355000150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IFERROR(__xludf.DUMMYFUNCTION("""COMPUTED_VALUE"""),"257028")</f>
        <v>257028</v>
      </c>
      <c r="H194" s="7">
        <f ca="1">IFERROR(__xludf.DUMMYFUNCTION("""COMPUTED_VALUE"""),5340)</f>
        <v>5340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IFERROR(__xludf.DUMMYFUNCTION("""COMPUTED_VALUE"""),"ASSOC APOIO ESC EST MARIA DOS REIS ALVES BARROS")</f>
        <v>ASSOC APOIO ESC EST MARIA DOS REIS ALVES BARROS</v>
      </c>
      <c r="D195" t="str">
        <f ca="1">IFERROR(__xludf.DUMMYFUNCTION("""COMPUTED_VALUE"""),"08641263000191")</f>
        <v>08641263000191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IFERROR(__xludf.DUMMYFUNCTION("""COMPUTED_VALUE"""),"413666")</f>
        <v>413666</v>
      </c>
      <c r="H195" s="7">
        <f ca="1">IFERROR(__xludf.DUMMYFUNCTION("""COMPUTED_VALUE"""),20740)</f>
        <v>20740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IFERROR(__xludf.DUMMYFUNCTION("""COMPUTED_VALUE"""),"A.COM. DA ESC. EST. NOVO HORIZONTE")</f>
        <v>A.COM. DA ESC. EST. NOVO HORIZONTE</v>
      </c>
      <c r="D196" t="str">
        <f ca="1">IFERROR(__xludf.DUMMYFUNCTION("""COMPUTED_VALUE"""),"01221539000133")</f>
        <v>01221539000133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IFERROR(__xludf.DUMMYFUNCTION("""COMPUTED_VALUE"""),"351687")</f>
        <v>351687</v>
      </c>
      <c r="H196" s="7">
        <f ca="1">IFERROR(__xludf.DUMMYFUNCTION("""COMPUTED_VALUE"""),6360)</f>
        <v>6360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IFERROR(__xludf.DUMMYFUNCTION("""COMPUTED_VALUE"""),"A.A. DA COM. ESCOLAR - ESC. EST. SANTA FE")</f>
        <v>A.A. DA COM. ESCOLAR - ESC. EST. SANTA FE</v>
      </c>
      <c r="D197" t="str">
        <f ca="1">IFERROR(__xludf.DUMMYFUNCTION("""COMPUTED_VALUE"""),"01932049000145")</f>
        <v>01932049000145</v>
      </c>
      <c r="E197" t="str">
        <f ca="1">IFERROR(__xludf.DUMMYFUNCTION("""COMPUTED_VALUE"""),"001")</f>
        <v>001</v>
      </c>
      <c r="F197" t="str">
        <f ca="1">IFERROR(__xludf.DUMMYFUNCTION("""COMPUTED_VALUE"""),"2781")</f>
        <v>2781</v>
      </c>
      <c r="G197" t="str">
        <f ca="1">IFERROR(__xludf.DUMMYFUNCTION("""COMPUTED_VALUE"""),"261904")</f>
        <v>261904</v>
      </c>
      <c r="H197" s="7">
        <f ca="1">IFERROR(__xludf.DUMMYFUNCTION("""COMPUTED_VALUE"""),290)</f>
        <v>290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7">
        <f ca="1">IFERROR(__xludf.DUMMYFUNCTION("""COMPUTED_VALUE"""),2580)</f>
        <v>2580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7">
        <f ca="1">IFERROR(__xludf.DUMMYFUNCTION("""COMPUTED_VALUE"""),1540)</f>
        <v>1540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7">
        <f ca="1">IFERROR(__xludf.DUMMYFUNCTION("""COMPUTED_VALUE"""),3290)</f>
        <v>3290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IFERROR(__xludf.DUMMYFUNCTION("""COMPUTED_VALUE"""),"AÇÃO SOCIAL JESUS DE NAZARÉ/ESC JOÃO PAULO II")</f>
        <v>AÇÃO SOCIAL JESUS DE NAZARÉ/ESC JOÃO PAULO II</v>
      </c>
      <c r="D201" t="str">
        <f ca="1">IFERROR(__xludf.DUMMYFUNCTION("""COMPUTED_VALUE"""),"03005522000174")</f>
        <v>03005522000174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IFERROR(__xludf.DUMMYFUNCTION("""COMPUTED_VALUE"""),"423475")</f>
        <v>423475</v>
      </c>
      <c r="H201" s="7">
        <f ca="1">IFERROR(__xludf.DUMMYFUNCTION("""COMPUTED_VALUE"""),1220)</f>
        <v>1220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IFERROR(__xludf.DUMMYFUNCTION("""COMPUTED_VALUE"""),"A.A. DO INST.PRESB.EDUC.SOC.REV.ROBERT CA")</f>
        <v>A.A. DO INST.PRESB.EDUC.SOC.REV.ROBERT CA</v>
      </c>
      <c r="D202" t="str">
        <f ca="1">IFERROR(__xludf.DUMMYFUNCTION("""COMPUTED_VALUE"""),"05470057000178")</f>
        <v>05470057000178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IFERROR(__xludf.DUMMYFUNCTION("""COMPUTED_VALUE"""),"45110X")</f>
        <v>45110X</v>
      </c>
      <c r="H202" s="7">
        <f ca="1">IFERROR(__xludf.DUMMYFUNCTION("""COMPUTED_VALUE"""),4690)</f>
        <v>4690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IFERROR(__xludf.DUMMYFUNCTION("""COMPUTED_VALUE"""),"Rio Sono")</f>
        <v>Rio Sono</v>
      </c>
      <c r="C203" t="str">
        <f ca="1">IFERROR(__xludf.DUMMYFUNCTION("""COMPUTED_VALUE"""),"A. DE PAIS E MESTRES DO COL. EST.RIO SONO")</f>
        <v>A. DE PAIS E MESTRES DO COL. EST.RIO SONO</v>
      </c>
      <c r="D203" t="str">
        <f ca="1">IFERROR(__xludf.DUMMYFUNCTION("""COMPUTED_VALUE"""),"01184376000166")</f>
        <v>01184376000166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IFERROR(__xludf.DUMMYFUNCTION("""COMPUTED_VALUE"""),"530042")</f>
        <v>530042</v>
      </c>
      <c r="H203" s="7">
        <f ca="1">IFERROR(__xludf.DUMMYFUNCTION("""COMPUTED_VALUE"""),1820)</f>
        <v>1820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IFERROR(__xludf.DUMMYFUNCTION("""COMPUTED_VALUE"""),"A.A.  ESCOLA EST. IMACULADA CONCEICAO")</f>
        <v>A.A.  ESCOLA EST. IMACULADA CONCEICAO</v>
      </c>
      <c r="D204" t="str">
        <f ca="1">IFERROR(__xludf.DUMMYFUNCTION("""COMPUTED_VALUE"""),"01197175000101")</f>
        <v>01197175000101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IFERROR(__xludf.DUMMYFUNCTION("""COMPUTED_VALUE"""),"161497")</f>
        <v>161497</v>
      </c>
      <c r="H204" s="7">
        <f ca="1">IFERROR(__xludf.DUMMYFUNCTION("""COMPUTED_VALUE"""),590)</f>
        <v>590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IFERROR(__xludf.DUMMYFUNCTION("""COMPUTED_VALUE"""),"Santa Tereza do Tocantins")</f>
        <v>Santa Tereza do Tocantins</v>
      </c>
      <c r="C205" t="str">
        <f ca="1">IFERROR(__xludf.DUMMYFUNCTION("""COMPUTED_VALUE"""),"A.A. C.EST. MANOEL S.DOURADO")</f>
        <v>A.A. C.EST. MANOEL S.DOURADO</v>
      </c>
      <c r="D205" t="str">
        <f ca="1">IFERROR(__xludf.DUMMYFUNCTION("""COMPUTED_VALUE"""),"01136013000155")</f>
        <v>01136013000155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IFERROR(__xludf.DUMMYFUNCTION("""COMPUTED_VALUE"""),"313033")</f>
        <v>313033</v>
      </c>
      <c r="H205" s="7">
        <f ca="1">IFERROR(__xludf.DUMMYFUNCTION("""COMPUTED_VALUE"""),1000)</f>
        <v>1000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IFERROR(__xludf.DUMMYFUNCTION("""COMPUTED_VALUE"""),"Sao Felix do Tocantins")</f>
        <v>Sao Felix do Tocantins</v>
      </c>
      <c r="C206" t="str">
        <f ca="1">IFERROR(__xludf.DUMMYFUNCTION("""COMPUTED_VALUE"""),"A. DE AP.ESC. EST. SAGRADO CORACAO DE JESUS")</f>
        <v>A. DE AP.ESC. EST. SAGRADO CORACAO DE JESUS</v>
      </c>
      <c r="D206" t="str">
        <f ca="1">IFERROR(__xludf.DUMMYFUNCTION("""COMPUTED_VALUE"""),"01656550000126")</f>
        <v>01656550000126</v>
      </c>
      <c r="E206" t="str">
        <f ca="1">IFERROR(__xludf.DUMMYFUNCTION("""COMPUTED_VALUE"""),"001")</f>
        <v>001</v>
      </c>
      <c r="F206" t="str">
        <f ca="1">IFERROR(__xludf.DUMMYFUNCTION("""COMPUTED_VALUE"""),"3962")</f>
        <v>3962</v>
      </c>
      <c r="G206" t="str">
        <f ca="1">IFERROR(__xludf.DUMMYFUNCTION("""COMPUTED_VALUE"""),"147605")</f>
        <v>147605</v>
      </c>
      <c r="H206" s="7">
        <f ca="1">IFERROR(__xludf.DUMMYFUNCTION("""COMPUTED_VALUE"""),2110)</f>
        <v>2110</v>
      </c>
      <c r="I206" t="str">
        <v>ENS FUND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IFERROR(__xludf.DUMMYFUNCTION("""COMPUTED_VALUE"""),"Abreulandia")</f>
        <v>Abreulandia</v>
      </c>
      <c r="C207" t="str">
        <f ca="1">IFERROR(__xludf.DUMMYFUNCTION("""COMPUTED_VALUE"""),"ASS. DE APOIO DA ESCOLA EST. SAO PEDRO")</f>
        <v>ASS. DE APOIO DA ESCOLA EST. SAO PEDRO</v>
      </c>
      <c r="D207" t="str">
        <f ca="1">IFERROR(__xludf.DUMMYFUNCTION("""COMPUTED_VALUE"""),"01071408000117")</f>
        <v>01071408000117</v>
      </c>
      <c r="E207" t="str">
        <f ca="1">IFERROR(__xludf.DUMMYFUNCTION("""COMPUTED_VALUE"""),"001")</f>
        <v>001</v>
      </c>
      <c r="F207" t="str">
        <f ca="1">IFERROR(__xludf.DUMMYFUNCTION("""COMPUTED_VALUE"""),"0804")</f>
        <v>0804</v>
      </c>
      <c r="G207" t="str">
        <f ca="1">IFERROR(__xludf.DUMMYFUNCTION("""COMPUTED_VALUE"""),"286893")</f>
        <v>286893</v>
      </c>
      <c r="H207" s="7">
        <f ca="1">IFERROR(__xludf.DUMMYFUNCTION("""COMPUTED_VALUE"""),1070)</f>
        <v>1070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IFERROR(__xludf.DUMMYFUNCTION("""COMPUTED_VALUE"""),"Araguacema")</f>
        <v>Araguacema</v>
      </c>
      <c r="C208" t="str">
        <f ca="1">IFERROR(__xludf.DUMMYFUNCTION("""COMPUTED_VALUE"""),"ASSOC. DE APOIO AO COL. EST. DE ARAGUACEMA")</f>
        <v>ASSOC. DE APOIO AO COL. EST. DE ARAGUACEMA</v>
      </c>
      <c r="D208" t="str">
        <f ca="1">IFERROR(__xludf.DUMMYFUNCTION("""COMPUTED_VALUE"""),"01187107000153")</f>
        <v>01187107000153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IFERROR(__xludf.DUMMYFUNCTION("""COMPUTED_VALUE"""),"286532")</f>
        <v>286532</v>
      </c>
      <c r="H208" s="7">
        <f ca="1">IFERROR(__xludf.DUMMYFUNCTION("""COMPUTED_VALUE"""),950)</f>
        <v>950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COLEGIO MENNO SIMONS")</f>
        <v>ASSOC. DE APOIO COLEGIO MENNO SIMONS</v>
      </c>
      <c r="D209" t="str">
        <f ca="1">IFERROR(__xludf.DUMMYFUNCTION("""COMPUTED_VALUE"""),"01138321000110")</f>
        <v>01138321000110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IFERROR(__xludf.DUMMYFUNCTION("""COMPUTED_VALUE"""),"300764")</f>
        <v>300764</v>
      </c>
      <c r="H209" s="7">
        <f ca="1">IFERROR(__xludf.DUMMYFUNCTION("""COMPUTED_VALUE"""),1850)</f>
        <v>1850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IFERROR(__xludf.DUMMYFUNCTION("""COMPUTED_VALUE"""),"Barrolandia")</f>
        <v>Barrolandia</v>
      </c>
      <c r="C210" t="str">
        <f ca="1">IFERROR(__xludf.DUMMYFUNCTION("""COMPUTED_VALUE"""),"A..A. ESC. ESPECIAL AMOR DE DEUS")</f>
        <v>A..A. ESC. ESPECIAL AMOR DE DEUS</v>
      </c>
      <c r="D210" t="str">
        <f ca="1">IFERROR(__xludf.DUMMYFUNCTION("""COMPUTED_VALUE"""),"07935641000187")</f>
        <v>07935641000187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IFERROR(__xludf.DUMMYFUNCTION("""COMPUTED_VALUE"""),"279501")</f>
        <v>279501</v>
      </c>
      <c r="H210" s="7">
        <f ca="1">IFERROR(__xludf.DUMMYFUNCTION("""COMPUTED_VALUE"""),100)</f>
        <v>100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IFERROR(__xludf.DUMMYFUNCTION("""COMPUTED_VALUE"""),"ASS. APOIO DA ESC EST PAULINA CAMARA")</f>
        <v>ASS. APOIO DA ESC EST PAULINA CAMARA</v>
      </c>
      <c r="D211" t="str">
        <f ca="1">IFERROR(__xludf.DUMMYFUNCTION("""COMPUTED_VALUE"""),"01071402000140")</f>
        <v>01071402000140</v>
      </c>
      <c r="E211" t="str">
        <f ca="1">IFERROR(__xludf.DUMMYFUNCTION("""COMPUTED_VALUE"""),"001")</f>
        <v>001</v>
      </c>
      <c r="F211" t="str">
        <f ca="1">IFERROR(__xludf.DUMMYFUNCTION("""COMPUTED_VALUE"""),"0862")</f>
        <v>0862</v>
      </c>
      <c r="G211" t="str">
        <f ca="1">IFERROR(__xludf.DUMMYFUNCTION("""COMPUTED_VALUE"""),"68926")</f>
        <v>68926</v>
      </c>
      <c r="H211" s="7">
        <f ca="1">IFERROR(__xludf.DUMMYFUNCTION("""COMPUTED_VALUE"""),2540)</f>
        <v>2540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IFERROR(__xludf.DUMMYFUNCTION("""COMPUTED_VALUE"""),"A.A. COLEGIO ESTADUAL COSTA E SILVA")</f>
        <v>A.A. COLEGIO ESTADUAL COSTA E SILVA</v>
      </c>
      <c r="D212" t="str">
        <f ca="1">IFERROR(__xludf.DUMMYFUNCTION("""COMPUTED_VALUE"""),"01100434000126")</f>
        <v>01100434000126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IFERROR(__xludf.DUMMYFUNCTION("""COMPUTED_VALUE"""),"68942")</f>
        <v>68942</v>
      </c>
      <c r="H212" s="7">
        <f ca="1">IFERROR(__xludf.DUMMYFUNCTION("""COMPUTED_VALUE"""),1100)</f>
        <v>1100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IFERROR(__xludf.DUMMYFUNCTION("""COMPUTED_VALUE"""),"Caseara")</f>
        <v>Caseara</v>
      </c>
      <c r="C213" t="str">
        <f ca="1">IFERROR(__xludf.DUMMYFUNCTION("""COMPUTED_VALUE"""),"A. DE APOIO A ESC. EST. JOSE ALVES DE ASSIS")</f>
        <v>A. DE APOIO A ESC. EST. JOSE ALVES DE ASSIS</v>
      </c>
      <c r="D213" t="str">
        <f ca="1">IFERROR(__xludf.DUMMYFUNCTION("""COMPUTED_VALUE"""),"01138318000104")</f>
        <v>01138318000104</v>
      </c>
      <c r="E213" t="str">
        <f ca="1">IFERROR(__xludf.DUMMYFUNCTION("""COMPUTED_VALUE"""),"104")</f>
        <v>104</v>
      </c>
      <c r="F213" t="str">
        <f ca="1">IFERROR(__xludf.DUMMYFUNCTION("""COMPUTED_VALUE"""),"1141")</f>
        <v>1141</v>
      </c>
      <c r="G213" t="str">
        <f ca="1">IFERROR(__xludf.DUMMYFUNCTION("""COMPUTED_VALUE"""),"307968")</f>
        <v>307968</v>
      </c>
      <c r="H213" s="7">
        <f ca="1">IFERROR(__xludf.DUMMYFUNCTION("""COMPUTED_VALUE"""),3450)</f>
        <v>3450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IFERROR(__xludf.DUMMYFUNCTION("""COMPUTED_VALUE"""),"Cristalandia")</f>
        <v>Cristalandia</v>
      </c>
      <c r="C214" t="str">
        <f ca="1">IFERROR(__xludf.DUMMYFUNCTION("""COMPUTED_VALUE"""),"ASS. APOIO DO COL. EST. DE CRISTALANDIA")</f>
        <v>ASS. APOIO DO COL. EST. DE CRISTALANDIA</v>
      </c>
      <c r="D214" t="str">
        <f ca="1">IFERROR(__xludf.DUMMYFUNCTION("""COMPUTED_VALUE"""),"01186467000130")</f>
        <v>01186467000130</v>
      </c>
      <c r="E214" t="str">
        <f ca="1">IFERROR(__xludf.DUMMYFUNCTION("""COMPUTED_VALUE"""),"001")</f>
        <v>001</v>
      </c>
      <c r="F214" t="str">
        <f ca="1">IFERROR(__xludf.DUMMYFUNCTION("""COMPUTED_VALUE"""),"3638")</f>
        <v>3638</v>
      </c>
      <c r="G214" t="str">
        <f ca="1">IFERROR(__xludf.DUMMYFUNCTION("""COMPUTED_VALUE"""),"17469")</f>
        <v>17469</v>
      </c>
      <c r="H214" s="7">
        <f ca="1">IFERROR(__xludf.DUMMYFUNCTION("""COMPUTED_VALUE"""),1990)</f>
        <v>1990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IFERROR(__xludf.DUMMYFUNCTION("""COMPUTED_VALUE"""),"APAE DE CRISTALÂNDIA")</f>
        <v>APAE DE CRISTALÂNDIA</v>
      </c>
      <c r="D215" t="str">
        <f ca="1">IFERROR(__xludf.DUMMYFUNCTION("""COMPUTED_VALUE"""),"01995319000167")</f>
        <v>01995319000167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IFERROR(__xludf.DUMMYFUNCTION("""COMPUTED_VALUE"""),"71315")</f>
        <v>71315</v>
      </c>
      <c r="H215" s="7">
        <f ca="1">IFERROR(__xludf.DUMMYFUNCTION("""COMPUTED_VALUE"""),30)</f>
        <v>30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IFERROR(__xludf.DUMMYFUNCTION("""COMPUTED_VALUE"""),"A.A. ESCOLA MUL.OTACILIO MARQUES ROSAL")</f>
        <v>A.A. ESCOLA MUL.OTACILIO MARQUES ROSAL</v>
      </c>
      <c r="D216" t="str">
        <f ca="1">IFERROR(__xludf.DUMMYFUNCTION("""COMPUTED_VALUE"""),"01071438000123")</f>
        <v>01071438000123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IFERROR(__xludf.DUMMYFUNCTION("""COMPUTED_VALUE"""),"7120X")</f>
        <v>7120X</v>
      </c>
      <c r="H216" s="7">
        <f ca="1">IFERROR(__xludf.DUMMYFUNCTION("""COMPUTED_VALUE"""),2760)</f>
        <v>2760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IFERROR(__xludf.DUMMYFUNCTION("""COMPUTED_VALUE"""),"Divinopolis do Tocantins")</f>
        <v>Divinopolis do Tocantins</v>
      </c>
      <c r="C217" t="str">
        <f ca="1">IFERROR(__xludf.DUMMYFUNCTION("""COMPUTED_VALUE"""),"A.A. DO COLEGIO MUL. JOAO DIAS SOBRINHO")</f>
        <v>A.A. DO COLEGIO MUL. JOAO DIAS SOBRINHO</v>
      </c>
      <c r="D217" t="str">
        <f ca="1">IFERROR(__xludf.DUMMYFUNCTION("""COMPUTED_VALUE"""),"01184383000168")</f>
        <v>01184383000168</v>
      </c>
      <c r="E217" t="str">
        <f ca="1">IFERROR(__xludf.DUMMYFUNCTION("""COMPUTED_VALUE"""),"001")</f>
        <v>001</v>
      </c>
      <c r="F217" t="str">
        <f ca="1">IFERROR(__xludf.DUMMYFUNCTION("""COMPUTED_VALUE"""),"3812")</f>
        <v>3812</v>
      </c>
      <c r="G217" t="str">
        <f ca="1">IFERROR(__xludf.DUMMYFUNCTION("""COMPUTED_VALUE"""),"275069")</f>
        <v>275069</v>
      </c>
      <c r="H217" s="7">
        <f ca="1">IFERROR(__xludf.DUMMYFUNCTION("""COMPUTED_VALUE"""),2740)</f>
        <v>2740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IFERROR(__xludf.DUMMYFUNCTION("""COMPUTED_VALUE"""),"ASS. APOIO ESC. EST. D. CANDIDA DE FREITAS")</f>
        <v>ASS. APOIO ESC. EST. D. CANDIDA DE FREITAS</v>
      </c>
      <c r="D218" t="str">
        <f ca="1">IFERROR(__xludf.DUMMYFUNCTION("""COMPUTED_VALUE"""),"01296363000189")</f>
        <v>01296363000189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IFERROR(__xludf.DUMMYFUNCTION("""COMPUTED_VALUE"""),"70629")</f>
        <v>70629</v>
      </c>
      <c r="H218" s="7">
        <f ca="1">IFERROR(__xludf.DUMMYFUNCTION("""COMPUTED_VALUE"""),2030)</f>
        <v>2030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IFERROR(__xludf.DUMMYFUNCTION("""COMPUTED_VALUE"""),"Lagoa da Confusao")</f>
        <v>Lagoa da Confusao</v>
      </c>
      <c r="C219" t="str">
        <f ca="1">IFERROR(__xludf.DUMMYFUNCTION("""COMPUTED_VALUE"""),"A.A.  ESTUD COL. EST. LAGOA DA CONFUSAO")</f>
        <v>A.A.  ESTUD COL. EST. LAGOA DA CONFUSAO</v>
      </c>
      <c r="D219" t="str">
        <f ca="1">IFERROR(__xludf.DUMMYFUNCTION("""COMPUTED_VALUE"""),"01179116000100")</f>
        <v>01179116000100</v>
      </c>
      <c r="E219" t="str">
        <f ca="1">IFERROR(__xludf.DUMMYFUNCTION("""COMPUTED_VALUE"""),"001")</f>
        <v>001</v>
      </c>
      <c r="F219" t="str">
        <f ca="1">IFERROR(__xludf.DUMMYFUNCTION("""COMPUTED_VALUE"""),"3983")</f>
        <v>3983</v>
      </c>
      <c r="G219" t="str">
        <f ca="1">IFERROR(__xludf.DUMMYFUNCTION("""COMPUTED_VALUE"""),"84735")</f>
        <v>84735</v>
      </c>
      <c r="H219" s="7">
        <f ca="1">IFERROR(__xludf.DUMMYFUNCTION("""COMPUTED_VALUE"""),860)</f>
        <v>860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IFERROR(__xludf.DUMMYFUNCTION("""COMPUTED_VALUE"""),"ASSOCIAÇÃO DA ESCOLA ESPECIAL LAGOA DA CONFUSÃO")</f>
        <v>ASSOCIAÇÃO DA ESCOLA ESPECIAL LAGOA DA CONFUSÃO</v>
      </c>
      <c r="D220" t="str">
        <f ca="1">IFERROR(__xludf.DUMMYFUNCTION("""COMPUTED_VALUE"""),"08755554000100")</f>
        <v>08755554000100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IFERROR(__xludf.DUMMYFUNCTION("""COMPUTED_VALUE"""),"83712")</f>
        <v>83712</v>
      </c>
      <c r="H220" s="7">
        <f ca="1">IFERROR(__xludf.DUMMYFUNCTION("""COMPUTED_VALUE"""),100)</f>
        <v>100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IFERROR(__xludf.DUMMYFUNCTION("""COMPUTED_VALUE"""),"Marianopolis do Tocantins")</f>
        <v>Marianopolis do Tocantins</v>
      </c>
      <c r="C221" t="str">
        <f ca="1">IFERROR(__xludf.DUMMYFUNCTION("""COMPUTED_VALUE"""),"A.A. DO COL. EST. DAVID BARBOSA ROLINS")</f>
        <v>A.A. DO COL. EST. DAVID BARBOSA ROLINS</v>
      </c>
      <c r="D221" t="str">
        <f ca="1">IFERROR(__xludf.DUMMYFUNCTION("""COMPUTED_VALUE"""),"01980050000145")</f>
        <v>01980050000145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IFERROR(__xludf.DUMMYFUNCTION("""COMPUTED_VALUE"""),"219045")</f>
        <v>219045</v>
      </c>
      <c r="H221" s="7">
        <f ca="1">IFERROR(__xludf.DUMMYFUNCTION("""COMPUTED_VALUE"""),1120)</f>
        <v>1120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IFERROR(__xludf.DUMMYFUNCTION("""COMPUTED_VALUE"""),"Nova Rosalandia")</f>
        <v>Nova Rosalandia</v>
      </c>
      <c r="C222" t="str">
        <f ca="1">IFERROR(__xludf.DUMMYFUNCTION("""COMPUTED_VALUE"""),"A. ESC. COM. ESC. EST.PEDRO XAVIER TEIXEIRA")</f>
        <v>A. ESC. COM. ESC. EST.PEDRO XAVIER TEIXEIRA</v>
      </c>
      <c r="D222" t="str">
        <f ca="1">IFERROR(__xludf.DUMMYFUNCTION("""COMPUTED_VALUE"""),"01068367000100")</f>
        <v>01068367000100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IFERROR(__xludf.DUMMYFUNCTION("""COMPUTED_VALUE"""),"234265")</f>
        <v>234265</v>
      </c>
      <c r="H222" s="7">
        <f ca="1">IFERROR(__xludf.DUMMYFUNCTION("""COMPUTED_VALUE"""),820)</f>
        <v>820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IFERROR(__xludf.DUMMYFUNCTION("""COMPUTED_VALUE"""),"A.A. A ESCOLA ESTADUAL CAMPO MAIOR")</f>
        <v>A.A. A ESCOLA ESTADUAL CAMPO MAIOR</v>
      </c>
      <c r="D223" t="str">
        <f ca="1">IFERROR(__xludf.DUMMYFUNCTION("""COMPUTED_VALUE"""),"01068373000167")</f>
        <v>01068373000167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IFERROR(__xludf.DUMMYFUNCTION("""COMPUTED_VALUE"""),"341290")</f>
        <v>341290</v>
      </c>
      <c r="H223" s="7">
        <f ca="1">IFERROR(__xludf.DUMMYFUNCTION("""COMPUTED_VALUE"""),340)</f>
        <v>340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COLÉGIO MILITAR DIACONÍZIO BEZERRA DA SILVA")</f>
        <v>A.A. COLÉGIO MILITAR DIACONÍZIO BEZERRA DA SILVA</v>
      </c>
      <c r="D224" t="str">
        <f ca="1">IFERROR(__xludf.DUMMYFUNCTION("""COMPUTED_VALUE"""),"11675300000197")</f>
        <v>11675300000197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IFERROR(__xludf.DUMMYFUNCTION("""COMPUTED_VALUE"""),"320781")</f>
        <v>320781</v>
      </c>
      <c r="H224" s="7">
        <f ca="1">IFERROR(__xludf.DUMMYFUNCTION("""COMPUTED_VALUE"""),5960)</f>
        <v>5960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IFERROR(__xludf.DUMMYFUNCTION("""COMPUTED_VALUE"""),"ASSOC. DE APOIO ESC. EST.IDALINA DE PAULA")</f>
        <v>ASSOC. DE APOIO ESC. EST.IDALINA DE PAULA</v>
      </c>
      <c r="D225" t="str">
        <f ca="1">IFERROR(__xludf.DUMMYFUNCTION("""COMPUTED_VALUE"""),"01066419000109")</f>
        <v>01066419000109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IFERROR(__xludf.DUMMYFUNCTION("""COMPUTED_VALUE"""),"115797")</f>
        <v>115797</v>
      </c>
      <c r="H225" s="7">
        <f ca="1">IFERROR(__xludf.DUMMYFUNCTION("""COMPUTED_VALUE"""),3390)</f>
        <v>3390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IFERROR(__xludf.DUMMYFUNCTION("""COMPUTED_VALUE"""),"AAE. ESPECIAL LUZ DA VIDA")</f>
        <v>AAE. ESPECIAL LUZ DA VIDA</v>
      </c>
      <c r="D226" t="str">
        <f ca="1">IFERROR(__xludf.DUMMYFUNCTION("""COMPUTED_VALUE"""),"07905330000175")</f>
        <v>07905330000175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IFERROR(__xludf.DUMMYFUNCTION("""COMPUTED_VALUE"""),"331724")</f>
        <v>331724</v>
      </c>
      <c r="H226" s="7">
        <f ca="1">IFERROR(__xludf.DUMMYFUNCTION("""COMPUTED_VALUE"""),250)</f>
        <v>250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IFERROR(__xludf.DUMMYFUNCTION("""COMPUTED_VALUE"""),"ASS. DE APOIO ESC. EST. AMANCIO DE MORAES")</f>
        <v>ASS. DE APOIO ESC. EST. AMANCIO DE MORAES</v>
      </c>
      <c r="D227" t="str">
        <f ca="1">IFERROR(__xludf.DUMMYFUNCTION("""COMPUTED_VALUE"""),"01068375000156")</f>
        <v>01068375000156</v>
      </c>
      <c r="E227" t="str">
        <f ca="1">IFERROR(__xludf.DUMMYFUNCTION("""COMPUTED_VALUE"""),"104")</f>
        <v>104</v>
      </c>
      <c r="F227" t="str">
        <f ca="1">IFERROR(__xludf.DUMMYFUNCTION("""COMPUTED_VALUE"""),"1141")</f>
        <v>1141</v>
      </c>
      <c r="G227" t="str">
        <f ca="1">IFERROR(__xludf.DUMMYFUNCTION("""COMPUTED_VALUE"""),"308140")</f>
        <v>308140</v>
      </c>
      <c r="H227" s="7">
        <f ca="1">IFERROR(__xludf.DUMMYFUNCTION("""COMPUTED_VALUE"""),2500)</f>
        <v>2500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IFERROR(__xludf.DUMMYFUNCTION("""COMPUTED_VALUE"""),"A.A. ESCOLA ESTADUAL DEUSA DE MORAES")</f>
        <v>A.A. ESCOLA ESTADUAL DEUSA DE MORAES</v>
      </c>
      <c r="D228" t="str">
        <f ca="1">IFERROR(__xludf.DUMMYFUNCTION("""COMPUTED_VALUE"""),"01068362000187")</f>
        <v>01068362000187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IFERROR(__xludf.DUMMYFUNCTION("""COMPUTED_VALUE"""),"304549")</f>
        <v>304549</v>
      </c>
      <c r="H228" s="7">
        <f ca="1">IFERROR(__xludf.DUMMYFUNCTION("""COMPUTED_VALUE"""),3660)</f>
        <v>3660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 ESC COM. DA ESC EST J.K. DE OLIVEIRA")</f>
        <v>A. ESC COM. DA ESC EST J.K. DE OLIVEIRA</v>
      </c>
      <c r="D229" t="str">
        <f ca="1">IFERROR(__xludf.DUMMYFUNCTION("""COMPUTED_VALUE"""),"00921537000194")</f>
        <v>00921537000194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IFERROR(__xludf.DUMMYFUNCTION("""COMPUTED_VALUE"""),"163821")</f>
        <v>163821</v>
      </c>
      <c r="H229" s="7">
        <f ca="1">IFERROR(__xludf.DUMMYFUNCTION("""COMPUTED_VALUE"""),2660)</f>
        <v>2660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IFERROR(__xludf.DUMMYFUNCTION("""COMPUTED_VALUE"""),"A.A.  ESCOLA EST. SAO JOSE OPERARIO")</f>
        <v>A.A.  ESCOLA EST. SAO JOSE OPERARIO</v>
      </c>
      <c r="D230" t="str">
        <f ca="1">IFERROR(__xludf.DUMMYFUNCTION("""COMPUTED_VALUE"""),"01186454000161")</f>
        <v>01186454000161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IFERROR(__xludf.DUMMYFUNCTION("""COMPUTED_VALUE"""),"285986")</f>
        <v>285986</v>
      </c>
      <c r="H230" s="7">
        <f ca="1">IFERROR(__xludf.DUMMYFUNCTION("""COMPUTED_VALUE"""),4270)</f>
        <v>4270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DO COL. PRESB. VALE DO TOCANTINS")</f>
        <v>A.A. DO COL. PRESB. VALE DO TOCANTINS</v>
      </c>
      <c r="D231" t="str">
        <f ca="1">IFERROR(__xludf.DUMMYFUNCTION("""COMPUTED_VALUE"""),"01071426000107")</f>
        <v>01071426000107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IFERROR(__xludf.DUMMYFUNCTION("""COMPUTED_VALUE"""),"311618")</f>
        <v>311618</v>
      </c>
      <c r="H231" s="7">
        <f ca="1">IFERROR(__xludf.DUMMYFUNCTION("""COMPUTED_VALUE"""),4930)</f>
        <v>4930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IFERROR(__xludf.DUMMYFUNCTION("""COMPUTED_VALUE"""),"Pium")</f>
        <v>Pium</v>
      </c>
      <c r="C232" t="str">
        <f ca="1">IFERROR(__xludf.DUMMYFUNCTION("""COMPUTED_VALUE"""),"A.A. COLEGIO ESTADUAL BARTOLOMEU BUENO")</f>
        <v>A.A. COLEGIO ESTADUAL BARTOLOMEU BUENO</v>
      </c>
      <c r="D232" t="str">
        <f ca="1">IFERROR(__xludf.DUMMYFUNCTION("""COMPUTED_VALUE"""),"01071436000134")</f>
        <v>01071436000134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IFERROR(__xludf.DUMMYFUNCTION("""COMPUTED_VALUE"""),"286206")</f>
        <v>286206</v>
      </c>
      <c r="H232" s="7">
        <f ca="1">IFERROR(__xludf.DUMMYFUNCTION("""COMPUTED_VALUE"""),590)</f>
        <v>590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IFERROR(__xludf.DUMMYFUNCTION("""COMPUTED_VALUE"""),"Pugmil")</f>
        <v>Pugmil</v>
      </c>
      <c r="C233" t="str">
        <f ca="1">IFERROR(__xludf.DUMMYFUNCTION("""COMPUTED_VALUE"""),"A.A. DA ESC. EST. DARCY RIBEIRO")</f>
        <v>A.A. DA ESC. EST. DARCY RIBEIRO</v>
      </c>
      <c r="D233" t="str">
        <f ca="1">IFERROR(__xludf.DUMMYFUNCTION("""COMPUTED_VALUE"""),"02382845000114")</f>
        <v>02382845000114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IFERROR(__xludf.DUMMYFUNCTION("""COMPUTED_VALUE"""),"286648")</f>
        <v>286648</v>
      </c>
      <c r="H233" s="7">
        <f ca="1">IFERROR(__xludf.DUMMYFUNCTION("""COMPUTED_VALUE"""),610)</f>
        <v>610</v>
      </c>
      <c r="I233" t="str">
        <v>ENS FUND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IFERROR(__xludf.DUMMYFUNCTION("""COMPUTED_VALUE"""),"Bom Jesus do Tocantins")</f>
        <v>Bom Jesus do Tocantins</v>
      </c>
      <c r="C234" t="str">
        <f ca="1">IFERROR(__xludf.DUMMYFUNCTION("""COMPUTED_VALUE"""),"ASSOC. DE AP.A ESC. EST. ALFREDO NASSER")</f>
        <v>ASSOC. DE AP.A ESC. EST. ALFREDO NASSER</v>
      </c>
      <c r="D234" t="str">
        <f ca="1">IFERROR(__xludf.DUMMYFUNCTION("""COMPUTED_VALUE"""),"01138329000186")</f>
        <v>01138329000186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IFERROR(__xludf.DUMMYFUNCTION("""COMPUTED_VALUE"""),"59277")</f>
        <v>59277</v>
      </c>
      <c r="H234" s="7">
        <f ca="1">IFERROR(__xludf.DUMMYFUNCTION("""COMPUTED_VALUE"""),2600)</f>
        <v>2600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IFERROR(__xludf.DUMMYFUNCTION("""COMPUTED_VALUE"""),"Centenario")</f>
        <v>Centenario</v>
      </c>
      <c r="C235" t="str">
        <f ca="1">IFERROR(__xludf.DUMMYFUNCTION("""COMPUTED_VALUE"""),"A. ESC. COM. DO COL. EST. OTONIEL C.DE JESUS")</f>
        <v>A. ESC. COM. DO COL. EST. OTONIEL C.DE JESUS</v>
      </c>
      <c r="D235" t="str">
        <f ca="1">IFERROR(__xludf.DUMMYFUNCTION("""COMPUTED_VALUE"""),"02008180000183")</f>
        <v>02008180000183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IFERROR(__xludf.DUMMYFUNCTION("""COMPUTED_VALUE"""),"10081")</f>
        <v>10081</v>
      </c>
      <c r="H235" s="7">
        <f ca="1">IFERROR(__xludf.DUMMYFUNCTION("""COMPUTED_VALUE"""),320)</f>
        <v>320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IFERROR(__xludf.DUMMYFUNCTION("""COMPUTED_VALUE"""),"Itacaja")</f>
        <v>Itacaja</v>
      </c>
      <c r="C236" t="str">
        <f ca="1">IFERROR(__xludf.DUMMYFUNCTION("""COMPUTED_VALUE"""),"A.A. COLEGIO ESTADUAL DE ITACAJA")</f>
        <v>A.A. COLEGIO ESTADUAL DE ITACAJA</v>
      </c>
      <c r="D236" t="str">
        <f ca="1">IFERROR(__xludf.DUMMYFUNCTION("""COMPUTED_VALUE"""),"01138428000168")</f>
        <v>01138428000168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IFERROR(__xludf.DUMMYFUNCTION("""COMPUTED_VALUE"""),"59773")</f>
        <v>59773</v>
      </c>
      <c r="H236" s="7">
        <f ca="1">IFERROR(__xludf.DUMMYFUNCTION("""COMPUTED_VALUE"""),3080)</f>
        <v>3080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IFERROR(__xludf.DUMMYFUNCTION("""COMPUTED_VALUE"""),"ASSOC. APOIO ESC. EST. ALMEIDA SARDINHA")</f>
        <v>ASSOC. APOIO ESC. EST. ALMEIDA SARDINHA</v>
      </c>
      <c r="D237" t="str">
        <f ca="1">IFERROR(__xludf.DUMMYFUNCTION("""COMPUTED_VALUE"""),"01138335000133")</f>
        <v>01138335000133</v>
      </c>
      <c r="E237" t="str">
        <f ca="1">IFERROR(__xludf.DUMMYFUNCTION("""COMPUTED_VALUE"""),"001")</f>
        <v>001</v>
      </c>
      <c r="F237" t="str">
        <f ca="1">IFERROR(__xludf.DUMMYFUNCTION("""COMPUTED_VALUE"""),"2094")</f>
        <v>2094</v>
      </c>
      <c r="G237" t="str">
        <f ca="1">IFERROR(__xludf.DUMMYFUNCTION("""COMPUTED_VALUE"""),"466484")</f>
        <v>466484</v>
      </c>
      <c r="H237" s="7">
        <f ca="1">IFERROR(__xludf.DUMMYFUNCTION("""COMPUTED_VALUE"""),920)</f>
        <v>920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IFERROR(__xludf.DUMMYFUNCTION("""COMPUTED_VALUE"""),"Pedro Afonso")</f>
        <v>Pedro Afonso</v>
      </c>
      <c r="C238" t="str">
        <f ca="1">IFERROR(__xludf.DUMMYFUNCTION("""COMPUTED_VALUE"""),"A.A. E. EST.IS.DA REG.DE ENS.DE GUARAI")</f>
        <v>A.A. E. EST.IS.DA REG.DE ENS.DE GUARAI</v>
      </c>
      <c r="D238" t="str">
        <f ca="1">IFERROR(__xludf.DUMMYFUNCTION("""COMPUTED_VALUE"""),"02508361000179")</f>
        <v>02508361000179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IFERROR(__xludf.DUMMYFUNCTION("""COMPUTED_VALUE"""),"110663")</f>
        <v>110663</v>
      </c>
      <c r="H238" s="7">
        <f ca="1">IFERROR(__xludf.DUMMYFUNCTION("""COMPUTED_VALUE"""),720)</f>
        <v>720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IFERROR(__xludf.DUMMYFUNCTION("""COMPUTED_VALUE"""),"ASSOCIAÇÃO DE PAIS E AMIGOS DOS EXCEPCIONAIS DE PEDRO AFONSO")</f>
        <v>ASSOCIAÇÃO DE PAIS E AMIGOS DOS EXCEPCIONAIS DE PEDRO AFONSO</v>
      </c>
      <c r="D239" t="str">
        <f ca="1">IFERROR(__xludf.DUMMYFUNCTION("""COMPUTED_VALUE"""),"04406588000139")</f>
        <v>04406588000139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IFERROR(__xludf.DUMMYFUNCTION("""COMPUTED_VALUE"""),"119105")</f>
        <v>119105</v>
      </c>
      <c r="H239" s="7">
        <f ca="1">IFERROR(__xludf.DUMMYFUNCTION("""COMPUTED_VALUE"""),50)</f>
        <v>50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IFERROR(__xludf.DUMMYFUNCTION("""COMPUTED_VALUE"""),"A. DE PAIS E MEST. DA ESC. EST. ANA AMORIM")</f>
        <v>A. DE PAIS E MEST. DA ESC. EST. ANA AMORIM</v>
      </c>
      <c r="D240" t="str">
        <f ca="1">IFERROR(__xludf.DUMMYFUNCTION("""COMPUTED_VALUE"""),"01990364000129")</f>
        <v>01990364000129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IFERROR(__xludf.DUMMYFUNCTION("""COMPUTED_VALUE"""),"59722")</f>
        <v>59722</v>
      </c>
      <c r="H240" s="7">
        <f ca="1">IFERROR(__xludf.DUMMYFUNCTION("""COMPUTED_VALUE"""),4920)</f>
        <v>4920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IFERROR(__xludf.DUMMYFUNCTION("""COMPUTED_VALUE"""),"ASS. DE APOIO A ESCOLA ESTADUAL BOM TEMPO")</f>
        <v>ASS. DE APOIO A ESCOLA ESTADUAL BOM TEMPO</v>
      </c>
      <c r="D241" t="str">
        <f ca="1">IFERROR(__xludf.DUMMYFUNCTION("""COMPUTED_VALUE"""),"44776099000193")</f>
        <v>44776099000193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IFERROR(__xludf.DUMMYFUNCTION("""COMPUTED_VALUE"""),"324981")</f>
        <v>324981</v>
      </c>
      <c r="H241" s="7">
        <f ca="1">IFERROR(__xludf.DUMMYFUNCTION("""COMPUTED_VALUE"""),410)</f>
        <v>410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IFERROR(__xludf.DUMMYFUNCTION("""COMPUTED_VALUE"""),"Recursolandia")</f>
        <v>Recursolandia</v>
      </c>
      <c r="C242" t="str">
        <f ca="1">IFERROR(__xludf.DUMMYFUNCTION("""COMPUTED_VALUE"""),"ASS. DE A. A ESCOLA EST. RECURSO I")</f>
        <v>ASS. DE A. A ESCOLA EST. RECURSO I</v>
      </c>
      <c r="D242" t="str">
        <f ca="1">IFERROR(__xludf.DUMMYFUNCTION("""COMPUTED_VALUE"""),"02021097000144")</f>
        <v>02021097000144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IFERROR(__xludf.DUMMYFUNCTION("""COMPUTED_VALUE"""),"11029")</f>
        <v>11029</v>
      </c>
      <c r="H242" s="7">
        <f ca="1">IFERROR(__xludf.DUMMYFUNCTION("""COMPUTED_VALUE"""),1210)</f>
        <v>1210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IFERROR(__xludf.DUMMYFUNCTION("""COMPUTED_VALUE"""),"Santa Maria do Tocantins")</f>
        <v>Santa Maria do Tocantins</v>
      </c>
      <c r="C243" t="str">
        <f ca="1">IFERROR(__xludf.DUMMYFUNCTION("""COMPUTED_VALUE"""),"A. A.AS ESC.DO COL. EST. SANTA MARIA")</f>
        <v>A. A.AS ESC.DO COL. EST. SANTA MARIA</v>
      </c>
      <c r="D243" t="str">
        <f ca="1">IFERROR(__xludf.DUMMYFUNCTION("""COMPUTED_VALUE"""),"02087933000193")</f>
        <v>02087933000193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IFERROR(__xludf.DUMMYFUNCTION("""COMPUTED_VALUE"""),"83089")</f>
        <v>83089</v>
      </c>
      <c r="H243" s="7">
        <f ca="1">IFERROR(__xludf.DUMMYFUNCTION("""COMPUTED_VALUE"""),1380)</f>
        <v>1380</v>
      </c>
      <c r="I243" t="str">
        <v>ENS FUND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IFERROR(__xludf.DUMMYFUNCTION("""COMPUTED_VALUE"""),"Fatima")</f>
        <v>Fatima</v>
      </c>
      <c r="C244" t="str">
        <f ca="1">IFERROR(__xludf.DUMMYFUNCTION("""COMPUTED_VALUE"""),"A.A. ESCOLA ESTADUAL CONCEICAO BRITO")</f>
        <v>A.A. ESCOLA ESTADUAL CONCEICAO BRITO</v>
      </c>
      <c r="D244" t="str">
        <f ca="1">IFERROR(__xludf.DUMMYFUNCTION("""COMPUTED_VALUE"""),"01268285000109")</f>
        <v>01268285000109</v>
      </c>
      <c r="E244" t="str">
        <f ca="1">IFERROR(__xludf.DUMMYFUNCTION("""COMPUTED_VALUE"""),"001")</f>
        <v>001</v>
      </c>
      <c r="F244" t="str">
        <f ca="1">IFERROR(__xludf.DUMMYFUNCTION("""COMPUTED_VALUE"""),"4107")</f>
        <v>4107</v>
      </c>
      <c r="G244" t="str">
        <f ca="1">IFERROR(__xludf.DUMMYFUNCTION("""COMPUTED_VALUE"""),"50911")</f>
        <v>50911</v>
      </c>
      <c r="H244" s="7">
        <f ca="1">IFERROR(__xludf.DUMMYFUNCTION("""COMPUTED_VALUE"""),2690)</f>
        <v>2690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IFERROR(__xludf.DUMMYFUNCTION("""COMPUTED_VALUE"""),"Ipueiras")</f>
        <v>Ipueiras</v>
      </c>
      <c r="C245" t="str">
        <f ca="1">IFERROR(__xludf.DUMMYFUNCTION("""COMPUTED_VALUE"""),"ASSOC. DE APOIO DA ESC. EST. FELIX CAMOA")</f>
        <v>ASSOC. DE APOIO DA ESC. EST. FELIX CAMOA</v>
      </c>
      <c r="D245" t="str">
        <f ca="1">IFERROR(__xludf.DUMMYFUNCTION("""COMPUTED_VALUE"""),"01469443000199")</f>
        <v>01469443000199</v>
      </c>
      <c r="E245" t="str">
        <f ca="1">IFERROR(__xludf.DUMMYFUNCTION("""COMPUTED_VALUE"""),"001")</f>
        <v>001</v>
      </c>
      <c r="F245" t="str">
        <f ca="1">IFERROR(__xludf.DUMMYFUNCTION("""COMPUTED_VALUE"""),"1117")</f>
        <v>1117</v>
      </c>
      <c r="G245" t="str">
        <f ca="1">IFERROR(__xludf.DUMMYFUNCTION("""COMPUTED_VALUE"""),"315052")</f>
        <v>315052</v>
      </c>
      <c r="H245" s="7">
        <f ca="1">IFERROR(__xludf.DUMMYFUNCTION("""COMPUTED_VALUE"""),200)</f>
        <v>200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IFERROR(__xludf.DUMMYFUNCTION("""COMPUTED_VALUE"""),"Monte do Carmo")</f>
        <v>Monte do Carmo</v>
      </c>
      <c r="C246" t="str">
        <f ca="1">IFERROR(__xludf.DUMMYFUNCTION("""COMPUTED_VALUE"""),"A.A.  DO COLEGIO EST. PADRE GAMA")</f>
        <v>A.A.  DO COLEGIO EST. PADRE GAMA</v>
      </c>
      <c r="D246" t="str">
        <f ca="1">IFERROR(__xludf.DUMMYFUNCTION("""COMPUTED_VALUE"""),"01071443000136")</f>
        <v>01071443000136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IFERROR(__xludf.DUMMYFUNCTION("""COMPUTED_VALUE"""),"0312878")</f>
        <v>0312878</v>
      </c>
      <c r="H246" s="7">
        <f ca="1">IFERROR(__xludf.DUMMYFUNCTION("""COMPUTED_VALUE"""),1430)</f>
        <v>1430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IFERROR(__xludf.DUMMYFUNCTION("""COMPUTED_VALUE"""),"ASSOC. APOIA A ESC. EST. PROF.DINA DE OLIVEIRA AMORIM")</f>
        <v>ASSOC. APOIA A ESC. EST. PROF.DINA DE OLIVEIRA AMORIM</v>
      </c>
      <c r="D247" t="str">
        <f ca="1">IFERROR(__xludf.DUMMYFUNCTION("""COMPUTED_VALUE"""),"16437349000125")</f>
        <v>16437349000125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IFERROR(__xludf.DUMMYFUNCTION("""COMPUTED_VALUE"""),"339113")</f>
        <v>339113</v>
      </c>
      <c r="H247" s="7">
        <f ca="1">IFERROR(__xludf.DUMMYFUNCTION("""COMPUTED_VALUE"""),720)</f>
        <v>720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IFERROR(__xludf.DUMMYFUNCTION("""COMPUTED_VALUE"""),"Natividade")</f>
        <v>Natividade</v>
      </c>
      <c r="C248" t="str">
        <f ca="1">IFERROR(__xludf.DUMMYFUNCTION("""COMPUTED_VALUE"""),"A.A. COL. EST. DR.QUINTILIANO DA SILVA")</f>
        <v>A.A. COL. EST. DR.QUINTILIANO DA SILVA</v>
      </c>
      <c r="D248" t="str">
        <f ca="1">IFERROR(__xludf.DUMMYFUNCTION("""COMPUTED_VALUE"""),"01133702000106")</f>
        <v>01133702000106</v>
      </c>
      <c r="E248" t="str">
        <f ca="1">IFERROR(__xludf.DUMMYFUNCTION("""COMPUTED_VALUE"""),"003")</f>
        <v>003</v>
      </c>
      <c r="F248" t="str">
        <f ca="1">IFERROR(__xludf.DUMMYFUNCTION("""COMPUTED_VALUE"""),"0037")</f>
        <v>0037</v>
      </c>
      <c r="G248" t="str">
        <f ca="1">IFERROR(__xludf.DUMMYFUNCTION("""COMPUTED_VALUE"""),"0702727")</f>
        <v>0702727</v>
      </c>
      <c r="H248" s="7">
        <f ca="1">IFERROR(__xludf.DUMMYFUNCTION("""COMPUTED_VALUE"""),1550)</f>
        <v>1550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IFERROR(__xludf.DUMMYFUNCTION("""COMPUTED_VALUE"""),"ASSOC. DE APOIO A ESC. ESPECIAL TIA CORACI DE SENA FERNANDES")</f>
        <v>ASSOC. DE APOIO A ESC. ESPECIAL TIA CORACI DE SENA FERNANDES</v>
      </c>
      <c r="D249" t="str">
        <f ca="1">IFERROR(__xludf.DUMMYFUNCTION("""COMPUTED_VALUE"""),"17163914000176")</f>
        <v>17163914000176</v>
      </c>
      <c r="E249" t="str">
        <f ca="1">IFERROR(__xludf.DUMMYFUNCTION("""COMPUTED_VALUE"""),"001")</f>
        <v>001</v>
      </c>
      <c r="F249" t="str">
        <f ca="1">IFERROR(__xludf.DUMMYFUNCTION("""COMPUTED_VALUE"""),"2334")</f>
        <v>2334</v>
      </c>
      <c r="G249" t="str">
        <f ca="1">IFERROR(__xludf.DUMMYFUNCTION("""COMPUTED_VALUE"""),"19860")</f>
        <v>19860</v>
      </c>
      <c r="H249" s="7">
        <f ca="1">IFERROR(__xludf.DUMMYFUNCTION("""COMPUTED_VALUE"""),80)</f>
        <v>80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IFERROR(__xludf.DUMMYFUNCTION("""COMPUTED_VALUE"""),"ASS. APOIO ESC. EST. JOAQUIM LINO SUARTE")</f>
        <v>ASS. APOIO ESC. EST. JOAQUIM LINO SUARTE</v>
      </c>
      <c r="D250" t="str">
        <f ca="1">IFERROR(__xludf.DUMMYFUNCTION("""COMPUTED_VALUE"""),"01133708000183")</f>
        <v>01133708000183</v>
      </c>
      <c r="E250" t="str">
        <f ca="1">IFERROR(__xludf.DUMMYFUNCTION("""COMPUTED_VALUE"""),"003")</f>
        <v>003</v>
      </c>
      <c r="F250" t="str">
        <f ca="1">IFERROR(__xludf.DUMMYFUNCTION("""COMPUTED_VALUE"""),"0037")</f>
        <v>0037</v>
      </c>
      <c r="G250" t="str">
        <f ca="1">IFERROR(__xludf.DUMMYFUNCTION("""COMPUTED_VALUE"""),"0702670")</f>
        <v>0702670</v>
      </c>
      <c r="H250" s="7">
        <f ca="1">IFERROR(__xludf.DUMMYFUNCTION("""COMPUTED_VALUE"""),1610)</f>
        <v>1610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IFERROR(__xludf.DUMMYFUNCTION("""COMPUTED_VALUE"""),"A.A. E. EST.NOSSA SENHORA DE FATIMA")</f>
        <v>A.A. E. EST.NOSSA SENHORA DE FATIMA</v>
      </c>
      <c r="D251" t="str">
        <f ca="1">IFERROR(__xludf.DUMMYFUNCTION("""COMPUTED_VALUE"""),"01064860000151")</f>
        <v>01064860000151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IFERROR(__xludf.DUMMYFUNCTION("""COMPUTED_VALUE"""),"0702646")</f>
        <v>0702646</v>
      </c>
      <c r="H251" s="7">
        <f ca="1">IFERROR(__xludf.DUMMYFUNCTION("""COMPUTED_VALUE"""),3000)</f>
        <v>3000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IFERROR(__xludf.DUMMYFUNCTION("""COMPUTED_VALUE"""),"Oliveira de Fatima")</f>
        <v>Oliveira de Fatima</v>
      </c>
      <c r="C252" t="str">
        <f ca="1">IFERROR(__xludf.DUMMYFUNCTION("""COMPUTED_VALUE"""),"ASS. DE APOIO DA ESC. EST.RIACHUELO")</f>
        <v>ASS. DE APOIO DA ESC. EST.RIACHUELO</v>
      </c>
      <c r="D252" t="str">
        <f ca="1">IFERROR(__xludf.DUMMYFUNCTION("""COMPUTED_VALUE"""),"01696068000110")</f>
        <v>01696068000110</v>
      </c>
      <c r="E252" t="str">
        <f ca="1">IFERROR(__xludf.DUMMYFUNCTION("""COMPUTED_VALUE"""),"001")</f>
        <v>001</v>
      </c>
      <c r="F252" t="str">
        <f ca="1">IFERROR(__xludf.DUMMYFUNCTION("""COMPUTED_VALUE"""),"4107")</f>
        <v>4107</v>
      </c>
      <c r="G252" t="str">
        <f ca="1">IFERROR(__xludf.DUMMYFUNCTION("""COMPUTED_VALUE"""),"319511")</f>
        <v>319511</v>
      </c>
      <c r="H252" s="7">
        <f ca="1">IFERROR(__xludf.DUMMYFUNCTION("""COMPUTED_VALUE"""),180)</f>
        <v>180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IFERROR(__xludf.DUMMYFUNCTION("""COMPUTED_VALUE"""),"Pindorama do Tocantins")</f>
        <v>Pindorama do Tocantins</v>
      </c>
      <c r="C253" t="str">
        <f ca="1">IFERROR(__xludf.DUMMYFUNCTION("""COMPUTED_VALUE"""),"A.A. E. E. DEP.JOSE A. DE ASSIS")</f>
        <v>A.A. E. E. DEP.JOSE A. DE ASSIS</v>
      </c>
      <c r="D253" t="str">
        <f ca="1">IFERROR(__xludf.DUMMYFUNCTION("""COMPUTED_VALUE"""),"01066411000142")</f>
        <v>01066411000142</v>
      </c>
      <c r="E253" t="str">
        <f ca="1">IFERROR(__xludf.DUMMYFUNCTION("""COMPUTED_VALUE"""),"001")</f>
        <v>001</v>
      </c>
      <c r="F253" t="str">
        <f ca="1">IFERROR(__xludf.DUMMYFUNCTION("""COMPUTED_VALUE"""),"1117")</f>
        <v>1117</v>
      </c>
      <c r="G253" t="str">
        <f ca="1">IFERROR(__xludf.DUMMYFUNCTION("""COMPUTED_VALUE"""),"312770")</f>
        <v>312770</v>
      </c>
      <c r="H253" s="7">
        <f ca="1">IFERROR(__xludf.DUMMYFUNCTION("""COMPUTED_VALUE"""),1440)</f>
        <v>1440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IFERROR(__xludf.DUMMYFUNCTION("""COMPUTED_VALUE"""),"Ponte Alta do Tocantins")</f>
        <v>Ponte Alta do Tocantins</v>
      </c>
      <c r="C254" t="str">
        <f ca="1">IFERROR(__xludf.DUMMYFUNCTION("""COMPUTED_VALUE"""),"ASS. A. AO COL. EST. ODOLFO SOARES")</f>
        <v>ASS. A. AO COL. EST. ODOLFO SOARES</v>
      </c>
      <c r="D254" t="str">
        <f ca="1">IFERROR(__xludf.DUMMYFUNCTION("""COMPUTED_VALUE"""),"01342866000143")</f>
        <v>01342866000143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IFERROR(__xludf.DUMMYFUNCTION("""COMPUTED_VALUE"""),"333921")</f>
        <v>333921</v>
      </c>
      <c r="H254" s="7">
        <f ca="1">IFERROR(__xludf.DUMMYFUNCTION("""COMPUTED_VALUE"""),6180)</f>
        <v>6180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APOIO DA ESCOLA EST. ALCIDES RUFO")</f>
        <v>ASS. APOIO DA ESCOLA EST. ALCIDES RUFO</v>
      </c>
      <c r="D255" t="str">
        <f ca="1">IFERROR(__xludf.DUMMYFUNCTION("""COMPUTED_VALUE"""),"01192931000100")</f>
        <v>01192931000100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IFERROR(__xludf.DUMMYFUNCTION("""COMPUTED_VALUE"""),"313785")</f>
        <v>313785</v>
      </c>
      <c r="H255" s="7">
        <f ca="1">IFERROR(__xludf.DUMMYFUNCTION("""COMPUTED_VALUE"""),2610)</f>
        <v>2610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DE APOIO A ESCOLA EST. ESPECIAL AMILSON FRAZÃO DOS REIS")</f>
        <v>ASS. DE APOIO A ESCOLA EST. ESPECIAL AMILSON FRAZÃO DOS REIS</v>
      </c>
      <c r="D256" t="str">
        <f ca="1">IFERROR(__xludf.DUMMYFUNCTION("""COMPUTED_VALUE"""),"20309905000155")</f>
        <v>20309905000155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IFERROR(__xludf.DUMMYFUNCTION("""COMPUTED_VALUE"""),"567426")</f>
        <v>567426</v>
      </c>
      <c r="H256" s="7">
        <f ca="1">IFERROR(__xludf.DUMMYFUNCTION("""COMPUTED_VALUE"""),80)</f>
        <v>80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IFERROR(__xludf.DUMMYFUNCTION("""COMPUTED_VALUE"""),"ASSOC. DE A.DO CEM PROFº. FLORÊNCIO AIRES DA SILVA")</f>
        <v>ASSOC. DE A.DO CEM PROFº. FLORÊNCIO AIRES DA SILVA</v>
      </c>
      <c r="D257" t="str">
        <f ca="1">IFERROR(__xludf.DUMMYFUNCTION("""COMPUTED_VALUE"""),"01138326000142")</f>
        <v>01138326000142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IFERROR(__xludf.DUMMYFUNCTION("""COMPUTED_VALUE"""),"5500X")</f>
        <v>5500X</v>
      </c>
      <c r="H257" s="7">
        <f ca="1">IFERROR(__xludf.DUMMYFUNCTION("""COMPUTED_VALUE"""),1020)</f>
        <v>1020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 E. COM. ESC. CONV. ANGELICA R. ARANHA")</f>
        <v>A. E. COM. ESC. CONV. ANGELICA R. ARANHA</v>
      </c>
      <c r="D258" t="str">
        <f ca="1">IFERROR(__xludf.DUMMYFUNCTION("""COMPUTED_VALUE"""),"01075455000139")</f>
        <v>01075455000139</v>
      </c>
      <c r="E258" t="str">
        <f ca="1">IFERROR(__xludf.DUMMYFUNCTION("""COMPUTED_VALUE"""),"104")</f>
        <v>104</v>
      </c>
      <c r="F258" t="str">
        <f ca="1">IFERROR(__xludf.DUMMYFUNCTION("""COMPUTED_VALUE"""),"1829")</f>
        <v>1829</v>
      </c>
      <c r="G258" t="str">
        <f ca="1">IFERROR(__xludf.DUMMYFUNCTION("""COMPUTED_VALUE"""),"307313")</f>
        <v>307313</v>
      </c>
      <c r="H258" s="7">
        <f ca="1">IFERROR(__xludf.DUMMYFUNCTION("""COMPUTED_VALUE"""),1470)</f>
        <v>1470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IFERROR(__xludf.DUMMYFUNCTION("""COMPUTED_VALUE"""),"A.A. ESC. EST. DR.PEDRO LUDOVICO TEIXEIRA")</f>
        <v>A.A. ESC. EST. DR.PEDRO LUDOVICO TEIXEIRA</v>
      </c>
      <c r="D259" t="str">
        <f ca="1">IFERROR(__xludf.DUMMYFUNCTION("""COMPUTED_VALUE"""),"01135997000150")</f>
        <v>01135997000150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IFERROR(__xludf.DUMMYFUNCTION("""COMPUTED_VALUE"""),"305949")</f>
        <v>305949</v>
      </c>
      <c r="H259" s="7">
        <f ca="1">IFERROR(__xludf.DUMMYFUNCTION("""COMPUTED_VALUE"""),9560)</f>
        <v>9560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 ESCOL.COM. ESC. EST. MAL.ARTUR C.E SILVA")</f>
        <v>A. ESCOL.COM. ESC. EST. MAL.ARTUR C.E SILVA</v>
      </c>
      <c r="D260" t="str">
        <f ca="1">IFERROR(__xludf.DUMMYFUNCTION("""COMPUTED_VALUE"""),"01112763000197")</f>
        <v>01112763000197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IFERROR(__xludf.DUMMYFUNCTION("""COMPUTED_VALUE"""),"307364")</f>
        <v>307364</v>
      </c>
      <c r="H260" s="7">
        <f ca="1">IFERROR(__xludf.DUMMYFUNCTION("""COMPUTED_VALUE"""),2390)</f>
        <v>2390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IFERROR(__xludf.DUMMYFUNCTION("""COMPUTED_VALUE"""),"ASSOC.P.A.DOS EXCEP. DE PORTO NACIONAL")</f>
        <v>ASSOC.P.A.DOS EXCEP. DE PORTO NACIONAL</v>
      </c>
      <c r="D261" t="str">
        <f ca="1">IFERROR(__xludf.DUMMYFUNCTION("""COMPUTED_VALUE"""),"26752113000137")</f>
        <v>26752113000137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IFERROR(__xludf.DUMMYFUNCTION("""COMPUTED_VALUE"""),"86657")</f>
        <v>86657</v>
      </c>
      <c r="H261" s="7">
        <f ca="1">IFERROR(__xludf.DUMMYFUNCTION("""COMPUTED_VALUE"""),140)</f>
        <v>140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 ESCOLA ESTADUAL ALFREDO NASSER")</f>
        <v>A.A.  ESCOLA ESTADUAL ALFREDO NASSER</v>
      </c>
      <c r="D262" t="str">
        <f ca="1">IFERROR(__xludf.DUMMYFUNCTION("""COMPUTED_VALUE"""),"01251862000150")</f>
        <v>01251862000150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IFERROR(__xludf.DUMMYFUNCTION("""COMPUTED_VALUE"""),"307410")</f>
        <v>307410</v>
      </c>
      <c r="H262" s="7">
        <f ca="1">IFERROR(__xludf.DUMMYFUNCTION("""COMPUTED_VALUE"""),1410)</f>
        <v>1410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ESCOLA ESTADUAL ANA MACEDO MAIA")</f>
        <v>A.A. ESCOLA ESTADUAL ANA MACEDO MAIA</v>
      </c>
      <c r="D263" t="str">
        <f ca="1">IFERROR(__xludf.DUMMYFUNCTION("""COMPUTED_VALUE"""),"01243662000155")</f>
        <v>01243662000155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IFERROR(__xludf.DUMMYFUNCTION("""COMPUTED_VALUE"""),"306015")</f>
        <v>306015</v>
      </c>
      <c r="H263" s="7">
        <f ca="1">IFERROR(__xludf.DUMMYFUNCTION("""COMPUTED_VALUE"""),3090)</f>
        <v>3090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 ESCOLAR COMUN. DA ESC. CONV. BRASIL")</f>
        <v>A. ESCOLAR COMUN. DA ESC. CONV. BRASIL</v>
      </c>
      <c r="D264" t="str">
        <f ca="1">IFERROR(__xludf.DUMMYFUNCTION("""COMPUTED_VALUE"""),"01112471000154")</f>
        <v>01112471000154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IFERROR(__xludf.DUMMYFUNCTION("""COMPUTED_VALUE"""),"307402")</f>
        <v>307402</v>
      </c>
      <c r="H264" s="7">
        <f ca="1">IFERROR(__xludf.DUMMYFUNCTION("""COMPUTED_VALUE"""),860)</f>
        <v>860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IFERROR(__xludf.DUMMYFUNCTION("""COMPUTED_VALUE"""),"A.A.  ESCOLA ESTADUAL CUSTÓDIA DA SILVA PEDREIRA")</f>
        <v>A.A.  ESCOLA ESTADUAL CUSTÓDIA DA SILVA PEDREIRA</v>
      </c>
      <c r="D265" t="str">
        <f ca="1">IFERROR(__xludf.DUMMYFUNCTION("""COMPUTED_VALUE"""),"01192932000146")</f>
        <v>01192932000146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IFERROR(__xludf.DUMMYFUNCTION("""COMPUTED_VALUE"""),"314080")</f>
        <v>314080</v>
      </c>
      <c r="H265" s="7">
        <f ca="1">IFERROR(__xludf.DUMMYFUNCTION("""COMPUTED_VALUE"""),4460)</f>
        <v>4460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 ESC. COM./ESC. EST. D.DOMINGOS CARREROT")</f>
        <v>A. ESC. COM./ESC. EST. D.DOMINGOS CARREROT</v>
      </c>
      <c r="D266" t="str">
        <f ca="1">IFERROR(__xludf.DUMMYFUNCTION("""COMPUTED_VALUE"""),"00900197000115")</f>
        <v>00900197000115</v>
      </c>
      <c r="E266" t="str">
        <f ca="1">IFERROR(__xludf.DUMMYFUNCTION("""COMPUTED_VALUE"""),"104")</f>
        <v>104</v>
      </c>
      <c r="F266" t="str">
        <f ca="1">IFERROR(__xludf.DUMMYFUNCTION("""COMPUTED_VALUE"""),"1829")</f>
        <v>1829</v>
      </c>
      <c r="G266" t="str">
        <f ca="1">IFERROR(__xludf.DUMMYFUNCTION("""COMPUTED_VALUE"""),"305914")</f>
        <v>305914</v>
      </c>
      <c r="H266" s="7">
        <f ca="1">IFERROR(__xludf.DUMMYFUNCTION("""COMPUTED_VALUE"""),3540)</f>
        <v>3540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IFERROR(__xludf.DUMMYFUNCTION("""COMPUTED_VALUE"""),"A.A. ESCOLA ESTADUAL IRMA ASPASIA")</f>
        <v>A.A. ESCOLA ESTADUAL IRMA ASPASIA</v>
      </c>
      <c r="D267" t="str">
        <f ca="1">IFERROR(__xludf.DUMMYFUNCTION("""COMPUTED_VALUE"""),"01136022000146")</f>
        <v>01136022000146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IFERROR(__xludf.DUMMYFUNCTION("""COMPUTED_VALUE"""),"307453")</f>
        <v>307453</v>
      </c>
      <c r="H267" s="7">
        <f ca="1">IFERROR(__xludf.DUMMYFUNCTION("""COMPUTED_VALUE"""),1360)</f>
        <v>1360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DA ESC. EST. ALCIDES RODRIGUES AIRES")</f>
        <v>A.A. DA ESC. EST. ALCIDES RODRIGUES AIRES</v>
      </c>
      <c r="D268" t="str">
        <f ca="1">IFERROR(__xludf.DUMMYFUNCTION("""COMPUTED_VALUE"""),"03495455000113")</f>
        <v>03495455000113</v>
      </c>
      <c r="E268" t="str">
        <f ca="1">IFERROR(__xludf.DUMMYFUNCTION("""COMPUTED_VALUE"""),"001")</f>
        <v>001</v>
      </c>
      <c r="F268" t="str">
        <f ca="1">IFERROR(__xludf.DUMMYFUNCTION("""COMPUTED_VALUE"""),"1117")</f>
        <v>1117</v>
      </c>
      <c r="G268" t="str">
        <f ca="1">IFERROR(__xludf.DUMMYFUNCTION("""COMPUTED_VALUE"""),"77143")</f>
        <v>77143</v>
      </c>
      <c r="H268" s="7">
        <f ca="1">IFERROR(__xludf.DUMMYFUNCTION("""COMPUTED_VALUE"""),3690)</f>
        <v>3690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E. E. PROFA. CARMENIA MATOS MAIA")</f>
        <v>A.A. E. E. PROFA. CARMENIA MATOS MAIA</v>
      </c>
      <c r="D269" t="str">
        <f ca="1">IFERROR(__xludf.DUMMYFUNCTION("""COMPUTED_VALUE"""),"01118897000115")</f>
        <v>01118897000115</v>
      </c>
      <c r="E269" t="str">
        <f ca="1">IFERROR(__xludf.DUMMYFUNCTION("""COMPUTED_VALUE"""),"104")</f>
        <v>104</v>
      </c>
      <c r="F269" t="str">
        <f ca="1">IFERROR(__xludf.DUMMYFUNCTION("""COMPUTED_VALUE"""),"1829")</f>
        <v>1829</v>
      </c>
      <c r="G269" t="str">
        <f ca="1">IFERROR(__xludf.DUMMYFUNCTION("""COMPUTED_VALUE"""),"307399")</f>
        <v>307399</v>
      </c>
      <c r="H269" s="7">
        <f ca="1">IFERROR(__xludf.DUMMYFUNCTION("""COMPUTED_VALUE"""),4460)</f>
        <v>4460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IFERROR(__xludf.DUMMYFUNCTION("""COMPUTED_VALUE"""),"Santa Rita do Tocantins")</f>
        <v>Santa Rita do Tocantins</v>
      </c>
      <c r="C270" t="str">
        <f ca="1">IFERROR(__xludf.DUMMYFUNCTION("""COMPUTED_VALUE"""),"ASS. COM.DE AP.ESC. EST. DE 1 GRAU BOA NOVA")</f>
        <v>ASS. COM.DE AP.ESC. EST. DE 1 GRAU BOA NOVA</v>
      </c>
      <c r="D270" t="str">
        <f ca="1">IFERROR(__xludf.DUMMYFUNCTION("""COMPUTED_VALUE"""),"01856561000150")</f>
        <v>01856561000150</v>
      </c>
      <c r="E270" t="str">
        <f ca="1">IFERROR(__xludf.DUMMYFUNCTION("""COMPUTED_VALUE"""),"001")</f>
        <v>001</v>
      </c>
      <c r="F270" t="str">
        <f ca="1">IFERROR(__xludf.DUMMYFUNCTION("""COMPUTED_VALUE"""),"4107")</f>
        <v>4107</v>
      </c>
      <c r="G270" t="str">
        <f ca="1">IFERROR(__xludf.DUMMYFUNCTION("""COMPUTED_VALUE"""),"320722")</f>
        <v>320722</v>
      </c>
      <c r="H270" s="7">
        <f ca="1">IFERROR(__xludf.DUMMYFUNCTION("""COMPUTED_VALUE"""),850)</f>
        <v>850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Rosa do Tocantins")</f>
        <v>Santa Rosa do Tocantins</v>
      </c>
      <c r="C271" t="str">
        <f ca="1">IFERROR(__xludf.DUMMYFUNCTION("""COMPUTED_VALUE"""),"A.A. E. E.PROF.ZACHARIAS NUNES DA SILVEIRA")</f>
        <v>A.A. E. E.PROF.ZACHARIAS NUNES DA SILVEIRA</v>
      </c>
      <c r="D271" t="str">
        <f ca="1">IFERROR(__xludf.DUMMYFUNCTION("""COMPUTED_VALUE"""),"01066420000133")</f>
        <v>01066420000133</v>
      </c>
      <c r="E271" t="str">
        <f ca="1">IFERROR(__xludf.DUMMYFUNCTION("""COMPUTED_VALUE"""),"104")</f>
        <v>104</v>
      </c>
      <c r="F271" t="str">
        <f ca="1">IFERROR(__xludf.DUMMYFUNCTION("""COMPUTED_VALUE"""),"1829")</f>
        <v>1829</v>
      </c>
      <c r="G271" t="str">
        <f ca="1">IFERROR(__xludf.DUMMYFUNCTION("""COMPUTED_VALUE"""),"0307461")</f>
        <v>0307461</v>
      </c>
      <c r="H271" s="7">
        <f ca="1">IFERROR(__xludf.DUMMYFUNCTION("""COMPUTED_VALUE"""),1570)</f>
        <v>1570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 TENENTE SALVADOR RIBEIRO")</f>
        <v>A.A. E. E. TENENTE SALVADOR RIBEIRO</v>
      </c>
      <c r="D272" t="str">
        <f ca="1">IFERROR(__xludf.DUMMYFUNCTION("""COMPUTED_VALUE"""),"01066424000111")</f>
        <v>01066424000111</v>
      </c>
      <c r="E272" t="str">
        <f ca="1">IFERROR(__xludf.DUMMYFUNCTION("""COMPUTED_VALUE"""),"001")</f>
        <v>001</v>
      </c>
      <c r="F272" t="str">
        <f ca="1">IFERROR(__xludf.DUMMYFUNCTION("""COMPUTED_VALUE"""),"1117")</f>
        <v>1117</v>
      </c>
      <c r="G272" t="str">
        <f ca="1">IFERROR(__xludf.DUMMYFUNCTION("""COMPUTED_VALUE"""),"332623")</f>
        <v>332623</v>
      </c>
      <c r="H272" s="7">
        <f ca="1">IFERROR(__xludf.DUMMYFUNCTION("""COMPUTED_VALUE"""),250)</f>
        <v>250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IFERROR(__xludf.DUMMYFUNCTION("""COMPUTED_VALUE"""),"Silvanopolis")</f>
        <v>Silvanopolis</v>
      </c>
      <c r="C273" t="str">
        <f ca="1">IFERROR(__xludf.DUMMYFUNCTION("""COMPUTED_VALUE"""),"A.A. DA ESC. EST. JOAO DA SILVA GUIMARAES")</f>
        <v>A.A. DA ESC. EST. JOAO DA SILVA GUIMARAES</v>
      </c>
      <c r="D273" t="str">
        <f ca="1">IFERROR(__xludf.DUMMYFUNCTION("""COMPUTED_VALUE"""),"01557779000103")</f>
        <v>01557779000103</v>
      </c>
      <c r="E273" t="str">
        <f ca="1">IFERROR(__xludf.DUMMYFUNCTION("""COMPUTED_VALUE"""),"001")</f>
        <v>001</v>
      </c>
      <c r="F273" t="str">
        <f ca="1">IFERROR(__xludf.DUMMYFUNCTION("""COMPUTED_VALUE"""),"3980")</f>
        <v>3980</v>
      </c>
      <c r="G273" t="str">
        <f ca="1">IFERROR(__xludf.DUMMYFUNCTION("""COMPUTED_VALUE"""),"51292")</f>
        <v>51292</v>
      </c>
      <c r="H273" s="7">
        <f ca="1">IFERROR(__xludf.DUMMYFUNCTION("""COMPUTED_VALUE"""),3190)</f>
        <v>3190</v>
      </c>
      <c r="I273" t="str">
        <v>ENS FUND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IFERROR(__xludf.DUMMYFUNCTION("""COMPUTED_VALUE"""),"Aguiarnopolis")</f>
        <v>Aguiarnopolis</v>
      </c>
      <c r="C274" t="str">
        <f ca="1">IFERROR(__xludf.DUMMYFUNCTION("""COMPUTED_VALUE"""),"A.A. DA ESC. EST. NAZARÉ NUNES DA SILVA (AGUIARNOPOLIS)")</f>
        <v>A.A. DA ESC. EST. NAZARÉ NUNES DA SILVA (AGUIARNOPOLIS)</v>
      </c>
      <c r="D274" t="str">
        <f ca="1">IFERROR(__xludf.DUMMYFUNCTION("""COMPUTED_VALUE"""),"01213519000110")</f>
        <v>01213519000110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IFERROR(__xludf.DUMMYFUNCTION("""COMPUTED_VALUE"""),"217727")</f>
        <v>217727</v>
      </c>
      <c r="H274" s="7">
        <f ca="1">IFERROR(__xludf.DUMMYFUNCTION("""COMPUTED_VALUE"""),1560)</f>
        <v>1560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IFERROR(__xludf.DUMMYFUNCTION("""COMPUTED_VALUE"""),"Angico")</f>
        <v>Angico</v>
      </c>
      <c r="C275" t="str">
        <f ca="1">IFERROR(__xludf.DUMMYFUNCTION("""COMPUTED_VALUE"""),"ASSOCIAÇÃO DE APOIO DO COL. EST. DULCE COELHO DE SOUSA")</f>
        <v>ASSOCIAÇÃO DE APOIO DO COL. EST. DULCE COELHO DE SOUSA</v>
      </c>
      <c r="D275" t="str">
        <f ca="1">IFERROR(__xludf.DUMMYFUNCTION("""COMPUTED_VALUE"""),"10800992000195")</f>
        <v>10800992000195</v>
      </c>
      <c r="E275" t="str">
        <f ca="1">IFERROR(__xludf.DUMMYFUNCTION("""COMPUTED_VALUE"""),"001")</f>
        <v>001</v>
      </c>
      <c r="F275" t="str">
        <f ca="1">IFERROR(__xludf.DUMMYFUNCTION("""COMPUTED_VALUE"""),"3973")</f>
        <v>3973</v>
      </c>
      <c r="G275" t="str">
        <f ca="1">IFERROR(__xludf.DUMMYFUNCTION("""COMPUTED_VALUE"""),"212792")</f>
        <v>212792</v>
      </c>
      <c r="H275" s="7">
        <f ca="1">IFERROR(__xludf.DUMMYFUNCTION("""COMPUTED_VALUE"""),2150)</f>
        <v>2150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IFERROR(__xludf.DUMMYFUNCTION("""COMPUTED_VALUE"""),"Cachoeirinha")</f>
        <v>Cachoeirinha</v>
      </c>
      <c r="C276" t="str">
        <f ca="1">IFERROR(__xludf.DUMMYFUNCTION("""COMPUTED_VALUE"""),"A.A. E. EST. NOVA DA CACHOEIRINHA/RAIMUNDO NONATO TORRES")</f>
        <v>A.A. E. EST. NOVA DA CACHOEIRINHA/RAIMUNDO NONATO TORRES</v>
      </c>
      <c r="D276" t="str">
        <f ca="1">IFERROR(__xludf.DUMMYFUNCTION("""COMPUTED_VALUE"""),"01213535000103")</f>
        <v>01213535000103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IFERROR(__xludf.DUMMYFUNCTION("""COMPUTED_VALUE"""),"0217689")</f>
        <v>0217689</v>
      </c>
      <c r="H276" s="7">
        <f ca="1">IFERROR(__xludf.DUMMYFUNCTION("""COMPUTED_VALUE"""),1200)</f>
        <v>1200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IFERROR(__xludf.DUMMYFUNCTION("""COMPUTED_VALUE"""),"darcinopolis")</f>
        <v>darcinopolis</v>
      </c>
      <c r="C277" t="str">
        <f ca="1">IFERROR(__xludf.DUMMYFUNCTION("""COMPUTED_VALUE"""),"A. APOIO COL. EST. JOSE DE SOUZA PORTO")</f>
        <v>A. APOIO COL. EST. JOSE DE SOUZA PORTO</v>
      </c>
      <c r="D277" t="str">
        <f ca="1">IFERROR(__xludf.DUMMYFUNCTION("""COMPUTED_VALUE"""),"01213532000170")</f>
        <v>01213532000170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IFERROR(__xludf.DUMMYFUNCTION("""COMPUTED_VALUE"""),"25739")</f>
        <v>25739</v>
      </c>
      <c r="H277" s="7">
        <f ca="1">IFERROR(__xludf.DUMMYFUNCTION("""COMPUTED_VALUE"""),5100)</f>
        <v>5100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IFERROR(__xludf.DUMMYFUNCTION("""COMPUTED_VALUE"""),"Itaguatins")</f>
        <v>Itaguatins</v>
      </c>
      <c r="C278" t="str">
        <f ca="1">IFERROR(__xludf.DUMMYFUNCTION("""COMPUTED_VALUE"""),"ASS. DE APOIO ESC. EST. OLAVO BILAC")</f>
        <v>ASS. DE APOIO ESC. EST. OLAVO BILAC</v>
      </c>
      <c r="D278" t="str">
        <f ca="1">IFERROR(__xludf.DUMMYFUNCTION("""COMPUTED_VALUE"""),"01358337000138")</f>
        <v>01358337000138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IFERROR(__xludf.DUMMYFUNCTION("""COMPUTED_VALUE"""),"218391")</f>
        <v>218391</v>
      </c>
      <c r="H278" s="7">
        <f ca="1">IFERROR(__xludf.DUMMYFUNCTION("""COMPUTED_VALUE"""),630)</f>
        <v>630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IFERROR(__xludf.DUMMYFUNCTION("""COMPUTED_VALUE"""),"Luzinopolis")</f>
        <v>Luzinopolis</v>
      </c>
      <c r="C279" t="str">
        <f ca="1">IFERROR(__xludf.DUMMYFUNCTION("""COMPUTED_VALUE"""),"ASS. AP.A ESC. EST. JUSCELINO K.DE OLIVEIRA")</f>
        <v>ASS. AP.A ESC. EST. JUSCELINO K.DE OLIVEIRA</v>
      </c>
      <c r="D279" t="str">
        <f ca="1">IFERROR(__xludf.DUMMYFUNCTION("""COMPUTED_VALUE"""),"01230232000107")</f>
        <v>01230232000107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IFERROR(__xludf.DUMMYFUNCTION("""COMPUTED_VALUE"""),"022135X")</f>
        <v>022135X</v>
      </c>
      <c r="H279" s="7">
        <f ca="1">IFERROR(__xludf.DUMMYFUNCTION("""COMPUTED_VALUE"""),2390)</f>
        <v>2390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IFERROR(__xludf.DUMMYFUNCTION("""COMPUTED_VALUE"""),"Maurilandia do Tocantins")</f>
        <v>Maurilandia do Tocantins</v>
      </c>
      <c r="C280" t="str">
        <f ca="1">IFERROR(__xludf.DUMMYFUNCTION("""COMPUTED_VALUE"""),"A.A.  DA ESC. EST.PEDRO LUDOVICO TEIXEIRA")</f>
        <v>A.A.  DA ESC. EST.PEDRO LUDOVICO TEIXEIRA</v>
      </c>
      <c r="D280" t="str">
        <f ca="1">IFERROR(__xludf.DUMMYFUNCTION("""COMPUTED_VALUE"""),"01213528000101")</f>
        <v>01213528000101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IFERROR(__xludf.DUMMYFUNCTION("""COMPUTED_VALUE"""),"0217670")</f>
        <v>0217670</v>
      </c>
      <c r="H280" s="7">
        <f ca="1">IFERROR(__xludf.DUMMYFUNCTION("""COMPUTED_VALUE"""),570)</f>
        <v>570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IFERROR(__xludf.DUMMYFUNCTION("""COMPUTED_VALUE"""),"Nazare")</f>
        <v>Nazare</v>
      </c>
      <c r="C281" t="str">
        <f ca="1">IFERROR(__xludf.DUMMYFUNCTION("""COMPUTED_VALUE"""),"A.DO COLEGIO EST.PRES.CASTELO BRANCO")</f>
        <v>A.DO COLEGIO EST.PRES.CASTELO BRANCO</v>
      </c>
      <c r="D281" t="str">
        <f ca="1">IFERROR(__xludf.DUMMYFUNCTION("""COMPUTED_VALUE"""),"01213522000134")</f>
        <v>01213522000134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IFERROR(__xludf.DUMMYFUNCTION("""COMPUTED_VALUE"""),"217859")</f>
        <v>217859</v>
      </c>
      <c r="H281" s="7">
        <f ca="1">IFERROR(__xludf.DUMMYFUNCTION("""COMPUTED_VALUE"""),2030)</f>
        <v>2030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IFERROR(__xludf.DUMMYFUNCTION("""COMPUTED_VALUE"""),"ASSOC. DE APOIO A ESC. EST.ESPECIAL BEM VIVER")</f>
        <v>ASSOC. DE APOIO A ESC. EST.ESPECIAL BEM VIVER</v>
      </c>
      <c r="D282" t="str">
        <f ca="1">IFERROR(__xludf.DUMMYFUNCTION("""COMPUTED_VALUE"""),"10520927000106")</f>
        <v>10520927000106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IFERROR(__xludf.DUMMYFUNCTION("""COMPUTED_VALUE"""),"200336")</f>
        <v>200336</v>
      </c>
      <c r="H282" s="7">
        <f ca="1">IFERROR(__xludf.DUMMYFUNCTION("""COMPUTED_VALUE"""),210)</f>
        <v>210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IFERROR(__xludf.DUMMYFUNCTION("""COMPUTED_VALUE"""),"A.A. ESC. EST. DOM CORNELIO CHIZZINI")</f>
        <v>A.A. ESC. EST. DOM CORNELIO CHIZZINI</v>
      </c>
      <c r="D283" t="str">
        <f ca="1">IFERROR(__xludf.DUMMYFUNCTION("""COMPUTED_VALUE"""),"01230233000143")</f>
        <v>01230233000143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IFERROR(__xludf.DUMMYFUNCTION("""COMPUTED_VALUE"""),"21776X")</f>
        <v>21776X</v>
      </c>
      <c r="H283" s="7">
        <f ca="1">IFERROR(__xludf.DUMMYFUNCTION("""COMPUTED_VALUE"""),640)</f>
        <v>640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 DA ESCOLA ESTADUAL PIACAVA")</f>
        <v>A.A.  DA ESCOLA ESTADUAL PIACAVA</v>
      </c>
      <c r="D284" t="str">
        <f ca="1">IFERROR(__xludf.DUMMYFUNCTION("""COMPUTED_VALUE"""),"01230239000110")</f>
        <v>01230239000110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IFERROR(__xludf.DUMMYFUNCTION("""COMPUTED_VALUE"""),"217883")</f>
        <v>217883</v>
      </c>
      <c r="H284" s="7">
        <f ca="1">IFERROR(__xludf.DUMMYFUNCTION("""COMPUTED_VALUE"""),470)</f>
        <v>470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IFERROR(__xludf.DUMMYFUNCTION("""COMPUTED_VALUE"""),"Palmeiras do Tocantins")</f>
        <v>Palmeiras do Tocantins</v>
      </c>
      <c r="C285" t="str">
        <f ca="1">IFERROR(__xludf.DUMMYFUNCTION("""COMPUTED_VALUE"""),"A.A. ESC. EST. RAIMUNDO NEIVA DE CARVALHO")</f>
        <v>A.A. ESC. EST. RAIMUNDO NEIVA DE CARVALHO</v>
      </c>
      <c r="D285" t="str">
        <f ca="1">IFERROR(__xludf.DUMMYFUNCTION("""COMPUTED_VALUE"""),"01213533000114")</f>
        <v>01213533000114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IFERROR(__xludf.DUMMYFUNCTION("""COMPUTED_VALUE"""),"0027529")</f>
        <v>0027529</v>
      </c>
      <c r="H285" s="7">
        <f ca="1">IFERROR(__xludf.DUMMYFUNCTION("""COMPUTED_VALUE"""),2140)</f>
        <v>2140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 DE APOIO DA E. E. PE. CESARE LELLI")</f>
        <v>A. DE APOIO DA E. E. PE. CESARE LELLI</v>
      </c>
      <c r="D286" t="str">
        <f ca="1">IFERROR(__xludf.DUMMYFUNCTION("""COMPUTED_VALUE"""),"03778873000118")</f>
        <v>03778873000118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IFERROR(__xludf.DUMMYFUNCTION("""COMPUTED_VALUE"""),"82007")</f>
        <v>82007</v>
      </c>
      <c r="H286" s="7">
        <f ca="1">IFERROR(__xludf.DUMMYFUNCTION("""COMPUTED_VALUE"""),1950)</f>
        <v>1950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IFERROR(__xludf.DUMMYFUNCTION("""COMPUTED_VALUE"""),"Santa Terezinha do Tocantins")</f>
        <v>Santa Terezinha do Tocantins</v>
      </c>
      <c r="C287" t="str">
        <f ca="1">IFERROR(__xludf.DUMMYFUNCTION("""COMPUTED_VALUE"""),"ASS. A. ESC. EST. DR JOSE FELICIANO FERREIRA")</f>
        <v>ASS. A. ESC. EST. DR JOSE FELICIANO FERREIRA</v>
      </c>
      <c r="D287" t="str">
        <f ca="1">IFERROR(__xludf.DUMMYFUNCTION("""COMPUTED_VALUE"""),"01077441000154")</f>
        <v>01077441000154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IFERROR(__xludf.DUMMYFUNCTION("""COMPUTED_VALUE"""),"0026085")</f>
        <v>0026085</v>
      </c>
      <c r="H287" s="7">
        <f ca="1">IFERROR(__xludf.DUMMYFUNCTION("""COMPUTED_VALUE"""),610)</f>
        <v>610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IFERROR(__xludf.DUMMYFUNCTION("""COMPUTED_VALUE"""),"Tocantinopolis")</f>
        <v>Tocantinopolis</v>
      </c>
      <c r="C288" t="str">
        <f ca="1">IFERROR(__xludf.DUMMYFUNCTION("""COMPUTED_VALUE"""),"ASSOC. APOIO AO COLÉGIODOM ORIONE")</f>
        <v>ASSOC. APOIO AO COLÉGIODOM ORIONE</v>
      </c>
      <c r="D288" t="str">
        <f ca="1">IFERROR(__xludf.DUMMYFUNCTION("""COMPUTED_VALUE"""),"13033002000129")</f>
        <v>13033002000129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IFERROR(__xludf.DUMMYFUNCTION("""COMPUTED_VALUE"""),"254193")</f>
        <v>254193</v>
      </c>
      <c r="H288" s="7">
        <f ca="1">IFERROR(__xludf.DUMMYFUNCTION("""COMPUTED_VALUE"""),1850)</f>
        <v>1850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IFERROR(__xludf.DUMMYFUNCTION("""COMPUTED_VALUE"""),"A.A. DO COL.PADRAO/JOSÉ CARNEIRO DE BRITO")</f>
        <v>A.A. DO COL.PADRAO/JOSÉ CARNEIRO DE BRITO</v>
      </c>
      <c r="D289" t="str">
        <f ca="1">IFERROR(__xludf.DUMMYFUNCTION("""COMPUTED_VALUE"""),"03880040000163")</f>
        <v>03880040000163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IFERROR(__xludf.DUMMYFUNCTION("""COMPUTED_VALUE"""),"81884")</f>
        <v>81884</v>
      </c>
      <c r="H289" s="7">
        <f ca="1">IFERROR(__xludf.DUMMYFUNCTION("""COMPUTED_VALUE"""),1750)</f>
        <v>1750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IFERROR(__xludf.DUMMYFUNCTION("""COMPUTED_VALUE"""),"ASSOCIAÇÃO DE APOIO A ESCOLA ESPECIAL UM PASSO DIFERENTE -APAE")</f>
        <v>ASSOCIAÇÃO DE APOIO A ESCOLA ESPECIAL UM PASSO DIFERENTE -APAE</v>
      </c>
      <c r="D290" t="str">
        <f ca="1">IFERROR(__xludf.DUMMYFUNCTION("""COMPUTED_VALUE"""),"08012610000117")</f>
        <v>08012610000117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IFERROR(__xludf.DUMMYFUNCTION("""COMPUTED_VALUE"""),"204250")</f>
        <v>204250</v>
      </c>
      <c r="H290" s="7">
        <f ca="1">IFERROR(__xludf.DUMMYFUNCTION("""COMPUTED_VALUE"""),80)</f>
        <v>80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IFERROR(__xludf.DUMMYFUNCTION("""COMPUTED_VALUE"""),"A. ESCOLAR COM. PE. GIULIANO MORETTI")</f>
        <v>A. ESCOLAR COM. PE. GIULIANO MORETTI</v>
      </c>
      <c r="D291" t="str">
        <f ca="1">IFERROR(__xludf.DUMMYFUNCTION("""COMPUTED_VALUE"""),"00900202000190")</f>
        <v>00900202000190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IFERROR(__xludf.DUMMYFUNCTION("""COMPUTED_VALUE"""),"217484")</f>
        <v>217484</v>
      </c>
      <c r="H291" s="7">
        <f ca="1">IFERROR(__xludf.DUMMYFUNCTION("""COMPUTED_VALUE"""),2700)</f>
        <v>2700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DA ESCOLA PAROQUIAL CRISTO REI")</f>
        <v>A. DA ESCOLA PAROQUIAL CRISTO REI</v>
      </c>
      <c r="D292" t="str">
        <f ca="1">IFERROR(__xludf.DUMMYFUNCTION("""COMPUTED_VALUE"""),"02026329000157")</f>
        <v>02026329000157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IFERROR(__xludf.DUMMYFUNCTION("""COMPUTED_VALUE"""),"58149")</f>
        <v>58149</v>
      </c>
      <c r="H292" s="7">
        <f ca="1">IFERROR(__xludf.DUMMYFUNCTION("""COMPUTED_VALUE"""),4510)</f>
        <v>4510</v>
      </c>
      <c r="I292" t="str">
        <v>ENS FUND PARCIAL</v>
      </c>
    </row>
    <row r="293" spans="1:9" ht="12.75">
      <c r="I293" t="str">
        <v/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92" t="str">
        <f ca="1">IFERROR(__xludf.DUMMYFUNCTION("QUERY(REP_FNDE_REL!A5:Z1000,""SELECT A,B,C,D,E,F,G,I WHERE I&gt;0 label I 'PRE'"")"),"REGIONAL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IFERROR(__xludf.DUMMYFUNCTION("""COMPUTED_VALUE"""),"PRE")</f>
        <v>PRE</v>
      </c>
      <c r="I1" s="192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IFERROR(__xludf.DUMMYFUNCTION("""COMPUTED_VALUE"""),288)</f>
        <v>288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IFERROR(__xludf.DUMMYFUNCTION("""COMPUTED_VALUE"""),144)</f>
        <v>144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IFERROR(__xludf.DUMMYFUNCTION("""COMPUTED_VALUE"""),"Goianorte")</f>
        <v>Goianorte</v>
      </c>
      <c r="C5" t="str">
        <f ca="1">IFERROR(__xludf.DUMMYFUNCTION("""COMPUTED_VALUE"""),"ASSOC. DE APOIO DA ESCOLA ESPECIAL NOVOV PARAÍSO - APAE")</f>
        <v>ASSOC. DE APOIO DA ESCOLA ESPECIAL NOVOV PARAÍSO - APAE</v>
      </c>
      <c r="D5" t="str">
        <f ca="1">IFERROR(__xludf.DUMMYFUNCTION("""COMPUTED_VALUE"""),"09510602000163")</f>
        <v>09510602000163</v>
      </c>
      <c r="E5" t="str">
        <f ca="1">IFERROR(__xludf.DUMMYFUNCTION("""COMPUTED_VALUE"""),"001")</f>
        <v>001</v>
      </c>
      <c r="F5" t="str">
        <f ca="1">IFERROR(__xludf.DUMMYFUNCTION("""COMPUTED_VALUE"""),"1306")</f>
        <v>1306</v>
      </c>
      <c r="G5" t="str">
        <f ca="1">IFERROR(__xludf.DUMMYFUNCTION("""COMPUTED_VALUE"""),"138258")</f>
        <v>138258</v>
      </c>
      <c r="H5" s="7">
        <f ca="1">IFERROR(__xludf.DUMMYFUNCTION("""COMPUTED_VALUE"""),57.6)</f>
        <v>57.6</v>
      </c>
      <c r="I5" t="str">
        <v>PRÉ-ESCOLA</v>
      </c>
    </row>
    <row r="6" spans="1:9" ht="12.75">
      <c r="A6" t="str">
        <f ca="1">IFERROR(__xludf.DUMMYFUNCTION("""COMPUTED_VALUE"""),"Guaraí")</f>
        <v>Guaraí</v>
      </c>
      <c r="B6" t="str">
        <f ca="1">IFERROR(__xludf.DUMMYFUNCTION("""COMPUTED_VALUE"""),"Guarai")</f>
        <v>Guarai</v>
      </c>
      <c r="C6" t="str">
        <f ca="1">IFERROR(__xludf.DUMMYFUNCTION("""COMPUTED_VALUE"""),"ASSOCIAÇÃO DE APOIO A ESCOLA ESPECIAL ESTRELA DA ESPERANÇA")</f>
        <v>ASSOCIAÇÃO DE APOIO A ESCOLA ESPECIAL ESTRELA DA ESPERANÇA</v>
      </c>
      <c r="D6" t="str">
        <f ca="1">IFERROR(__xludf.DUMMYFUNCTION("""COMPUTED_VALUE"""),"07938604000122")</f>
        <v>07938604000122</v>
      </c>
      <c r="E6" t="str">
        <f ca="1">IFERROR(__xludf.DUMMYFUNCTION("""COMPUTED_VALUE"""),"001")</f>
        <v>001</v>
      </c>
      <c r="F6" t="str">
        <f ca="1">IFERROR(__xludf.DUMMYFUNCTION("""COMPUTED_VALUE"""),"2094")</f>
        <v>2094</v>
      </c>
      <c r="G6" t="str">
        <f ca="1">IFERROR(__xludf.DUMMYFUNCTION("""COMPUTED_VALUE"""),"211621")</f>
        <v>211621</v>
      </c>
      <c r="H6" s="7">
        <f ca="1">IFERROR(__xludf.DUMMYFUNCTION("""COMPUTED_VALUE"""),43.2)</f>
        <v>43.2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IFERROR(__xludf.DUMMYFUNCTION("""COMPUTED_VALUE"""),"Alianca do Tocantins")</f>
        <v>Alianca do Tocantins</v>
      </c>
      <c r="C7" t="str">
        <f ca="1">IFERROR(__xludf.DUMMYFUNCTION("""COMPUTED_VALUE"""),"ASSOCIAÇÃO DE APOIO A ESCOLA ESPECIAL AMOR FRATERNAL")</f>
        <v>ASSOCIAÇÃO DE APOIO A ESCOLA ESPECIAL AMOR FRATERNAL</v>
      </c>
      <c r="D7" t="str">
        <f ca="1">IFERROR(__xludf.DUMMYFUNCTION("""COMPUTED_VALUE"""),"07953958000146")</f>
        <v>07953958000146</v>
      </c>
      <c r="E7" t="str">
        <f ca="1">IFERROR(__xludf.DUMMYFUNCTION("""COMPUTED_VALUE"""),"001")</f>
        <v>001</v>
      </c>
      <c r="F7" t="str">
        <f ca="1">IFERROR(__xludf.DUMMYFUNCTION("""COMPUTED_VALUE"""),"3972")</f>
        <v>3972</v>
      </c>
      <c r="G7" t="str">
        <f ca="1">IFERROR(__xludf.DUMMYFUNCTION("""COMPUTED_VALUE"""),"90115")</f>
        <v>90115</v>
      </c>
      <c r="H7" s="7">
        <f ca="1">IFERROR(__xludf.DUMMYFUNCTION("""COMPUTED_VALUE"""),129.6)</f>
        <v>129.6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IFERROR(__xludf.DUMMYFUNCTION("""COMPUTED_VALUE"""),"Alvorada")</f>
        <v>Alvorada</v>
      </c>
      <c r="C8" t="str">
        <f ca="1">IFERROR(__xludf.DUMMYFUNCTION("""COMPUTED_VALUE"""),"A.P.A.DOS EXCEP. DE ALVORADA-APAE")</f>
        <v>A.P.A.DOS EXCEP. DE ALVORADA-APAE</v>
      </c>
      <c r="D8" t="str">
        <f ca="1">IFERROR(__xludf.DUMMYFUNCTION("""COMPUTED_VALUE"""),"02201735000109")</f>
        <v>02201735000109</v>
      </c>
      <c r="E8" t="str">
        <f ca="1">IFERROR(__xludf.DUMMYFUNCTION("""COMPUTED_VALUE"""),"001")</f>
        <v>001</v>
      </c>
      <c r="F8" t="str">
        <f ca="1">IFERROR(__xludf.DUMMYFUNCTION("""COMPUTED_VALUE"""),"1303")</f>
        <v>1303</v>
      </c>
      <c r="G8" t="str">
        <f ca="1">IFERROR(__xludf.DUMMYFUNCTION("""COMPUTED_VALUE"""),"101826")</f>
        <v>101826</v>
      </c>
      <c r="H8" s="7">
        <f ca="1">IFERROR(__xludf.DUMMYFUNCTION("""COMPUTED_VALUE"""),201.6)</f>
        <v>201.6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IFERROR(__xludf.DUMMYFUNCTION("""COMPUTED_VALUE"""),"Araguacu")</f>
        <v>Araguacu</v>
      </c>
      <c r="C9" t="str">
        <f ca="1">IFERROR(__xludf.DUMMYFUNCTION("""COMPUTED_VALUE"""),"A..A. ESC. ESPECIAL  ABELINHA EM BUSCA DO SABER")</f>
        <v>A..A. ESC. ESPECIAL  ABELINHA EM BUSCA DO SABER</v>
      </c>
      <c r="D9" t="str">
        <f ca="1">IFERROR(__xludf.DUMMYFUNCTION("""COMPUTED_VALUE"""),"07924466000122")</f>
        <v>07924466000122</v>
      </c>
      <c r="E9" t="str">
        <f ca="1">IFERROR(__xludf.DUMMYFUNCTION("""COMPUTED_VALUE"""),"001")</f>
        <v>001</v>
      </c>
      <c r="F9" t="str">
        <f ca="1">IFERROR(__xludf.DUMMYFUNCTION("""COMPUTED_VALUE"""),"1304")</f>
        <v>1304</v>
      </c>
      <c r="G9" t="str">
        <f ca="1">IFERROR(__xludf.DUMMYFUNCTION("""COMPUTED_VALUE"""),"136417")</f>
        <v>136417</v>
      </c>
      <c r="H9" s="7">
        <f ca="1">IFERROR(__xludf.DUMMYFUNCTION("""COMPUTED_VALUE"""),57.6)</f>
        <v>57.6</v>
      </c>
      <c r="I9" t="str">
        <v>PRÉ-ESCOLA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IFERROR(__xludf.DUMMYFUNCTION("""COMPUTED_VALUE"""),"Gurupi")</f>
        <v>Gurupi</v>
      </c>
      <c r="C10" t="str">
        <f ca="1">IFERROR(__xludf.DUMMYFUNCTION("""COMPUTED_VALUE"""),"ASSOCIAÇÃO DE APOIO A ESCOLA ESPECIAL SÃO FRANCISCO DE ASSIS")</f>
        <v>ASSOCIAÇÃO DE APOIO A ESCOLA ESPECIAL SÃO FRANCISCO DE ASSIS</v>
      </c>
      <c r="D10" t="str">
        <f ca="1">IFERROR(__xludf.DUMMYFUNCTION("""COMPUTED_VALUE"""),"07947356000186")</f>
        <v>07947356000186</v>
      </c>
      <c r="E10" t="str">
        <f ca="1">IFERROR(__xludf.DUMMYFUNCTION("""COMPUTED_VALUE"""),"001")</f>
        <v>001</v>
      </c>
      <c r="F10" t="str">
        <f ca="1">IFERROR(__xludf.DUMMYFUNCTION("""COMPUTED_VALUE"""),"0794")</f>
        <v>0794</v>
      </c>
      <c r="G10" t="str">
        <f ca="1">IFERROR(__xludf.DUMMYFUNCTION("""COMPUTED_VALUE"""),"431109")</f>
        <v>431109</v>
      </c>
      <c r="H10" s="7">
        <f ca="1">IFERROR(__xludf.DUMMYFUNCTION("""COMPUTED_VALUE"""),331.2)</f>
        <v>331.2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IFERROR(__xludf.DUMMYFUNCTION("""COMPUTED_VALUE"""),"Miracema do Tocantins")</f>
        <v>Miracema do Tocantins</v>
      </c>
      <c r="C11" t="str">
        <f ca="1">IFERROR(__xludf.DUMMYFUNCTION("""COMPUTED_VALUE"""),"A.P.A.DOS EXECEPCIONAIS DE MIRACEMA - APAE")</f>
        <v>A.P.A.DOS EXECEPCIONAIS DE MIRACEMA - APAE</v>
      </c>
      <c r="D11" t="str">
        <f ca="1">IFERROR(__xludf.DUMMYFUNCTION("""COMPUTED_VALUE"""),"38146965000160")</f>
        <v>38146965000160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IFERROR(__xludf.DUMMYFUNCTION("""COMPUTED_VALUE"""),"93734")</f>
        <v>93734</v>
      </c>
      <c r="H11" s="7">
        <f ca="1">IFERROR(__xludf.DUMMYFUNCTION("""COMPUTED_VALUE"""),244.8)</f>
        <v>244.8</v>
      </c>
      <c r="I11" t="str">
        <v>PRÉ-ESCOLA</v>
      </c>
    </row>
    <row r="12" spans="1:9" ht="12.75">
      <c r="A12" t="str">
        <f ca="1">IFERROR(__xludf.DUMMYFUNCTION("""COMPUTED_VALUE"""),"Miracema")</f>
        <v>Miracema</v>
      </c>
      <c r="B12" t="str">
        <f ca="1">IFERROR(__xludf.DUMMYFUNCTION("""COMPUTED_VALUE"""),"Miranorte")</f>
        <v>Miranorte</v>
      </c>
      <c r="C12" t="str">
        <f ca="1">IFERROR(__xludf.DUMMYFUNCTION("""COMPUTED_VALUE"""),"A.A ESC. ESPECIAL CORAÇÃO DE MARIA")</f>
        <v>A.A ESC. ESPECIAL CORAÇÃO DE MARIA</v>
      </c>
      <c r="D12" t="str">
        <f ca="1">IFERROR(__xludf.DUMMYFUNCTION("""COMPUTED_VALUE"""),"07968866000130")</f>
        <v>07968866000130</v>
      </c>
      <c r="E12" t="str">
        <f ca="1">IFERROR(__xludf.DUMMYFUNCTION("""COMPUTED_VALUE"""),"001")</f>
        <v>001</v>
      </c>
      <c r="F12" t="str">
        <f ca="1">IFERROR(__xludf.DUMMYFUNCTION("""COMPUTED_VALUE"""),"0862")</f>
        <v>0862</v>
      </c>
      <c r="G12" t="str">
        <f ca="1">IFERROR(__xludf.DUMMYFUNCTION("""COMPUTED_VALUE"""),"265217")</f>
        <v>265217</v>
      </c>
      <c r="H12" s="7">
        <f ca="1">IFERROR(__xludf.DUMMYFUNCTION("""COMPUTED_VALUE"""),172.8)</f>
        <v>172.8</v>
      </c>
      <c r="I12" t="str">
        <v>PRÉ-ESCOLA</v>
      </c>
    </row>
    <row r="13" spans="1:9" ht="12.75">
      <c r="A13" t="str">
        <f ca="1">IFERROR(__xludf.DUMMYFUNCTION("""COMPUTED_VALUE"""),"Palmas")</f>
        <v>Palmas</v>
      </c>
      <c r="B13" t="str">
        <f ca="1">IFERROR(__xludf.DUMMYFUNCTION("""COMPUTED_VALUE"""),"Palmas")</f>
        <v>Palmas</v>
      </c>
      <c r="C13" t="str">
        <f ca="1">IFERROR(__xludf.DUMMYFUNCTION("""COMPUTED_VALUE"""),"ASSOCIAÇÃO DE APOIO DA ESCOLA ESPECIAL INTEGRAÇÃO DE PALMAS")</f>
        <v>ASSOCIAÇÃO DE APOIO DA ESCOLA ESPECIAL INTEGRAÇÃO DE PALMAS</v>
      </c>
      <c r="D13" t="str">
        <f ca="1">IFERROR(__xludf.DUMMYFUNCTION("""COMPUTED_VALUE"""),"07958777000102")</f>
        <v>07958777000102</v>
      </c>
      <c r="E13" t="str">
        <f ca="1">IFERROR(__xludf.DUMMYFUNCTION("""COMPUTED_VALUE"""),"001")</f>
        <v>001</v>
      </c>
      <c r="F13" t="str">
        <f ca="1">IFERROR(__xludf.DUMMYFUNCTION("""COMPUTED_VALUE"""),"1505")</f>
        <v>1505</v>
      </c>
      <c r="G13" t="str">
        <f ca="1">IFERROR(__xludf.DUMMYFUNCTION("""COMPUTED_VALUE"""),"385328")</f>
        <v>385328</v>
      </c>
      <c r="H13" s="7">
        <f ca="1">IFERROR(__xludf.DUMMYFUNCTION("""COMPUTED_VALUE"""),532.8)</f>
        <v>532.79999999999995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IFERROR(__xludf.DUMMYFUNCTION("""COMPUTED_VALUE"""),"Barrolandia")</f>
        <v>Barrolandia</v>
      </c>
      <c r="C14" t="str">
        <f ca="1">IFERROR(__xludf.DUMMYFUNCTION("""COMPUTED_VALUE"""),"A..A. ESC. ESPECIAL AMOR DE DEUS")</f>
        <v>A..A. ESC. ESPECIAL AMOR DE DEUS</v>
      </c>
      <c r="D14" t="str">
        <f ca="1">IFERROR(__xludf.DUMMYFUNCTION("""COMPUTED_VALUE"""),"07935641000187")</f>
        <v>07935641000187</v>
      </c>
      <c r="E14" t="str">
        <f ca="1">IFERROR(__xludf.DUMMYFUNCTION("""COMPUTED_VALUE"""),"001")</f>
        <v>001</v>
      </c>
      <c r="F14" t="str">
        <f ca="1">IFERROR(__xludf.DUMMYFUNCTION("""COMPUTED_VALUE"""),"0804")</f>
        <v>0804</v>
      </c>
      <c r="G14" t="str">
        <f ca="1">IFERROR(__xludf.DUMMYFUNCTION("""COMPUTED_VALUE"""),"279501")</f>
        <v>279501</v>
      </c>
      <c r="H14" s="7">
        <f ca="1">IFERROR(__xludf.DUMMYFUNCTION("""COMPUTED_VALUE"""),187.2)</f>
        <v>187.2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IFERROR(__xludf.DUMMYFUNCTION("""COMPUTED_VALUE"""),"Cristalandia")</f>
        <v>Cristalandia</v>
      </c>
      <c r="C15" t="str">
        <f ca="1">IFERROR(__xludf.DUMMYFUNCTION("""COMPUTED_VALUE"""),"APAE DE CRISTALÂNDIA")</f>
        <v>APAE DE CRISTALÂNDIA</v>
      </c>
      <c r="D15" t="str">
        <f ca="1">IFERROR(__xludf.DUMMYFUNCTION("""COMPUTED_VALUE"""),"01995319000167")</f>
        <v>01995319000167</v>
      </c>
      <c r="E15" t="str">
        <f ca="1">IFERROR(__xludf.DUMMYFUNCTION("""COMPUTED_VALUE"""),"001")</f>
        <v>001</v>
      </c>
      <c r="F15" t="str">
        <f ca="1">IFERROR(__xludf.DUMMYFUNCTION("""COMPUTED_VALUE"""),"3638")</f>
        <v>3638</v>
      </c>
      <c r="G15" t="str">
        <f ca="1">IFERROR(__xludf.DUMMYFUNCTION("""COMPUTED_VALUE"""),"71315")</f>
        <v>71315</v>
      </c>
      <c r="H15" s="7">
        <f ca="1">IFERROR(__xludf.DUMMYFUNCTION("""COMPUTED_VALUE"""),72)</f>
        <v>72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IFERROR(__xludf.DUMMYFUNCTION("""COMPUTED_VALUE"""),"Lagoa da Confusao")</f>
        <v>Lagoa da Confusao</v>
      </c>
      <c r="C16" t="str">
        <f ca="1">IFERROR(__xludf.DUMMYFUNCTION("""COMPUTED_VALUE"""),"ASSOCIAÇÃO DA ESCOLA ESPECIAL LAGOA DA CONFUSÃO")</f>
        <v>ASSOCIAÇÃO DA ESCOLA ESPECIAL LAGOA DA CONFUSÃO</v>
      </c>
      <c r="D16" t="str">
        <f ca="1">IFERROR(__xludf.DUMMYFUNCTION("""COMPUTED_VALUE"""),"08755554000100")</f>
        <v>08755554000100</v>
      </c>
      <c r="E16" t="str">
        <f ca="1">IFERROR(__xludf.DUMMYFUNCTION("""COMPUTED_VALUE"""),"001")</f>
        <v>001</v>
      </c>
      <c r="F16" t="str">
        <f ca="1">IFERROR(__xludf.DUMMYFUNCTION("""COMPUTED_VALUE"""),"3983")</f>
        <v>3983</v>
      </c>
      <c r="G16" t="str">
        <f ca="1">IFERROR(__xludf.DUMMYFUNCTION("""COMPUTED_VALUE"""),"83712")</f>
        <v>83712</v>
      </c>
      <c r="H16" s="7">
        <f ca="1">IFERROR(__xludf.DUMMYFUNCTION("""COMPUTED_VALUE"""),115.2)</f>
        <v>115.2</v>
      </c>
      <c r="I16" t="str">
        <v>PRÉ-ESCOLA</v>
      </c>
    </row>
    <row r="17" spans="1:9" ht="12.75">
      <c r="A17" t="str">
        <f ca="1">IFERROR(__xludf.DUMMYFUNCTION("""COMPUTED_VALUE"""),"Paraíso")</f>
        <v>Paraíso</v>
      </c>
      <c r="B17" t="str">
        <f ca="1">IFERROR(__xludf.DUMMYFUNCTION("""COMPUTED_VALUE"""),"Paraiso do Tocantins")</f>
        <v>Paraiso do Tocantins</v>
      </c>
      <c r="C17" t="str">
        <f ca="1">IFERROR(__xludf.DUMMYFUNCTION("""COMPUTED_VALUE"""),"AAE. ESPECIAL LUZ DA VIDA")</f>
        <v>AAE. ESPECIAL LUZ DA VIDA</v>
      </c>
      <c r="D17" t="str">
        <f ca="1">IFERROR(__xludf.DUMMYFUNCTION("""COMPUTED_VALUE"""),"07905330000175")</f>
        <v>07905330000175</v>
      </c>
      <c r="E17" t="str">
        <f ca="1">IFERROR(__xludf.DUMMYFUNCTION("""COMPUTED_VALUE"""),"001")</f>
        <v>001</v>
      </c>
      <c r="F17" t="str">
        <f ca="1">IFERROR(__xludf.DUMMYFUNCTION("""COMPUTED_VALUE"""),"0804")</f>
        <v>0804</v>
      </c>
      <c r="G17" t="str">
        <f ca="1">IFERROR(__xludf.DUMMYFUNCTION("""COMPUTED_VALUE"""),"331724")</f>
        <v>331724</v>
      </c>
      <c r="H17" s="7">
        <f ca="1">IFERROR(__xludf.DUMMYFUNCTION("""COMPUTED_VALUE"""),288)</f>
        <v>288</v>
      </c>
      <c r="I17" t="str">
        <v>PRÉ-ESCOLA</v>
      </c>
    </row>
    <row r="18" spans="1:9" ht="12.75">
      <c r="A18" t="str">
        <f ca="1">IFERROR(__xludf.DUMMYFUNCTION("""COMPUTED_VALUE"""),"Porto Nacional")</f>
        <v>Porto Nacional</v>
      </c>
      <c r="B18" t="str">
        <f ca="1">IFERROR(__xludf.DUMMYFUNCTION("""COMPUTED_VALUE"""),"Porto Nacional")</f>
        <v>Porto Nacional</v>
      </c>
      <c r="C18" t="str">
        <f ca="1">IFERROR(__xludf.DUMMYFUNCTION("""COMPUTED_VALUE"""),"ASSOC.P.A.DOS EXCEP. DE PORTO NACIONAL")</f>
        <v>ASSOC.P.A.DOS EXCEP. DE PORTO NACIONAL</v>
      </c>
      <c r="D18" t="str">
        <f ca="1">IFERROR(__xludf.DUMMYFUNCTION("""COMPUTED_VALUE"""),"26752113000137")</f>
        <v>26752113000137</v>
      </c>
      <c r="E18" t="str">
        <f ca="1">IFERROR(__xludf.DUMMYFUNCTION("""COMPUTED_VALUE"""),"001")</f>
        <v>001</v>
      </c>
      <c r="F18" t="str">
        <f ca="1">IFERROR(__xludf.DUMMYFUNCTION("""COMPUTED_VALUE"""),"1117")</f>
        <v>1117</v>
      </c>
      <c r="G18" t="str">
        <f ca="1">IFERROR(__xludf.DUMMYFUNCTION("""COMPUTED_VALUE"""),"86657")</f>
        <v>86657</v>
      </c>
      <c r="H18" s="7">
        <f ca="1">IFERROR(__xludf.DUMMYFUNCTION("""COMPUTED_VALUE"""),172.8)</f>
        <v>172.8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IFERROR(__xludf.DUMMYFUNCTION("""COMPUTED_VALUE"""),"Nazare")</f>
        <v>Nazare</v>
      </c>
      <c r="C19" t="str">
        <f ca="1">IFERROR(__xludf.DUMMYFUNCTION("""COMPUTED_VALUE"""),"ASSOC. DE APOIO A ESC. EST.ESPECIAL BEM VIVER")</f>
        <v>ASSOC. DE APOIO A ESC. EST.ESPECIAL BEM VIVER</v>
      </c>
      <c r="D19" t="str">
        <f ca="1">IFERROR(__xludf.DUMMYFUNCTION("""COMPUTED_VALUE"""),"10520927000106")</f>
        <v>10520927000106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IFERROR(__xludf.DUMMYFUNCTION("""COMPUTED_VALUE"""),"200336")</f>
        <v>200336</v>
      </c>
      <c r="H19" s="7">
        <f ca="1">IFERROR(__xludf.DUMMYFUNCTION("""COMPUTED_VALUE"""),144)</f>
        <v>144</v>
      </c>
      <c r="I19" t="str">
        <v>PRÉ-ESCOLA</v>
      </c>
    </row>
    <row r="20" spans="1:9" ht="12.75">
      <c r="A20" t="str">
        <f ca="1">IFERROR(__xludf.DUMMYFUNCTION("""COMPUTED_VALUE"""),"Tocantinópolis")</f>
        <v>Tocantinópolis</v>
      </c>
      <c r="B20" t="str">
        <f ca="1">IFERROR(__xludf.DUMMYFUNCTION("""COMPUTED_VALUE"""),"Tocantinopolis")</f>
        <v>Tocantinopolis</v>
      </c>
      <c r="C20" t="str">
        <f ca="1">IFERROR(__xludf.DUMMYFUNCTION("""COMPUTED_VALUE"""),"ASSOCIAÇÃO DE APOIO A ESCOLA ESPECIAL UM PASSO DIFERENTE -APAE")</f>
        <v>ASSOCIAÇÃO DE APOIO A ESCOLA ESPECIAL UM PASSO DIFERENTE -APAE</v>
      </c>
      <c r="D20" t="str">
        <f ca="1">IFERROR(__xludf.DUMMYFUNCTION("""COMPUTED_VALUE"""),"08012610000117")</f>
        <v>08012610000117</v>
      </c>
      <c r="E20" t="str">
        <f ca="1">IFERROR(__xludf.DUMMYFUNCTION("""COMPUTED_VALUE"""),"001")</f>
        <v>001</v>
      </c>
      <c r="F20" t="str">
        <f ca="1">IFERROR(__xludf.DUMMYFUNCTION("""COMPUTED_VALUE"""),"0810")</f>
        <v>0810</v>
      </c>
      <c r="G20" t="str">
        <f ca="1">IFERROR(__xludf.DUMMYFUNCTION("""COMPUTED_VALUE"""),"204250")</f>
        <v>204250</v>
      </c>
      <c r="H20" s="7">
        <f ca="1">IFERROR(__xludf.DUMMYFUNCTION("""COMPUTED_VALUE"""),43.2)</f>
        <v>43.2</v>
      </c>
      <c r="I20" t="str">
        <v>PRÉ-ESCOLA</v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A,B,C,D,E,F,G,K WHERE K&gt;0 label K 'ENS FUND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INTEGRAL")</f>
        <v>ENS FUND INTEGRAL</v>
      </c>
      <c r="I1" s="192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IFERROR(__xludf.DUMMYFUNCTION("""COMPUTED_VALUE"""),36990)</f>
        <v>36990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IFERROR(__xludf.DUMMYFUNCTION("""COMPUTED_VALUE"""),21015.8)</f>
        <v>21015.8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IFERROR(__xludf.DUMMYFUNCTION("""COMPUTED_VALUE"""),11097)</f>
        <v>11097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IFERROR(__xludf.DUMMYFUNCTION("""COMPUTED_VALUE"""),5754)</f>
        <v>5754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IFERROR(__xludf.DUMMYFUNCTION("""COMPUTED_VALUE"""),4904.59999999999)</f>
        <v>4904.5999999999904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IFERROR(__xludf.DUMMYFUNCTION("""COMPUTED_VALUE"""),17234.6)</f>
        <v>17234.599999999999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IFERROR(__xludf.DUMMYFUNCTION("""COMPUTED_VALUE"""),8631)</f>
        <v>8631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7">
        <f ca="1">IFERROR(__xludf.DUMMYFUNCTION("""COMPUTED_VALUE"""),2493.4)</f>
        <v>2493.4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7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7">
        <f ca="1">IFERROR(__xludf.DUMMYFUNCTION("""COMPUTED_VALUE"""),5343)</f>
        <v>5343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7">
        <f ca="1">IFERROR(__xludf.DUMMYFUNCTION("""COMPUTED_VALUE"""),8055.59999999999)</f>
        <v>8055.5999999999904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7">
        <f ca="1">IFERROR(__xludf.DUMMYFUNCTION("""COMPUTED_VALUE"""),5918.4)</f>
        <v>5918.4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7">
        <f ca="1">IFERROR(__xludf.DUMMYFUNCTION("""COMPUTED_VALUE"""),2137.2)</f>
        <v>2137.1999999999998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7">
        <f ca="1">IFERROR(__xludf.DUMMYFUNCTION("""COMPUTED_VALUE"""),4685.4)</f>
        <v>4685.3999999999996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7">
        <f ca="1">IFERROR(__xludf.DUMMYFUNCTION("""COMPUTED_VALUE"""),1041.2)</f>
        <v>1041.2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7">
        <f ca="1">IFERROR(__xludf.DUMMYFUNCTION("""COMPUTED_VALUE"""),2630.39999999999)</f>
        <v>2630.3999999999901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7">
        <f ca="1">IFERROR(__xludf.DUMMYFUNCTION("""COMPUTED_VALUE"""),3315.39999999999)</f>
        <v>3315.3999999999901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7">
        <f ca="1">IFERROR(__xludf.DUMMYFUNCTION("""COMPUTED_VALUE"""),17426.3999999999)</f>
        <v>17426.3999999999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7">
        <f ca="1">IFERROR(__xludf.DUMMYFUNCTION("""COMPUTED_VALUE"""),22742)</f>
        <v>22742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7">
        <f ca="1">IFERROR(__xludf.DUMMYFUNCTION("""COMPUTED_VALUE"""),5069)</f>
        <v>5069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7">
        <f ca="1">IFERROR(__xludf.DUMMYFUNCTION("""COMPUTED_VALUE"""),2904.39999999999)</f>
        <v>2904.3999999999901</v>
      </c>
      <c r="I22" t="str">
        <v>ENS FUND INTEGRAL</v>
      </c>
    </row>
    <row r="23" spans="1:9" ht="12.75">
      <c r="A23" t="str">
        <f ca="1">IFERROR(__xludf.DUMMYFUNCTION("""COMPUTED_VALUE"""),"Gurupi")</f>
        <v>Gurupi</v>
      </c>
      <c r="B23" t="str">
        <f ca="1">IFERROR(__xludf.DUMMYFUNCTION("""COMPUTED_VALUE"""),"Sao Salvador do Tocantins")</f>
        <v>Sao Salvador do Tocantins</v>
      </c>
      <c r="C23" t="str">
        <f ca="1">IFERROR(__xludf.DUMMYFUNCTION("""COMPUTED_VALUE"""),"A.A DA ESCOLA ESTADUAL RETIRO")</f>
        <v>A.A DA ESCOLA ESTADUAL RETIRO</v>
      </c>
      <c r="D23" t="str">
        <f ca="1">IFERROR(__xludf.DUMMYFUNCTION("""COMPUTED_VALUE"""),"04205236000115")</f>
        <v>04205236000115</v>
      </c>
      <c r="E23" t="str">
        <f ca="1">IFERROR(__xludf.DUMMYFUNCTION("""COMPUTED_VALUE"""),"001")</f>
        <v>001</v>
      </c>
      <c r="F23" t="str">
        <f ca="1">IFERROR(__xludf.DUMMYFUNCTION("""COMPUTED_VALUE"""),"4608")</f>
        <v>4608</v>
      </c>
      <c r="G23" t="str">
        <f ca="1">IFERROR(__xludf.DUMMYFUNCTION("""COMPUTED_VALUE"""),"73563")</f>
        <v>73563</v>
      </c>
      <c r="H23" s="7">
        <f ca="1">IFERROR(__xludf.DUMMYFUNCTION("""COMPUTED_VALUE"""),1781)</f>
        <v>1781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IFERROR(__xludf.DUMMYFUNCTION("""COMPUTED_VALUE"""),"ASS. APOIO AO CEM XERENTE WARA")</f>
        <v>ASS. APOIO AO CEM XERENTE WARA</v>
      </c>
      <c r="D24" t="str">
        <f ca="1">IFERROR(__xludf.DUMMYFUNCTION("""COMPUTED_VALUE"""),"07674098000101")</f>
        <v>07674098000101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IFERROR(__xludf.DUMMYFUNCTION("""COMPUTED_VALUE"""),"183407")</f>
        <v>183407</v>
      </c>
      <c r="H24" s="7">
        <f ca="1">IFERROR(__xludf.DUMMYFUNCTION("""COMPUTED_VALUE"""),3726.39999999999)</f>
        <v>3726.3999999999901</v>
      </c>
      <c r="I24" t="str">
        <v>ENS FUND INTEGRAL</v>
      </c>
    </row>
    <row r="25" spans="1:9" ht="12.75">
      <c r="A25" t="str">
        <f ca="1">IFERROR(__xludf.DUMMYFUNCTION("""COMPUTED_VALUE"""),"Miracema")</f>
        <v>Miracema</v>
      </c>
      <c r="B25" t="str">
        <f ca="1">IFERROR(__xludf.DUMMYFUNCTION("""COMPUTED_VALUE"""),"Tocantinia")</f>
        <v>Tocantinia</v>
      </c>
      <c r="C25" t="str">
        <f ca="1">IFERROR(__xludf.DUMMYFUNCTION("""COMPUTED_VALUE"""),"A.COM.DO COLEGIO FREI ANTONIO CONVENIADO")</f>
        <v>A.COM.DO COLEGIO FREI ANTONIO CONVENIADO</v>
      </c>
      <c r="D25" t="str">
        <f ca="1">IFERROR(__xludf.DUMMYFUNCTION("""COMPUTED_VALUE"""),"01066427000155")</f>
        <v>01066427000155</v>
      </c>
      <c r="E25" t="str">
        <f ca="1">IFERROR(__xludf.DUMMYFUNCTION("""COMPUTED_VALUE"""),"001")</f>
        <v>001</v>
      </c>
      <c r="F25" t="str">
        <f ca="1">IFERROR(__xludf.DUMMYFUNCTION("""COMPUTED_VALUE"""),"0862")</f>
        <v>0862</v>
      </c>
      <c r="G25" t="str">
        <f ca="1">IFERROR(__xludf.DUMMYFUNCTION("""COMPUTED_VALUE"""),"68985")</f>
        <v>68985</v>
      </c>
      <c r="H25" s="7">
        <f ca="1">IFERROR(__xludf.DUMMYFUNCTION("""COMPUTED_VALUE"""),8083)</f>
        <v>8083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IFERROR(__xludf.DUMMYFUNCTION("""COMPUTED_VALUE"""),"ASSOCIAÇÃO DE APOIO A ESC. ESTADUAL DA 403 SUL")</f>
        <v>ASSOCIAÇÃO DE APOIO A ESC. ESTADUAL DA 403 SUL</v>
      </c>
      <c r="D26" t="str">
        <f ca="1">IFERROR(__xludf.DUMMYFUNCTION("""COMPUTED_VALUE"""),"11332101000186")</f>
        <v>11332101000186</v>
      </c>
      <c r="E26" t="str">
        <f ca="1">IFERROR(__xludf.DUMMYFUNCTION("""COMPUTED_VALUE"""),"001")</f>
        <v>001</v>
      </c>
      <c r="F26" t="str">
        <f ca="1">IFERROR(__xludf.DUMMYFUNCTION("""COMPUTED_VALUE"""),"1505")</f>
        <v>1505</v>
      </c>
      <c r="G26" t="str">
        <f ca="1">IFERROR(__xludf.DUMMYFUNCTION("""COMPUTED_VALUE"""),"467588")</f>
        <v>467588</v>
      </c>
      <c r="H26" s="7">
        <f ca="1">IFERROR(__xludf.DUMMYFUNCTION("""COMPUTED_VALUE"""),22468)</f>
        <v>22468</v>
      </c>
      <c r="I26" t="str">
        <v>ENS FUND INTEGRAL</v>
      </c>
    </row>
    <row r="27" spans="1:9" ht="12.75">
      <c r="A27" t="str">
        <f ca="1">IFERROR(__xludf.DUMMYFUNCTION("""COMPUTED_VALUE"""),"Palmas")</f>
        <v>Palmas</v>
      </c>
      <c r="B27" t="str">
        <f ca="1">IFERROR(__xludf.DUMMYFUNCTION("""COMPUTED_VALUE"""),"Palmas")</f>
        <v>Palmas</v>
      </c>
      <c r="C27" t="str">
        <f ca="1">IFERROR(__xludf.DUMMYFUNCTION("""COMPUTED_VALUE"""),"ASSOC.COMUNIDADE ESC. ESTADUAL RURAL ENTRE RIOS")</f>
        <v>ASSOC.COMUNIDADE ESC. ESTADUAL RURAL ENTRE RIOS</v>
      </c>
      <c r="D27" t="str">
        <f ca="1">IFERROR(__xludf.DUMMYFUNCTION("""COMPUTED_VALUE"""),"11257180000108")</f>
        <v>11257180000108</v>
      </c>
      <c r="E27" t="str">
        <f ca="1">IFERROR(__xludf.DUMMYFUNCTION("""COMPUTED_VALUE"""),"001")</f>
        <v>001</v>
      </c>
      <c r="F27" t="str">
        <f ca="1">IFERROR(__xludf.DUMMYFUNCTION("""COMPUTED_VALUE"""),"1886")</f>
        <v>1886</v>
      </c>
      <c r="G27" t="str">
        <f ca="1">IFERROR(__xludf.DUMMYFUNCTION("""COMPUTED_VALUE"""),"1464884")</f>
        <v>1464884</v>
      </c>
      <c r="H27" s="7">
        <f ca="1">IFERROR(__xludf.DUMMYFUNCTION("""COMPUTED_VALUE"""),959)</f>
        <v>959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IFERROR(__xludf.DUMMYFUNCTION("""COMPUTED_VALUE"""),"Nova Rosalandia")</f>
        <v>Nova Rosalandia</v>
      </c>
      <c r="C28" t="str">
        <f ca="1">IFERROR(__xludf.DUMMYFUNCTION("""COMPUTED_VALUE"""),"ASSOC.COM. ESC EST.REGINA SIQUEIRA CAMPOS")</f>
        <v>ASSOC.COM. ESC EST.REGINA SIQUEIRA CAMPOS</v>
      </c>
      <c r="D28" t="str">
        <f ca="1">IFERROR(__xludf.DUMMYFUNCTION("""COMPUTED_VALUE"""),"01181170000182")</f>
        <v>01181170000182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IFERROR(__xludf.DUMMYFUNCTION("""COMPUTED_VALUE"""),"16383X")</f>
        <v>16383X</v>
      </c>
      <c r="H28" s="7">
        <f ca="1">IFERROR(__xludf.DUMMYFUNCTION("""COMPUTED_VALUE"""),3781.2)</f>
        <v>3781.2</v>
      </c>
      <c r="I28" t="str">
        <v>ENS FUND INTEGRAL</v>
      </c>
    </row>
    <row r="29" spans="1:9" ht="12.75">
      <c r="A29" t="str">
        <f ca="1">IFERROR(__xludf.DUMMYFUNCTION("""COMPUTED_VALUE"""),"Paraíso")</f>
        <v>Paraíso</v>
      </c>
      <c r="B29" t="str">
        <f ca="1">IFERROR(__xludf.DUMMYFUNCTION("""COMPUTED_VALUE"""),"Paraiso do Tocantins")</f>
        <v>Paraiso do Tocantins</v>
      </c>
      <c r="C29" t="str">
        <f ca="1">IFERROR(__xludf.DUMMYFUNCTION("""COMPUTED_VALUE"""),"ASS. A. ESCOLA EST. DE TEMPO INTEGRAL PROFESSORA RITA ANDRADE SANTOS")</f>
        <v>ASS. A. ESCOLA EST. DE TEMPO INTEGRAL PROFESSORA RITA ANDRADE SANTOS</v>
      </c>
      <c r="D29" t="str">
        <f ca="1">IFERROR(__xludf.DUMMYFUNCTION("""COMPUTED_VALUE"""),"48740961000169")</f>
        <v>48740961000169</v>
      </c>
      <c r="E29" t="str">
        <f ca="1">IFERROR(__xludf.DUMMYFUNCTION("""COMPUTED_VALUE"""),"001")</f>
        <v>001</v>
      </c>
      <c r="F29" t="str">
        <f ca="1">IFERROR(__xludf.DUMMYFUNCTION("""COMPUTED_VALUE"""),"0804")</f>
        <v>0804</v>
      </c>
      <c r="G29" t="str">
        <f ca="1">IFERROR(__xludf.DUMMYFUNCTION("""COMPUTED_VALUE"""),"58858X")</f>
        <v>58858X</v>
      </c>
      <c r="H29" s="7">
        <f ca="1">IFERROR(__xludf.DUMMYFUNCTION("""COMPUTED_VALUE"""),13398.5999999999)</f>
        <v>13398.5999999999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IFERROR(__xludf.DUMMYFUNCTION("""COMPUTED_VALUE"""),"Pedro Afonso")</f>
        <v>Pedro Afonso</v>
      </c>
      <c r="C30" t="str">
        <f ca="1">IFERROR(__xludf.DUMMYFUNCTION("""COMPUTED_VALUE"""),"A.A. AO COLÉGIO DE TEMPO INTEGRAL PROFESSOR ANTONIO BELARMINO FILHO")</f>
        <v>A.A. AO COLÉGIO DE TEMPO INTEGRAL PROFESSOR ANTONIO BELARMINO FILHO</v>
      </c>
      <c r="D30" t="str">
        <f ca="1">IFERROR(__xludf.DUMMYFUNCTION("""COMPUTED_VALUE"""),"47823286000179")</f>
        <v>47823286000179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IFERROR(__xludf.DUMMYFUNCTION("""COMPUTED_VALUE"""),"334804")</f>
        <v>334804</v>
      </c>
      <c r="H30" s="7">
        <f ca="1">IFERROR(__xludf.DUMMYFUNCTION("""COMPUTED_VALUE"""),11014.8)</f>
        <v>11014.8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IFERROR(__xludf.DUMMYFUNCTION("""COMPUTED_VALUE"""),"Santa Maria do Tocantins")</f>
        <v>Santa Maria do Tocantins</v>
      </c>
      <c r="C31" t="str">
        <f ca="1">IFERROR(__xludf.DUMMYFUNCTION("""COMPUTED_VALUE"""),"A. A.AS ESC.DO COL. EST. SANTA MARIA")</f>
        <v>A. A.AS ESC.DO COL. EST. SANTA MARIA</v>
      </c>
      <c r="D31" t="str">
        <f ca="1">IFERROR(__xludf.DUMMYFUNCTION("""COMPUTED_VALUE"""),"02087933000193")</f>
        <v>02087933000193</v>
      </c>
      <c r="E31" t="str">
        <f ca="1">IFERROR(__xludf.DUMMYFUNCTION("""COMPUTED_VALUE"""),"001")</f>
        <v>001</v>
      </c>
      <c r="F31" t="str">
        <f ca="1">IFERROR(__xludf.DUMMYFUNCTION("""COMPUTED_VALUE"""),"1595")</f>
        <v>1595</v>
      </c>
      <c r="G31" t="str">
        <f ca="1">IFERROR(__xludf.DUMMYFUNCTION("""COMPUTED_VALUE"""),"83089")</f>
        <v>83089</v>
      </c>
      <c r="H31" s="7">
        <f ca="1">IFERROR(__xludf.DUMMYFUNCTION("""COMPUTED_VALUE"""),2904.39999999999)</f>
        <v>2904.3999999999901</v>
      </c>
      <c r="I31" t="str">
        <v>ENS FUND INTEGRAL</v>
      </c>
    </row>
    <row r="32" spans="1:9" ht="12.75">
      <c r="A32" t="str">
        <f ca="1">IFERROR(__xludf.DUMMYFUNCTION("""COMPUTED_VALUE"""),"Pedro Afonso")</f>
        <v>Pedro Afonso</v>
      </c>
      <c r="B32" t="str">
        <f ca="1">IFERROR(__xludf.DUMMYFUNCTION("""COMPUTED_VALUE"""),"Tupirama")</f>
        <v>Tupirama</v>
      </c>
      <c r="C32" t="str">
        <f ca="1">IFERROR(__xludf.DUMMYFUNCTION("""COMPUTED_VALUE"""),"A.A. A ESCOLA EST. MARIA DA GLORIA")</f>
        <v>A.A. A ESCOLA EST. MARIA DA GLORIA</v>
      </c>
      <c r="D32" t="str">
        <f ca="1">IFERROR(__xludf.DUMMYFUNCTION("""COMPUTED_VALUE"""),"02096555000104")</f>
        <v>02096555000104</v>
      </c>
      <c r="E32" t="str">
        <f ca="1">IFERROR(__xludf.DUMMYFUNCTION("""COMPUTED_VALUE"""),"001")</f>
        <v>001</v>
      </c>
      <c r="F32" t="str">
        <f ca="1">IFERROR(__xludf.DUMMYFUNCTION("""COMPUTED_VALUE"""),"2094")</f>
        <v>2094</v>
      </c>
      <c r="G32" t="str">
        <f ca="1">IFERROR(__xludf.DUMMYFUNCTION("""COMPUTED_VALUE"""),"50482")</f>
        <v>50482</v>
      </c>
      <c r="H32" s="7">
        <f ca="1">IFERROR(__xludf.DUMMYFUNCTION("""COMPUTED_VALUE"""),3671.6)</f>
        <v>3671.6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IFERROR(__xludf.DUMMYFUNCTION("""COMPUTED_VALUE"""),"Brejinho de Nazare")</f>
        <v>Brejinho de Nazare</v>
      </c>
      <c r="C33" t="str">
        <f ca="1">IFERROR(__xludf.DUMMYFUNCTION("""COMPUTED_VALUE"""),"AS.DE APOIO A ESC. EST. JONAS PEREIRA LIMA")</f>
        <v>AS.DE APOIO A ESC. EST. JONAS PEREIRA LIMA</v>
      </c>
      <c r="D33" t="str">
        <f ca="1">IFERROR(__xludf.DUMMYFUNCTION("""COMPUTED_VALUE"""),"01148459000108")</f>
        <v>01148459000108</v>
      </c>
      <c r="E33" t="str">
        <f ca="1">IFERROR(__xludf.DUMMYFUNCTION("""COMPUTED_VALUE"""),"001")</f>
        <v>001</v>
      </c>
      <c r="F33" t="str">
        <f ca="1">IFERROR(__xludf.DUMMYFUNCTION("""COMPUTED_VALUE"""),"3976")</f>
        <v>3976</v>
      </c>
      <c r="G33" t="str">
        <f ca="1">IFERROR(__xludf.DUMMYFUNCTION("""COMPUTED_VALUE"""),"80489")</f>
        <v>80489</v>
      </c>
      <c r="H33" s="7">
        <f ca="1">IFERROR(__xludf.DUMMYFUNCTION("""COMPUTED_VALUE"""),6987)</f>
        <v>6987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IFERROR(__xludf.DUMMYFUNCTION("""COMPUTED_VALUE"""),"Monte do Carmo")</f>
        <v>Monte do Carmo</v>
      </c>
      <c r="C34" t="str">
        <f ca="1">IFERROR(__xludf.DUMMYFUNCTION("""COMPUTED_VALUE"""),"A.APOIO DA ESCOLA ESTADUAL MESTRA BELA")</f>
        <v>A.APOIO DA ESCOLA ESTADUAL MESTRA BELA</v>
      </c>
      <c r="D34" t="str">
        <f ca="1">IFERROR(__xludf.DUMMYFUNCTION("""COMPUTED_VALUE"""),"01071442000191")</f>
        <v>01071442000191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IFERROR(__xludf.DUMMYFUNCTION("""COMPUTED_VALUE"""),"31286X")</f>
        <v>31286X</v>
      </c>
      <c r="H34" s="7">
        <f ca="1">IFERROR(__xludf.DUMMYFUNCTION("""COMPUTED_VALUE"""),3014)</f>
        <v>3014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IFERROR(__xludf.DUMMYFUNCTION("""COMPUTED_VALUE"""),"Pindorama do Tocantins")</f>
        <v>Pindorama do Tocantins</v>
      </c>
      <c r="C35" t="str">
        <f ca="1">IFERROR(__xludf.DUMMYFUNCTION("""COMPUTED_VALUE"""),"A.A. DO COL. EST. MANOEL DOS SANTOS ROSAL")</f>
        <v>A.A. DO COL. EST. MANOEL DOS SANTOS ROSAL</v>
      </c>
      <c r="D35" t="str">
        <f ca="1">IFERROR(__xludf.DUMMYFUNCTION("""COMPUTED_VALUE"""),"01034136000185")</f>
        <v>01034136000185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IFERROR(__xludf.DUMMYFUNCTION("""COMPUTED_VALUE"""),"312991")</f>
        <v>312991</v>
      </c>
      <c r="H35" s="7">
        <f ca="1">IFERROR(__xludf.DUMMYFUNCTION("""COMPUTED_VALUE"""),3041.39999999999)</f>
        <v>3041.3999999999901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IFERROR(__xludf.DUMMYFUNCTION("""COMPUTED_VALUE"""),"Porto Nacional")</f>
        <v>Porto Nacional</v>
      </c>
      <c r="C36" t="str">
        <f ca="1">IFERROR(__xludf.DUMMYFUNCTION("""COMPUTED_VALUE"""),"A.A.  A ESCOLA D. PEDRO II")</f>
        <v>A.A.  A ESCOLA D. PEDRO II</v>
      </c>
      <c r="D36" t="str">
        <f ca="1">IFERROR(__xludf.DUMMYFUNCTION("""COMPUTED_VALUE"""),"01133697000131")</f>
        <v>01133697000131</v>
      </c>
      <c r="E36" t="str">
        <f ca="1">IFERROR(__xludf.DUMMYFUNCTION("""COMPUTED_VALUE"""),"001")</f>
        <v>001</v>
      </c>
      <c r="F36" t="str">
        <f ca="1">IFERROR(__xludf.DUMMYFUNCTION("""COMPUTED_VALUE"""),"1117")</f>
        <v>1117</v>
      </c>
      <c r="G36" t="str">
        <f ca="1">IFERROR(__xludf.DUMMYFUNCTION("""COMPUTED_VALUE"""),"0313092")</f>
        <v>0313092</v>
      </c>
      <c r="H36" s="7">
        <f ca="1">IFERROR(__xludf.DUMMYFUNCTION("""COMPUTED_VALUE"""),3781.2)</f>
        <v>3781.2</v>
      </c>
      <c r="I36" t="str">
        <v>ENS FUND INTEGRAL</v>
      </c>
    </row>
    <row r="37" spans="1:9" ht="12.75">
      <c r="A37" t="str">
        <f ca="1">IFERROR(__xludf.DUMMYFUNCTION("""COMPUTED_VALUE"""),"Porto Nacional")</f>
        <v>Porto Nacional</v>
      </c>
      <c r="B37" t="str">
        <f ca="1">IFERROR(__xludf.DUMMYFUNCTION("""COMPUTED_VALUE"""),"Silvanopolis")</f>
        <v>Silvanopolis</v>
      </c>
      <c r="C37" t="str">
        <f ca="1">IFERROR(__xludf.DUMMYFUNCTION("""COMPUTED_VALUE"""),"A.A. A ESC. EST. JOAO PIRES QUERIDO")</f>
        <v>A.A. A ESC. EST. JOAO PIRES QUERIDO</v>
      </c>
      <c r="D37" t="str">
        <f ca="1">IFERROR(__xludf.DUMMYFUNCTION("""COMPUTED_VALUE"""),"01284632000197")</f>
        <v>01284632000197</v>
      </c>
      <c r="E37" t="str">
        <f ca="1">IFERROR(__xludf.DUMMYFUNCTION("""COMPUTED_VALUE"""),"001")</f>
        <v>001</v>
      </c>
      <c r="F37" t="str">
        <f ca="1">IFERROR(__xludf.DUMMYFUNCTION("""COMPUTED_VALUE"""),"3980")</f>
        <v>3980</v>
      </c>
      <c r="G37" t="str">
        <f ca="1">IFERROR(__xludf.DUMMYFUNCTION("""COMPUTED_VALUE"""),"051187")</f>
        <v>051187</v>
      </c>
      <c r="H37" s="7">
        <f ca="1">IFERROR(__xludf.DUMMYFUNCTION("""COMPUTED_VALUE"""),4247)</f>
        <v>4247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IFERROR(__xludf.DUMMYFUNCTION("""COMPUTED_VALUE"""),"Aguiarnopolis")</f>
        <v>Aguiarnopolis</v>
      </c>
      <c r="C38" t="str">
        <f ca="1">IFERROR(__xludf.DUMMYFUNCTION("""COMPUTED_VALUE"""),"A.A. DA ESC. EST. NAZARÉ NUNES DA SILVA (AGUIARNOPOLIS)")</f>
        <v>A.A. DA ESC. EST. NAZARÉ NUNES DA SILVA (AGUIARNOPOLIS)</v>
      </c>
      <c r="D38" t="str">
        <f ca="1">IFERROR(__xludf.DUMMYFUNCTION("""COMPUTED_VALUE"""),"01213519000110")</f>
        <v>01213519000110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IFERROR(__xludf.DUMMYFUNCTION("""COMPUTED_VALUE"""),"217727")</f>
        <v>217727</v>
      </c>
      <c r="H38" s="7">
        <f ca="1">IFERROR(__xludf.DUMMYFUNCTION("""COMPUTED_VALUE"""),2438.6)</f>
        <v>2438.6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IFERROR(__xludf.DUMMYFUNCTION("""COMPUTED_VALUE"""),"A.A. ESC. E. E.PROF.ALDENORA A.CORREIA")</f>
        <v>A.A. ESC. E. E.PROF.ALDENORA A.CORREIA</v>
      </c>
      <c r="D39" t="str">
        <f ca="1">IFERROR(__xludf.DUMMYFUNCTION("""COMPUTED_VALUE"""),"01213527000167")</f>
        <v>01213527000167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IFERROR(__xludf.DUMMYFUNCTION("""COMPUTED_VALUE"""),"58319")</f>
        <v>58319</v>
      </c>
      <c r="H39" s="7">
        <f ca="1">IFERROR(__xludf.DUMMYFUNCTION("""COMPUTED_VALUE"""),3151)</f>
        <v>3151</v>
      </c>
      <c r="I39" t="str">
        <v>ENS FUND INTEGRAL</v>
      </c>
    </row>
    <row r="40" spans="1:9" ht="12.75">
      <c r="A40" t="str">
        <f ca="1">IFERROR(__xludf.DUMMYFUNCTION("""COMPUTED_VALUE"""),"Tocantinópolis")</f>
        <v>Tocantinópolis</v>
      </c>
      <c r="B40" t="str">
        <f ca="1">IFERROR(__xludf.DUMMYFUNCTION("""COMPUTED_VALUE"""),"Tocantinopolis")</f>
        <v>Tocantinopolis</v>
      </c>
      <c r="C40" t="str">
        <f ca="1">IFERROR(__xludf.DUMMYFUNCTION("""COMPUTED_VALUE"""),"A. PAIS DA ESC. EST. XV DE NOVEMBRO")</f>
        <v>A. PAIS DA ESC. EST. XV DE NOVEMBRO</v>
      </c>
      <c r="D40" t="str">
        <f ca="1">IFERROR(__xludf.DUMMYFUNCTION("""COMPUTED_VALUE"""),"01213520000145")</f>
        <v>01213520000145</v>
      </c>
      <c r="E40" t="str">
        <f ca="1">IFERROR(__xludf.DUMMYFUNCTION("""COMPUTED_VALUE"""),"001")</f>
        <v>001</v>
      </c>
      <c r="F40" t="str">
        <f ca="1">IFERROR(__xludf.DUMMYFUNCTION("""COMPUTED_VALUE"""),"0810")</f>
        <v>0810</v>
      </c>
      <c r="G40" t="str">
        <f ca="1">IFERROR(__xludf.DUMMYFUNCTION("""COMPUTED_VALUE"""),"58238")</f>
        <v>58238</v>
      </c>
      <c r="H40" s="7">
        <f ca="1">IFERROR(__xludf.DUMMYFUNCTION("""COMPUTED_VALUE"""),4438.8)</f>
        <v>4438.8</v>
      </c>
      <c r="I40" t="str">
        <v>ENS FUND INTEGRAL</v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A,B,C,D,E,F,G,O WHERE O&gt;0 label O 'INDIGENA'"")"),"REGIONAL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IFERROR(__xludf.DUMMYFUNCTION("""COMPUTED_VALUE"""),"INDIGENA")</f>
        <v>INDIGENA</v>
      </c>
      <c r="I1" s="192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IFERROR(__xludf.DUMMYFUNCTION("""COMPUTED_VALUE"""),8858)</f>
        <v>8858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IFERROR(__xludf.DUMMYFUNCTION("""COMPUTED_VALUE"""),2081.2)</f>
        <v>2081.1999999999998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IFERROR(__xludf.DUMMYFUNCTION("""COMPUTED_VALUE"""),"Formoso do Araguaia")</f>
        <v>Formoso do Araguaia</v>
      </c>
      <c r="C4" t="str">
        <f ca="1">IFERROR(__xludf.DUMMYFUNCTION("""COMPUTED_VALUE"""),"ASSOCIAÇÃO DE APOIO DA ESCOLA INDÍGENA TEMANARE")</f>
        <v>ASSOCIAÇÃO DE APOIO DA ESCOLA INDÍGENA TEMANARE</v>
      </c>
      <c r="D4" t="str">
        <f ca="1">IFERROR(__xludf.DUMMYFUNCTION("""COMPUTED_VALUE"""),"47800676000123")</f>
        <v>47800676000123</v>
      </c>
      <c r="E4" t="str">
        <f ca="1">IFERROR(__xludf.DUMMYFUNCTION("""COMPUTED_VALUE"""),"001")</f>
        <v>001</v>
      </c>
      <c r="F4" t="str">
        <f ca="1">IFERROR(__xludf.DUMMYFUNCTION("""COMPUTED_VALUE"""),"3123")</f>
        <v>3123</v>
      </c>
      <c r="G4" t="str">
        <f ca="1">IFERROR(__xludf.DUMMYFUNCTION("""COMPUTED_VALUE"""),"207160")</f>
        <v>207160</v>
      </c>
      <c r="H4" s="7">
        <f ca="1">IFERROR(__xludf.DUMMYFUNCTION("""COMPUTED_VALUE"""),1685.6)</f>
        <v>1685.6</v>
      </c>
      <c r="I4" t="str">
        <v>INDIGENA</v>
      </c>
    </row>
    <row r="5" spans="1:9" ht="12.75">
      <c r="A5" t="str">
        <f ca="1">IFERROR(__xludf.DUMMYFUNCTION("""COMPUTED_VALUE"""),"Gurupi")</f>
        <v>Gurupi</v>
      </c>
      <c r="B5" t="str">
        <f ca="1">IFERROR(__xludf.DUMMYFUNCTION("""COMPUTED_VALUE"""),"Formoso do Araguaia")</f>
        <v>Formoso do Araguaia</v>
      </c>
      <c r="C5" t="str">
        <f ca="1">IFERROR(__xludf.DUMMYFUNCTION("""COMPUTED_VALUE"""),"ASSOCIAÇÃO DE APOIO ESCOLAR DA ESCOLA INDÍGENA TXUIRI HINÃ")</f>
        <v>ASSOCIAÇÃO DE APOIO ESCOLAR DA ESCOLA INDÍGENA TXUIRI HINÃ</v>
      </c>
      <c r="D5" t="str">
        <f ca="1">IFERROR(__xludf.DUMMYFUNCTION("""COMPUTED_VALUE"""),"47801073000146")</f>
        <v>47801073000146</v>
      </c>
      <c r="E5" t="str">
        <f ca="1">IFERROR(__xludf.DUMMYFUNCTION("""COMPUTED_VALUE"""),"001")</f>
        <v>001</v>
      </c>
      <c r="F5" t="str">
        <f ca="1">IFERROR(__xludf.DUMMYFUNCTION("""COMPUTED_VALUE"""),"3123")</f>
        <v>3123</v>
      </c>
      <c r="G5" t="str">
        <f ca="1">IFERROR(__xludf.DUMMYFUNCTION("""COMPUTED_VALUE"""),"206458")</f>
        <v>206458</v>
      </c>
      <c r="H5" s="7">
        <f ca="1">IFERROR(__xludf.DUMMYFUNCTION("""COMPUTED_VALUE"""),1341.6)</f>
        <v>1341.6</v>
      </c>
      <c r="I5" t="str">
        <v>INDIGENA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IFERROR(__xludf.DUMMYFUNCTION("""COMPUTED_VALUE"""),"Formoso do Araguaia")</f>
        <v>Formoso do Araguaia</v>
      </c>
      <c r="C6" t="str">
        <f ca="1">IFERROR(__xludf.DUMMYFUNCTION("""COMPUTED_VALUE"""),"ASSOCIAÇÃO DE APOIO ESCOLAR DA ESCOLA INDÍGENA WATAKURI")</f>
        <v>ASSOCIAÇÃO DE APOIO ESCOLAR DA ESCOLA INDÍGENA WATAKURI</v>
      </c>
      <c r="D6" t="str">
        <f ca="1">IFERROR(__xludf.DUMMYFUNCTION("""COMPUTED_VALUE"""),"48057828000102")</f>
        <v>48057828000102</v>
      </c>
      <c r="E6" t="str">
        <f ca="1">IFERROR(__xludf.DUMMYFUNCTION("""COMPUTED_VALUE"""),"001")</f>
        <v>001</v>
      </c>
      <c r="F6" t="str">
        <f ca="1">IFERROR(__xludf.DUMMYFUNCTION("""COMPUTED_VALUE"""),"3123")</f>
        <v>3123</v>
      </c>
      <c r="G6" t="str">
        <f ca="1">IFERROR(__xludf.DUMMYFUNCTION("""COMPUTED_VALUE"""),"206695")</f>
        <v>206695</v>
      </c>
      <c r="H6" s="7">
        <f ca="1">IFERROR(__xludf.DUMMYFUNCTION("""COMPUTED_VALUE"""),1341.6)</f>
        <v>1341.6</v>
      </c>
      <c r="I6" t="str">
        <v>INDIGENA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IFERROR(__xludf.DUMMYFUNCTION("""COMPUTED_VALUE"""),"Gurupi")</f>
        <v>Gurupi</v>
      </c>
      <c r="C7" t="str">
        <f ca="1">IFERROR(__xludf.DUMMYFUNCTION("""COMPUTED_VALUE"""),"A.A. ESC. EST.ISOL.E IND.REG.DE GURUPI")</f>
        <v>A.A. ESC. EST.ISOL.E IND.REG.DE GURUPI</v>
      </c>
      <c r="D7" t="str">
        <f ca="1">IFERROR(__xludf.DUMMYFUNCTION("""COMPUTED_VALUE"""),"03011592000135")</f>
        <v>03011592000135</v>
      </c>
      <c r="E7" t="str">
        <f ca="1">IFERROR(__xludf.DUMMYFUNCTION("""COMPUTED_VALUE"""),"001")</f>
        <v>001</v>
      </c>
      <c r="F7" t="str">
        <f ca="1">IFERROR(__xludf.DUMMYFUNCTION("""COMPUTED_VALUE"""),"0794")</f>
        <v>0794</v>
      </c>
      <c r="G7" t="str">
        <f ca="1">IFERROR(__xludf.DUMMYFUNCTION("""COMPUTED_VALUE"""),"67563")</f>
        <v>67563</v>
      </c>
      <c r="H7" s="7">
        <f ca="1">IFERROR(__xludf.DUMMYFUNCTION("""COMPUTED_VALUE"""),2803.6)</f>
        <v>2803.6</v>
      </c>
      <c r="I7" t="str">
        <v>INDIGENA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IFERROR(__xludf.DUMMYFUNCTION("""COMPUTED_VALUE"""),"Sandolandia")</f>
        <v>Sandolandia</v>
      </c>
      <c r="C8" t="str">
        <f ca="1">IFERROR(__xludf.DUMMYFUNCTION("""COMPUTED_VALUE"""),"A.A.DE APOIO ESCOLAR DA ESCOLA INDÍGENA IJAWALA")</f>
        <v>A.A.DE APOIO ESCOLAR DA ESCOLA INDÍGENA IJAWALA</v>
      </c>
      <c r="D8" t="str">
        <f ca="1">IFERROR(__xludf.DUMMYFUNCTION("""COMPUTED_VALUE"""),"48240313000143")</f>
        <v>48240313000143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IFERROR(__xludf.DUMMYFUNCTION("""COMPUTED_VALUE"""),"1949810")</f>
        <v>1949810</v>
      </c>
      <c r="H8" s="7">
        <f ca="1">IFERROR(__xludf.DUMMYFUNCTION("""COMPUTED_VALUE"""),1152.39999999999)</f>
        <v>1152.3999999999901</v>
      </c>
      <c r="I8" t="str">
        <v>INDIGENA</v>
      </c>
    </row>
    <row r="9" spans="1:9" ht="12.75">
      <c r="A9" t="str">
        <f ca="1">IFERROR(__xludf.DUMMYFUNCTION("""COMPUTED_VALUE"""),"Miracema")</f>
        <v>Miracema</v>
      </c>
      <c r="B9" t="str">
        <f ca="1">IFERROR(__xludf.DUMMYFUNCTION("""COMPUTED_VALUE"""),"Miracema do Tocantins")</f>
        <v>Miracema do Tocantins</v>
      </c>
      <c r="C9" t="str">
        <f ca="1">IFERROR(__xludf.DUMMYFUNCTION("""COMPUTED_VALUE"""),"ASSOCIAÇÃO DE APOIO ÀS ESCOLAS INDIGENAS XERENTE")</f>
        <v>ASSOCIAÇÃO DE APOIO ÀS ESCOLAS INDIGENAS XERENTE</v>
      </c>
      <c r="D9" t="str">
        <f ca="1">IFERROR(__xludf.DUMMYFUNCTION("""COMPUTED_VALUE"""),"07671600000120")</f>
        <v>07671600000120</v>
      </c>
      <c r="E9" t="str">
        <f ca="1">IFERROR(__xludf.DUMMYFUNCTION("""COMPUTED_VALUE"""),"001")</f>
        <v>001</v>
      </c>
      <c r="F9" t="str">
        <f ca="1">IFERROR(__xludf.DUMMYFUNCTION("""COMPUTED_VALUE"""),"0862")</f>
        <v>0862</v>
      </c>
      <c r="G9" t="str">
        <f ca="1">IFERROR(__xludf.DUMMYFUNCTION("""COMPUTED_VALUE"""),"185884")</f>
        <v>185884</v>
      </c>
      <c r="H9" s="7">
        <f ca="1">IFERROR(__xludf.DUMMYFUNCTION("""COMPUTED_VALUE"""),18816.8)</f>
        <v>18816.8</v>
      </c>
      <c r="I9" t="str">
        <v>INDIGENA</v>
      </c>
    </row>
    <row r="10" spans="1:9" ht="12.75">
      <c r="A10" t="str">
        <f ca="1">IFERROR(__xludf.DUMMYFUNCTION("""COMPUTED_VALUE"""),"Paraíso")</f>
        <v>Paraíso</v>
      </c>
      <c r="B10" t="str">
        <f ca="1">IFERROR(__xludf.DUMMYFUNCTION("""COMPUTED_VALUE"""),"Paraiso do Tocantins")</f>
        <v>Paraiso do Tocantins</v>
      </c>
      <c r="C10" t="str">
        <f ca="1">IFERROR(__xludf.DUMMYFUNCTION("""COMPUTED_VALUE"""),"A.A. ESC. EST.ISOL.INDIG REG PARAISO DO TO")</f>
        <v>A.A. ESC. EST.ISOL.INDIG REG PARAISO DO TO</v>
      </c>
      <c r="D10" t="str">
        <f ca="1">IFERROR(__xludf.DUMMYFUNCTION("""COMPUTED_VALUE"""),"05099542000187")</f>
        <v>05099542000187</v>
      </c>
      <c r="E10" t="str">
        <f ca="1">IFERROR(__xludf.DUMMYFUNCTION("""COMPUTED_VALUE"""),"001")</f>
        <v>001</v>
      </c>
      <c r="F10" t="str">
        <f ca="1">IFERROR(__xludf.DUMMYFUNCTION("""COMPUTED_VALUE"""),"0804")</f>
        <v>0804</v>
      </c>
      <c r="G10" t="str">
        <f ca="1">IFERROR(__xludf.DUMMYFUNCTION("""COMPUTED_VALUE"""),"111678")</f>
        <v>111678</v>
      </c>
      <c r="H10" s="7">
        <f ca="1">IFERROR(__xludf.DUMMYFUNCTION("""COMPUTED_VALUE"""),17767.6)</f>
        <v>17767.599999999999</v>
      </c>
      <c r="I10" t="str">
        <v>INDIGENA</v>
      </c>
    </row>
    <row r="11" spans="1:9" ht="12.75">
      <c r="A11" t="str">
        <f ca="1">IFERROR(__xludf.DUMMYFUNCTION("""COMPUTED_VALUE"""),"Pedro Afonso")</f>
        <v>Pedro Afonso</v>
      </c>
      <c r="B11" t="str">
        <f ca="1">IFERROR(__xludf.DUMMYFUNCTION("""COMPUTED_VALUE"""),"Itacajá")</f>
        <v>Itacajá</v>
      </c>
      <c r="C11" t="str">
        <f ca="1">IFERROR(__xludf.DUMMYFUNCTION("""COMPUTED_VALUE"""),"A.A. ESCOLAS ESTADUAIS INDIGENAS DE ITACAJA II")</f>
        <v>A.A. ESCOLAS ESTADUAIS INDIGENAS DE ITACAJA II</v>
      </c>
      <c r="D11" t="str">
        <f ca="1">IFERROR(__xludf.DUMMYFUNCTION("""COMPUTED_VALUE"""),"43551682000133")</f>
        <v>43551682000133</v>
      </c>
      <c r="E11" t="str">
        <f ca="1">IFERROR(__xludf.DUMMYFUNCTION("""COMPUTED_VALUE"""),"001")</f>
        <v>001</v>
      </c>
      <c r="F11" t="str">
        <f ca="1">IFERROR(__xludf.DUMMYFUNCTION("""COMPUTED_VALUE"""),"1595")</f>
        <v>1595</v>
      </c>
      <c r="G11" t="str">
        <f ca="1">IFERROR(__xludf.DUMMYFUNCTION("""COMPUTED_VALUE"""),"327905")</f>
        <v>327905</v>
      </c>
      <c r="H11" s="7">
        <f ca="1">IFERROR(__xludf.DUMMYFUNCTION("""COMPUTED_VALUE"""),2803.6)</f>
        <v>2803.6</v>
      </c>
      <c r="I11" t="str">
        <v>INDIGENA</v>
      </c>
    </row>
    <row r="12" spans="1:9" ht="12.75">
      <c r="A12" t="str">
        <f ca="1">IFERROR(__xludf.DUMMYFUNCTION("""COMPUTED_VALUE"""),"Pedro Afonso")</f>
        <v>Pedro Afonso</v>
      </c>
      <c r="B12" t="str">
        <f ca="1">IFERROR(__xludf.DUMMYFUNCTION("""COMPUTED_VALUE"""),"Pedro Afonso")</f>
        <v>Pedro Afonso</v>
      </c>
      <c r="C12" t="str">
        <f ca="1">IFERROR(__xludf.DUMMYFUNCTION("""COMPUTED_VALUE"""),"A.A. EC.INDIGENAS")</f>
        <v>A.A. EC.INDIGENAS</v>
      </c>
      <c r="D12" t="str">
        <f ca="1">IFERROR(__xludf.DUMMYFUNCTION("""COMPUTED_VALUE"""),"06135108000178")</f>
        <v>06135108000178</v>
      </c>
      <c r="E12" t="str">
        <f ca="1">IFERROR(__xludf.DUMMYFUNCTION("""COMPUTED_VALUE"""),"001")</f>
        <v>001</v>
      </c>
      <c r="F12" t="str">
        <f ca="1">IFERROR(__xludf.DUMMYFUNCTION("""COMPUTED_VALUE"""),"1595")</f>
        <v>1595</v>
      </c>
      <c r="G12" t="str">
        <f ca="1">IFERROR(__xludf.DUMMYFUNCTION("""COMPUTED_VALUE"""),"114499")</f>
        <v>114499</v>
      </c>
      <c r="H12" s="7">
        <f ca="1">IFERROR(__xludf.DUMMYFUNCTION("""COMPUTED_VALUE"""),18868.3999999999)</f>
        <v>18868.3999999999</v>
      </c>
      <c r="I12" t="str">
        <v>INDIGENA</v>
      </c>
    </row>
    <row r="13" spans="1:9" ht="12.75">
      <c r="A13" t="str">
        <f ca="1">IFERROR(__xludf.DUMMYFUNCTION("""COMPUTED_VALUE"""),"Tocantinópolis")</f>
        <v>Tocantinópolis</v>
      </c>
      <c r="B13" t="str">
        <f ca="1">IFERROR(__xludf.DUMMYFUNCTION("""COMPUTED_VALUE"""),"Tocantinopolis")</f>
        <v>Tocantinopolis</v>
      </c>
      <c r="C13" t="str">
        <f ca="1">IFERROR(__xludf.DUMMYFUNCTION("""COMPUTED_VALUE"""),"A.A ESC. EST.INDIGENAS NRE TOCANTINOPOLIS")</f>
        <v>A.A ESC. EST.INDIGENAS NRE TOCANTINOPOLIS</v>
      </c>
      <c r="D13" t="str">
        <f ca="1">IFERROR(__xludf.DUMMYFUNCTION("""COMPUTED_VALUE"""),"06171083000168")</f>
        <v>06171083000168</v>
      </c>
      <c r="E13" t="str">
        <f ca="1">IFERROR(__xludf.DUMMYFUNCTION("""COMPUTED_VALUE"""),"001")</f>
        <v>001</v>
      </c>
      <c r="F13" t="str">
        <f ca="1">IFERROR(__xludf.DUMMYFUNCTION("""COMPUTED_VALUE"""),"0810")</f>
        <v>0810</v>
      </c>
      <c r="G13" t="str">
        <f ca="1">IFERROR(__xludf.DUMMYFUNCTION("""COMPUTED_VALUE"""),"140538")</f>
        <v>140538</v>
      </c>
      <c r="H13" s="7">
        <f ca="1">IFERROR(__xludf.DUMMYFUNCTION("""COMPUTED_VALUE"""),9683.6)</f>
        <v>9683.6</v>
      </c>
      <c r="I13" t="str">
        <v>INDIGENA</v>
      </c>
    </row>
    <row r="14" spans="1:9" ht="12.75">
      <c r="A14" t="str">
        <f ca="1">IFERROR(__xludf.DUMMYFUNCTION("""COMPUTED_VALUE"""),"Tocantinópolis")</f>
        <v>Tocantinópolis</v>
      </c>
      <c r="B14" t="str">
        <f ca="1">IFERROR(__xludf.DUMMYFUNCTION("""COMPUTED_VALUE"""),"Tocantinopolis")</f>
        <v>Tocantinopolis</v>
      </c>
      <c r="C14" t="str">
        <f ca="1">IFERROR(__xludf.DUMMYFUNCTION("""COMPUTED_VALUE"""),"A.A. AS ESC. EST.INDIGENAS MATYK E APORO")</f>
        <v>A.A. AS ESC. EST.INDIGENAS MATYK E APORO</v>
      </c>
      <c r="D14" t="str">
        <f ca="1">IFERROR(__xludf.DUMMYFUNCTION("""COMPUTED_VALUE"""),"03544096000147")</f>
        <v>03544096000147</v>
      </c>
      <c r="E14" t="str">
        <f ca="1">IFERROR(__xludf.DUMMYFUNCTION("""COMPUTED_VALUE"""),"001")</f>
        <v>001</v>
      </c>
      <c r="F14" t="str">
        <f ca="1">IFERROR(__xludf.DUMMYFUNCTION("""COMPUTED_VALUE"""),"0810")</f>
        <v>0810</v>
      </c>
      <c r="G14" t="str">
        <f ca="1">IFERROR(__xludf.DUMMYFUNCTION("""COMPUTED_VALUE"""),"67423")</f>
        <v>67423</v>
      </c>
      <c r="H14" s="7">
        <f ca="1">IFERROR(__xludf.DUMMYFUNCTION("""COMPUTED_VALUE"""),11730.4)</f>
        <v>11730.4</v>
      </c>
      <c r="I14" t="str">
        <v>INDIGENA</v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A,B,C,D,E,F,G,L WHERE L&gt;0 label L 'QUILOMBOLA'"")"),"REGIONAL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IFERROR(__xludf.DUMMYFUNCTION("""COMPUTED_VALUE"""),"QUILOMBOLA")</f>
        <v>QUILOMBOLA</v>
      </c>
      <c r="I1" s="192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IFERROR(__xludf.DUMMYFUNCTION("""COMPUTED_VALUE"""),4128)</f>
        <v>4128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IFERROR(__xludf.DUMMYFUNCTION("""COMPUTED_VALUE"""),1892)</f>
        <v>1892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IFERROR(__xludf.DUMMYFUNCTION("""COMPUTED_VALUE"""),1272.8)</f>
        <v>1272.8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IFERROR(__xludf.DUMMYFUNCTION("""COMPUTED_VALUE"""),5624.4)</f>
        <v>5624.4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39</vt:i4>
      </vt:variant>
      <vt:variant>
        <vt:lpstr>Intervalos nomeados</vt:lpstr>
      </vt:variant>
      <vt:variant>
        <vt:i4>10</vt:i4>
      </vt:variant>
    </vt:vector>
  </HeadingPairs>
  <TitlesOfParts>
    <vt:vector size="49" baseType="lpstr">
      <vt:lpstr>REP_EST</vt:lpstr>
      <vt:lpstr>BDEST</vt:lpstr>
      <vt:lpstr>REP_FNDE</vt:lpstr>
      <vt:lpstr>REP_FNDE_REL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TRANSP. FNDE</vt:lpstr>
      <vt:lpstr>BASET_1</vt:lpstr>
      <vt:lpstr>BASET_2</vt:lpstr>
      <vt:lpstr>BASET_3</vt:lpstr>
      <vt:lpstr>BASET_4</vt:lpstr>
      <vt:lpstr>BASET_5</vt:lpstr>
      <vt:lpstr>BASET_6</vt:lpstr>
      <vt:lpstr>BASET_7</vt:lpstr>
      <vt:lpstr>BASET_TI1</vt:lpstr>
      <vt:lpstr>BASET_TI2</vt:lpstr>
      <vt:lpstr>BASET_TI3</vt:lpstr>
      <vt:lpstr>BASET_TI5</vt:lpstr>
      <vt:lpstr>BASET_TI6</vt:lpstr>
      <vt:lpstr>BASET_TI7</vt:lpstr>
      <vt:lpstr>BASET_TI4</vt:lpstr>
      <vt:lpstr>REP_EST_PJA</vt:lpstr>
      <vt:lpstr>BASET_PJA1</vt:lpstr>
      <vt:lpstr>BASET_PJA2</vt:lpstr>
      <vt:lpstr>Página26</vt:lpstr>
      <vt:lpstr>Página27</vt:lpstr>
      <vt:lpstr>Página28</vt:lpstr>
      <vt:lpstr>PER_CAPITA</vt:lpstr>
      <vt:lpstr>Exercicio</vt:lpstr>
      <vt:lpstr>AUX</vt:lpstr>
      <vt:lpstr>Página32</vt:lpstr>
      <vt:lpstr>iParam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  <vt:lpstr>percA</vt:lpstr>
      <vt:lpstr>percAgricola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Gabriela Gomes Marçal</dc:creator>
  <cp:lastModifiedBy>05869478170</cp:lastModifiedBy>
  <dcterms:created xsi:type="dcterms:W3CDTF">2023-12-07T16:37:48Z</dcterms:created>
  <dcterms:modified xsi:type="dcterms:W3CDTF">2023-12-07T16:38:22Z</dcterms:modified>
</cp:coreProperties>
</file>